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4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40 - Property Tax Filing\2025\Filed\"/>
    </mc:Choice>
  </mc:AlternateContent>
  <xr:revisionPtr revIDLastSave="0" documentId="13_ncr:1_{EDDCCEDE-9E19-4FC2-B505-E79B943A2DB3}" xr6:coauthVersionLast="47" xr6:coauthVersionMax="47" xr10:uidLastSave="{00000000-0000-0000-0000-000000000000}"/>
  <bookViews>
    <workbookView xWindow="2640" yWindow="240" windowWidth="25935" windowHeight="14925" tabRatio="884" activeTab="3" xr2:uid="{00000000-000D-0000-FFFF-FFFF00000000}"/>
  </bookViews>
  <sheets>
    <sheet name="Tariff Use&gt;" sheetId="55" r:id="rId1"/>
    <sheet name="Sch 140 Rates" sheetId="53" r:id="rId2"/>
    <sheet name="Lighting Rates" sheetId="54" r:id="rId3"/>
    <sheet name="Rate Impacts" sheetId="12" r:id="rId4"/>
    <sheet name="Workpapers&gt;" sheetId="56" r:id="rId5"/>
    <sheet name="Lighting RD" sheetId="34" r:id="rId6"/>
    <sheet name="Rate Spread &amp; Design" sheetId="10" r:id="rId7"/>
    <sheet name="Plant-In-Service Trans Adj" sheetId="57" r:id="rId8"/>
    <sheet name="Inputs" sheetId="5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12" l="1"/>
  <c r="H168" i="34" l="1"/>
  <c r="E200" i="54" s="1"/>
  <c r="H166" i="34"/>
  <c r="E156" i="54" s="1"/>
  <c r="H165" i="34"/>
  <c r="E155" i="54" s="1"/>
  <c r="G165" i="34" l="1"/>
  <c r="D155" i="54" s="1"/>
  <c r="G166" i="34"/>
  <c r="D156" i="54" s="1"/>
  <c r="G168" i="34"/>
  <c r="D200" i="54" s="1"/>
  <c r="K165" i="34" l="1"/>
  <c r="J165" i="34"/>
  <c r="J166" i="34"/>
  <c r="K166" i="34"/>
  <c r="J168" i="34"/>
  <c r="K168" i="34"/>
  <c r="L165" i="34" l="1"/>
  <c r="L168" i="34"/>
  <c r="L166" i="34"/>
  <c r="C149" i="34"/>
  <c r="C150" i="34" s="1"/>
  <c r="C151" i="34" s="1"/>
  <c r="C152" i="34" s="1"/>
  <c r="C153" i="34" s="1"/>
  <c r="C154" i="34" s="1"/>
  <c r="C155" i="34" s="1"/>
  <c r="C156" i="34" s="1"/>
  <c r="C157" i="34" s="1"/>
  <c r="C158" i="34" s="1"/>
  <c r="C159" i="34" s="1"/>
  <c r="C160" i="34" s="1"/>
  <c r="C161" i="34" s="1"/>
  <c r="C162" i="34" s="1"/>
  <c r="C144" i="34"/>
  <c r="C145" i="34" s="1"/>
  <c r="C134" i="34"/>
  <c r="C135" i="34" s="1"/>
  <c r="C136" i="34" s="1"/>
  <c r="C137" i="34" s="1"/>
  <c r="C127" i="34"/>
  <c r="C139" i="34" s="1"/>
  <c r="C140" i="34" s="1"/>
  <c r="C141" i="34" s="1"/>
  <c r="C142" i="34" s="1"/>
  <c r="C103" i="34"/>
  <c r="C104" i="34" s="1"/>
  <c r="C105" i="34" s="1"/>
  <c r="C106" i="34" s="1"/>
  <c r="C107" i="34" s="1"/>
  <c r="C109" i="34" s="1"/>
  <c r="C81" i="34"/>
  <c r="C82" i="34" s="1"/>
  <c r="C83" i="34" s="1"/>
  <c r="C84" i="34" s="1"/>
  <c r="C85" i="34" s="1"/>
  <c r="C86" i="34" s="1"/>
  <c r="C87" i="34" s="1"/>
  <c r="C51" i="34"/>
  <c r="C52" i="34" s="1"/>
  <c r="C53" i="34" s="1"/>
  <c r="C54" i="34" s="1"/>
  <c r="C55" i="34" s="1"/>
  <c r="C56" i="34" s="1"/>
  <c r="C57" i="34" s="1"/>
  <c r="C58" i="34" s="1"/>
  <c r="C60" i="34" s="1"/>
  <c r="C61" i="34" s="1"/>
  <c r="C62" i="34" s="1"/>
  <c r="C63" i="34" s="1"/>
  <c r="C64" i="34" s="1"/>
  <c r="D45" i="34"/>
  <c r="D46" i="34" s="1"/>
  <c r="D47" i="34" s="1"/>
  <c r="C33" i="34"/>
  <c r="C34" i="34" s="1"/>
  <c r="C35" i="34" s="1"/>
  <c r="C36" i="34" s="1"/>
  <c r="C14" i="34"/>
  <c r="C15" i="34" s="1"/>
  <c r="C16" i="34" s="1"/>
  <c r="C37" i="34" l="1"/>
  <c r="C41" i="34"/>
  <c r="C67" i="34"/>
  <c r="C65" i="34"/>
  <c r="C68" i="34" s="1"/>
  <c r="C69" i="34" s="1"/>
  <c r="C70" i="34" s="1"/>
  <c r="C71" i="34" s="1"/>
  <c r="C72" i="34" s="1"/>
  <c r="C73" i="34" s="1"/>
  <c r="C74" i="34" s="1"/>
  <c r="C75" i="34" s="1"/>
  <c r="C76" i="34" s="1"/>
  <c r="C90" i="34"/>
  <c r="C88" i="34"/>
  <c r="C91" i="34" s="1"/>
  <c r="C92" i="34" s="1"/>
  <c r="C93" i="34" s="1"/>
  <c r="C94" i="34" s="1"/>
  <c r="C95" i="34" s="1"/>
  <c r="C96" i="34" s="1"/>
  <c r="C97" i="34" s="1"/>
  <c r="C98" i="34" s="1"/>
  <c r="C99" i="34" s="1"/>
  <c r="C128" i="34"/>
  <c r="C129" i="34" s="1"/>
  <c r="C130" i="34" s="1"/>
  <c r="C131" i="34" s="1"/>
  <c r="C38" i="34" l="1"/>
  <c r="C42" i="34"/>
  <c r="C43" i="34" l="1"/>
  <c r="C39" i="34"/>
  <c r="C44" i="34" s="1"/>
  <c r="C45" i="34" s="1"/>
  <c r="C46" i="34" s="1"/>
  <c r="C47" i="34" s="1"/>
  <c r="B71" i="53" l="1"/>
  <c r="B73" i="53"/>
  <c r="B75" i="53"/>
  <c r="B69" i="53"/>
  <c r="C69" i="53"/>
  <c r="C36" i="12" l="1"/>
  <c r="C32" i="10"/>
  <c r="E8" i="53" l="1"/>
  <c r="D40" i="57" l="1"/>
  <c r="L28" i="57" l="1"/>
  <c r="N38" i="57" l="1"/>
  <c r="N28" i="57"/>
  <c r="L38" i="57"/>
  <c r="L36" i="57" l="1"/>
  <c r="J40" i="57"/>
  <c r="O40" i="57"/>
  <c r="D28" i="10" s="1"/>
  <c r="K40" i="57" l="1"/>
  <c r="D21" i="10" s="1"/>
  <c r="N36" i="57"/>
  <c r="N39" i="57"/>
  <c r="P40" i="57"/>
  <c r="D36" i="10" s="1"/>
  <c r="M40" i="57"/>
  <c r="D26" i="10" s="1"/>
  <c r="L39" i="57"/>
  <c r="Q36" i="57" l="1"/>
  <c r="I40" i="57"/>
  <c r="D20" i="10" s="1"/>
  <c r="H40" i="57"/>
  <c r="D16" i="10" s="1"/>
  <c r="G40" i="57"/>
  <c r="D15" i="10" s="1"/>
  <c r="F40" i="57"/>
  <c r="D14" i="10" s="1"/>
  <c r="E40" i="57"/>
  <c r="D10" i="10" s="1"/>
  <c r="N40" i="57"/>
  <c r="D30" i="10" s="1"/>
  <c r="L40" i="57"/>
  <c r="D24" i="10" s="1"/>
  <c r="H38" i="12" l="1"/>
  <c r="D66" i="53"/>
  <c r="L30" i="10" l="1"/>
  <c r="F45" i="53" l="1"/>
  <c r="F73" i="53"/>
  <c r="F68" i="53"/>
  <c r="F67" i="53"/>
  <c r="F63" i="53"/>
  <c r="F62" i="53"/>
  <c r="F58" i="53"/>
  <c r="F57" i="53"/>
  <c r="F56" i="53"/>
  <c r="F52" i="53"/>
  <c r="F51" i="53"/>
  <c r="F49" i="53"/>
  <c r="F48" i="53"/>
  <c r="C36" i="10" l="1"/>
  <c r="C29" i="12"/>
  <c r="C21" i="12"/>
  <c r="C16" i="12"/>
  <c r="C14" i="12" l="1"/>
  <c r="C15" i="10"/>
  <c r="C16" i="10"/>
  <c r="C15" i="12"/>
  <c r="C10" i="12"/>
  <c r="C10" i="10"/>
  <c r="C13" i="12"/>
  <c r="C14" i="10"/>
  <c r="C20" i="12"/>
  <c r="C20" i="10"/>
  <c r="C22" i="12"/>
  <c r="C21" i="10"/>
  <c r="C26" i="10"/>
  <c r="C28" i="12"/>
  <c r="C30" i="10"/>
  <c r="C34" i="12"/>
  <c r="C24" i="10"/>
  <c r="C25" i="12"/>
  <c r="C32" i="12"/>
  <c r="C28" i="10"/>
  <c r="K10" i="10"/>
  <c r="H8" i="53" l="1"/>
  <c r="I8" i="53" s="1"/>
  <c r="I7" i="53" l="1"/>
  <c r="H7" i="53"/>
  <c r="K16" i="53" l="1"/>
  <c r="L44" i="12" l="1"/>
  <c r="K44" i="12"/>
  <c r="J44" i="12"/>
  <c r="L30" i="12" l="1"/>
  <c r="L23" i="12"/>
  <c r="L17" i="12" l="1"/>
  <c r="L38" i="12" s="1"/>
  <c r="G44" i="12"/>
  <c r="A11" i="54" l="1"/>
  <c r="A12" i="54" s="1"/>
  <c r="A13" i="54" s="1"/>
  <c r="A14" i="54" s="1"/>
  <c r="A15" i="54" s="1"/>
  <c r="A16" i="54" s="1"/>
  <c r="A17" i="54" s="1"/>
  <c r="A18" i="54" s="1"/>
  <c r="A4" i="54"/>
  <c r="A19" i="54" l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C68" i="53"/>
  <c r="B68" i="53"/>
  <c r="C67" i="53"/>
  <c r="B67" i="53"/>
  <c r="B64" i="53"/>
  <c r="C63" i="53"/>
  <c r="B63" i="53"/>
  <c r="C62" i="53"/>
  <c r="B62" i="53"/>
  <c r="B61" i="53"/>
  <c r="B58" i="53"/>
  <c r="C57" i="53"/>
  <c r="B57" i="53"/>
  <c r="C56" i="53"/>
  <c r="B56" i="53"/>
  <c r="B55" i="53"/>
  <c r="B52" i="53"/>
  <c r="C51" i="53"/>
  <c r="B51" i="53"/>
  <c r="C50" i="53"/>
  <c r="B50" i="53"/>
  <c r="C49" i="53"/>
  <c r="C48" i="53"/>
  <c r="B48" i="53"/>
  <c r="B47" i="53"/>
  <c r="C45" i="53"/>
  <c r="B45" i="53"/>
  <c r="A11" i="53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B59" i="53"/>
  <c r="B66" i="53"/>
  <c r="C66" i="53"/>
  <c r="B49" i="53"/>
  <c r="D50" i="53"/>
  <c r="E50" i="53"/>
  <c r="F50" i="53" s="1"/>
  <c r="C52" i="53"/>
  <c r="B53" i="53"/>
  <c r="C58" i="53"/>
  <c r="C73" i="53"/>
  <c r="L7" i="10" l="1"/>
  <c r="H7" i="12" s="1"/>
  <c r="K7" i="10"/>
  <c r="G7" i="12" s="1"/>
  <c r="A4" i="10" l="1"/>
  <c r="A4" i="34"/>
  <c r="F155" i="54" l="1"/>
  <c r="F156" i="54"/>
  <c r="F200" i="54"/>
  <c r="K28" i="10" l="1"/>
  <c r="K26" i="10"/>
  <c r="K24" i="10"/>
  <c r="K20" i="10"/>
  <c r="K21" i="10"/>
  <c r="K14" i="10"/>
  <c r="K15" i="10"/>
  <c r="K16" i="10"/>
  <c r="K17" i="10" l="1"/>
  <c r="A4" i="12" l="1"/>
  <c r="B4" i="52"/>
  <c r="A3" i="54" l="1"/>
  <c r="A3" i="34"/>
  <c r="A3" i="10"/>
  <c r="A3" i="12"/>
  <c r="D34" i="53"/>
  <c r="D28" i="53"/>
  <c r="D29" i="53"/>
  <c r="D33" i="53"/>
  <c r="D22" i="53"/>
  <c r="D23" i="53"/>
  <c r="D24" i="53"/>
  <c r="D14" i="53"/>
  <c r="D15" i="53"/>
  <c r="D17" i="53"/>
  <c r="D18" i="53"/>
  <c r="D11" i="53"/>
  <c r="D16" i="53" l="1"/>
  <c r="I40" i="10"/>
  <c r="A10" i="12" l="1"/>
  <c r="A11" i="12" l="1"/>
  <c r="A12" i="12" s="1"/>
  <c r="A13" i="12" s="1"/>
  <c r="A14" i="12" s="1"/>
  <c r="A11" i="34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l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l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D17" i="10" l="1"/>
  <c r="G17" i="12" l="1"/>
  <c r="G23" i="12"/>
  <c r="G30" i="12" l="1"/>
  <c r="G38" i="12" l="1"/>
  <c r="D22" i="10" l="1"/>
  <c r="D11" i="10"/>
  <c r="D34" i="10" l="1"/>
  <c r="D38" i="10" s="1"/>
  <c r="E10" i="10" s="1"/>
  <c r="G10" i="10" l="1"/>
  <c r="N10" i="10" s="1"/>
  <c r="H11" i="53" s="1"/>
  <c r="H10" i="10"/>
  <c r="P10" i="10" s="1"/>
  <c r="I11" i="53" s="1"/>
  <c r="E30" i="10"/>
  <c r="E28" i="10"/>
  <c r="E11" i="53" l="1"/>
  <c r="R10" i="10"/>
  <c r="G30" i="10"/>
  <c r="H30" i="10"/>
  <c r="E21" i="10"/>
  <c r="E16" i="10"/>
  <c r="E24" i="10"/>
  <c r="E14" i="10"/>
  <c r="E11" i="10"/>
  <c r="E36" i="10"/>
  <c r="G36" i="10" s="1"/>
  <c r="E26" i="10"/>
  <c r="E20" i="10"/>
  <c r="E15" i="10"/>
  <c r="E17" i="10"/>
  <c r="E22" i="10"/>
  <c r="E34" i="10"/>
  <c r="M11" i="53" l="1"/>
  <c r="K10" i="12"/>
  <c r="N10" i="12" s="1"/>
  <c r="Q30" i="10"/>
  <c r="I66" i="53" s="1"/>
  <c r="O30" i="10"/>
  <c r="S30" i="10" l="1"/>
  <c r="H66" i="53"/>
  <c r="H36" i="10"/>
  <c r="I36" i="10" s="1"/>
  <c r="H24" i="10"/>
  <c r="P24" i="10" s="1"/>
  <c r="H15" i="10"/>
  <c r="P15" i="10" s="1"/>
  <c r="H28" i="10"/>
  <c r="P28" i="10" s="1"/>
  <c r="H26" i="10"/>
  <c r="P26" i="10" s="1"/>
  <c r="I28" i="53" s="1"/>
  <c r="H16" i="10"/>
  <c r="P16" i="10" s="1"/>
  <c r="I17" i="53" s="1"/>
  <c r="H21" i="10"/>
  <c r="P21" i="10" s="1"/>
  <c r="I24" i="53" s="1"/>
  <c r="H14" i="10"/>
  <c r="P14" i="10" s="1"/>
  <c r="I14" i="53" s="1"/>
  <c r="H20" i="10"/>
  <c r="P20" i="10" s="1"/>
  <c r="I22" i="53" s="1"/>
  <c r="I23" i="53" s="1"/>
  <c r="I34" i="53" l="1"/>
  <c r="S13" i="34"/>
  <c r="S17" i="34"/>
  <c r="H29" i="34"/>
  <c r="S14" i="34"/>
  <c r="S18" i="34"/>
  <c r="S11" i="34"/>
  <c r="S15" i="34"/>
  <c r="S12" i="34"/>
  <c r="S16" i="34"/>
  <c r="H77" i="34"/>
  <c r="E82" i="54" s="1"/>
  <c r="I33" i="53"/>
  <c r="I29" i="53"/>
  <c r="I15" i="53"/>
  <c r="I16" i="53" s="1"/>
  <c r="I18" i="53"/>
  <c r="E66" i="53"/>
  <c r="I10" i="10"/>
  <c r="U15" i="34" l="1"/>
  <c r="D210" i="54" s="1"/>
  <c r="G210" i="54"/>
  <c r="U12" i="34"/>
  <c r="D207" i="54" s="1"/>
  <c r="G207" i="54"/>
  <c r="U11" i="34"/>
  <c r="D206" i="54" s="1"/>
  <c r="G206" i="54"/>
  <c r="U18" i="34"/>
  <c r="D213" i="54" s="1"/>
  <c r="G213" i="54"/>
  <c r="U17" i="34"/>
  <c r="D212" i="54" s="1"/>
  <c r="G212" i="54"/>
  <c r="U14" i="34"/>
  <c r="D209" i="54" s="1"/>
  <c r="G209" i="54"/>
  <c r="U16" i="34"/>
  <c r="D211" i="54" s="1"/>
  <c r="G211" i="54"/>
  <c r="U13" i="34"/>
  <c r="D208" i="54" s="1"/>
  <c r="G208" i="54"/>
  <c r="E34" i="54"/>
  <c r="K34" i="12"/>
  <c r="N34" i="12" s="1"/>
  <c r="F66" i="53"/>
  <c r="M66" i="53"/>
  <c r="M44" i="12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N44" i="12" l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30" i="12" l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K22" i="10" l="1"/>
  <c r="K11" i="10" l="1"/>
  <c r="K34" i="10" s="1"/>
  <c r="K38" i="10" s="1"/>
  <c r="G26" i="10" l="1"/>
  <c r="N26" i="10" s="1"/>
  <c r="G20" i="10"/>
  <c r="N20" i="10" s="1"/>
  <c r="H22" i="53" s="1"/>
  <c r="G16" i="10"/>
  <c r="N16" i="10" s="1"/>
  <c r="H17" i="53" s="1"/>
  <c r="G14" i="10"/>
  <c r="N14" i="10" s="1"/>
  <c r="H14" i="53" s="1"/>
  <c r="G24" i="10"/>
  <c r="N24" i="10" s="1"/>
  <c r="H33" i="53" s="1"/>
  <c r="G28" i="10"/>
  <c r="G21" i="10"/>
  <c r="N21" i="10" s="1"/>
  <c r="H24" i="53" s="1"/>
  <c r="G15" i="10"/>
  <c r="N15" i="10" s="1"/>
  <c r="H28" i="53" l="1"/>
  <c r="E28" i="53" s="1"/>
  <c r="R26" i="10"/>
  <c r="E14" i="53"/>
  <c r="E24" i="53"/>
  <c r="H23" i="53"/>
  <c r="E22" i="53"/>
  <c r="H15" i="53"/>
  <c r="H18" i="53"/>
  <c r="E33" i="53"/>
  <c r="E17" i="53"/>
  <c r="N28" i="10"/>
  <c r="R28" i="10" s="1"/>
  <c r="J171" i="34"/>
  <c r="I28" i="10"/>
  <c r="E38" i="10"/>
  <c r="H210" i="54" l="1"/>
  <c r="H211" i="54"/>
  <c r="H212" i="54"/>
  <c r="H206" i="54"/>
  <c r="H208" i="54"/>
  <c r="H213" i="54"/>
  <c r="H209" i="54"/>
  <c r="H207" i="54"/>
  <c r="M14" i="53"/>
  <c r="M17" i="53"/>
  <c r="H29" i="53"/>
  <c r="E29" i="53" s="1"/>
  <c r="H34" i="53"/>
  <c r="E34" i="53" s="1"/>
  <c r="G77" i="34"/>
  <c r="D82" i="54" s="1"/>
  <c r="F82" i="54" s="1"/>
  <c r="R14" i="34"/>
  <c r="R18" i="34"/>
  <c r="G29" i="34"/>
  <c r="D34" i="54" s="1"/>
  <c r="F34" i="54" s="1"/>
  <c r="R15" i="34"/>
  <c r="R11" i="34"/>
  <c r="R12" i="34"/>
  <c r="R16" i="34"/>
  <c r="R13" i="34"/>
  <c r="R17" i="34"/>
  <c r="M24" i="53"/>
  <c r="M22" i="53"/>
  <c r="M33" i="53"/>
  <c r="K28" i="12"/>
  <c r="E15" i="53"/>
  <c r="H16" i="53"/>
  <c r="M28" i="53"/>
  <c r="K15" i="12"/>
  <c r="K25" i="12"/>
  <c r="E18" i="53"/>
  <c r="K20" i="12"/>
  <c r="E23" i="53"/>
  <c r="K22" i="12"/>
  <c r="K13" i="12"/>
  <c r="K171" i="34"/>
  <c r="H17" i="10"/>
  <c r="P32" i="10" s="1"/>
  <c r="I35" i="53" s="1"/>
  <c r="H22" i="10"/>
  <c r="H11" i="10"/>
  <c r="R16" i="10"/>
  <c r="I16" i="10"/>
  <c r="I14" i="10"/>
  <c r="G17" i="10"/>
  <c r="N32" i="10" s="1"/>
  <c r="I20" i="10"/>
  <c r="G22" i="10"/>
  <c r="I11" i="10"/>
  <c r="G11" i="10"/>
  <c r="R24" i="10"/>
  <c r="I24" i="10"/>
  <c r="I21" i="10"/>
  <c r="R21" i="10"/>
  <c r="I15" i="10"/>
  <c r="R15" i="10"/>
  <c r="I30" i="10"/>
  <c r="I26" i="10"/>
  <c r="T12" i="34" l="1"/>
  <c r="F207" i="54"/>
  <c r="T16" i="34"/>
  <c r="F211" i="54"/>
  <c r="T11" i="34"/>
  <c r="F206" i="54"/>
  <c r="T15" i="34"/>
  <c r="F210" i="54"/>
  <c r="T18" i="34"/>
  <c r="F213" i="54"/>
  <c r="M15" i="53"/>
  <c r="T17" i="34"/>
  <c r="F212" i="54"/>
  <c r="T14" i="34"/>
  <c r="F209" i="54"/>
  <c r="M18" i="53"/>
  <c r="T13" i="34"/>
  <c r="F208" i="54"/>
  <c r="R32" i="10"/>
  <c r="K36" i="12" s="1"/>
  <c r="H35" i="53"/>
  <c r="E35" i="53" s="1"/>
  <c r="M23" i="53"/>
  <c r="M34" i="53"/>
  <c r="M29" i="53"/>
  <c r="E16" i="53"/>
  <c r="M16" i="53" s="1"/>
  <c r="K14" i="12"/>
  <c r="K21" i="12"/>
  <c r="K16" i="12"/>
  <c r="K29" i="12"/>
  <c r="K32" i="12"/>
  <c r="R20" i="10"/>
  <c r="I22" i="10"/>
  <c r="R14" i="10"/>
  <c r="I17" i="10"/>
  <c r="H34" i="10"/>
  <c r="G34" i="10"/>
  <c r="V15" i="34" l="1"/>
  <c r="E210" i="54" s="1"/>
  <c r="C210" i="54"/>
  <c r="V14" i="34"/>
  <c r="E209" i="54" s="1"/>
  <c r="C209" i="54"/>
  <c r="V11" i="34"/>
  <c r="E206" i="54" s="1"/>
  <c r="C206" i="54"/>
  <c r="V17" i="34"/>
  <c r="E212" i="54" s="1"/>
  <c r="C212" i="54"/>
  <c r="V16" i="34"/>
  <c r="C211" i="54"/>
  <c r="V13" i="34"/>
  <c r="E208" i="54" s="1"/>
  <c r="C208" i="54"/>
  <c r="V18" i="34"/>
  <c r="E213" i="54" s="1"/>
  <c r="C213" i="54"/>
  <c r="V12" i="34"/>
  <c r="E207" i="54" s="1"/>
  <c r="C207" i="54"/>
  <c r="M35" i="53"/>
  <c r="I34" i="10"/>
  <c r="I38" i="10" s="1"/>
  <c r="I41" i="10" s="1"/>
  <c r="F24" i="53"/>
  <c r="F17" i="53"/>
  <c r="F33" i="53"/>
  <c r="F28" i="53"/>
  <c r="F11" i="53"/>
  <c r="G38" i="10"/>
  <c r="H38" i="10"/>
  <c r="F29" i="53" l="1"/>
  <c r="F22" i="53"/>
  <c r="F34" i="53"/>
  <c r="F16" i="53"/>
  <c r="F15" i="53"/>
  <c r="F18" i="53"/>
  <c r="F14" i="53"/>
  <c r="F23" i="53" l="1"/>
  <c r="O44" i="12"/>
  <c r="P44" i="12" s="1"/>
  <c r="N21" i="12" l="1"/>
  <c r="O21" i="12" s="1"/>
  <c r="P21" i="12" s="1"/>
  <c r="N16" i="12"/>
  <c r="O16" i="12" s="1"/>
  <c r="P16" i="12" s="1"/>
  <c r="N20" i="12" l="1"/>
  <c r="N15" i="12"/>
  <c r="O15" i="12" s="1"/>
  <c r="P15" i="12" s="1"/>
  <c r="N29" i="12"/>
  <c r="O29" i="12" s="1"/>
  <c r="P29" i="12" s="1"/>
  <c r="N22" i="12"/>
  <c r="O22" i="12" s="1"/>
  <c r="P22" i="12" s="1"/>
  <c r="N14" i="12"/>
  <c r="O14" i="12" s="1"/>
  <c r="P14" i="12" s="1"/>
  <c r="N25" i="12" l="1"/>
  <c r="O25" i="12" s="1"/>
  <c r="P25" i="12" s="1"/>
  <c r="N28" i="12"/>
  <c r="N13" i="12"/>
  <c r="N32" i="12"/>
  <c r="O32" i="12" s="1"/>
  <c r="P32" i="12" s="1"/>
  <c r="N23" i="12"/>
  <c r="O20" i="12"/>
  <c r="O34" i="12"/>
  <c r="P34" i="12" s="1"/>
  <c r="P20" i="12" l="1"/>
  <c r="O23" i="12"/>
  <c r="P23" i="12" s="1"/>
  <c r="O28" i="12"/>
  <c r="N30" i="12"/>
  <c r="O13" i="12"/>
  <c r="N17" i="12"/>
  <c r="N38" i="12" s="1"/>
  <c r="O10" i="12" l="1"/>
  <c r="P13" i="12"/>
  <c r="O17" i="12"/>
  <c r="P17" i="12" s="1"/>
  <c r="O30" i="12"/>
  <c r="P30" i="12" s="1"/>
  <c r="P28" i="12"/>
  <c r="P10" i="12" l="1"/>
  <c r="O38" i="12"/>
  <c r="P38" i="12" s="1"/>
  <c r="J29" i="34" l="1"/>
  <c r="K29" i="34"/>
  <c r="J77" i="34"/>
  <c r="K77" i="34"/>
  <c r="L29" i="34" l="1"/>
  <c r="L77" i="34"/>
  <c r="G123" i="34" l="1"/>
  <c r="H123" i="34"/>
  <c r="G11" i="34"/>
  <c r="H11" i="34"/>
  <c r="K123" i="34" l="1"/>
  <c r="E159" i="54"/>
  <c r="J123" i="34"/>
  <c r="D159" i="54"/>
  <c r="F159" i="54" s="1"/>
  <c r="G16" i="34"/>
  <c r="H16" i="34"/>
  <c r="G160" i="34"/>
  <c r="D196" i="54" s="1"/>
  <c r="H160" i="34"/>
  <c r="E196" i="54" s="1"/>
  <c r="G75" i="34"/>
  <c r="H75" i="34"/>
  <c r="G50" i="34"/>
  <c r="H50" i="34"/>
  <c r="G60" i="34"/>
  <c r="H60" i="34"/>
  <c r="G76" i="34"/>
  <c r="H76" i="34"/>
  <c r="G42" i="34"/>
  <c r="H42" i="34"/>
  <c r="G86" i="34"/>
  <c r="H86" i="34"/>
  <c r="G39" i="34"/>
  <c r="H39" i="34"/>
  <c r="G131" i="34"/>
  <c r="H131" i="34"/>
  <c r="G94" i="34"/>
  <c r="H94" i="34"/>
  <c r="G151" i="34"/>
  <c r="D187" i="54" s="1"/>
  <c r="H151" i="34"/>
  <c r="E187" i="54" s="1"/>
  <c r="G33" i="34"/>
  <c r="H33" i="34"/>
  <c r="G52" i="34"/>
  <c r="H52" i="34"/>
  <c r="G15" i="34"/>
  <c r="H15" i="34"/>
  <c r="G43" i="34"/>
  <c r="H43" i="34"/>
  <c r="G74" i="34"/>
  <c r="H74" i="34"/>
  <c r="G13" i="34"/>
  <c r="H13" i="34"/>
  <c r="G35" i="34"/>
  <c r="H35" i="34"/>
  <c r="G127" i="34"/>
  <c r="H127" i="34"/>
  <c r="G90" i="34"/>
  <c r="H90" i="34"/>
  <c r="G161" i="34"/>
  <c r="D197" i="54" s="1"/>
  <c r="H161" i="34"/>
  <c r="E197" i="54" s="1"/>
  <c r="G83" i="34"/>
  <c r="H83" i="34"/>
  <c r="G109" i="34"/>
  <c r="H109" i="34"/>
  <c r="G136" i="34"/>
  <c r="H136" i="34"/>
  <c r="G28" i="34"/>
  <c r="H28" i="34"/>
  <c r="G68" i="34"/>
  <c r="H68" i="34"/>
  <c r="G106" i="34"/>
  <c r="H106" i="34"/>
  <c r="G102" i="34"/>
  <c r="H102" i="34"/>
  <c r="G129" i="34"/>
  <c r="H129" i="34"/>
  <c r="G148" i="34"/>
  <c r="H148" i="34"/>
  <c r="G95" i="34"/>
  <c r="H95" i="34"/>
  <c r="G133" i="34"/>
  <c r="H133" i="34"/>
  <c r="G116" i="34"/>
  <c r="H116" i="34"/>
  <c r="G44" i="34"/>
  <c r="H44" i="34"/>
  <c r="G144" i="34"/>
  <c r="H144" i="34"/>
  <c r="H105" i="34"/>
  <c r="G105" i="34"/>
  <c r="G84" i="34"/>
  <c r="H84" i="34"/>
  <c r="G126" i="34"/>
  <c r="H126" i="34"/>
  <c r="G139" i="34"/>
  <c r="H139" i="34"/>
  <c r="G88" i="34"/>
  <c r="H88" i="34"/>
  <c r="G150" i="34"/>
  <c r="D186" i="54" s="1"/>
  <c r="H150" i="34"/>
  <c r="E186" i="54" s="1"/>
  <c r="G96" i="34"/>
  <c r="H96" i="34"/>
  <c r="G38" i="34"/>
  <c r="H38" i="34"/>
  <c r="G115" i="34"/>
  <c r="H115" i="34"/>
  <c r="G22" i="34"/>
  <c r="H22" i="34"/>
  <c r="G32" i="34"/>
  <c r="H32" i="34"/>
  <c r="G159" i="34"/>
  <c r="D195" i="54" s="1"/>
  <c r="H159" i="34"/>
  <c r="E195" i="54" s="1"/>
  <c r="G57" i="34"/>
  <c r="H57" i="34"/>
  <c r="G130" i="34"/>
  <c r="H130" i="34"/>
  <c r="G119" i="34"/>
  <c r="H119" i="34"/>
  <c r="G141" i="34"/>
  <c r="H141" i="34"/>
  <c r="H41" i="34"/>
  <c r="G41" i="34"/>
  <c r="G82" i="34"/>
  <c r="H82" i="34"/>
  <c r="G61" i="34"/>
  <c r="H61" i="34"/>
  <c r="G111" i="34"/>
  <c r="H111" i="34"/>
  <c r="G37" i="34"/>
  <c r="H37" i="34"/>
  <c r="G56" i="34"/>
  <c r="H56" i="34"/>
  <c r="G128" i="34"/>
  <c r="H128" i="34"/>
  <c r="G26" i="34"/>
  <c r="H26" i="34"/>
  <c r="G152" i="34"/>
  <c r="D188" i="54" s="1"/>
  <c r="H152" i="34"/>
  <c r="E188" i="54" s="1"/>
  <c r="E11" i="54"/>
  <c r="K11" i="34"/>
  <c r="D11" i="54"/>
  <c r="J11" i="34"/>
  <c r="G51" i="34"/>
  <c r="H51" i="34"/>
  <c r="G91" i="34"/>
  <c r="H91" i="34"/>
  <c r="G36" i="34"/>
  <c r="H36" i="34"/>
  <c r="G34" i="34"/>
  <c r="H34" i="34"/>
  <c r="G85" i="34"/>
  <c r="H85" i="34"/>
  <c r="G64" i="34"/>
  <c r="H64" i="34"/>
  <c r="G20" i="34"/>
  <c r="H20" i="34"/>
  <c r="G63" i="34"/>
  <c r="H63" i="34"/>
  <c r="G156" i="34"/>
  <c r="H156" i="34"/>
  <c r="G140" i="34"/>
  <c r="H140" i="34"/>
  <c r="G55" i="34"/>
  <c r="H55" i="34"/>
  <c r="G112" i="34"/>
  <c r="H112" i="34"/>
  <c r="G93" i="34"/>
  <c r="H93" i="34"/>
  <c r="G67" i="34"/>
  <c r="H67" i="34"/>
  <c r="G134" i="34"/>
  <c r="H134" i="34"/>
  <c r="G70" i="34"/>
  <c r="H70" i="34"/>
  <c r="G135" i="34"/>
  <c r="H135" i="34"/>
  <c r="G137" i="34"/>
  <c r="H137" i="34"/>
  <c r="G24" i="34"/>
  <c r="H24" i="34"/>
  <c r="G154" i="34"/>
  <c r="D190" i="54" s="1"/>
  <c r="H154" i="34"/>
  <c r="E190" i="54" s="1"/>
  <c r="G120" i="34"/>
  <c r="H120" i="34"/>
  <c r="G23" i="34"/>
  <c r="H23" i="34"/>
  <c r="G157" i="34"/>
  <c r="D193" i="54" s="1"/>
  <c r="H157" i="34"/>
  <c r="E193" i="54" s="1"/>
  <c r="G155" i="34"/>
  <c r="D191" i="54" s="1"/>
  <c r="H155" i="34"/>
  <c r="E191" i="54" s="1"/>
  <c r="G98" i="34"/>
  <c r="H98" i="34"/>
  <c r="G117" i="34"/>
  <c r="H117" i="34"/>
  <c r="G21" i="34"/>
  <c r="H21" i="34"/>
  <c r="G25" i="34"/>
  <c r="H25" i="34"/>
  <c r="G72" i="34"/>
  <c r="H72" i="34"/>
  <c r="G47" i="34"/>
  <c r="H47" i="34"/>
  <c r="L123" i="34"/>
  <c r="G27" i="34"/>
  <c r="H27" i="34"/>
  <c r="G73" i="34"/>
  <c r="H73" i="34"/>
  <c r="G14" i="34"/>
  <c r="H14" i="34"/>
  <c r="G153" i="34"/>
  <c r="D189" i="54" s="1"/>
  <c r="H153" i="34"/>
  <c r="E189" i="54" s="1"/>
  <c r="G118" i="34"/>
  <c r="H118" i="34"/>
  <c r="G142" i="34"/>
  <c r="H142" i="34"/>
  <c r="G45" i="34"/>
  <c r="H45" i="34"/>
  <c r="G53" i="34"/>
  <c r="H53" i="34"/>
  <c r="G92" i="34"/>
  <c r="H92" i="34"/>
  <c r="H113" i="34"/>
  <c r="G113" i="34"/>
  <c r="G62" i="34"/>
  <c r="H62" i="34"/>
  <c r="G69" i="34"/>
  <c r="H69" i="34"/>
  <c r="G71" i="34"/>
  <c r="H71" i="34"/>
  <c r="G19" i="34"/>
  <c r="H19" i="34"/>
  <c r="G114" i="34"/>
  <c r="H114" i="34"/>
  <c r="G104" i="34"/>
  <c r="H104" i="34"/>
  <c r="G54" i="34"/>
  <c r="H54" i="34"/>
  <c r="H81" i="34"/>
  <c r="G81" i="34"/>
  <c r="G46" i="34"/>
  <c r="H46" i="34"/>
  <c r="G158" i="34"/>
  <c r="D194" i="54" s="1"/>
  <c r="H158" i="34"/>
  <c r="E194" i="54" s="1"/>
  <c r="G149" i="34"/>
  <c r="H149" i="34"/>
  <c r="G103" i="34"/>
  <c r="H103" i="34"/>
  <c r="G97" i="34"/>
  <c r="H97" i="34"/>
  <c r="G147" i="34"/>
  <c r="H147" i="34"/>
  <c r="G145" i="34"/>
  <c r="H145" i="34"/>
  <c r="G99" i="34"/>
  <c r="H99" i="34"/>
  <c r="G162" i="34"/>
  <c r="H162" i="34"/>
  <c r="G87" i="34"/>
  <c r="H87" i="34"/>
  <c r="G65" i="34"/>
  <c r="H65" i="34"/>
  <c r="G107" i="34"/>
  <c r="H107" i="34"/>
  <c r="G58" i="34"/>
  <c r="H58" i="34"/>
  <c r="G80" i="34"/>
  <c r="H80" i="34"/>
  <c r="F191" i="54" l="1"/>
  <c r="F186" i="54"/>
  <c r="F193" i="54"/>
  <c r="F196" i="54"/>
  <c r="F197" i="54"/>
  <c r="F190" i="54"/>
  <c r="J128" i="34"/>
  <c r="D164" i="54"/>
  <c r="J126" i="34"/>
  <c r="D162" i="54"/>
  <c r="J148" i="34"/>
  <c r="D184" i="54"/>
  <c r="J145" i="34"/>
  <c r="D181" i="54"/>
  <c r="J149" i="34"/>
  <c r="D185" i="54"/>
  <c r="K134" i="34"/>
  <c r="E170" i="54"/>
  <c r="K130" i="34"/>
  <c r="E166" i="54"/>
  <c r="K129" i="34"/>
  <c r="E165" i="54"/>
  <c r="K131" i="34"/>
  <c r="L131" i="34" s="1"/>
  <c r="E167" i="54"/>
  <c r="J129" i="34"/>
  <c r="D165" i="54"/>
  <c r="J131" i="34"/>
  <c r="D167" i="54"/>
  <c r="J147" i="34"/>
  <c r="D183" i="54"/>
  <c r="F194" i="54"/>
  <c r="F189" i="54"/>
  <c r="K137" i="34"/>
  <c r="E173" i="54"/>
  <c r="K140" i="34"/>
  <c r="E176" i="54"/>
  <c r="K133" i="34"/>
  <c r="E169" i="54"/>
  <c r="K136" i="34"/>
  <c r="E172" i="54"/>
  <c r="F172" i="54" s="1"/>
  <c r="K147" i="34"/>
  <c r="E183" i="54"/>
  <c r="J134" i="34"/>
  <c r="D170" i="54"/>
  <c r="J130" i="34"/>
  <c r="L130" i="34" s="1"/>
  <c r="D166" i="54"/>
  <c r="K162" i="34"/>
  <c r="E198" i="54"/>
  <c r="J137" i="34"/>
  <c r="L137" i="34" s="1"/>
  <c r="D173" i="54"/>
  <c r="J140" i="34"/>
  <c r="D176" i="54"/>
  <c r="F176" i="54" s="1"/>
  <c r="F188" i="54"/>
  <c r="J133" i="34"/>
  <c r="D169" i="54"/>
  <c r="J136" i="34"/>
  <c r="D172" i="54"/>
  <c r="K145" i="34"/>
  <c r="E181" i="54"/>
  <c r="J162" i="34"/>
  <c r="D198" i="54"/>
  <c r="K139" i="34"/>
  <c r="E175" i="54"/>
  <c r="K144" i="34"/>
  <c r="E180" i="54"/>
  <c r="K127" i="34"/>
  <c r="E163" i="54"/>
  <c r="J135" i="34"/>
  <c r="D171" i="54"/>
  <c r="J156" i="34"/>
  <c r="D192" i="54"/>
  <c r="J141" i="34"/>
  <c r="D177" i="54"/>
  <c r="F195" i="54"/>
  <c r="J139" i="34"/>
  <c r="D175" i="54"/>
  <c r="J144" i="34"/>
  <c r="D180" i="54"/>
  <c r="J127" i="34"/>
  <c r="D163" i="54"/>
  <c r="F163" i="54" s="1"/>
  <c r="F187" i="54"/>
  <c r="K149" i="34"/>
  <c r="E185" i="54"/>
  <c r="K135" i="34"/>
  <c r="E171" i="54"/>
  <c r="K156" i="34"/>
  <c r="E192" i="54"/>
  <c r="K141" i="34"/>
  <c r="E177" i="54"/>
  <c r="K142" i="34"/>
  <c r="E178" i="54"/>
  <c r="J142" i="34"/>
  <c r="D178" i="54"/>
  <c r="K128" i="34"/>
  <c r="E164" i="54"/>
  <c r="K126" i="34"/>
  <c r="E162" i="54"/>
  <c r="K148" i="34"/>
  <c r="L148" i="34" s="1"/>
  <c r="E184" i="54"/>
  <c r="F11" i="54"/>
  <c r="J154" i="34"/>
  <c r="J159" i="34"/>
  <c r="D43" i="54"/>
  <c r="J38" i="34"/>
  <c r="D128" i="54"/>
  <c r="J95" i="34"/>
  <c r="D139" i="54"/>
  <c r="J106" i="34"/>
  <c r="D142" i="54"/>
  <c r="J109" i="34"/>
  <c r="D48" i="54"/>
  <c r="J43" i="34"/>
  <c r="J151" i="34"/>
  <c r="D119" i="54"/>
  <c r="J86" i="34"/>
  <c r="D84" i="54"/>
  <c r="D55" i="54"/>
  <c r="J50" i="34"/>
  <c r="E92" i="54"/>
  <c r="E63" i="54"/>
  <c r="K58" i="34"/>
  <c r="E50" i="54"/>
  <c r="K45" i="34"/>
  <c r="D74" i="54"/>
  <c r="D104" i="54"/>
  <c r="J70" i="34"/>
  <c r="D147" i="54"/>
  <c r="J114" i="34"/>
  <c r="E41" i="54"/>
  <c r="K36" i="34"/>
  <c r="E95" i="54"/>
  <c r="E66" i="54"/>
  <c r="K61" i="34"/>
  <c r="E152" i="54"/>
  <c r="K119" i="34"/>
  <c r="E37" i="54"/>
  <c r="K32" i="34"/>
  <c r="E129" i="54"/>
  <c r="K96" i="34"/>
  <c r="E49" i="54"/>
  <c r="K44" i="34"/>
  <c r="E72" i="54"/>
  <c r="E102" i="54"/>
  <c r="K68" i="34"/>
  <c r="E116" i="54"/>
  <c r="K83" i="34"/>
  <c r="E40" i="54"/>
  <c r="K35" i="34"/>
  <c r="E15" i="54"/>
  <c r="E19" i="54"/>
  <c r="K15" i="34"/>
  <c r="E127" i="54"/>
  <c r="K94" i="34"/>
  <c r="E47" i="54"/>
  <c r="K42" i="34"/>
  <c r="E109" i="54"/>
  <c r="E79" i="54"/>
  <c r="K75" i="34"/>
  <c r="D92" i="54"/>
  <c r="F92" i="54" s="1"/>
  <c r="D63" i="54"/>
  <c r="F63" i="54" s="1"/>
  <c r="J58" i="34"/>
  <c r="L58" i="34" s="1"/>
  <c r="D51" i="54"/>
  <c r="J46" i="34"/>
  <c r="E25" i="54"/>
  <c r="K21" i="34"/>
  <c r="J157" i="34"/>
  <c r="D28" i="54"/>
  <c r="J24" i="34"/>
  <c r="L134" i="34"/>
  <c r="D89" i="54"/>
  <c r="D60" i="54"/>
  <c r="J55" i="34"/>
  <c r="D24" i="54"/>
  <c r="J20" i="34"/>
  <c r="D41" i="54"/>
  <c r="J36" i="34"/>
  <c r="D95" i="54"/>
  <c r="D66" i="54"/>
  <c r="J61" i="34"/>
  <c r="D152" i="54"/>
  <c r="J119" i="34"/>
  <c r="D37" i="54"/>
  <c r="J32" i="34"/>
  <c r="D129" i="54"/>
  <c r="J96" i="34"/>
  <c r="D49" i="54"/>
  <c r="J44" i="34"/>
  <c r="D102" i="54"/>
  <c r="D72" i="54"/>
  <c r="J68" i="34"/>
  <c r="D116" i="54"/>
  <c r="J83" i="34"/>
  <c r="D40" i="54"/>
  <c r="J35" i="34"/>
  <c r="D19" i="54"/>
  <c r="D15" i="54"/>
  <c r="J15" i="34"/>
  <c r="D127" i="54"/>
  <c r="J94" i="34"/>
  <c r="D47" i="54"/>
  <c r="J42" i="34"/>
  <c r="D109" i="54"/>
  <c r="D79" i="54"/>
  <c r="J75" i="34"/>
  <c r="E96" i="54"/>
  <c r="E67" i="54"/>
  <c r="K62" i="34"/>
  <c r="D97" i="54"/>
  <c r="J63" i="34"/>
  <c r="E32" i="54"/>
  <c r="K28" i="34"/>
  <c r="K161" i="34"/>
  <c r="E13" i="54"/>
  <c r="E17" i="54"/>
  <c r="K13" i="34"/>
  <c r="E86" i="54"/>
  <c r="E57" i="54"/>
  <c r="K52" i="34"/>
  <c r="E110" i="54"/>
  <c r="E80" i="54"/>
  <c r="K76" i="34"/>
  <c r="K160" i="34"/>
  <c r="D39" i="54"/>
  <c r="J34" i="34"/>
  <c r="E89" i="54"/>
  <c r="E60" i="54"/>
  <c r="K55" i="34"/>
  <c r="E136" i="54"/>
  <c r="K103" i="34"/>
  <c r="D25" i="54"/>
  <c r="J21" i="34"/>
  <c r="L21" i="34" s="1"/>
  <c r="D132" i="54"/>
  <c r="J99" i="34"/>
  <c r="D23" i="54"/>
  <c r="J19" i="34"/>
  <c r="D77" i="54"/>
  <c r="D107" i="54"/>
  <c r="J73" i="34"/>
  <c r="E68" i="54"/>
  <c r="E98" i="54"/>
  <c r="K64" i="34"/>
  <c r="E26" i="54"/>
  <c r="K22" i="34"/>
  <c r="E69" i="54"/>
  <c r="E99" i="54"/>
  <c r="K65" i="34"/>
  <c r="D90" i="54"/>
  <c r="D61" i="54"/>
  <c r="J56" i="34"/>
  <c r="D115" i="54"/>
  <c r="J82" i="34"/>
  <c r="D26" i="54"/>
  <c r="J22" i="34"/>
  <c r="J150" i="34"/>
  <c r="D117" i="54"/>
  <c r="J84" i="34"/>
  <c r="D149" i="54"/>
  <c r="J116" i="34"/>
  <c r="D32" i="54"/>
  <c r="J28" i="34"/>
  <c r="J161" i="34"/>
  <c r="D17" i="54"/>
  <c r="D13" i="54"/>
  <c r="F13" i="54" s="1"/>
  <c r="J13" i="34"/>
  <c r="D86" i="54"/>
  <c r="D57" i="54"/>
  <c r="J52" i="34"/>
  <c r="D110" i="54"/>
  <c r="D80" i="54"/>
  <c r="J76" i="34"/>
  <c r="J160" i="34"/>
  <c r="E147" i="54"/>
  <c r="K114" i="34"/>
  <c r="D29" i="54"/>
  <c r="J25" i="34"/>
  <c r="D30" i="54"/>
  <c r="J26" i="34"/>
  <c r="D96" i="54"/>
  <c r="D67" i="54"/>
  <c r="J62" i="34"/>
  <c r="E24" i="54"/>
  <c r="K20" i="34"/>
  <c r="E132" i="54"/>
  <c r="K99" i="34"/>
  <c r="D146" i="54"/>
  <c r="J113" i="34"/>
  <c r="D140" i="54"/>
  <c r="J107" i="34"/>
  <c r="E114" i="54"/>
  <c r="K81" i="34"/>
  <c r="E52" i="54"/>
  <c r="K47" i="34"/>
  <c r="E90" i="54"/>
  <c r="E61" i="54"/>
  <c r="K56" i="34"/>
  <c r="K150" i="34"/>
  <c r="E151" i="54"/>
  <c r="K118" i="34"/>
  <c r="D27" i="54"/>
  <c r="J23" i="34"/>
  <c r="D31" i="54"/>
  <c r="J27" i="34"/>
  <c r="E131" i="54"/>
  <c r="K98" i="34"/>
  <c r="E126" i="54"/>
  <c r="K93" i="34"/>
  <c r="E118" i="54"/>
  <c r="K85" i="34"/>
  <c r="E85" i="54"/>
  <c r="E56" i="54"/>
  <c r="K51" i="34"/>
  <c r="K152" i="34"/>
  <c r="E42" i="54"/>
  <c r="K37" i="34"/>
  <c r="D46" i="54"/>
  <c r="J41" i="34"/>
  <c r="E62" i="54"/>
  <c r="E91" i="54"/>
  <c r="K57" i="34"/>
  <c r="E148" i="54"/>
  <c r="K115" i="34"/>
  <c r="E121" i="54"/>
  <c r="K88" i="34"/>
  <c r="D138" i="54"/>
  <c r="J105" i="34"/>
  <c r="E135" i="54"/>
  <c r="K102" i="34"/>
  <c r="E123" i="54"/>
  <c r="K90" i="34"/>
  <c r="E78" i="54"/>
  <c r="E108" i="54"/>
  <c r="K74" i="34"/>
  <c r="E38" i="54"/>
  <c r="K33" i="34"/>
  <c r="E44" i="54"/>
  <c r="K39" i="34"/>
  <c r="E94" i="54"/>
  <c r="E65" i="54"/>
  <c r="K60" i="34"/>
  <c r="E20" i="54"/>
  <c r="K16" i="34"/>
  <c r="E130" i="54"/>
  <c r="K97" i="34"/>
  <c r="E14" i="54"/>
  <c r="E18" i="54"/>
  <c r="K14" i="34"/>
  <c r="D145" i="54"/>
  <c r="J112" i="34"/>
  <c r="D50" i="54"/>
  <c r="J45" i="34"/>
  <c r="K157" i="34"/>
  <c r="D114" i="54"/>
  <c r="J81" i="34"/>
  <c r="E77" i="54"/>
  <c r="E107" i="54"/>
  <c r="K73" i="34"/>
  <c r="L142" i="34"/>
  <c r="E150" i="54"/>
  <c r="K117" i="34"/>
  <c r="E71" i="54"/>
  <c r="E101" i="54"/>
  <c r="K67" i="34"/>
  <c r="E124" i="54"/>
  <c r="K91" i="34"/>
  <c r="E117" i="54"/>
  <c r="K84" i="34"/>
  <c r="E105" i="54"/>
  <c r="E75" i="54"/>
  <c r="K71" i="34"/>
  <c r="E31" i="54"/>
  <c r="K27" i="34"/>
  <c r="D150" i="54"/>
  <c r="J117" i="34"/>
  <c r="D71" i="54"/>
  <c r="D101" i="54"/>
  <c r="J67" i="34"/>
  <c r="D98" i="54"/>
  <c r="D68" i="54"/>
  <c r="J64" i="34"/>
  <c r="D69" i="54"/>
  <c r="D99" i="54"/>
  <c r="J65" i="34"/>
  <c r="D88" i="54"/>
  <c r="D59" i="54"/>
  <c r="J54" i="34"/>
  <c r="D125" i="54"/>
  <c r="J92" i="34"/>
  <c r="E106" i="54"/>
  <c r="E76" i="54"/>
  <c r="K72" i="34"/>
  <c r="E137" i="54"/>
  <c r="K104" i="34"/>
  <c r="E73" i="54"/>
  <c r="E103" i="54"/>
  <c r="K69" i="34"/>
  <c r="K153" i="34"/>
  <c r="D106" i="54"/>
  <c r="D76" i="54"/>
  <c r="J72" i="34"/>
  <c r="D131" i="54"/>
  <c r="J98" i="34"/>
  <c r="D153" i="54"/>
  <c r="J120" i="34"/>
  <c r="L135" i="34"/>
  <c r="D126" i="54"/>
  <c r="J93" i="34"/>
  <c r="D118" i="54"/>
  <c r="J85" i="34"/>
  <c r="D85" i="54"/>
  <c r="D56" i="54"/>
  <c r="J51" i="34"/>
  <c r="J152" i="34"/>
  <c r="D42" i="54"/>
  <c r="J37" i="34"/>
  <c r="E46" i="54"/>
  <c r="K41" i="34"/>
  <c r="D62" i="54"/>
  <c r="D91" i="54"/>
  <c r="J57" i="34"/>
  <c r="D148" i="54"/>
  <c r="J115" i="34"/>
  <c r="D121" i="54"/>
  <c r="J88" i="34"/>
  <c r="E138" i="54"/>
  <c r="K105" i="34"/>
  <c r="D135" i="54"/>
  <c r="J102" i="34"/>
  <c r="D123" i="54"/>
  <c r="J90" i="34"/>
  <c r="D78" i="54"/>
  <c r="D108" i="54"/>
  <c r="J74" i="34"/>
  <c r="D38" i="54"/>
  <c r="J33" i="34"/>
  <c r="D44" i="54"/>
  <c r="J39" i="34"/>
  <c r="D94" i="54"/>
  <c r="D65" i="54"/>
  <c r="J60" i="34"/>
  <c r="D20" i="54"/>
  <c r="J16" i="34"/>
  <c r="E51" i="54"/>
  <c r="K46" i="34"/>
  <c r="J155" i="34"/>
  <c r="D144" i="54"/>
  <c r="J111" i="34"/>
  <c r="D130" i="54"/>
  <c r="J97" i="34"/>
  <c r="D18" i="54"/>
  <c r="F18" i="54" s="1"/>
  <c r="D14" i="54"/>
  <c r="J14" i="34"/>
  <c r="E28" i="54"/>
  <c r="K24" i="34"/>
  <c r="E140" i="54"/>
  <c r="K107" i="34"/>
  <c r="E23" i="54"/>
  <c r="K19" i="34"/>
  <c r="D136" i="54"/>
  <c r="J103" i="34"/>
  <c r="E146" i="54"/>
  <c r="K113" i="34"/>
  <c r="E27" i="54"/>
  <c r="K23" i="34"/>
  <c r="E115" i="54"/>
  <c r="K82" i="34"/>
  <c r="E149" i="54"/>
  <c r="K116" i="34"/>
  <c r="E88" i="54"/>
  <c r="E59" i="54"/>
  <c r="K54" i="34"/>
  <c r="E125" i="54"/>
  <c r="K92" i="34"/>
  <c r="D52" i="54"/>
  <c r="J47" i="34"/>
  <c r="L140" i="34"/>
  <c r="D124" i="54"/>
  <c r="J91" i="34"/>
  <c r="L145" i="34"/>
  <c r="D105" i="54"/>
  <c r="D75" i="54"/>
  <c r="J71" i="34"/>
  <c r="D151" i="54"/>
  <c r="J118" i="34"/>
  <c r="E153" i="54"/>
  <c r="K120" i="34"/>
  <c r="E113" i="54"/>
  <c r="K80" i="34"/>
  <c r="E120" i="54"/>
  <c r="K87" i="34"/>
  <c r="K158" i="34"/>
  <c r="E58" i="54"/>
  <c r="E87" i="54"/>
  <c r="K53" i="34"/>
  <c r="D113" i="54"/>
  <c r="J80" i="34"/>
  <c r="D120" i="54"/>
  <c r="J87" i="34"/>
  <c r="J158" i="34"/>
  <c r="D137" i="54"/>
  <c r="J104" i="34"/>
  <c r="D73" i="54"/>
  <c r="D103" i="54"/>
  <c r="J69" i="34"/>
  <c r="D58" i="54"/>
  <c r="D87" i="54"/>
  <c r="J53" i="34"/>
  <c r="J153" i="34"/>
  <c r="E29" i="54"/>
  <c r="K25" i="34"/>
  <c r="K155" i="34"/>
  <c r="K154" i="34"/>
  <c r="E74" i="54"/>
  <c r="E104" i="54"/>
  <c r="K70" i="34"/>
  <c r="E145" i="54"/>
  <c r="K112" i="34"/>
  <c r="E97" i="54"/>
  <c r="K63" i="34"/>
  <c r="E39" i="54"/>
  <c r="K34" i="34"/>
  <c r="L11" i="34"/>
  <c r="E30" i="54"/>
  <c r="K26" i="34"/>
  <c r="E144" i="54"/>
  <c r="K111" i="34"/>
  <c r="K159" i="34"/>
  <c r="E43" i="54"/>
  <c r="K38" i="34"/>
  <c r="E128" i="54"/>
  <c r="K95" i="34"/>
  <c r="E139" i="54"/>
  <c r="K106" i="34"/>
  <c r="E142" i="54"/>
  <c r="K109" i="34"/>
  <c r="E48" i="54"/>
  <c r="K43" i="34"/>
  <c r="K151" i="34"/>
  <c r="E119" i="54"/>
  <c r="K86" i="34"/>
  <c r="E84" i="54"/>
  <c r="E55" i="54"/>
  <c r="K50" i="34"/>
  <c r="F136" i="54" l="1"/>
  <c r="F126" i="54"/>
  <c r="L103" i="34"/>
  <c r="L153" i="34"/>
  <c r="L76" i="34"/>
  <c r="L149" i="34"/>
  <c r="L156" i="34"/>
  <c r="L128" i="34"/>
  <c r="F178" i="54"/>
  <c r="F68" i="54"/>
  <c r="L141" i="34"/>
  <c r="L136" i="34"/>
  <c r="F164" i="54"/>
  <c r="F80" i="54"/>
  <c r="L102" i="34"/>
  <c r="L57" i="34"/>
  <c r="F110" i="54"/>
  <c r="F102" i="54"/>
  <c r="L119" i="34"/>
  <c r="L97" i="34"/>
  <c r="L126" i="34"/>
  <c r="L147" i="34"/>
  <c r="L129" i="34"/>
  <c r="L144" i="34"/>
  <c r="F198" i="54"/>
  <c r="L133" i="34"/>
  <c r="L162" i="34"/>
  <c r="L139" i="34"/>
  <c r="L161" i="34"/>
  <c r="L85" i="34"/>
  <c r="L80" i="34"/>
  <c r="L91" i="34"/>
  <c r="L64" i="34"/>
  <c r="F66" i="54"/>
  <c r="F25" i="54"/>
  <c r="F171" i="54"/>
  <c r="F129" i="54"/>
  <c r="L52" i="34"/>
  <c r="F37" i="54"/>
  <c r="F124" i="54"/>
  <c r="L127" i="34"/>
  <c r="L61" i="34"/>
  <c r="F180" i="54"/>
  <c r="F181" i="54"/>
  <c r="L28" i="34"/>
  <c r="L96" i="34"/>
  <c r="F95" i="54"/>
  <c r="F183" i="54"/>
  <c r="L93" i="34"/>
  <c r="L32" i="34"/>
  <c r="F175" i="54"/>
  <c r="F184" i="54"/>
  <c r="L160" i="34"/>
  <c r="F86" i="54"/>
  <c r="F41" i="54"/>
  <c r="F105" i="54"/>
  <c r="F152" i="54"/>
  <c r="F177" i="54"/>
  <c r="F185" i="54"/>
  <c r="L88" i="34"/>
  <c r="L98" i="34"/>
  <c r="F192" i="54"/>
  <c r="F170" i="54"/>
  <c r="L65" i="34"/>
  <c r="L45" i="34"/>
  <c r="F73" i="54"/>
  <c r="L158" i="34"/>
  <c r="F85" i="54"/>
  <c r="L62" i="34"/>
  <c r="L42" i="34"/>
  <c r="F40" i="54"/>
  <c r="F49" i="54"/>
  <c r="F148" i="54"/>
  <c r="L152" i="34"/>
  <c r="F65" i="54"/>
  <c r="F78" i="54"/>
  <c r="F67" i="54"/>
  <c r="F47" i="54"/>
  <c r="L83" i="34"/>
  <c r="L14" i="34"/>
  <c r="F121" i="54"/>
  <c r="L37" i="34"/>
  <c r="F118" i="54"/>
  <c r="L36" i="34"/>
  <c r="F75" i="54"/>
  <c r="L16" i="34"/>
  <c r="L104" i="34"/>
  <c r="F38" i="54"/>
  <c r="F137" i="54"/>
  <c r="L60" i="34"/>
  <c r="F108" i="54"/>
  <c r="F62" i="54"/>
  <c r="F56" i="54"/>
  <c r="F69" i="54"/>
  <c r="F50" i="54"/>
  <c r="F90" i="54"/>
  <c r="F109" i="54"/>
  <c r="L35" i="34"/>
  <c r="L44" i="34"/>
  <c r="L111" i="34"/>
  <c r="F162" i="54"/>
  <c r="L112" i="34"/>
  <c r="L33" i="34"/>
  <c r="F88" i="54"/>
  <c r="F101" i="54"/>
  <c r="F17" i="54"/>
  <c r="F72" i="54"/>
  <c r="F135" i="54"/>
  <c r="F106" i="54"/>
  <c r="F71" i="54"/>
  <c r="L56" i="34"/>
  <c r="L75" i="34"/>
  <c r="F15" i="54"/>
  <c r="J170" i="34"/>
  <c r="J172" i="34" s="1"/>
  <c r="F113" i="54"/>
  <c r="F130" i="54"/>
  <c r="F20" i="54"/>
  <c r="L74" i="34"/>
  <c r="F91" i="54"/>
  <c r="L51" i="34"/>
  <c r="F99" i="54"/>
  <c r="F61" i="54"/>
  <c r="F79" i="54"/>
  <c r="F19" i="54"/>
  <c r="K170" i="34"/>
  <c r="K172" i="34" s="1"/>
  <c r="F76" i="54"/>
  <c r="F30" i="54"/>
  <c r="L25" i="34"/>
  <c r="F173" i="54"/>
  <c r="L118" i="34"/>
  <c r="F167" i="54"/>
  <c r="L87" i="34"/>
  <c r="F27" i="54"/>
  <c r="L84" i="34"/>
  <c r="F115" i="54"/>
  <c r="L19" i="34"/>
  <c r="L24" i="34"/>
  <c r="L151" i="34"/>
  <c r="L95" i="34"/>
  <c r="F117" i="54"/>
  <c r="F23" i="54"/>
  <c r="F28" i="54"/>
  <c r="L114" i="34"/>
  <c r="F128" i="54"/>
  <c r="L117" i="34"/>
  <c r="F29" i="54"/>
  <c r="L150" i="34"/>
  <c r="L99" i="34"/>
  <c r="L20" i="34"/>
  <c r="L157" i="34"/>
  <c r="L15" i="34"/>
  <c r="F147" i="54"/>
  <c r="L43" i="34"/>
  <c r="L38" i="34"/>
  <c r="F165" i="54"/>
  <c r="F150" i="54"/>
  <c r="F132" i="54"/>
  <c r="L34" i="34"/>
  <c r="F24" i="54"/>
  <c r="F169" i="54"/>
  <c r="L70" i="34"/>
  <c r="L50" i="34"/>
  <c r="F48" i="54"/>
  <c r="F43" i="54"/>
  <c r="F144" i="54"/>
  <c r="F153" i="54"/>
  <c r="L92" i="34"/>
  <c r="L105" i="34"/>
  <c r="L27" i="34"/>
  <c r="L107" i="34"/>
  <c r="F57" i="54"/>
  <c r="F32" i="54"/>
  <c r="L22" i="34"/>
  <c r="F39" i="54"/>
  <c r="L63" i="34"/>
  <c r="L55" i="34"/>
  <c r="F104" i="54"/>
  <c r="F55" i="54"/>
  <c r="L109" i="34"/>
  <c r="L159" i="34"/>
  <c r="F125" i="54"/>
  <c r="F138" i="54"/>
  <c r="L41" i="34"/>
  <c r="F31" i="54"/>
  <c r="F140" i="54"/>
  <c r="F26" i="54"/>
  <c r="L73" i="34"/>
  <c r="F97" i="54"/>
  <c r="F60" i="54"/>
  <c r="F74" i="54"/>
  <c r="F84" i="54"/>
  <c r="F142" i="54"/>
  <c r="L53" i="34"/>
  <c r="L120" i="34"/>
  <c r="L155" i="34"/>
  <c r="L90" i="34"/>
  <c r="F123" i="54"/>
  <c r="L54" i="34"/>
  <c r="F98" i="54"/>
  <c r="L81" i="34"/>
  <c r="F145" i="54"/>
  <c r="F46" i="54"/>
  <c r="L113" i="34"/>
  <c r="F96" i="54"/>
  <c r="L13" i="34"/>
  <c r="L116" i="34"/>
  <c r="F107" i="54"/>
  <c r="L94" i="34"/>
  <c r="F116" i="54"/>
  <c r="F89" i="54"/>
  <c r="L46" i="34"/>
  <c r="L86" i="34"/>
  <c r="L106" i="34"/>
  <c r="L154" i="34"/>
  <c r="F87" i="54"/>
  <c r="F58" i="54"/>
  <c r="F94" i="54"/>
  <c r="L69" i="34"/>
  <c r="F151" i="54"/>
  <c r="L47" i="34"/>
  <c r="L39" i="34"/>
  <c r="F131" i="54"/>
  <c r="F103" i="54"/>
  <c r="F120" i="54"/>
  <c r="L71" i="34"/>
  <c r="F52" i="54"/>
  <c r="F14" i="54"/>
  <c r="F44" i="54"/>
  <c r="L115" i="34"/>
  <c r="F42" i="54"/>
  <c r="L72" i="34"/>
  <c r="F59" i="54"/>
  <c r="L67" i="34"/>
  <c r="F114" i="54"/>
  <c r="L23" i="34"/>
  <c r="F146" i="54"/>
  <c r="L26" i="34"/>
  <c r="F149" i="54"/>
  <c r="L82" i="34"/>
  <c r="F77" i="54"/>
  <c r="F127" i="54"/>
  <c r="L68" i="34"/>
  <c r="F51" i="54"/>
  <c r="F119" i="54"/>
  <c r="F139" i="54"/>
  <c r="F166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tc={555FCE2D-0083-4753-B4F0-10AE71FB6119}</author>
  </authors>
  <commentList>
    <comment ref="E211" authorId="0" shapeId="0" xr:uid="{555FCE2D-0083-4753-B4F0-10AE71FB6119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Overwrote due to rounding 0.01 variance</t>
      </text>
    </comment>
  </commentList>
</comments>
</file>

<file path=xl/sharedStrings.xml><?xml version="1.0" encoding="utf-8"?>
<sst xmlns="http://schemas.openxmlformats.org/spreadsheetml/2006/main" count="1034" uniqueCount="307">
  <si>
    <t>Line No.</t>
  </si>
  <si>
    <t>Voltage Level</t>
  </si>
  <si>
    <t>Schedule</t>
  </si>
  <si>
    <t>Percent of Total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</si>
  <si>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</si>
  <si>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</si>
  <si>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</si>
  <si>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</si>
  <si>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</si>
  <si>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</si>
  <si>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</si>
  <si>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Total Primary Voltage</t>
  </si>
  <si>
    <t>Total High Voltage</t>
  </si>
  <si>
    <t>Lighting</t>
  </si>
  <si>
    <t>General Service</t>
  </si>
  <si>
    <t>High Voltage</t>
  </si>
  <si>
    <t>(f)</t>
  </si>
  <si>
    <t>(c)</t>
  </si>
  <si>
    <t>(b)</t>
  </si>
  <si>
    <t>(a)</t>
  </si>
  <si>
    <t>(e)</t>
  </si>
  <si>
    <t>(d)</t>
  </si>
  <si>
    <t>Property Tax Revenue Requirement</t>
  </si>
  <si>
    <t>Electric Schedule 140 Property Tax Rider</t>
  </si>
  <si>
    <t>Lamp Type</t>
  </si>
  <si>
    <t>Mercury Vapor</t>
  </si>
  <si>
    <t>Sodium Vapor</t>
  </si>
  <si>
    <t>(b)= 
(a) / ∑ (a)</t>
  </si>
  <si>
    <t>(g)</t>
  </si>
  <si>
    <t>Wattage (W)</t>
  </si>
  <si>
    <t>003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</si>
  <si>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</si>
  <si>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</si>
  <si>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</si>
  <si>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</si>
  <si>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</si>
  <si>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</si>
  <si>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</si>
  <si>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</si>
  <si>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</si>
  <si>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</si>
  <si>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</si>
  <si>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</si>
  <si>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 xml:space="preserve">52E </t>
  </si>
  <si>
    <t>Metal Halide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</si>
  <si>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</si>
  <si>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</si>
  <si>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</si>
  <si>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</si>
  <si>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</si>
  <si>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</si>
  <si>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</si>
  <si>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</si>
  <si>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</si>
  <si>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</si>
  <si>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</si>
  <si>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</si>
  <si>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</si>
  <si>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</si>
  <si>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</si>
  <si>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</si>
  <si>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</si>
  <si>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Pole</t>
  </si>
  <si>
    <t>= (e) + (f)</t>
  </si>
  <si>
    <t>(c)
= (b) * A</t>
  </si>
  <si>
    <t>(d) =
(b) * B</t>
  </si>
  <si>
    <t>(e) =
(c + d)</t>
  </si>
  <si>
    <t>Special Contract</t>
  </si>
  <si>
    <t>Current Customer Bill in Notice</t>
  </si>
  <si>
    <t>Proposed Customer Bill in Notice</t>
  </si>
  <si>
    <t>Basic Charge</t>
  </si>
  <si>
    <t>First 600 kWh</t>
  </si>
  <si>
    <t>Over 600 kWh</t>
  </si>
  <si>
    <t>Sch 140 Tariff Reference</t>
  </si>
  <si>
    <t>Sheet No. 140-B</t>
  </si>
  <si>
    <t>Sheet No. 140-C</t>
  </si>
  <si>
    <t>Sheet No. 140-D</t>
  </si>
  <si>
    <t>Sheet No. 140-E</t>
  </si>
  <si>
    <t>Sheet No. 140-F</t>
  </si>
  <si>
    <t>Sheet No. 140-G</t>
  </si>
  <si>
    <t>Sheet No. 140-H</t>
  </si>
  <si>
    <t>Sheet No. 140-I</t>
  </si>
  <si>
    <t>Sheet No. 140-L</t>
  </si>
  <si>
    <t>Sheet No. 140-M</t>
  </si>
  <si>
    <t>Sheet No. 140-N</t>
  </si>
  <si>
    <t>Sheet No. 140-O</t>
  </si>
  <si>
    <t>Sheet No. 140-P</t>
  </si>
  <si>
    <t>Sheet No. 140-Q</t>
  </si>
  <si>
    <t>Smart LED</t>
  </si>
  <si>
    <t>Projected Test-Year
Revenue Impacts
from Proposed Rate Change</t>
  </si>
  <si>
    <t>0 - 30</t>
  </si>
  <si>
    <t>Combined Revenue Requirement</t>
  </si>
  <si>
    <t>Revenue Requirement
Deferral Component
(140B)</t>
  </si>
  <si>
    <t>Revenue Requirement
Base Component
(140A)</t>
  </si>
  <si>
    <t>Proposed
Base (140A)
Rate</t>
  </si>
  <si>
    <t>Proposed
Deferral (140B)
Rate</t>
  </si>
  <si>
    <t>Proposed
Combined
Rate</t>
  </si>
  <si>
    <r>
      <t xml:space="preserve">Adjusted Electric
Plant-in-Service </t>
    </r>
    <r>
      <rPr>
        <b/>
        <vertAlign val="superscript"/>
        <sz val="8"/>
        <rFont val="Arial"/>
        <family val="2"/>
      </rPr>
      <t>[1]</t>
    </r>
  </si>
  <si>
    <t>Projected Annual Base (140A) Revenue</t>
  </si>
  <si>
    <t>Projected Annual Deferral (140A) Revenue</t>
  </si>
  <si>
    <t>Projected Combined Revenue</t>
  </si>
  <si>
    <t>A = Base (140A)</t>
  </si>
  <si>
    <t>B = Deferral (140B)</t>
  </si>
  <si>
    <t>per kWh charge</t>
  </si>
  <si>
    <t>Note [1] displayed energy determinates (kWh) and rates for Lighting (Sch. 50-59) are illustrative for relative rate impact purposes.  Lighting charges are detailed on the "Lighting Rates" Tab.
Note [2] displayed energy determinates (kWh) and rates for Retail Wheeling (Sch. 449-459) are illustrative for rate impact purposes.  Retail Wheeling rates are designed and billed on a demand (kVA) basis as detailed on the "Retail Wheeling Rate Design" Tab.</t>
  </si>
  <si>
    <t>Current
Sch. 140 Rate</t>
  </si>
  <si>
    <t>Proposed
Sch. 140 Rate</t>
  </si>
  <si>
    <t>Demand</t>
  </si>
  <si>
    <t>Energy</t>
  </si>
  <si>
    <t>a</t>
  </si>
  <si>
    <t>% Change</t>
  </si>
  <si>
    <t>Current Rates</t>
  </si>
  <si>
    <t>PUGET SOUND ENERGY</t>
  </si>
  <si>
    <t xml:space="preserve"> </t>
  </si>
  <si>
    <t>Customer Class</t>
  </si>
  <si>
    <t>b</t>
  </si>
  <si>
    <t>c</t>
  </si>
  <si>
    <t>d</t>
  </si>
  <si>
    <t>Typical Residential Bill Impact for Notice</t>
  </si>
  <si>
    <t>Proposed Bill</t>
  </si>
  <si>
    <t>Change ($)</t>
  </si>
  <si>
    <t>(%)</t>
  </si>
  <si>
    <t>Typical Residential Bill at 800 kWh</t>
  </si>
  <si>
    <t>Total Projected Revenue
 w/ Proposed Sch. 140 Rates</t>
  </si>
  <si>
    <t>Proposed Rider Rate Effective Start Date</t>
  </si>
  <si>
    <t>Budget Forecast</t>
  </si>
  <si>
    <t>Forecasted Rate Year Start Date</t>
  </si>
  <si>
    <t>Forecasted Rate Year End Date</t>
  </si>
  <si>
    <t>Note [2]: Sch. 449 - 459 is allocated based on Adjusted Electric Plant-in-Service consistent with other Sch. 120 classes. However, Sch. 449 - 459 rates are designed based on demand (kVA) vs. energy (kWh)</t>
  </si>
  <si>
    <t>Note [3]: Property Tax Revenue Requirement is allocated to Firm Resale Customers, as costs should be collected directly from firm resale customers and not spread to retail customers.</t>
  </si>
  <si>
    <t>Lighting Rate Design</t>
  </si>
  <si>
    <t>= (b) * (c)</t>
  </si>
  <si>
    <t>= (b) * (e)</t>
  </si>
  <si>
    <t>Projected Schedule Revenue Impacts of Rate Change by Forecasted Energy</t>
  </si>
  <si>
    <t>(h) = 
(c) / (f)</t>
  </si>
  <si>
    <t>(j) = 
(d) / (f)</t>
  </si>
  <si>
    <t>(l) = 
(g) + (h)</t>
  </si>
  <si>
    <t>(i) = 
(c) / (g)</t>
  </si>
  <si>
    <t>(k) = 
(d) / (g)</t>
  </si>
  <si>
    <t>(m) = 
(i) + (k)</t>
  </si>
  <si>
    <t>e</t>
  </si>
  <si>
    <t>Rate Schedule</t>
  </si>
  <si>
    <t>Proposed Combined Rate</t>
  </si>
  <si>
    <t>Pass-Thru Trackers</t>
  </si>
  <si>
    <t>Current Bill</t>
  </si>
  <si>
    <t>n/a</t>
  </si>
  <si>
    <t>f</t>
  </si>
  <si>
    <t>Irrigation</t>
  </si>
  <si>
    <t>Interruptible Schools</t>
  </si>
  <si>
    <t>Interruptible Service</t>
  </si>
  <si>
    <t>Choice / Retail Wheeling</t>
  </si>
  <si>
    <t>Special Contracts</t>
  </si>
  <si>
    <t>Combined Proposed Rates</t>
  </si>
  <si>
    <t>g</t>
  </si>
  <si>
    <t>h</t>
  </si>
  <si>
    <t>Sch 50</t>
  </si>
  <si>
    <t>Sch 51</t>
  </si>
  <si>
    <t>Sch 52</t>
  </si>
  <si>
    <t>Sch 53</t>
  </si>
  <si>
    <t>Sch 54</t>
  </si>
  <si>
    <t>Sch 55 &amp; Sch 56</t>
  </si>
  <si>
    <t>55 &amp; 56 - Pole (old)</t>
  </si>
  <si>
    <t>55 &amp; 56 - Pole (new)</t>
  </si>
  <si>
    <t>58 &amp; 59 - Pole (new)</t>
  </si>
  <si>
    <t>003 - Compact Fluorescent</t>
  </si>
  <si>
    <t>50E (A) - Mercury Vapor</t>
  </si>
  <si>
    <t>50E (B) - Mercury Vapor</t>
  </si>
  <si>
    <t>51E - LED</t>
  </si>
  <si>
    <t>51S - Smart LED</t>
  </si>
  <si>
    <t>52E  - Sodium Vapor</t>
  </si>
  <si>
    <t>52E  - Metal Halide</t>
  </si>
  <si>
    <t>54E - Sodium Vapor</t>
  </si>
  <si>
    <t>54E - LED</t>
  </si>
  <si>
    <t>55E &amp; 56E - Sodium Vapor</t>
  </si>
  <si>
    <t>55E &amp; 56E - Metal Halide</t>
  </si>
  <si>
    <t>55E &amp; 56E - LED</t>
  </si>
  <si>
    <t>58E &amp; 59E - LED</t>
  </si>
  <si>
    <t>53E - Sodium Vapor  (Company Owned)</t>
  </si>
  <si>
    <t>53E - Metal Halide (Company Owned)</t>
  </si>
  <si>
    <t>53E - LED (Company Owned)</t>
  </si>
  <si>
    <t>53S - Smart LED (Company Owned)</t>
  </si>
  <si>
    <t>53E - Sodium Vapor (Customer Owned)</t>
  </si>
  <si>
    <t>53E - Metal Halide (Customer Owned)</t>
  </si>
  <si>
    <t>53E - LED (Customer Owned)</t>
  </si>
  <si>
    <t>58E &amp; 59E - Directional - Sodium Vapor</t>
  </si>
  <si>
    <t>58E &amp; 59E - Horizontal - Sodium Vapor</t>
  </si>
  <si>
    <t>58E &amp; 59E - Directional - Metal Halide</t>
  </si>
  <si>
    <t>58E &amp; 59E - Horizontal - Metal Halide</t>
  </si>
  <si>
    <t>per W charge</t>
  </si>
  <si>
    <t>Variance</t>
  </si>
  <si>
    <t>Proposed Lighting Revenue</t>
  </si>
  <si>
    <t>Lighting Allocation of Revenue Requirement</t>
  </si>
  <si>
    <t>Scaling Factor(s)</t>
  </si>
  <si>
    <t>See Lighting Rates tab</t>
  </si>
  <si>
    <t>See kVA rate below</t>
  </si>
  <si>
    <t>Schedule &amp; Charge Type</t>
  </si>
  <si>
    <t>Rate Spread &amp; Design</t>
  </si>
  <si>
    <t>General Service: Demand &lt;= 50 kW</t>
  </si>
  <si>
    <t>Small General Service: Demand &gt; 50 kW but &lt;= 350 kW</t>
  </si>
  <si>
    <t>Total Retail Sales</t>
  </si>
  <si>
    <t>All Electric Schools</t>
  </si>
  <si>
    <r>
      <t xml:space="preserve">Firm Resale </t>
    </r>
    <r>
      <rPr>
        <vertAlign val="superscript"/>
        <sz val="8"/>
        <rFont val="Arial"/>
        <family val="2"/>
      </rPr>
      <t>[3]</t>
    </r>
  </si>
  <si>
    <t>Total Sales</t>
  </si>
  <si>
    <t>Large General Service: Demand &gt; 350 kW</t>
  </si>
  <si>
    <t>Irrigation &amp; Pumping Service: Demand &gt; 50 kW but &lt;= 350 kW</t>
  </si>
  <si>
    <t>Irrigation &amp; Pumping Service</t>
  </si>
  <si>
    <r>
      <t xml:space="preserve">Lighting </t>
    </r>
    <r>
      <rPr>
        <vertAlign val="superscript"/>
        <sz val="8"/>
        <rFont val="Arial"/>
        <family val="2"/>
      </rPr>
      <t>[1]</t>
    </r>
  </si>
  <si>
    <t>i = 
h - g</t>
  </si>
  <si>
    <t>j = 
i / g</t>
  </si>
  <si>
    <t>h = 
c | d * (f - e) + g</t>
  </si>
  <si>
    <t>F2024</t>
  </si>
  <si>
    <t>Check</t>
  </si>
  <si>
    <t>ADJUSTED Plant in Service</t>
  </si>
  <si>
    <t>Remove Transmission Related General Plant from Retail Wheeling</t>
  </si>
  <si>
    <t>Remove Transmission Related Plant from Retail Wheeling</t>
  </si>
  <si>
    <t>TOTAL PLANT-IN-SERVICE</t>
  </si>
  <si>
    <t>Sub-total</t>
  </si>
  <si>
    <t>General Plant</t>
  </si>
  <si>
    <t>Distribution Plant</t>
  </si>
  <si>
    <t>Asset retirement costs for transmission plant - Washington Transmission Plant</t>
  </si>
  <si>
    <t>Roads and trails - Washington Transmission Plant</t>
  </si>
  <si>
    <t>Underground conductors and devices - Washington Transmission Plant</t>
  </si>
  <si>
    <t>Underground conduit - Washington Transmission Plant</t>
  </si>
  <si>
    <t>Overhead conductors and devices - Washington Transmission Plant</t>
  </si>
  <si>
    <t>Poles and fixtures - Washington Transmission Plant</t>
  </si>
  <si>
    <t>Towers and fixtures - Washington Transmission Plant</t>
  </si>
  <si>
    <t>Station equipment - Washington Integrated Lease Facilities (LIF) Transmission Plant</t>
  </si>
  <si>
    <t>Station equipment - Washington Transmission Plant</t>
  </si>
  <si>
    <t>Structures and improvements - Washington Transmission Plant</t>
  </si>
  <si>
    <t>Land and land rights - Washington Transmission Plant</t>
  </si>
  <si>
    <t>Transmission Plant</t>
  </si>
  <si>
    <t>Production Plant</t>
  </si>
  <si>
    <t>Intangible Plant</t>
  </si>
  <si>
    <t>Plant-in-Service</t>
  </si>
  <si>
    <t>Firm Resale</t>
  </si>
  <si>
    <t>Lighting
Sch 50-59</t>
  </si>
  <si>
    <t>Choice /
Retail Wheeling
Sch 448/449</t>
  </si>
  <si>
    <t>High Volt
Sch 46/49</t>
  </si>
  <si>
    <t>Pri Svc 43</t>
  </si>
  <si>
    <t>Pri Svc 35</t>
  </si>
  <si>
    <t>Pri Svc 31</t>
  </si>
  <si>
    <t>Total</t>
  </si>
  <si>
    <t>Account Description</t>
  </si>
  <si>
    <t>FERC</t>
  </si>
  <si>
    <t>Puget Sound Energy</t>
  </si>
  <si>
    <t>ELECTRIC SCHEDULE 140 - ADJUSTED PLANT-IN-SERVICE SUMMARY BASED ON DOCKET UE-240004 AND UG-240005 (COMPLIANCE)</t>
  </si>
  <si>
    <t>Adjusted Test Year Twelve Months ended December 2023</t>
  </si>
  <si>
    <t>Res Svc</t>
  </si>
  <si>
    <t>Sec Svc 24</t>
  </si>
  <si>
    <t>Sec Svc 25 / 29 / 7A</t>
  </si>
  <si>
    <t>Sec Svc 26 /26P</t>
  </si>
  <si>
    <t>Transportation Electrification</t>
  </si>
  <si>
    <r>
      <t xml:space="preserve">Transportation Electrification </t>
    </r>
    <r>
      <rPr>
        <sz val="4"/>
        <rFont val="Arial"/>
        <family val="2"/>
      </rPr>
      <t>[4]</t>
    </r>
  </si>
  <si>
    <t>[Note 4] - Schedule 558 rate is a weighted average rate based on rates for Schedules 24/25/26</t>
  </si>
  <si>
    <t>Proposed Rates throught January 28, 2026</t>
  </si>
  <si>
    <t>Proposed Rates throught January 29, 2026</t>
  </si>
  <si>
    <t>Schedules 50-56, 58-59</t>
  </si>
  <si>
    <t xml:space="preserve">Unmetered </t>
  </si>
  <si>
    <t xml:space="preserve">Metered </t>
  </si>
  <si>
    <t>Wattage</t>
  </si>
  <si>
    <t>0-30</t>
  </si>
  <si>
    <t>30.1-60</t>
  </si>
  <si>
    <t>60.1-90</t>
  </si>
  <si>
    <t>90.1-150</t>
  </si>
  <si>
    <t>150.1-240</t>
  </si>
  <si>
    <t>240.1-340</t>
  </si>
  <si>
    <t>340.1-600</t>
  </si>
  <si>
    <t>600.1-1,000</t>
  </si>
  <si>
    <t>Compact Flourescent</t>
  </si>
  <si>
    <t>50E</t>
  </si>
  <si>
    <t>30 - 60</t>
  </si>
  <si>
    <t>51S</t>
  </si>
  <si>
    <t>Per kWh - All Lamps</t>
  </si>
  <si>
    <t>53E</t>
  </si>
  <si>
    <t>53S</t>
  </si>
  <si>
    <t>[Note 1] - Utilizes base rates approved in Docket No UE-240004 which established a pro-rata allocation beteween lamp watage sizes and lamp types in the 2024 GRC Lighting COS Model.</t>
  </si>
  <si>
    <r>
      <rPr>
        <b/>
        <sz val="8"/>
        <color rgb="FF0033CC"/>
        <rFont val="Arial"/>
        <family val="2"/>
      </rPr>
      <t>2024 GRC</t>
    </r>
    <r>
      <rPr>
        <b/>
        <sz val="8"/>
        <rFont val="Arial"/>
        <family val="2"/>
      </rPr>
      <t xml:space="preserve"> Lighting Base Rates </t>
    </r>
    <r>
      <rPr>
        <b/>
        <vertAlign val="superscript"/>
        <sz val="8"/>
        <rFont val="Arial"/>
        <family val="2"/>
      </rPr>
      <t>[1]</t>
    </r>
  </si>
  <si>
    <r>
      <rPr>
        <b/>
        <sz val="8"/>
        <color rgb="FF0033CC"/>
        <rFont val="Arial"/>
        <family val="2"/>
      </rPr>
      <t>2024 GRC</t>
    </r>
    <r>
      <rPr>
        <b/>
        <sz val="8"/>
        <rFont val="Arial"/>
        <family val="2"/>
      </rPr>
      <t xml:space="preserve"> Annual Lamp Inventory</t>
    </r>
  </si>
  <si>
    <t>Schs. 50-56, 58-59</t>
  </si>
  <si>
    <t>Wattage Range</t>
  </si>
  <si>
    <t>Unmetered 
(kWh per Lamp)</t>
  </si>
  <si>
    <t>Proposed Sch 140A Rate ($/kWh)</t>
  </si>
  <si>
    <t>Proposed Sch 140B Rate ($/kWh)</t>
  </si>
  <si>
    <t>Proposed Sch 140A Rate ($/lamp)</t>
  </si>
  <si>
    <t>Proposed Sch 140B Rate ($/lamp)</t>
  </si>
  <si>
    <t>Proposed Combined Rate ($/lamp)</t>
  </si>
  <si>
    <t>55 &amp; 56</t>
  </si>
  <si>
    <t>Old</t>
  </si>
  <si>
    <t>New</t>
  </si>
  <si>
    <t>58 &amp; 59</t>
  </si>
  <si>
    <t>Note [1]: Utilizes Adjusted Plant-in-Service data from the 2024 GRC (Docket UE-240004), with removal of transmission related Plant and General Plant from Retail Wheeling &amp; Special Contract.</t>
  </si>
  <si>
    <t>Proposed
Base (140A)
Rate ($/lamp)</t>
  </si>
  <si>
    <t>Proposed
Combined
Rate ($/lamp)</t>
  </si>
  <si>
    <t>Proposed
Deferral (140B)
Rate ($/lamp)</t>
  </si>
  <si>
    <t>Proposed
Base (140A) ($/kWh)</t>
  </si>
  <si>
    <t>Proposed
Deferral (140B)
Rate ($/kWh)</t>
  </si>
  <si>
    <t>Proposed
Combined
Rate  ($/kWh)</t>
  </si>
  <si>
    <t>Total Projected Revenue
 w/ Current Sch. 140 Rates</t>
  </si>
  <si>
    <t>Electric Sch 140 Rates</t>
  </si>
  <si>
    <t>7 (307) (317) (327)</t>
  </si>
  <si>
    <t>08 (24) (324)</t>
  </si>
  <si>
    <t>7A</t>
  </si>
  <si>
    <t>11 / 25</t>
  </si>
  <si>
    <t>12 (26) (26P)</t>
  </si>
  <si>
    <t>10 (31)</t>
  </si>
  <si>
    <t>448 - 459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</si>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</sst>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&quot;$&quot;#,##0.00000"/>
    <numFmt numFmtId="169" formatCode="&quot;$&quot;#,##0.000000"/>
    <numFmt numFmtId="170" formatCode="m/d/yy;@"/>
    <numFmt numFmtId="171" formatCode="_(&quot;$&quot;* #,##0.00000_);_(&quot;$&quot;* \(#,##0.00000\);_(&quot;$&quot;* &quot;-&quot;??_);_(@_)"/>
    <numFmt numFmtId="172" formatCode="#,##0\ &quot;kWh&quot;"/>
    <numFmt numFmtId="173" formatCode="_(* #,##0.000_);_(* \(#,##0.000\);_(* &quot;-&quot;??_);_(@_)"/>
    <numFmt numFmtId="174" formatCode="_(* #,##0.000000_);_(* \(#,##0.000000\);_(* &quot;-&quot;??_);_(@_)"/>
    <numFmt numFmtId="175" formatCode="_(* #,##0.00000000000000000_);_(* \(#,##0.00000000000000000\);_(* &quot;-&quot;??_);_(@_)"/>
    <numFmt numFmtId="176" formatCode="0.00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b/>
      <vertAlign val="superscript"/>
      <sz val="8"/>
      <name val="Arial"/>
      <family val="2"/>
    </font>
    <font>
      <b/>
      <sz val="8"/>
      <color rgb="FF0000FF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u val="singleAccounting"/>
      <sz val="8"/>
      <name val="Arial"/>
      <family val="2"/>
    </font>
    <font>
      <u val="singleAccounting"/>
      <sz val="8"/>
      <name val="Arial"/>
      <family val="2"/>
    </font>
    <font>
      <vertAlign val="superscript"/>
      <sz val="8"/>
      <name val="Arial"/>
      <family val="2"/>
    </font>
    <font>
      <sz val="8"/>
      <color rgb="FF0033CC"/>
      <name val="Arial"/>
      <family val="2"/>
    </font>
    <font>
      <sz val="8"/>
      <color theme="0" tint="-0.499984740745262"/>
      <name val="Arial"/>
      <family val="2"/>
    </font>
    <font>
      <u val="singleAccounting"/>
      <sz val="8"/>
      <color rgb="FF008080"/>
      <name val="Arial"/>
      <family val="2"/>
    </font>
    <font>
      <u val="singleAccounting"/>
      <sz val="8"/>
      <color theme="1"/>
      <name val="Arial"/>
      <family val="2"/>
    </font>
    <font>
      <u val="singleAccounting"/>
      <sz val="8"/>
      <color rgb="FF0033CC"/>
      <name val="Arial"/>
      <family val="2"/>
    </font>
    <font>
      <sz val="8"/>
      <color theme="0" tint="-0.3499862666707357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4" fillId="0" borderId="0" applyFont="0" applyFill="0" applyBorder="0" applyAlignment="0" applyProtection="0"/>
    <xf numFmtId="176" fontId="1" fillId="0" borderId="0">
      <alignment horizontal="left" wrapText="1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9">
    <xf numFmtId="0" fontId="0" fillId="0" borderId="0" xfId="0"/>
    <xf numFmtId="164" fontId="3" fillId="0" borderId="0" xfId="0" applyNumberFormat="1" applyFont="1" applyFill="1"/>
    <xf numFmtId="0" fontId="5" fillId="0" borderId="0" xfId="0" applyFont="1" applyFill="1" applyBorder="1"/>
    <xf numFmtId="164" fontId="5" fillId="0" borderId="0" xfId="0" applyNumberFormat="1" applyFont="1" applyFill="1"/>
    <xf numFmtId="0" fontId="3" fillId="0" borderId="0" xfId="0" applyFont="1" applyFill="1" applyBorder="1"/>
    <xf numFmtId="0" fontId="5" fillId="0" borderId="0" xfId="0" applyFont="1"/>
    <xf numFmtId="166" fontId="3" fillId="0" borderId="0" xfId="0" quotePrefix="1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6" fontId="3" fillId="0" borderId="2" xfId="0" applyNumberFormat="1" applyFont="1" applyFill="1" applyBorder="1"/>
    <xf numFmtId="165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quotePrefix="1" applyFont="1" applyFill="1" applyAlignment="1">
      <alignment horizontal="left" indent="1"/>
    </xf>
    <xf numFmtId="0" fontId="3" fillId="0" borderId="0" xfId="0" quotePrefix="1" applyFont="1" applyFill="1" applyAlignment="1">
      <alignment horizontal="left"/>
    </xf>
    <xf numFmtId="165" fontId="3" fillId="0" borderId="0" xfId="0" applyNumberFormat="1" applyFont="1" applyFill="1"/>
    <xf numFmtId="166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166" fontId="3" fillId="0" borderId="3" xfId="0" applyNumberFormat="1" applyFont="1" applyFill="1" applyBorder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65" fontId="3" fillId="0" borderId="4" xfId="0" applyNumberFormat="1" applyFont="1" applyFill="1" applyBorder="1"/>
    <xf numFmtId="10" fontId="3" fillId="0" borderId="4" xfId="0" applyNumberFormat="1" applyFont="1" applyFill="1" applyBorder="1" applyAlignment="1">
      <alignment horizontal="right"/>
    </xf>
    <xf numFmtId="166" fontId="3" fillId="0" borderId="4" xfId="0" applyNumberFormat="1" applyFont="1" applyFill="1" applyBorder="1"/>
    <xf numFmtId="44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Fill="1" applyAlignment="1">
      <alignment horizontal="center" wrapText="1"/>
    </xf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5" fillId="0" borderId="0" xfId="0" applyNumberFormat="1" applyFont="1" applyFill="1" applyBorder="1"/>
    <xf numFmtId="165" fontId="5" fillId="0" borderId="0" xfId="0" applyNumberFormat="1" applyFont="1" applyFill="1"/>
    <xf numFmtId="164" fontId="3" fillId="0" borderId="0" xfId="0" applyNumberFormat="1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8" fontId="5" fillId="0" borderId="0" xfId="0" applyNumberFormat="1" applyFont="1" applyFill="1" applyBorder="1"/>
    <xf numFmtId="9" fontId="5" fillId="0" borderId="0" xfId="0" applyNumberFormat="1" applyFont="1" applyFill="1"/>
    <xf numFmtId="165" fontId="3" fillId="0" borderId="0" xfId="0" applyNumberFormat="1" applyFont="1" applyFill="1"/>
    <xf numFmtId="165" fontId="3" fillId="0" borderId="5" xfId="0" quotePrefix="1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Continuous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/>
    <xf numFmtId="0" fontId="2" fillId="0" borderId="1" xfId="0" quotePrefix="1" applyFont="1" applyFill="1" applyBorder="1" applyAlignment="1">
      <alignment horizontal="centerContinuous" wrapText="1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0" xfId="0" applyFont="1"/>
    <xf numFmtId="164" fontId="3" fillId="0" borderId="3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0" fontId="3" fillId="0" borderId="2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wrapText="1"/>
    </xf>
    <xf numFmtId="0" fontId="2" fillId="0" borderId="0" xfId="0" applyFont="1"/>
    <xf numFmtId="0" fontId="3" fillId="0" borderId="0" xfId="0" quotePrefix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44" fontId="15" fillId="0" borderId="1" xfId="0" quotePrefix="1" applyNumberFormat="1" applyFont="1" applyFill="1" applyBorder="1" applyAlignment="1">
      <alignment horizontal="centerContinuous" vertical="center"/>
    </xf>
    <xf numFmtId="44" fontId="15" fillId="0" borderId="0" xfId="0" quotePrefix="1" applyNumberFormat="1" applyFont="1" applyFill="1" applyAlignment="1">
      <alignment horizontal="centerContinuous" vertical="center"/>
    </xf>
    <xf numFmtId="44" fontId="16" fillId="0" borderId="0" xfId="0" quotePrefix="1" applyNumberFormat="1" applyFont="1" applyBorder="1" applyAlignment="1">
      <alignment horizontal="centerContinuous" vertical="center"/>
    </xf>
    <xf numFmtId="44" fontId="16" fillId="0" borderId="0" xfId="0" quotePrefix="1" applyNumberFormat="1" applyFont="1" applyBorder="1" applyAlignment="1">
      <alignment horizontal="centerContinuous"/>
    </xf>
    <xf numFmtId="44" fontId="16" fillId="0" borderId="0" xfId="0" applyNumberFormat="1" applyFont="1" applyFill="1" applyBorder="1" applyAlignment="1">
      <alignment horizontal="centerContinuous"/>
    </xf>
    <xf numFmtId="44" fontId="16" fillId="0" borderId="0" xfId="0" applyNumberFormat="1" applyFont="1" applyFill="1" applyBorder="1" applyAlignment="1">
      <alignment horizontal="center" wrapText="1"/>
    </xf>
    <xf numFmtId="44" fontId="16" fillId="0" borderId="0" xfId="0" applyNumberFormat="1" applyFont="1" applyFill="1" applyBorder="1" applyAlignment="1">
      <alignment horizontal="center"/>
    </xf>
    <xf numFmtId="44" fontId="9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/>
    <xf numFmtId="10" fontId="3" fillId="0" borderId="0" xfId="0" applyNumberFormat="1" applyFont="1" applyFill="1" applyBorder="1"/>
    <xf numFmtId="164" fontId="2" fillId="0" borderId="1" xfId="0" quotePrefix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Continuous" vertical="center"/>
    </xf>
    <xf numFmtId="164" fontId="3" fillId="0" borderId="1" xfId="0" applyNumberFormat="1" applyFont="1" applyFill="1" applyBorder="1" applyAlignment="1">
      <alignment horizontal="centerContinuous" vertical="center"/>
    </xf>
    <xf numFmtId="44" fontId="3" fillId="0" borderId="0" xfId="0" applyNumberFormat="1" applyFont="1" applyFill="1" applyBorder="1"/>
    <xf numFmtId="43" fontId="3" fillId="0" borderId="0" xfId="0" quotePrefix="1" applyNumberFormat="1" applyFont="1" applyFill="1" applyBorder="1" applyAlignment="1"/>
    <xf numFmtId="0" fontId="2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2" xfId="0" applyFont="1" applyFill="1" applyBorder="1" applyAlignment="1">
      <alignment horizontal="center" wrapText="1"/>
    </xf>
    <xf numFmtId="44" fontId="16" fillId="0" borderId="0" xfId="0" quotePrefix="1" applyNumberFormat="1" applyFont="1" applyAlignment="1">
      <alignment horizontal="left"/>
    </xf>
    <xf numFmtId="0" fontId="14" fillId="0" borderId="0" xfId="0" applyFont="1"/>
    <xf numFmtId="44" fontId="16" fillId="0" borderId="0" xfId="0" applyNumberFormat="1" applyFont="1"/>
    <xf numFmtId="0" fontId="12" fillId="0" borderId="0" xfId="0" applyFont="1" applyAlignment="1">
      <alignment horizontal="center"/>
    </xf>
    <xf numFmtId="170" fontId="1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quotePrefix="1" applyFont="1" applyFill="1" applyBorder="1" applyAlignment="1">
      <alignment horizontal="centerContinuous" vertical="center" wrapText="1"/>
    </xf>
    <xf numFmtId="0" fontId="3" fillId="0" borderId="3" xfId="0" applyFont="1" applyFill="1" applyBorder="1" applyAlignment="1">
      <alignment horizontal="centerContinuous" vertical="center"/>
    </xf>
    <xf numFmtId="0" fontId="3" fillId="0" borderId="3" xfId="0" quotePrefix="1" applyFont="1" applyFill="1" applyBorder="1" applyAlignment="1">
      <alignment horizontal="centerContinuous" vertical="center" wrapText="1"/>
    </xf>
    <xf numFmtId="165" fontId="3" fillId="0" borderId="2" xfId="0" quotePrefix="1" applyNumberFormat="1" applyFont="1" applyFill="1" applyBorder="1" applyAlignment="1">
      <alignment horizontal="left"/>
    </xf>
    <xf numFmtId="10" fontId="3" fillId="0" borderId="2" xfId="0" quotePrefix="1" applyNumberFormat="1" applyFont="1" applyFill="1" applyBorder="1" applyAlignment="1">
      <alignment horizontal="center"/>
    </xf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Fill="1" applyBorder="1" applyAlignment="1">
      <alignment horizontal="left"/>
    </xf>
    <xf numFmtId="166" fontId="3" fillId="0" borderId="0" xfId="0" quotePrefix="1" applyNumberFormat="1" applyFont="1" applyFill="1" applyBorder="1" applyAlignment="1">
      <alignment horizontal="left"/>
    </xf>
    <xf numFmtId="10" fontId="3" fillId="0" borderId="0" xfId="0" quotePrefix="1" applyNumberFormat="1" applyFont="1" applyFill="1" applyBorder="1" applyAlignment="1">
      <alignment horizontal="center"/>
    </xf>
    <xf numFmtId="172" fontId="3" fillId="0" borderId="0" xfId="0" quotePrefix="1" applyNumberFormat="1" applyFont="1" applyFill="1" applyBorder="1" applyAlignment="1">
      <alignment horizontal="center"/>
    </xf>
    <xf numFmtId="172" fontId="3" fillId="0" borderId="2" xfId="0" quotePrefix="1" applyNumberFormat="1" applyFont="1" applyFill="1" applyBorder="1" applyAlignment="1">
      <alignment horizontal="center"/>
    </xf>
    <xf numFmtId="172" fontId="3" fillId="0" borderId="0" xfId="0" quotePrefix="1" applyNumberFormat="1" applyFont="1" applyFill="1" applyAlignment="1">
      <alignment horizontal="center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quotePrefix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quotePrefix="1" applyNumberFormat="1" applyFont="1" applyFill="1" applyBorder="1" applyAlignment="1">
      <alignment horizontal="left"/>
    </xf>
    <xf numFmtId="43" fontId="4" fillId="0" borderId="0" xfId="0" applyNumberFormat="1" applyFont="1" applyFill="1"/>
    <xf numFmtId="0" fontId="3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/>
    </xf>
    <xf numFmtId="165" fontId="5" fillId="0" borderId="0" xfId="0" applyNumberFormat="1" applyFont="1" applyFill="1" applyAlignment="1">
      <alignment horizontal="center" vertical="center" wrapText="1"/>
    </xf>
    <xf numFmtId="164" fontId="3" fillId="0" borderId="0" xfId="0" quotePrefix="1" applyNumberFormat="1" applyFont="1" applyFill="1" applyAlignment="1">
      <alignment horizontal="center"/>
    </xf>
    <xf numFmtId="164" fontId="3" fillId="0" borderId="2" xfId="0" quotePrefix="1" applyNumberFormat="1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3" fillId="0" borderId="3" xfId="0" quotePrefix="1" applyNumberFormat="1" applyFont="1" applyFill="1" applyBorder="1" applyAlignment="1">
      <alignment horizontal="center"/>
    </xf>
    <xf numFmtId="44" fontId="9" fillId="0" borderId="0" xfId="0" quotePrefix="1" applyNumberFormat="1" applyFont="1" applyFill="1" applyBorder="1" applyAlignment="1">
      <alignment horizontal="right" wrapText="1"/>
    </xf>
    <xf numFmtId="164" fontId="9" fillId="0" borderId="2" xfId="0" quotePrefix="1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164" fontId="9" fillId="0" borderId="2" xfId="0" applyNumberFormat="1" applyFont="1" applyFill="1" applyBorder="1"/>
    <xf numFmtId="166" fontId="9" fillId="0" borderId="2" xfId="0" quotePrefix="1" applyNumberFormat="1" applyFont="1" applyFill="1" applyBorder="1" applyAlignment="1">
      <alignment horizontal="left"/>
    </xf>
    <xf numFmtId="166" fontId="9" fillId="0" borderId="0" xfId="0" quotePrefix="1" applyNumberFormat="1" applyFont="1" applyFill="1" applyAlignment="1">
      <alignment horizontal="left"/>
    </xf>
    <xf numFmtId="166" fontId="9" fillId="0" borderId="0" xfId="0" applyNumberFormat="1" applyFont="1" applyFill="1" applyBorder="1"/>
    <xf numFmtId="0" fontId="3" fillId="0" borderId="0" xfId="0" quotePrefix="1" applyFont="1" applyBorder="1" applyAlignment="1">
      <alignment horizontal="left"/>
    </xf>
    <xf numFmtId="10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/>
    <xf numFmtId="0" fontId="3" fillId="0" borderId="0" xfId="0" applyFont="1" applyAlignment="1">
      <alignment horizontal="left" vertical="center"/>
    </xf>
    <xf numFmtId="44" fontId="9" fillId="0" borderId="0" xfId="0" applyNumberFormat="1" applyFont="1" applyBorder="1"/>
    <xf numFmtId="0" fontId="3" fillId="0" borderId="0" xfId="0" quotePrefix="1" applyFont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/>
    <xf numFmtId="166" fontId="9" fillId="0" borderId="3" xfId="0" applyNumberFormat="1" applyFont="1" applyBorder="1"/>
    <xf numFmtId="166" fontId="9" fillId="0" borderId="0" xfId="0" applyNumberFormat="1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166" fontId="9" fillId="0" borderId="2" xfId="0" applyNumberFormat="1" applyFont="1" applyBorder="1"/>
    <xf numFmtId="0" fontId="9" fillId="0" borderId="0" xfId="0" quotePrefix="1" applyFont="1" applyAlignment="1">
      <alignment horizontal="left"/>
    </xf>
    <xf numFmtId="0" fontId="2" fillId="0" borderId="0" xfId="0" applyFont="1" applyAlignment="1">
      <alignment horizontal="centerContinuous" vertical="center"/>
    </xf>
    <xf numFmtId="166" fontId="9" fillId="0" borderId="0" xfId="0" applyNumberFormat="1" applyFont="1" applyBorder="1"/>
    <xf numFmtId="44" fontId="5" fillId="0" borderId="0" xfId="0" applyNumberFormat="1" applyFont="1" applyFill="1"/>
    <xf numFmtId="164" fontId="2" fillId="0" borderId="1" xfId="0" quotePrefix="1" applyNumberFormat="1" applyFont="1" applyFill="1" applyBorder="1" applyAlignment="1">
      <alignment horizontal="centerContinuous" wrapText="1"/>
    </xf>
    <xf numFmtId="164" fontId="3" fillId="0" borderId="0" xfId="0" applyNumberFormat="1" applyFont="1" applyFill="1" applyBorder="1" applyAlignment="1">
      <alignment horizontal="centerContinuous"/>
    </xf>
    <xf numFmtId="165" fontId="3" fillId="0" borderId="2" xfId="0" applyNumberFormat="1" applyFont="1" applyFill="1" applyBorder="1" applyAlignment="1">
      <alignment horizontal="centerContinuous"/>
    </xf>
    <xf numFmtId="165" fontId="3" fillId="0" borderId="3" xfId="0" applyNumberFormat="1" applyFont="1" applyFill="1" applyBorder="1" applyAlignment="1">
      <alignment horizontal="centerContinuous"/>
    </xf>
    <xf numFmtId="44" fontId="16" fillId="0" borderId="0" xfId="0" quotePrefix="1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Continuous" vertical="top" wrapText="1"/>
    </xf>
    <xf numFmtId="166" fontId="3" fillId="0" borderId="0" xfId="0" quotePrefix="1" applyNumberFormat="1" applyFont="1" applyFill="1" applyBorder="1" applyAlignment="1">
      <alignment horizontal="centerContinuous"/>
    </xf>
    <xf numFmtId="166" fontId="3" fillId="0" borderId="0" xfId="0" applyNumberFormat="1" applyFont="1" applyFill="1" applyBorder="1" applyAlignment="1">
      <alignment horizontal="centerContinuous"/>
    </xf>
    <xf numFmtId="166" fontId="3" fillId="0" borderId="2" xfId="0" applyNumberFormat="1" applyFont="1" applyFill="1" applyBorder="1" applyAlignment="1">
      <alignment horizontal="centerContinuous"/>
    </xf>
    <xf numFmtId="166" fontId="3" fillId="0" borderId="0" xfId="0" applyNumberFormat="1" applyFont="1" applyFill="1" applyAlignment="1">
      <alignment horizontal="centerContinuous"/>
    </xf>
    <xf numFmtId="166" fontId="3" fillId="0" borderId="3" xfId="0" applyNumberFormat="1" applyFont="1" applyFill="1" applyBorder="1" applyAlignment="1">
      <alignment horizontal="centerContinuous"/>
    </xf>
    <xf numFmtId="164" fontId="4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6" fontId="3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Font="1"/>
    <xf numFmtId="0" fontId="1" fillId="0" borderId="0" xfId="0" applyFont="1"/>
    <xf numFmtId="166" fontId="3" fillId="0" borderId="0" xfId="0" quotePrefix="1" applyNumberFormat="1" applyFont="1" applyFill="1" applyAlignment="1">
      <alignment horizontal="center"/>
    </xf>
    <xf numFmtId="0" fontId="3" fillId="0" borderId="0" xfId="0" applyFont="1" applyFill="1" applyAlignment="1">
      <alignment horizontal="centerContinuous" vertical="center"/>
    </xf>
    <xf numFmtId="0" fontId="10" fillId="0" borderId="0" xfId="0" quotePrefix="1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44" fontId="19" fillId="0" borderId="2" xfId="0" applyNumberFormat="1" applyFont="1" applyBorder="1"/>
    <xf numFmtId="10" fontId="19" fillId="0" borderId="2" xfId="0" applyNumberFormat="1" applyFont="1" applyBorder="1" applyAlignment="1">
      <alignment horizontal="right"/>
    </xf>
    <xf numFmtId="44" fontId="19" fillId="0" borderId="0" xfId="0" applyNumberFormat="1" applyFont="1" applyBorder="1"/>
    <xf numFmtId="10" fontId="19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left" vertical="center" indent="1"/>
    </xf>
    <xf numFmtId="0" fontId="19" fillId="0" borderId="0" xfId="0" quotePrefix="1" applyFont="1" applyAlignment="1">
      <alignment horizontal="left"/>
    </xf>
    <xf numFmtId="0" fontId="19" fillId="0" borderId="0" xfId="0" quotePrefix="1" applyFont="1" applyBorder="1" applyAlignment="1">
      <alignment horizontal="center"/>
    </xf>
    <xf numFmtId="0" fontId="19" fillId="0" borderId="0" xfId="0" applyFont="1" applyAlignment="1">
      <alignment horizontal="left"/>
    </xf>
    <xf numFmtId="166" fontId="19" fillId="0" borderId="0" xfId="0" applyNumberFormat="1" applyFont="1" applyBorder="1"/>
    <xf numFmtId="0" fontId="19" fillId="0" borderId="0" xfId="0" quotePrefix="1" applyFont="1" applyBorder="1" applyAlignment="1">
      <alignment horizontal="left"/>
    </xf>
    <xf numFmtId="166" fontId="19" fillId="0" borderId="3" xfId="0" applyNumberFormat="1" applyFont="1" applyBorder="1"/>
    <xf numFmtId="164" fontId="19" fillId="0" borderId="3" xfId="0" applyNumberFormat="1" applyFont="1" applyBorder="1"/>
    <xf numFmtId="0" fontId="18" fillId="0" borderId="0" xfId="0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/>
    <xf numFmtId="164" fontId="9" fillId="0" borderId="2" xfId="0" applyNumberFormat="1" applyFont="1" applyFill="1" applyBorder="1" applyAlignment="1">
      <alignment horizontal="center"/>
    </xf>
    <xf numFmtId="164" fontId="9" fillId="0" borderId="0" xfId="0" quotePrefix="1" applyNumberFormat="1" applyFont="1" applyFill="1" applyBorder="1" applyAlignment="1">
      <alignment horizontal="center"/>
    </xf>
    <xf numFmtId="164" fontId="9" fillId="0" borderId="0" xfId="0" quotePrefix="1" applyNumberFormat="1" applyFont="1" applyFill="1" applyAlignment="1">
      <alignment horizontal="center"/>
    </xf>
    <xf numFmtId="164" fontId="9" fillId="0" borderId="2" xfId="0" quotePrefix="1" applyNumberFormat="1" applyFont="1" applyFill="1" applyBorder="1" applyAlignment="1">
      <alignment horizontal="center"/>
    </xf>
    <xf numFmtId="44" fontId="2" fillId="0" borderId="1" xfId="0" quotePrefix="1" applyNumberFormat="1" applyFont="1" applyFill="1" applyBorder="1" applyAlignment="1">
      <alignment horizontal="centerContinuous" vertical="center"/>
    </xf>
    <xf numFmtId="166" fontId="3" fillId="0" borderId="0" xfId="0" applyNumberFormat="1" applyFont="1"/>
    <xf numFmtId="166" fontId="3" fillId="0" borderId="0" xfId="0" applyNumberFormat="1" applyFont="1"/>
    <xf numFmtId="174" fontId="4" fillId="0" borderId="0" xfId="0" applyNumberFormat="1" applyFont="1"/>
    <xf numFmtId="166" fontId="9" fillId="0" borderId="0" xfId="0" applyNumberFormat="1" applyFont="1"/>
    <xf numFmtId="166" fontId="9" fillId="0" borderId="0" xfId="0" applyNumberFormat="1" applyFont="1" applyFill="1"/>
    <xf numFmtId="175" fontId="4" fillId="0" borderId="0" xfId="0" applyNumberFormat="1" applyFont="1"/>
    <xf numFmtId="175" fontId="3" fillId="0" borderId="0" xfId="0" applyNumberFormat="1" applyFont="1"/>
    <xf numFmtId="174" fontId="3" fillId="0" borderId="0" xfId="0" applyNumberFormat="1" applyFont="1"/>
    <xf numFmtId="166" fontId="9" fillId="0" borderId="2" xfId="0" applyNumberFormat="1" applyFont="1" applyFill="1" applyBorder="1"/>
    <xf numFmtId="0" fontId="18" fillId="0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9" fillId="0" borderId="0" xfId="0" applyFont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3" fillId="0" borderId="0" xfId="0" applyFont="1" applyAlignment="1">
      <alignment horizontal="centerContinuous" vertical="center" wrapText="1"/>
    </xf>
    <xf numFmtId="0" fontId="9" fillId="0" borderId="1" xfId="0" quotePrefix="1" applyFont="1" applyBorder="1" applyAlignment="1">
      <alignment horizontal="center" wrapText="1"/>
    </xf>
    <xf numFmtId="166" fontId="18" fillId="0" borderId="0" xfId="0" applyNumberFormat="1" applyFont="1" applyBorder="1"/>
    <xf numFmtId="44" fontId="9" fillId="0" borderId="0" xfId="0" applyNumberFormat="1" applyFont="1" applyFill="1"/>
    <xf numFmtId="164" fontId="9" fillId="0" borderId="0" xfId="0" applyNumberFormat="1" applyFont="1" applyFill="1"/>
    <xf numFmtId="165" fontId="9" fillId="0" borderId="0" xfId="0" applyNumberFormat="1" applyFont="1" applyFill="1"/>
    <xf numFmtId="44" fontId="15" fillId="0" borderId="0" xfId="0" applyNumberFormat="1" applyFont="1" applyFill="1" applyBorder="1"/>
    <xf numFmtId="0" fontId="6" fillId="0" borderId="0" xfId="0" applyFont="1" applyFill="1" applyBorder="1" applyAlignment="1">
      <alignment horizontal="centerContinuous" vertical="center"/>
    </xf>
    <xf numFmtId="41" fontId="20" fillId="0" borderId="0" xfId="0" applyNumberFormat="1" applyFont="1" applyFill="1"/>
    <xf numFmtId="173" fontId="22" fillId="0" borderId="0" xfId="0" applyNumberFormat="1" applyFont="1" applyFill="1" applyBorder="1"/>
    <xf numFmtId="44" fontId="5" fillId="0" borderId="0" xfId="0" applyNumberFormat="1" applyFont="1" applyAlignment="1">
      <alignment horizontal="right"/>
    </xf>
    <xf numFmtId="44" fontId="21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166" fontId="3" fillId="0" borderId="2" xfId="0" applyNumberFormat="1" applyFont="1" applyBorder="1"/>
    <xf numFmtId="166" fontId="23" fillId="0" borderId="0" xfId="0" applyNumberFormat="1" applyFont="1" applyBorder="1"/>
    <xf numFmtId="10" fontId="23" fillId="0" borderId="0" xfId="0" applyNumberFormat="1" applyFont="1" applyBorder="1" applyAlignment="1">
      <alignment horizontal="right"/>
    </xf>
    <xf numFmtId="44" fontId="3" fillId="0" borderId="0" xfId="1" quotePrefix="1" applyFont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0" fontId="18" fillId="0" borderId="0" xfId="0" quotePrefix="1" applyFont="1" applyFill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/>
    </xf>
    <xf numFmtId="44" fontId="16" fillId="0" borderId="0" xfId="0" applyNumberFormat="1" applyFont="1" applyFill="1" applyBorder="1" applyAlignment="1">
      <alignment horizontal="centerContinuous" wrapText="1"/>
    </xf>
    <xf numFmtId="44" fontId="3" fillId="0" borderId="0" xfId="0" applyNumberFormat="1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Continuous" vertical="center" wrapText="1"/>
    </xf>
    <xf numFmtId="164" fontId="3" fillId="0" borderId="2" xfId="0" quotePrefix="1" applyNumberFormat="1" applyFont="1" applyFill="1" applyBorder="1" applyAlignment="1">
      <alignment horizontal="centerContinuous" vertical="center" wrapText="1"/>
    </xf>
    <xf numFmtId="165" fontId="3" fillId="0" borderId="3" xfId="1" applyNumberFormat="1" applyFont="1" applyFill="1" applyBorder="1"/>
    <xf numFmtId="0" fontId="3" fillId="0" borderId="3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Continuous" vertical="center"/>
    </xf>
    <xf numFmtId="44" fontId="3" fillId="0" borderId="0" xfId="1" applyFont="1" applyFill="1" applyAlignment="1">
      <alignment horizontal="left" indent="1"/>
    </xf>
    <xf numFmtId="44" fontId="16" fillId="0" borderId="0" xfId="1" applyFont="1" applyFill="1" applyAlignment="1">
      <alignment horizontal="left" indent="1"/>
    </xf>
    <xf numFmtId="44" fontId="3" fillId="0" borderId="0" xfId="1" applyFont="1" applyAlignment="1">
      <alignment horizontal="left" vertical="center" indent="1"/>
    </xf>
    <xf numFmtId="44" fontId="3" fillId="0" borderId="0" xfId="1" quotePrefix="1" applyFont="1" applyFill="1" applyAlignment="1">
      <alignment horizontal="left" indent="1"/>
    </xf>
    <xf numFmtId="44" fontId="3" fillId="0" borderId="0" xfId="1" quotePrefix="1" applyFont="1" applyFill="1" applyBorder="1" applyAlignment="1">
      <alignment horizontal="left" indent="1"/>
    </xf>
    <xf numFmtId="44" fontId="16" fillId="0" borderId="0" xfId="1" quotePrefix="1" applyFont="1" applyFill="1" applyBorder="1" applyAlignment="1">
      <alignment horizontal="left" indent="1"/>
    </xf>
    <xf numFmtId="44" fontId="3" fillId="0" borderId="0" xfId="1" quotePrefix="1" applyFont="1" applyFill="1" applyAlignment="1">
      <alignment horizontal="left"/>
    </xf>
    <xf numFmtId="171" fontId="9" fillId="0" borderId="0" xfId="0" applyNumberFormat="1" applyFont="1" applyFill="1"/>
    <xf numFmtId="171" fontId="5" fillId="0" borderId="0" xfId="0" applyNumberFormat="1" applyFont="1" applyFill="1"/>
    <xf numFmtId="0" fontId="3" fillId="0" borderId="0" xfId="2" applyNumberFormat="1" applyFont="1" applyFill="1" applyBorder="1" applyAlignment="1"/>
    <xf numFmtId="0" fontId="3" fillId="0" borderId="0" xfId="2" applyNumberFormat="1" applyFont="1" applyFill="1" applyBorder="1" applyAlignment="1">
      <alignment horizontal="center"/>
    </xf>
    <xf numFmtId="0" fontId="3" fillId="3" borderId="0" xfId="2" applyNumberFormat="1" applyFont="1" applyFill="1" applyAlignment="1">
      <alignment horizontal="center"/>
    </xf>
    <xf numFmtId="0" fontId="3" fillId="3" borderId="0" xfId="2" applyNumberFormat="1" applyFont="1" applyFill="1" applyAlignment="1"/>
    <xf numFmtId="43" fontId="4" fillId="3" borderId="6" xfId="2" applyNumberFormat="1" applyFont="1" applyFill="1" applyBorder="1" applyAlignment="1">
      <alignment horizontal="center"/>
    </xf>
    <xf numFmtId="0" fontId="3" fillId="3" borderId="7" xfId="2" applyNumberFormat="1" applyFont="1" applyFill="1" applyBorder="1" applyAlignment="1">
      <alignment horizontal="center"/>
    </xf>
    <xf numFmtId="0" fontId="4" fillId="3" borderId="8" xfId="2" applyNumberFormat="1" applyFont="1" applyFill="1" applyBorder="1" applyAlignment="1">
      <alignment horizontal="center"/>
    </xf>
    <xf numFmtId="165" fontId="2" fillId="3" borderId="2" xfId="3" applyNumberFormat="1" applyFont="1" applyFill="1" applyBorder="1" applyAlignment="1">
      <alignment horizontal="center"/>
    </xf>
    <xf numFmtId="0" fontId="2" fillId="3" borderId="2" xfId="2" applyNumberFormat="1" applyFont="1" applyFill="1" applyBorder="1" applyAlignment="1"/>
    <xf numFmtId="2" fontId="2" fillId="3" borderId="2" xfId="2" applyNumberFormat="1" applyFont="1" applyFill="1" applyBorder="1" applyAlignment="1">
      <alignment horizontal="center"/>
    </xf>
    <xf numFmtId="165" fontId="5" fillId="3" borderId="0" xfId="3" applyNumberFormat="1" applyFont="1" applyFill="1" applyAlignment="1">
      <alignment horizontal="center"/>
    </xf>
    <xf numFmtId="2" fontId="3" fillId="3" borderId="0" xfId="2" applyNumberFormat="1" applyFont="1" applyFill="1" applyAlignment="1">
      <alignment horizontal="center"/>
    </xf>
    <xf numFmtId="0" fontId="2" fillId="3" borderId="0" xfId="2" applyNumberFormat="1" applyFont="1" applyFill="1" applyAlignment="1"/>
    <xf numFmtId="165" fontId="5" fillId="3" borderId="7" xfId="3" applyNumberFormat="1" applyFont="1" applyFill="1" applyBorder="1" applyAlignment="1">
      <alignment horizontal="center"/>
    </xf>
    <xf numFmtId="165" fontId="4" fillId="3" borderId="8" xfId="3" applyNumberFormat="1" applyFont="1" applyFill="1" applyBorder="1" applyAlignment="1">
      <alignment horizontal="center"/>
    </xf>
    <xf numFmtId="165" fontId="2" fillId="3" borderId="4" xfId="3" applyNumberFormat="1" applyFont="1" applyFill="1" applyBorder="1" applyAlignment="1">
      <alignment horizontal="center"/>
    </xf>
    <xf numFmtId="165" fontId="3" fillId="3" borderId="0" xfId="1" applyNumberFormat="1" applyFont="1" applyFill="1" applyAlignment="1">
      <alignment horizontal="left"/>
    </xf>
    <xf numFmtId="2" fontId="3" fillId="3" borderId="0" xfId="2" applyNumberFormat="1" applyFont="1" applyFill="1" applyAlignment="1">
      <alignment horizontal="left"/>
    </xf>
    <xf numFmtId="1" fontId="3" fillId="3" borderId="0" xfId="2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/>
    </xf>
    <xf numFmtId="2" fontId="3" fillId="0" borderId="0" xfId="2" applyNumberFormat="1" applyFont="1" applyFill="1" applyAlignment="1">
      <alignment horizontal="left"/>
    </xf>
    <xf numFmtId="2" fontId="3" fillId="0" borderId="0" xfId="2" applyNumberFormat="1" applyFont="1" applyFill="1" applyAlignment="1">
      <alignment horizontal="center"/>
    </xf>
    <xf numFmtId="1" fontId="3" fillId="0" borderId="0" xfId="2" applyNumberFormat="1" applyFont="1" applyFill="1" applyAlignment="1">
      <alignment horizontal="center"/>
    </xf>
    <xf numFmtId="0" fontId="25" fillId="3" borderId="0" xfId="2" applyNumberFormat="1" applyFont="1" applyFill="1" applyAlignment="1"/>
    <xf numFmtId="0" fontId="2" fillId="3" borderId="0" xfId="2" applyNumberFormat="1" applyFont="1" applyFill="1" applyAlignment="1">
      <alignment horizontal="center"/>
    </xf>
    <xf numFmtId="0" fontId="2" fillId="3" borderId="0" xfId="2" applyNumberFormat="1" applyFont="1" applyFill="1" applyAlignment="1">
      <alignment horizontal="center" vertical="center" wrapText="1"/>
    </xf>
    <xf numFmtId="0" fontId="2" fillId="3" borderId="2" xfId="2" applyNumberFormat="1" applyFont="1" applyFill="1" applyBorder="1" applyAlignment="1">
      <alignment horizontal="center" wrapText="1"/>
    </xf>
    <xf numFmtId="0" fontId="2" fillId="3" borderId="2" xfId="2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9" fillId="2" borderId="2" xfId="0" applyNumberFormat="1" applyFont="1" applyFill="1" applyBorder="1"/>
    <xf numFmtId="166" fontId="9" fillId="2" borderId="2" xfId="0" applyNumberFormat="1" applyFont="1" applyFill="1" applyBorder="1"/>
    <xf numFmtId="165" fontId="3" fillId="2" borderId="2" xfId="0" applyNumberFormat="1" applyFont="1" applyFill="1" applyBorder="1"/>
    <xf numFmtId="10" fontId="3" fillId="2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166" fontId="23" fillId="2" borderId="0" xfId="0" applyNumberFormat="1" applyFont="1" applyFill="1" applyBorder="1"/>
    <xf numFmtId="10" fontId="23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166" fontId="9" fillId="2" borderId="0" xfId="0" applyNumberFormat="1" applyFont="1" applyFill="1"/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/>
    </xf>
    <xf numFmtId="44" fontId="19" fillId="2" borderId="0" xfId="0" applyNumberFormat="1" applyFont="1" applyFill="1" applyBorder="1"/>
    <xf numFmtId="10" fontId="19" fillId="2" borderId="0" xfId="0" applyNumberFormat="1" applyFont="1" applyFill="1" applyBorder="1" applyAlignment="1">
      <alignment horizontal="right"/>
    </xf>
    <xf numFmtId="0" fontId="18" fillId="2" borderId="0" xfId="0" quotePrefix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Continuous" wrapText="1"/>
    </xf>
    <xf numFmtId="0" fontId="6" fillId="0" borderId="1" xfId="0" quotePrefix="1" applyFont="1" applyFill="1" applyBorder="1" applyAlignment="1">
      <alignment horizontal="center" wrapText="1"/>
    </xf>
    <xf numFmtId="0" fontId="5" fillId="0" borderId="0" xfId="0" applyFont="1" applyFill="1" applyAlignment="1">
      <alignment horizontal="centerContinuous" vertical="center" wrapText="1"/>
    </xf>
    <xf numFmtId="169" fontId="9" fillId="5" borderId="0" xfId="0" applyNumberFormat="1" applyFont="1" applyFill="1" applyBorder="1"/>
    <xf numFmtId="0" fontId="3" fillId="5" borderId="0" xfId="0" applyFont="1" applyFill="1" applyBorder="1"/>
    <xf numFmtId="0" fontId="2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5" fillId="0" borderId="0" xfId="0" applyFont="1" applyBorder="1"/>
    <xf numFmtId="0" fontId="6" fillId="0" borderId="0" xfId="0" quotePrefix="1" applyFont="1" applyFill="1" applyBorder="1" applyAlignment="1">
      <alignment horizontal="center" vertical="center" wrapText="1"/>
    </xf>
    <xf numFmtId="43" fontId="9" fillId="0" borderId="0" xfId="4" applyFont="1" applyFill="1" applyBorder="1"/>
    <xf numFmtId="43" fontId="9" fillId="0" borderId="0" xfId="0" applyNumberFormat="1" applyFont="1" applyFill="1" applyBorder="1" applyAlignment="1">
      <alignment horizontal="right" vertical="center"/>
    </xf>
    <xf numFmtId="43" fontId="9" fillId="0" borderId="14" xfId="4" applyFont="1" applyFill="1" applyBorder="1"/>
    <xf numFmtId="43" fontId="9" fillId="0" borderId="14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5" fillId="0" borderId="15" xfId="0" applyFont="1" applyBorder="1"/>
    <xf numFmtId="0" fontId="5" fillId="0" borderId="12" xfId="0" applyFont="1" applyBorder="1"/>
    <xf numFmtId="0" fontId="3" fillId="0" borderId="12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9" fontId="9" fillId="5" borderId="14" xfId="0" applyNumberFormat="1" applyFont="1" applyFill="1" applyBorder="1"/>
    <xf numFmtId="0" fontId="2" fillId="0" borderId="2" xfId="0" applyFont="1" applyFill="1" applyBorder="1" applyAlignment="1">
      <alignment wrapText="1"/>
    </xf>
    <xf numFmtId="0" fontId="5" fillId="0" borderId="2" xfId="0" applyFont="1" applyBorder="1"/>
    <xf numFmtId="0" fontId="5" fillId="0" borderId="21" xfId="0" applyFont="1" applyBorder="1"/>
    <xf numFmtId="2" fontId="9" fillId="0" borderId="0" xfId="0" applyNumberFormat="1" applyFont="1"/>
    <xf numFmtId="176" fontId="9" fillId="0" borderId="0" xfId="0" applyNumberFormat="1" applyFont="1"/>
    <xf numFmtId="0" fontId="2" fillId="0" borderId="2" xfId="0" quotePrefix="1" applyFont="1" applyFill="1" applyBorder="1" applyAlignment="1">
      <alignment horizontal="center" wrapText="1"/>
    </xf>
    <xf numFmtId="166" fontId="3" fillId="2" borderId="0" xfId="0" applyNumberFormat="1" applyFont="1" applyFill="1" applyBorder="1"/>
    <xf numFmtId="0" fontId="18" fillId="2" borderId="0" xfId="0" applyFont="1" applyFill="1" applyBorder="1" applyAlignment="1">
      <alignment horizontal="center" vertical="center"/>
    </xf>
    <xf numFmtId="175" fontId="4" fillId="2" borderId="0" xfId="0" applyNumberFormat="1" applyFont="1" applyFill="1"/>
    <xf numFmtId="167" fontId="5" fillId="0" borderId="15" xfId="0" applyNumberFormat="1" applyFont="1" applyFill="1" applyBorder="1"/>
    <xf numFmtId="167" fontId="5" fillId="0" borderId="14" xfId="0" applyNumberFormat="1" applyFont="1" applyFill="1" applyBorder="1"/>
    <xf numFmtId="167" fontId="5" fillId="0" borderId="20" xfId="0" applyNumberFormat="1" applyFont="1" applyFill="1" applyBorder="1"/>
    <xf numFmtId="165" fontId="9" fillId="2" borderId="5" xfId="0" quotePrefix="1" applyNumberFormat="1" applyFont="1" applyFill="1" applyBorder="1" applyAlignment="1">
      <alignment horizontal="left"/>
    </xf>
    <xf numFmtId="170" fontId="12" fillId="5" borderId="0" xfId="0" quotePrefix="1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170" fontId="12" fillId="5" borderId="0" xfId="0" applyNumberFormat="1" applyFont="1" applyFill="1" applyAlignment="1">
      <alignment horizontal="center"/>
    </xf>
    <xf numFmtId="0" fontId="2" fillId="0" borderId="2" xfId="2" applyNumberFormat="1" applyFont="1" applyFill="1" applyBorder="1" applyAlignment="1">
      <alignment horizontal="center" wrapText="1"/>
    </xf>
    <xf numFmtId="165" fontId="9" fillId="0" borderId="0" xfId="1" applyNumberFormat="1" applyFont="1" applyFill="1" applyAlignment="1">
      <alignment horizontal="left"/>
    </xf>
    <xf numFmtId="165" fontId="8" fillId="0" borderId="2" xfId="3" applyNumberFormat="1" applyFont="1" applyFill="1" applyBorder="1" applyAlignment="1">
      <alignment horizontal="center"/>
    </xf>
    <xf numFmtId="165" fontId="2" fillId="0" borderId="2" xfId="3" applyNumberFormat="1" applyFont="1" applyFill="1" applyBorder="1" applyAlignment="1">
      <alignment horizontal="center"/>
    </xf>
    <xf numFmtId="165" fontId="5" fillId="0" borderId="0" xfId="3" applyNumberFormat="1" applyFont="1" applyFill="1" applyAlignment="1">
      <alignment horizontal="center"/>
    </xf>
    <xf numFmtId="165" fontId="4" fillId="0" borderId="7" xfId="3" applyNumberFormat="1" applyFont="1" applyFill="1" applyBorder="1" applyAlignment="1">
      <alignment horizontal="center"/>
    </xf>
    <xf numFmtId="165" fontId="8" fillId="3" borderId="2" xfId="3" applyNumberFormat="1" applyFont="1" applyFill="1" applyBorder="1" applyAlignment="1">
      <alignment horizontal="center"/>
    </xf>
    <xf numFmtId="165" fontId="2" fillId="0" borderId="4" xfId="3" applyNumberFormat="1" applyFont="1" applyFill="1" applyBorder="1" applyAlignment="1">
      <alignment horizontal="center"/>
    </xf>
    <xf numFmtId="165" fontId="4" fillId="0" borderId="6" xfId="3" applyNumberFormat="1" applyFont="1" applyFill="1" applyBorder="1" applyAlignment="1">
      <alignment horizontal="center"/>
    </xf>
    <xf numFmtId="165" fontId="4" fillId="3" borderId="0" xfId="2" applyNumberFormat="1" applyFont="1" applyFill="1" applyAlignment="1">
      <alignment horizontal="center"/>
    </xf>
    <xf numFmtId="41" fontId="4" fillId="0" borderId="7" xfId="2" applyNumberFormat="1" applyFont="1" applyFill="1" applyBorder="1" applyAlignment="1">
      <alignment horizontal="center"/>
    </xf>
    <xf numFmtId="165" fontId="9" fillId="0" borderId="0" xfId="0" quotePrefix="1" applyNumberFormat="1" applyFont="1" applyFill="1" applyAlignment="1">
      <alignment horizontal="left"/>
    </xf>
    <xf numFmtId="165" fontId="9" fillId="0" borderId="0" xfId="0" applyNumberFormat="1" applyFont="1" applyFill="1" applyBorder="1"/>
    <xf numFmtId="165" fontId="9" fillId="0" borderId="2" xfId="0" applyNumberFormat="1" applyFont="1" applyFill="1" applyBorder="1"/>
    <xf numFmtId="0" fontId="3" fillId="5" borderId="0" xfId="0" applyFont="1" applyFill="1" applyBorder="1" applyAlignment="1">
      <alignment horizontal="centerContinuous" vertical="center"/>
    </xf>
    <xf numFmtId="165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165" fontId="3" fillId="5" borderId="2" xfId="0" applyNumberFormat="1" applyFont="1" applyFill="1" applyBorder="1"/>
    <xf numFmtId="164" fontId="3" fillId="5" borderId="2" xfId="0" applyNumberFormat="1" applyFont="1" applyFill="1" applyBorder="1"/>
    <xf numFmtId="166" fontId="3" fillId="5" borderId="2" xfId="0" applyNumberFormat="1" applyFont="1" applyFill="1" applyBorder="1"/>
    <xf numFmtId="166" fontId="3" fillId="5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44" fontId="9" fillId="0" borderId="0" xfId="0" applyNumberFormat="1" applyFont="1"/>
    <xf numFmtId="41" fontId="9" fillId="0" borderId="0" xfId="0" applyNumberFormat="1" applyFont="1"/>
    <xf numFmtId="41" fontId="9" fillId="5" borderId="0" xfId="0" applyNumberFormat="1" applyFont="1" applyFill="1"/>
    <xf numFmtId="171" fontId="9" fillId="0" borderId="0" xfId="0" applyNumberFormat="1" applyFont="1"/>
    <xf numFmtId="44" fontId="4" fillId="0" borderId="0" xfId="0" applyNumberFormat="1" applyFont="1" applyAlignment="1">
      <alignment horizontal="right"/>
    </xf>
    <xf numFmtId="165" fontId="4" fillId="0" borderId="0" xfId="0" applyNumberFormat="1" applyFont="1" applyFill="1"/>
    <xf numFmtId="164" fontId="3" fillId="0" borderId="0" xfId="0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/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164" fontId="3" fillId="0" borderId="0" xfId="0" quotePrefix="1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horizontal="right" vertical="center"/>
    </xf>
    <xf numFmtId="166" fontId="9" fillId="0" borderId="2" xfId="0" quotePrefix="1" applyNumberFormat="1" applyFont="1" applyFill="1" applyBorder="1" applyAlignment="1">
      <alignment horizontal="centerContinuous"/>
    </xf>
    <xf numFmtId="165" fontId="9" fillId="0" borderId="2" xfId="0" applyNumberFormat="1" applyFont="1" applyFill="1" applyBorder="1" applyAlignment="1">
      <alignment horizontal="centerContinuous" vertical="center"/>
    </xf>
    <xf numFmtId="166" fontId="9" fillId="0" borderId="0" xfId="0" quotePrefix="1" applyNumberFormat="1" applyFont="1" applyFill="1" applyBorder="1" applyAlignment="1">
      <alignment horizontal="centerContinuous"/>
    </xf>
    <xf numFmtId="166" fontId="9" fillId="0" borderId="0" xfId="0" quotePrefix="1" applyNumberFormat="1" applyFont="1" applyFill="1" applyAlignment="1">
      <alignment horizontal="centerContinuous"/>
    </xf>
    <xf numFmtId="165" fontId="9" fillId="0" borderId="0" xfId="0" applyNumberFormat="1" applyFont="1" applyFill="1" applyBorder="1" applyAlignment="1">
      <alignment horizontal="centerContinuous"/>
    </xf>
    <xf numFmtId="166" fontId="9" fillId="0" borderId="1" xfId="0" quotePrefix="1" applyNumberFormat="1" applyFont="1" applyFill="1" applyBorder="1" applyAlignment="1">
      <alignment horizontal="centerContinuous"/>
    </xf>
    <xf numFmtId="166" fontId="9" fillId="0" borderId="2" xfId="0" applyNumberFormat="1" applyFont="1" applyFill="1" applyBorder="1" applyAlignment="1">
      <alignment horizontal="centerContinuous"/>
    </xf>
    <xf numFmtId="166" fontId="9" fillId="0" borderId="0" xfId="0" applyNumberFormat="1" applyFont="1" applyFill="1" applyBorder="1" applyAlignment="1">
      <alignment horizontal="centerContinuous"/>
    </xf>
    <xf numFmtId="164" fontId="4" fillId="0" borderId="0" xfId="0" applyNumberFormat="1" applyFont="1" applyFill="1"/>
    <xf numFmtId="165" fontId="4" fillId="0" borderId="0" xfId="0" applyNumberFormat="1" applyFont="1" applyFill="1" applyAlignment="1">
      <alignment horizontal="centerContinuous"/>
    </xf>
    <xf numFmtId="44" fontId="18" fillId="0" borderId="0" xfId="1" quotePrefix="1" applyFont="1" applyBorder="1" applyAlignment="1">
      <alignment horizontal="right"/>
    </xf>
    <xf numFmtId="0" fontId="2" fillId="0" borderId="1" xfId="0" quotePrefix="1" applyFont="1" applyBorder="1" applyAlignment="1">
      <alignment horizontal="center" wrapText="1"/>
    </xf>
    <xf numFmtId="176" fontId="5" fillId="0" borderId="0" xfId="0" applyNumberFormat="1" applyFont="1" applyFill="1" applyBorder="1"/>
    <xf numFmtId="2" fontId="5" fillId="0" borderId="0" xfId="0" applyNumberFormat="1" applyFont="1"/>
    <xf numFmtId="2" fontId="18" fillId="0" borderId="0" xfId="0" applyNumberFormat="1" applyFont="1"/>
    <xf numFmtId="44" fontId="5" fillId="0" borderId="0" xfId="0" applyNumberFormat="1" applyFont="1"/>
    <xf numFmtId="166" fontId="5" fillId="0" borderId="0" xfId="0" applyNumberFormat="1" applyFont="1"/>
    <xf numFmtId="14" fontId="7" fillId="0" borderId="2" xfId="0" quotePrefix="1" applyNumberFormat="1" applyFont="1" applyFill="1" applyBorder="1" applyAlignment="1">
      <alignment horizontal="center" wrapText="1"/>
    </xf>
    <xf numFmtId="14" fontId="3" fillId="0" borderId="2" xfId="0" quotePrefix="1" applyNumberFormat="1" applyFont="1" applyBorder="1" applyAlignment="1">
      <alignment horizont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2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22" xfId="0" quotePrefix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6" fontId="9" fillId="0" borderId="4" xfId="0" quotePrefix="1" applyNumberFormat="1" applyFont="1" applyFill="1" applyBorder="1" applyAlignment="1">
      <alignment horizontal="center"/>
    </xf>
    <xf numFmtId="166" fontId="9" fillId="2" borderId="2" xfId="0" quotePrefix="1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2" fillId="3" borderId="0" xfId="2" applyNumberFormat="1" applyFont="1" applyFill="1" applyAlignment="1">
      <alignment horizontal="center"/>
    </xf>
    <xf numFmtId="0" fontId="2" fillId="5" borderId="0" xfId="2" quotePrefix="1" applyNumberFormat="1" applyFont="1" applyFill="1" applyAlignment="1">
      <alignment horizontal="center"/>
    </xf>
    <xf numFmtId="0" fontId="2" fillId="5" borderId="0" xfId="2" applyNumberFormat="1" applyFont="1" applyFill="1" applyAlignment="1">
      <alignment horizontal="center"/>
    </xf>
  </cellXfs>
  <cellStyles count="5">
    <cellStyle name="Comma 2" xfId="4" xr:uid="{00000000-0005-0000-0000-000000000000}"/>
    <cellStyle name="Currency" xfId="1" builtinId="4"/>
    <cellStyle name="Currency 2 12" xfId="3" xr:uid="{00000000-0005-0000-0000-000002000000}"/>
    <cellStyle name="Normal" xfId="0" builtinId="0"/>
    <cellStyle name="Normal 2 2" xfId="2" xr:uid="{00000000-0005-0000-0000-000004000000}"/>
  </cellStyles>
  <dxfs count="0"/>
  <tableStyles count="0" defaultTableStyle="TableStyleMedium2" defaultPivotStyle="PivotStyleLight16"/>
  <colors>
    <mruColors>
      <color rgb="FF0033CC"/>
      <color rgb="FF00808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akharova, Elena" id="{DB2523F8-851E-45A4-AF77-DF7BEB1B470E}" userId="S::Lena.Zakharova@pse.com::e8a6b8bd-f323-4752-82b4-89107bf522d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1" dT="2025-03-06T21:41:40.69" personId="{DB2523F8-851E-45A4-AF77-DF7BEB1B470E}" id="{555FCE2D-0083-4753-B4F0-10AE71FB6119}">
    <text>Overwrote due to rounding 0.01 variance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"/>
  <sheetViews>
    <sheetView workbookViewId="0"/>
  </sheetViews>
  <sheetFormatPr defaultColWidth="8.85546875" defaultRowHeight="12.75" x14ac:dyDescent="0.2"/>
  <cols>
    <col min="1" max="16384" width="8.85546875" style="197"/>
  </cols>
  <sheetData>
    <row r="1" spans="1:1" x14ac:dyDescent="0.2">
      <c r="A1" s="196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 tint="0.79998168889431442"/>
  </sheetPr>
  <dimension ref="A1:M76"/>
  <sheetViews>
    <sheetView zoomScaleNormal="100" workbookViewId="0">
      <pane ySplit="9" topLeftCell="A10" activePane="bottomLeft" state="frozen"/>
      <selection pane="bottomLeft" activeCell="E31" sqref="E31"/>
    </sheetView>
  </sheetViews>
  <sheetFormatPr defaultColWidth="6.42578125" defaultRowHeight="11.25" x14ac:dyDescent="0.2"/>
  <cols>
    <col min="1" max="1" width="6.140625" style="77" bestFit="1" customWidth="1"/>
    <col min="2" max="2" width="24.42578125" style="77" customWidth="1"/>
    <col min="3" max="3" width="13.7109375" style="77" customWidth="1"/>
    <col min="4" max="5" width="12.140625" style="77" customWidth="1"/>
    <col min="6" max="6" width="8.28515625" style="77" hidden="1" customWidth="1"/>
    <col min="7" max="7" width="0.85546875" style="4" customWidth="1"/>
    <col min="8" max="9" width="10.7109375" style="77" customWidth="1"/>
    <col min="10" max="10" width="0.85546875" style="77" customWidth="1"/>
    <col min="11" max="11" width="17.140625" style="77" bestFit="1" customWidth="1"/>
    <col min="12" max="12" width="0.85546875" style="77" customWidth="1"/>
    <col min="13" max="16384" width="6.42578125" style="77"/>
  </cols>
  <sheetData>
    <row r="1" spans="1:13" x14ac:dyDescent="0.2">
      <c r="A1" s="97" t="s">
        <v>112</v>
      </c>
      <c r="B1" s="97"/>
      <c r="C1" s="97"/>
      <c r="D1" s="97"/>
      <c r="E1" s="97"/>
      <c r="F1" s="97"/>
    </row>
    <row r="2" spans="1:13" x14ac:dyDescent="0.2">
      <c r="A2" s="177" t="s">
        <v>298</v>
      </c>
      <c r="B2" s="97"/>
      <c r="C2" s="97"/>
      <c r="D2" s="97"/>
      <c r="E2" s="97"/>
      <c r="F2" s="97"/>
    </row>
    <row r="3" spans="1:13" x14ac:dyDescent="0.2">
      <c r="A3" s="96"/>
      <c r="B3" s="96"/>
      <c r="C3" s="95"/>
      <c r="D3" s="95"/>
      <c r="E3" s="95"/>
      <c r="F3" s="95"/>
    </row>
    <row r="4" spans="1:13" s="94" customFormat="1" x14ac:dyDescent="0.2">
      <c r="A4" s="95"/>
      <c r="B4" s="95"/>
      <c r="C4" s="95"/>
      <c r="D4" s="95"/>
      <c r="E4" s="95"/>
      <c r="F4" s="95"/>
      <c r="G4" s="201"/>
    </row>
    <row r="5" spans="1:13" x14ac:dyDescent="0.2">
      <c r="A5" s="93"/>
      <c r="B5" s="93"/>
      <c r="C5" s="92"/>
      <c r="D5" s="92"/>
      <c r="E5" s="92"/>
      <c r="F5" s="92"/>
      <c r="H5" s="249"/>
      <c r="I5" s="249"/>
      <c r="J5" s="249"/>
      <c r="K5" s="249"/>
    </row>
    <row r="6" spans="1:13" x14ac:dyDescent="0.2">
      <c r="A6" s="93"/>
      <c r="B6" s="93"/>
      <c r="C6" s="92"/>
      <c r="D6" s="92"/>
      <c r="E6" s="92"/>
      <c r="F6" s="92"/>
      <c r="H6" s="249"/>
      <c r="I6" s="249"/>
      <c r="J6" s="249"/>
      <c r="K6" s="249"/>
    </row>
    <row r="7" spans="1:13" s="83" customFormat="1" ht="45" x14ac:dyDescent="0.2">
      <c r="A7" s="91" t="s">
        <v>0</v>
      </c>
      <c r="B7" s="91" t="s">
        <v>1</v>
      </c>
      <c r="C7" s="91" t="s">
        <v>141</v>
      </c>
      <c r="D7" s="86" t="s">
        <v>111</v>
      </c>
      <c r="E7" s="86" t="s">
        <v>152</v>
      </c>
      <c r="F7" s="86" t="s">
        <v>110</v>
      </c>
      <c r="H7" s="250" t="str">
        <f>'Rate Spread &amp; Design'!N7</f>
        <v>Proposed
Base (140A)
Rate</v>
      </c>
      <c r="I7" s="250" t="str">
        <f>'Rate Spread &amp; Design'!P7</f>
        <v>Proposed
Deferral (140B)
Rate</v>
      </c>
      <c r="K7" s="86" t="s">
        <v>73</v>
      </c>
      <c r="L7" s="84"/>
    </row>
    <row r="8" spans="1:13" s="83" customFormat="1" x14ac:dyDescent="0.2">
      <c r="A8" s="90"/>
      <c r="B8" s="90"/>
      <c r="C8" s="90"/>
      <c r="D8" s="431">
        <v>45413</v>
      </c>
      <c r="E8" s="431">
        <f>Inputs!B1</f>
        <v>45778</v>
      </c>
      <c r="F8" s="89"/>
      <c r="H8" s="432">
        <f>E8</f>
        <v>45778</v>
      </c>
      <c r="I8" s="432">
        <f>H8</f>
        <v>45778</v>
      </c>
      <c r="K8" s="89"/>
      <c r="L8" s="84"/>
    </row>
    <row r="9" spans="1:13" s="83" customFormat="1" x14ac:dyDescent="0.2">
      <c r="A9" s="88"/>
      <c r="B9" s="87" t="s">
        <v>109</v>
      </c>
      <c r="C9" s="86" t="s">
        <v>115</v>
      </c>
      <c r="D9" s="86" t="s">
        <v>116</v>
      </c>
      <c r="E9" s="86" t="s">
        <v>117</v>
      </c>
      <c r="F9" s="86" t="s">
        <v>140</v>
      </c>
      <c r="H9" s="86" t="s">
        <v>146</v>
      </c>
      <c r="I9" s="86" t="s">
        <v>153</v>
      </c>
      <c r="K9" s="86" t="s">
        <v>154</v>
      </c>
      <c r="L9" s="84"/>
    </row>
    <row r="10" spans="1:13" s="83" customFormat="1" x14ac:dyDescent="0.2">
      <c r="A10" s="85">
        <v>1</v>
      </c>
      <c r="B10" s="82" t="s">
        <v>108</v>
      </c>
      <c r="C10" s="82"/>
      <c r="D10" s="84"/>
      <c r="E10" s="84"/>
      <c r="F10" s="84"/>
      <c r="K10" s="4"/>
      <c r="L10" s="4"/>
    </row>
    <row r="11" spans="1:13" x14ac:dyDescent="0.2">
      <c r="A11" s="80">
        <f t="shared" ref="A11:A74" si="0">+A10+1</f>
        <v>2</v>
      </c>
      <c r="B11" s="202" t="s">
        <v>4</v>
      </c>
      <c r="C11" s="246" t="s">
        <v>299</v>
      </c>
      <c r="D11" s="175">
        <f>'Rate Impacts'!I10</f>
        <v>1.598E-3</v>
      </c>
      <c r="E11" s="262">
        <f>SUM(H11:I11)</f>
        <v>2.1029999999999998E-3</v>
      </c>
      <c r="F11" s="81">
        <f>IFERROR(E11/D11-1, "na")</f>
        <v>0.31602002503128901</v>
      </c>
      <c r="H11" s="243">
        <f>ROUND('Rate Spread &amp; Design'!N10,6)</f>
        <v>2.3E-3</v>
      </c>
      <c r="I11" s="243">
        <f>ROUND('Rate Spread &amp; Design'!P10,6)</f>
        <v>-1.9699999999999999E-4</v>
      </c>
      <c r="J11" s="239"/>
      <c r="K11" s="244" t="s">
        <v>74</v>
      </c>
      <c r="L11" s="221"/>
      <c r="M11" s="240">
        <f>SUM(H11:I11)-E11</f>
        <v>0</v>
      </c>
    </row>
    <row r="12" spans="1:13" x14ac:dyDescent="0.2">
      <c r="A12" s="80">
        <f t="shared" si="0"/>
        <v>3</v>
      </c>
      <c r="B12" s="202"/>
      <c r="C12" s="246"/>
      <c r="D12" s="172"/>
      <c r="E12" s="165"/>
      <c r="F12" s="164"/>
      <c r="K12" s="221"/>
      <c r="L12" s="221"/>
      <c r="M12" s="241"/>
    </row>
    <row r="13" spans="1:13" x14ac:dyDescent="0.2">
      <c r="A13" s="80">
        <f t="shared" si="0"/>
        <v>4</v>
      </c>
      <c r="B13" s="202" t="s">
        <v>5</v>
      </c>
      <c r="C13" s="246"/>
      <c r="D13" s="172"/>
      <c r="E13" s="165"/>
      <c r="F13" s="164"/>
      <c r="K13" s="221"/>
      <c r="L13" s="221"/>
      <c r="M13" s="241"/>
    </row>
    <row r="14" spans="1:13" x14ac:dyDescent="0.2">
      <c r="A14" s="80">
        <f t="shared" si="0"/>
        <v>5</v>
      </c>
      <c r="B14" s="203" t="s">
        <v>6</v>
      </c>
      <c r="C14" s="246" t="s">
        <v>300</v>
      </c>
      <c r="D14" s="172">
        <f>'Rate Impacts'!I13</f>
        <v>1.3259999999999999E-3</v>
      </c>
      <c r="E14" s="165">
        <f>SUM(H14:I14)</f>
        <v>1.8549999999999999E-3</v>
      </c>
      <c r="F14" s="164">
        <f>IFERROR(E14/D14-1, "na")</f>
        <v>0.39894419306184004</v>
      </c>
      <c r="H14" s="238">
        <f>ROUND('Rate Spread &amp; Design'!N14,6)</f>
        <v>2.029E-3</v>
      </c>
      <c r="I14" s="238">
        <f>ROUND('Rate Spread &amp; Design'!P14,6)</f>
        <v>-1.74E-4</v>
      </c>
      <c r="J14" s="238"/>
      <c r="K14" s="221" t="s">
        <v>74</v>
      </c>
      <c r="L14" s="221"/>
      <c r="M14" s="240">
        <f>SUM(H14:I14)-E14</f>
        <v>0</v>
      </c>
    </row>
    <row r="15" spans="1:13" x14ac:dyDescent="0.2">
      <c r="A15" s="80">
        <f t="shared" si="0"/>
        <v>6</v>
      </c>
      <c r="B15" s="203" t="s">
        <v>7</v>
      </c>
      <c r="C15" s="246" t="s">
        <v>301</v>
      </c>
      <c r="D15" s="172">
        <f>'Rate Impacts'!I14</f>
        <v>1.2369999999999998E-3</v>
      </c>
      <c r="E15" s="165">
        <f>SUM(H15:I15)</f>
        <v>1.709E-3</v>
      </c>
      <c r="F15" s="164">
        <f>IFERROR(E15/D15-1, "na")</f>
        <v>0.38156831042845618</v>
      </c>
      <c r="H15" s="238">
        <f>ROUND('Rate Spread &amp; Design'!N15,6)</f>
        <v>1.869E-3</v>
      </c>
      <c r="I15" s="238">
        <f>ROUND('Rate Spread &amp; Design'!P15,6)</f>
        <v>-1.6000000000000001E-4</v>
      </c>
      <c r="J15" s="238"/>
      <c r="K15" s="221" t="s">
        <v>74</v>
      </c>
      <c r="L15" s="221"/>
      <c r="M15" s="237">
        <f>SUM(H15:I15)-E15</f>
        <v>0</v>
      </c>
    </row>
    <row r="16" spans="1:13" x14ac:dyDescent="0.2">
      <c r="A16" s="80">
        <f t="shared" si="0"/>
        <v>7</v>
      </c>
      <c r="B16" s="203" t="s">
        <v>7</v>
      </c>
      <c r="C16" s="246" t="s">
        <v>302</v>
      </c>
      <c r="D16" s="165">
        <f>D15</f>
        <v>1.2369999999999998E-3</v>
      </c>
      <c r="E16" s="165">
        <f>E15</f>
        <v>1.709E-3</v>
      </c>
      <c r="F16" s="164">
        <f>IFERROR(E16/D16-1, "na")</f>
        <v>0.38156831042845618</v>
      </c>
      <c r="H16" s="236">
        <f>H15</f>
        <v>1.869E-3</v>
      </c>
      <c r="I16" s="236">
        <f>I15</f>
        <v>-1.6000000000000001E-4</v>
      </c>
      <c r="J16" s="236"/>
      <c r="K16" s="221" t="str">
        <f>K15</f>
        <v>Sheet No. 140-B</v>
      </c>
      <c r="L16" s="221"/>
      <c r="M16" s="237">
        <f>SUM(H16:I16)-E16</f>
        <v>0</v>
      </c>
    </row>
    <row r="17" spans="1:13" x14ac:dyDescent="0.2">
      <c r="A17" s="80">
        <f t="shared" si="0"/>
        <v>8</v>
      </c>
      <c r="B17" s="203" t="s">
        <v>8</v>
      </c>
      <c r="C17" s="246" t="s">
        <v>303</v>
      </c>
      <c r="D17" s="172">
        <f>'Rate Impacts'!I15</f>
        <v>1.0119999999999999E-3</v>
      </c>
      <c r="E17" s="165">
        <f>SUM(H17:I17)</f>
        <v>1.3310000000000002E-3</v>
      </c>
      <c r="F17" s="164">
        <f>IFERROR(E17/D17-1, "na")</f>
        <v>0.31521739130434812</v>
      </c>
      <c r="H17" s="238">
        <f>ROUND('Rate Spread &amp; Design'!N16,6)</f>
        <v>1.456E-3</v>
      </c>
      <c r="I17" s="238">
        <f>ROUND('Rate Spread &amp; Design'!P16,6)</f>
        <v>-1.25E-4</v>
      </c>
      <c r="J17" s="238"/>
      <c r="K17" s="221" t="s">
        <v>74</v>
      </c>
      <c r="L17" s="221"/>
      <c r="M17" s="237">
        <f>SUM(H17:I17)-E17</f>
        <v>0</v>
      </c>
    </row>
    <row r="18" spans="1:13" x14ac:dyDescent="0.2">
      <c r="A18" s="80">
        <f t="shared" si="0"/>
        <v>9</v>
      </c>
      <c r="B18" s="203" t="s">
        <v>7</v>
      </c>
      <c r="C18" s="246">
        <v>29</v>
      </c>
      <c r="D18" s="172">
        <f>'Rate Impacts'!I16</f>
        <v>1.2369999999999998E-3</v>
      </c>
      <c r="E18" s="165">
        <f>SUM(H18:I18)</f>
        <v>1.709E-3</v>
      </c>
      <c r="F18" s="164">
        <f>IFERROR(E18/D18-1, "na")</f>
        <v>0.38156831042845618</v>
      </c>
      <c r="H18" s="238">
        <f>ROUND('Rate Spread &amp; Design'!N15,6)</f>
        <v>1.869E-3</v>
      </c>
      <c r="I18" s="238">
        <f>ROUND('Rate Spread &amp; Design'!$P$15,6)</f>
        <v>-1.6000000000000001E-4</v>
      </c>
      <c r="J18" s="238"/>
      <c r="K18" s="221" t="s">
        <v>74</v>
      </c>
      <c r="L18" s="221"/>
      <c r="M18" s="237">
        <f>SUM(H18:I18)-E18</f>
        <v>0</v>
      </c>
    </row>
    <row r="19" spans="1:13" x14ac:dyDescent="0.2">
      <c r="A19" s="80">
        <f t="shared" si="0"/>
        <v>10</v>
      </c>
      <c r="B19" s="204" t="s">
        <v>9</v>
      </c>
      <c r="C19" s="247"/>
      <c r="D19" s="175"/>
      <c r="E19" s="262"/>
      <c r="F19" s="81"/>
      <c r="H19" s="245"/>
      <c r="I19" s="245"/>
      <c r="K19" s="244"/>
      <c r="L19" s="221"/>
      <c r="M19" s="242"/>
    </row>
    <row r="20" spans="1:13" x14ac:dyDescent="0.2">
      <c r="A20" s="80">
        <f t="shared" si="0"/>
        <v>11</v>
      </c>
      <c r="B20" s="204"/>
      <c r="C20" s="247"/>
      <c r="D20" s="172"/>
      <c r="E20" s="165"/>
      <c r="F20" s="164"/>
      <c r="K20" s="221"/>
      <c r="L20" s="221"/>
      <c r="M20" s="242"/>
    </row>
    <row r="21" spans="1:13" x14ac:dyDescent="0.2">
      <c r="A21" s="80">
        <f t="shared" si="0"/>
        <v>12</v>
      </c>
      <c r="B21" s="202" t="s">
        <v>10</v>
      </c>
      <c r="C21" s="246"/>
      <c r="D21" s="172"/>
      <c r="E21" s="165"/>
      <c r="F21" s="164"/>
      <c r="K21" s="221"/>
      <c r="L21" s="221"/>
      <c r="M21" s="242"/>
    </row>
    <row r="22" spans="1:13" x14ac:dyDescent="0.2">
      <c r="A22" s="80">
        <f t="shared" si="0"/>
        <v>13</v>
      </c>
      <c r="B22" s="203" t="s">
        <v>14</v>
      </c>
      <c r="C22" s="246" t="s">
        <v>304</v>
      </c>
      <c r="D22" s="172">
        <f>'Rate Impacts'!I20</f>
        <v>1.0309999999999998E-3</v>
      </c>
      <c r="E22" s="165">
        <f>SUM(H22:I22)</f>
        <v>1.459E-3</v>
      </c>
      <c r="F22" s="164">
        <f>IFERROR(E22/D22-1, "na")</f>
        <v>0.41513094083414193</v>
      </c>
      <c r="H22" s="238">
        <f>ROUND('Rate Spread &amp; Design'!N20,6)</f>
        <v>1.596E-3</v>
      </c>
      <c r="I22" s="238">
        <f>ROUND('Rate Spread &amp; Design'!P20,6)</f>
        <v>-1.37E-4</v>
      </c>
      <c r="J22" s="238"/>
      <c r="K22" s="221" t="s">
        <v>74</v>
      </c>
      <c r="L22" s="221"/>
      <c r="M22" s="237">
        <f>SUM(H22:I22)-E22</f>
        <v>0</v>
      </c>
    </row>
    <row r="23" spans="1:13" x14ac:dyDescent="0.2">
      <c r="A23" s="80">
        <f t="shared" si="0"/>
        <v>14</v>
      </c>
      <c r="B23" s="203" t="s">
        <v>147</v>
      </c>
      <c r="C23" s="246">
        <v>35</v>
      </c>
      <c r="D23" s="172">
        <f>'Rate Impacts'!I21</f>
        <v>1.0309999999999998E-3</v>
      </c>
      <c r="E23" s="165">
        <f>SUM(H23:I23)</f>
        <v>1.459E-3</v>
      </c>
      <c r="F23" s="164">
        <f>IFERROR(E23/D23-1, "na")</f>
        <v>0.41513094083414193</v>
      </c>
      <c r="H23" s="235">
        <f>H22</f>
        <v>1.596E-3</v>
      </c>
      <c r="I23" s="235">
        <f>I22</f>
        <v>-1.37E-4</v>
      </c>
      <c r="J23" s="235"/>
      <c r="K23" s="221" t="s">
        <v>74</v>
      </c>
      <c r="L23" s="221"/>
      <c r="M23" s="237">
        <f>SUM(H23:I23)-E23</f>
        <v>0</v>
      </c>
    </row>
    <row r="24" spans="1:13" x14ac:dyDescent="0.2">
      <c r="A24" s="80">
        <f t="shared" si="0"/>
        <v>15</v>
      </c>
      <c r="B24" s="203" t="s">
        <v>148</v>
      </c>
      <c r="C24" s="246">
        <v>43</v>
      </c>
      <c r="D24" s="172">
        <f>'Rate Impacts'!I22</f>
        <v>9.5800000000000008E-4</v>
      </c>
      <c r="E24" s="165">
        <f>SUM(H24:I24)</f>
        <v>1.663E-3</v>
      </c>
      <c r="F24" s="164">
        <f>IFERROR(E24/D24-1, "na")</f>
        <v>0.7359081419624216</v>
      </c>
      <c r="H24" s="238">
        <f>ROUND('Rate Spread &amp; Design'!N21,6)</f>
        <v>1.8190000000000001E-3</v>
      </c>
      <c r="I24" s="238">
        <f>ROUND('Rate Spread &amp; Design'!P21,6)</f>
        <v>-1.56E-4</v>
      </c>
      <c r="J24" s="238"/>
      <c r="K24" s="221" t="s">
        <v>75</v>
      </c>
      <c r="L24" s="221"/>
      <c r="M24" s="237">
        <f>SUM(H24:I24)-E24</f>
        <v>0</v>
      </c>
    </row>
    <row r="25" spans="1:13" x14ac:dyDescent="0.2">
      <c r="A25" s="80">
        <f t="shared" si="0"/>
        <v>16</v>
      </c>
      <c r="B25" s="204" t="s">
        <v>11</v>
      </c>
      <c r="C25" s="247"/>
      <c r="D25" s="175"/>
      <c r="E25" s="262"/>
      <c r="F25" s="81"/>
      <c r="H25" s="245"/>
      <c r="I25" s="245"/>
      <c r="K25" s="244"/>
      <c r="L25" s="221"/>
      <c r="M25" s="242"/>
    </row>
    <row r="26" spans="1:13" x14ac:dyDescent="0.2">
      <c r="A26" s="80">
        <f t="shared" si="0"/>
        <v>17</v>
      </c>
      <c r="B26" s="176"/>
      <c r="C26" s="248"/>
      <c r="D26" s="172"/>
      <c r="E26" s="165"/>
      <c r="F26" s="164"/>
      <c r="K26" s="221"/>
      <c r="L26" s="221"/>
      <c r="M26" s="242"/>
    </row>
    <row r="27" spans="1:13" x14ac:dyDescent="0.2">
      <c r="A27" s="80">
        <f t="shared" si="0"/>
        <v>18</v>
      </c>
      <c r="B27" s="202" t="s">
        <v>15</v>
      </c>
      <c r="C27" s="246"/>
      <c r="D27" s="172"/>
      <c r="E27" s="165"/>
      <c r="F27" s="164"/>
      <c r="K27" s="221"/>
      <c r="L27" s="221"/>
      <c r="M27" s="242"/>
    </row>
    <row r="28" spans="1:13" x14ac:dyDescent="0.2">
      <c r="A28" s="80">
        <f t="shared" si="0"/>
        <v>19</v>
      </c>
      <c r="B28" s="203" t="s">
        <v>149</v>
      </c>
      <c r="C28" s="246">
        <v>46</v>
      </c>
      <c r="D28" s="172">
        <f>'Rate Impacts'!I28</f>
        <v>5.6799999999999993E-4</v>
      </c>
      <c r="E28" s="165">
        <f>SUM(H28:I28)</f>
        <v>7.8199999999999993E-4</v>
      </c>
      <c r="F28" s="164">
        <f>IFERROR(E28/D28-1, "na")</f>
        <v>0.37676056338028174</v>
      </c>
      <c r="H28" s="238">
        <f>ROUND('Rate Spread &amp; Design'!N26,6)</f>
        <v>8.5499999999999997E-4</v>
      </c>
      <c r="I28" s="238">
        <f>ROUND('Rate Spread &amp; Design'!P26,6)</f>
        <v>-7.2999999999999999E-5</v>
      </c>
      <c r="J28" s="238"/>
      <c r="K28" s="221" t="s">
        <v>75</v>
      </c>
      <c r="L28" s="221"/>
      <c r="M28" s="237">
        <f>SUM(H28:I28)-E28</f>
        <v>0</v>
      </c>
    </row>
    <row r="29" spans="1:13" x14ac:dyDescent="0.2">
      <c r="A29" s="80">
        <f t="shared" si="0"/>
        <v>20</v>
      </c>
      <c r="B29" s="203" t="s">
        <v>14</v>
      </c>
      <c r="C29" s="246">
        <v>49</v>
      </c>
      <c r="D29" s="172">
        <f>'Rate Impacts'!I29</f>
        <v>5.6799999999999993E-4</v>
      </c>
      <c r="E29" s="165">
        <f>SUM(H29:I29)</f>
        <v>7.8199999999999993E-4</v>
      </c>
      <c r="F29" s="164">
        <f>IFERROR(E29/D29-1, "na")</f>
        <v>0.37676056338028174</v>
      </c>
      <c r="H29" s="236">
        <f>H28</f>
        <v>8.5499999999999997E-4</v>
      </c>
      <c r="I29" s="236">
        <f>I28</f>
        <v>-7.2999999999999999E-5</v>
      </c>
      <c r="J29" s="236"/>
      <c r="K29" s="221" t="s">
        <v>75</v>
      </c>
      <c r="L29" s="221"/>
      <c r="M29" s="237">
        <f>SUM(H29:I29)-E29</f>
        <v>0</v>
      </c>
    </row>
    <row r="30" spans="1:13" x14ac:dyDescent="0.2">
      <c r="A30" s="80">
        <f t="shared" si="0"/>
        <v>21</v>
      </c>
      <c r="B30" s="205" t="s">
        <v>12</v>
      </c>
      <c r="C30" s="247"/>
      <c r="D30" s="175"/>
      <c r="E30" s="262"/>
      <c r="F30" s="81"/>
      <c r="H30" s="245"/>
      <c r="I30" s="245"/>
      <c r="K30" s="244"/>
      <c r="L30" s="221"/>
      <c r="M30" s="242"/>
    </row>
    <row r="31" spans="1:13" x14ac:dyDescent="0.2">
      <c r="A31" s="80">
        <f t="shared" si="0"/>
        <v>22</v>
      </c>
      <c r="B31" s="202"/>
      <c r="C31" s="246"/>
      <c r="D31" s="172"/>
      <c r="E31" s="165"/>
      <c r="F31" s="164"/>
      <c r="K31" s="223"/>
      <c r="L31" s="223"/>
      <c r="M31" s="242"/>
    </row>
    <row r="32" spans="1:13" x14ac:dyDescent="0.2">
      <c r="A32" s="80">
        <f t="shared" si="0"/>
        <v>23</v>
      </c>
      <c r="B32" s="206" t="s">
        <v>150</v>
      </c>
      <c r="C32" s="246" t="s">
        <v>305</v>
      </c>
      <c r="D32" s="265"/>
      <c r="E32" s="265"/>
      <c r="F32" s="265"/>
      <c r="G32" s="266"/>
      <c r="H32" s="265"/>
      <c r="I32" s="265"/>
      <c r="J32" s="238"/>
      <c r="K32" s="221" t="s">
        <v>194</v>
      </c>
      <c r="L32" s="221"/>
      <c r="M32" s="237"/>
    </row>
    <row r="33" spans="1:13" x14ac:dyDescent="0.2">
      <c r="A33" s="80">
        <f t="shared" si="0"/>
        <v>24</v>
      </c>
      <c r="B33" s="202" t="s">
        <v>151</v>
      </c>
      <c r="C33" s="246" t="s">
        <v>67</v>
      </c>
      <c r="D33" s="172">
        <f>'Rate Impacts'!I25</f>
        <v>3.1E-4</v>
      </c>
      <c r="E33" s="165">
        <f>SUM(H33:I33)</f>
        <v>7.94E-4</v>
      </c>
      <c r="F33" s="164">
        <f>IFERROR(E33/D33-1, "na")</f>
        <v>1.5612903225806454</v>
      </c>
      <c r="H33" s="238">
        <f>ROUND('Rate Spread &amp; Design'!N24,6)</f>
        <v>8.6899999999999998E-4</v>
      </c>
      <c r="I33" s="238">
        <f>ROUND('Rate Spread &amp; Design'!P24,6)</f>
        <v>-7.4999999999999993E-5</v>
      </c>
      <c r="J33" s="238"/>
      <c r="K33" s="221" t="s">
        <v>74</v>
      </c>
      <c r="L33" s="221"/>
      <c r="M33" s="240">
        <f>SUM(H33:I33)-E33</f>
        <v>0</v>
      </c>
    </row>
    <row r="34" spans="1:13" x14ac:dyDescent="0.2">
      <c r="A34" s="80">
        <f t="shared" si="0"/>
        <v>25</v>
      </c>
      <c r="B34" s="202" t="s">
        <v>13</v>
      </c>
      <c r="C34" s="246" t="s">
        <v>306</v>
      </c>
      <c r="D34" s="263">
        <f>'Rate Impacts'!I32</f>
        <v>4.9940000000000002E-3</v>
      </c>
      <c r="E34" s="263">
        <f>SUM(H34:I34)</f>
        <v>6.2249999999999996E-3</v>
      </c>
      <c r="F34" s="264">
        <f>IFERROR(E34/D34-1, "na")</f>
        <v>0.24649579495394458</v>
      </c>
      <c r="H34" s="238">
        <f>ROUND('Rate Spread &amp; Design'!N28,6)</f>
        <v>6.8089999999999999E-3</v>
      </c>
      <c r="I34" s="238">
        <f>ROUND('Rate Spread &amp; Design'!P28,6)</f>
        <v>-5.8399999999999999E-4</v>
      </c>
      <c r="J34" s="238"/>
      <c r="K34" s="224" t="s">
        <v>193</v>
      </c>
      <c r="L34" s="224"/>
      <c r="M34" s="240">
        <f>SUM(H34:I34)-E34</f>
        <v>0</v>
      </c>
    </row>
    <row r="35" spans="1:13" s="196" customFormat="1" x14ac:dyDescent="0.2">
      <c r="A35" s="80">
        <f t="shared" si="0"/>
        <v>26</v>
      </c>
      <c r="B35" s="323" t="s">
        <v>251</v>
      </c>
      <c r="C35" s="324">
        <v>558</v>
      </c>
      <c r="D35" s="325">
        <v>0</v>
      </c>
      <c r="E35" s="366">
        <f>SUM(H35:I35)</f>
        <v>1.6580000000000002E-3</v>
      </c>
      <c r="F35" s="326"/>
      <c r="G35" s="327"/>
      <c r="H35" s="328">
        <f>ROUND('Rate Spread &amp; Design'!N32,6)</f>
        <v>1.8140000000000001E-3</v>
      </c>
      <c r="I35" s="328">
        <f>ROUND('Rate Spread &amp; Design'!P32,6)</f>
        <v>-1.56E-4</v>
      </c>
      <c r="J35" s="328"/>
      <c r="K35" s="367" t="s">
        <v>75</v>
      </c>
      <c r="L35" s="224"/>
      <c r="M35" s="368">
        <f>SUM(H35:I35)-E35</f>
        <v>0</v>
      </c>
    </row>
    <row r="36" spans="1:13" x14ac:dyDescent="0.2">
      <c r="A36" s="80">
        <f t="shared" si="0"/>
        <v>27</v>
      </c>
      <c r="B36" s="173"/>
      <c r="C36" s="174"/>
      <c r="D36" s="172"/>
      <c r="E36" s="172"/>
      <c r="F36" s="164"/>
      <c r="G36" s="222"/>
      <c r="M36" s="241"/>
    </row>
    <row r="37" spans="1:13" x14ac:dyDescent="0.2">
      <c r="A37" s="80">
        <f t="shared" si="0"/>
        <v>28</v>
      </c>
      <c r="B37" s="16" t="s">
        <v>199</v>
      </c>
      <c r="C37" s="248"/>
      <c r="D37" s="175"/>
      <c r="E37" s="175"/>
      <c r="F37" s="81"/>
      <c r="G37" s="222"/>
      <c r="H37" s="245"/>
      <c r="I37" s="245"/>
      <c r="K37" s="245"/>
      <c r="L37" s="169"/>
      <c r="M37" s="241"/>
    </row>
    <row r="38" spans="1:13" x14ac:dyDescent="0.2">
      <c r="A38" s="80">
        <f t="shared" si="0"/>
        <v>29</v>
      </c>
      <c r="B38" s="315"/>
      <c r="C38" s="174"/>
      <c r="D38" s="172"/>
      <c r="E38" s="172"/>
      <c r="F38" s="164"/>
      <c r="G38" s="222"/>
      <c r="M38" s="241"/>
    </row>
    <row r="39" spans="1:13" x14ac:dyDescent="0.2">
      <c r="A39" s="80">
        <f t="shared" si="0"/>
        <v>30</v>
      </c>
      <c r="B39" s="316" t="s">
        <v>234</v>
      </c>
      <c r="C39" s="174">
        <v>5</v>
      </c>
      <c r="D39" s="424">
        <v>0</v>
      </c>
      <c r="E39" s="424">
        <v>0</v>
      </c>
      <c r="F39" s="265"/>
      <c r="G39" s="267"/>
      <c r="H39" s="424">
        <v>0</v>
      </c>
      <c r="I39" s="424">
        <v>0</v>
      </c>
      <c r="J39" s="92"/>
      <c r="K39" s="172"/>
      <c r="L39" s="172"/>
      <c r="M39" s="241"/>
    </row>
    <row r="40" spans="1:13" x14ac:dyDescent="0.2">
      <c r="A40" s="80">
        <f t="shared" si="0"/>
        <v>31</v>
      </c>
      <c r="B40" s="316"/>
      <c r="C40" s="79"/>
      <c r="D40" s="268"/>
      <c r="E40" s="268"/>
      <c r="F40" s="164"/>
      <c r="G40" s="267"/>
      <c r="H40" s="268"/>
      <c r="I40" s="268"/>
      <c r="K40" s="172"/>
      <c r="L40" s="172"/>
      <c r="M40" s="241"/>
    </row>
    <row r="41" spans="1:13" ht="12" thickBot="1" x14ac:dyDescent="0.25">
      <c r="A41" s="80">
        <f t="shared" si="0"/>
        <v>32</v>
      </c>
      <c r="B41" s="317" t="s">
        <v>202</v>
      </c>
      <c r="C41" s="163"/>
      <c r="D41" s="171"/>
      <c r="E41" s="171"/>
      <c r="F41" s="78"/>
      <c r="G41" s="222"/>
      <c r="H41" s="171"/>
      <c r="I41" s="171"/>
      <c r="K41" s="171"/>
      <c r="L41" s="172"/>
      <c r="M41" s="241"/>
    </row>
    <row r="42" spans="1:13" ht="12" thickTop="1" x14ac:dyDescent="0.2">
      <c r="A42" s="80">
        <f t="shared" si="0"/>
        <v>33</v>
      </c>
      <c r="B42" s="92"/>
      <c r="C42" s="79"/>
      <c r="D42" s="165"/>
      <c r="E42" s="165"/>
      <c r="F42" s="170"/>
      <c r="G42" s="222"/>
      <c r="H42" s="165"/>
      <c r="I42" s="165"/>
      <c r="K42" s="165"/>
      <c r="L42" s="165"/>
      <c r="M42" s="241"/>
    </row>
    <row r="43" spans="1:13" x14ac:dyDescent="0.2">
      <c r="A43" s="80">
        <f t="shared" si="0"/>
        <v>34</v>
      </c>
      <c r="B43" s="92"/>
      <c r="C43" s="79"/>
      <c r="D43" s="165"/>
      <c r="E43" s="165"/>
      <c r="F43" s="170"/>
      <c r="G43" s="222"/>
      <c r="H43" s="165"/>
      <c r="I43" s="165"/>
      <c r="K43" s="165"/>
      <c r="L43" s="165"/>
      <c r="M43" s="241"/>
    </row>
    <row r="44" spans="1:13" x14ac:dyDescent="0.2">
      <c r="A44" s="80">
        <f t="shared" si="0"/>
        <v>35</v>
      </c>
      <c r="B44" s="82" t="s">
        <v>107</v>
      </c>
      <c r="C44" s="82"/>
      <c r="D44" s="169"/>
      <c r="E44" s="169"/>
      <c r="F44" s="169"/>
      <c r="G44" s="222"/>
      <c r="H44" s="169"/>
      <c r="I44" s="169"/>
      <c r="K44" s="169"/>
      <c r="L44" s="169"/>
      <c r="M44" s="241"/>
    </row>
    <row r="45" spans="1:13" x14ac:dyDescent="0.2">
      <c r="A45" s="80">
        <f t="shared" si="0"/>
        <v>36</v>
      </c>
      <c r="B45" s="207" t="str">
        <f>B11</f>
        <v>Residential</v>
      </c>
      <c r="C45" s="208" t="str">
        <f>C11</f>
        <v>7 (307) (317) (327)</v>
      </c>
      <c r="D45" s="209"/>
      <c r="E45" s="209"/>
      <c r="F45" s="210" t="str">
        <f>IFERROR(E45/D45-1, "n/a")</f>
        <v>n/a</v>
      </c>
      <c r="G45" s="222"/>
      <c r="H45" s="209"/>
      <c r="I45" s="209"/>
      <c r="K45" s="209"/>
      <c r="L45" s="211"/>
      <c r="M45" s="241"/>
    </row>
    <row r="46" spans="1:13" x14ac:dyDescent="0.2">
      <c r="A46" s="80">
        <f t="shared" si="0"/>
        <v>37</v>
      </c>
      <c r="B46" s="207"/>
      <c r="C46" s="208"/>
      <c r="D46" s="211"/>
      <c r="E46" s="211"/>
      <c r="F46" s="212"/>
      <c r="G46" s="222"/>
      <c r="H46" s="211"/>
      <c r="I46" s="211"/>
      <c r="K46" s="211"/>
      <c r="L46" s="211"/>
      <c r="M46" s="241"/>
    </row>
    <row r="47" spans="1:13" x14ac:dyDescent="0.2">
      <c r="A47" s="80">
        <f t="shared" si="0"/>
        <v>38</v>
      </c>
      <c r="B47" s="207" t="str">
        <f t="shared" ref="B47:B53" si="1">B13</f>
        <v>Secondary Voltage</v>
      </c>
      <c r="C47" s="208"/>
      <c r="D47" s="211"/>
      <c r="E47" s="211"/>
      <c r="F47" s="212"/>
      <c r="G47" s="222"/>
      <c r="H47" s="211"/>
      <c r="I47" s="211"/>
      <c r="K47" s="211"/>
      <c r="L47" s="211"/>
      <c r="M47" s="241"/>
    </row>
    <row r="48" spans="1:13" x14ac:dyDescent="0.2">
      <c r="A48" s="80">
        <f t="shared" si="0"/>
        <v>39</v>
      </c>
      <c r="B48" s="213" t="str">
        <f t="shared" si="1"/>
        <v>Demand &lt;= 50 kW</v>
      </c>
      <c r="C48" s="208" t="str">
        <f>C14</f>
        <v>08 (24) (324)</v>
      </c>
      <c r="D48" s="211"/>
      <c r="E48" s="211"/>
      <c r="F48" s="212" t="str">
        <f>IFERROR(E48/D48-1, "n/a")</f>
        <v>n/a</v>
      </c>
      <c r="G48" s="222"/>
      <c r="H48" s="211"/>
      <c r="I48" s="211"/>
      <c r="K48" s="211"/>
      <c r="L48" s="211"/>
      <c r="M48" s="241"/>
    </row>
    <row r="49" spans="1:13" x14ac:dyDescent="0.2">
      <c r="A49" s="80">
        <f t="shared" si="0"/>
        <v>40</v>
      </c>
      <c r="B49" s="213" t="str">
        <f t="shared" si="1"/>
        <v>Demand &gt; 50 kW but &lt;= 350 kW</v>
      </c>
      <c r="C49" s="208" t="str">
        <f>C15</f>
        <v>7A</v>
      </c>
      <c r="D49" s="211"/>
      <c r="E49" s="211"/>
      <c r="F49" s="212" t="str">
        <f>IFERROR(E49/D49-1, "n/a")</f>
        <v>n/a</v>
      </c>
      <c r="G49" s="222"/>
      <c r="H49" s="211"/>
      <c r="I49" s="211"/>
      <c r="K49" s="211"/>
      <c r="L49" s="211"/>
      <c r="M49" s="241"/>
    </row>
    <row r="50" spans="1:13" x14ac:dyDescent="0.2">
      <c r="A50" s="80">
        <f t="shared" si="0"/>
        <v>41</v>
      </c>
      <c r="B50" s="213" t="str">
        <f t="shared" si="1"/>
        <v>Demand &gt; 50 kW but &lt;= 350 kW</v>
      </c>
      <c r="C50" s="208" t="str">
        <f>C16</f>
        <v>11 / 25</v>
      </c>
      <c r="D50" s="211">
        <f>D49</f>
        <v>0</v>
      </c>
      <c r="E50" s="211">
        <f>E49</f>
        <v>0</v>
      </c>
      <c r="F50" s="212" t="str">
        <f>IFERROR(E50/D50-1, "n/a")</f>
        <v>n/a</v>
      </c>
      <c r="G50" s="222"/>
      <c r="H50" s="211"/>
      <c r="I50" s="211"/>
      <c r="K50" s="211"/>
      <c r="L50" s="211"/>
      <c r="M50" s="241"/>
    </row>
    <row r="51" spans="1:13" x14ac:dyDescent="0.2">
      <c r="A51" s="80">
        <f t="shared" si="0"/>
        <v>42</v>
      </c>
      <c r="B51" s="213" t="str">
        <f t="shared" si="1"/>
        <v>Demand &gt; 350 kW</v>
      </c>
      <c r="C51" s="208" t="str">
        <f>C17</f>
        <v>12 (26) (26P)</v>
      </c>
      <c r="D51" s="211"/>
      <c r="E51" s="211"/>
      <c r="F51" s="212" t="str">
        <f>IFERROR(E51/D51-1, "n/a")</f>
        <v>n/a</v>
      </c>
      <c r="G51" s="222"/>
      <c r="H51" s="211"/>
      <c r="I51" s="211"/>
      <c r="K51" s="211"/>
      <c r="L51" s="211"/>
      <c r="M51" s="241"/>
    </row>
    <row r="52" spans="1:13" x14ac:dyDescent="0.2">
      <c r="A52" s="80">
        <f t="shared" si="0"/>
        <v>43</v>
      </c>
      <c r="B52" s="213" t="str">
        <f t="shared" si="1"/>
        <v>Demand &gt; 50 kW but &lt;= 350 kW</v>
      </c>
      <c r="C52" s="208">
        <f>C18</f>
        <v>29</v>
      </c>
      <c r="D52" s="211"/>
      <c r="E52" s="211"/>
      <c r="F52" s="212" t="str">
        <f>IFERROR(E52/D52-1, "n/a")</f>
        <v>n/a</v>
      </c>
      <c r="G52" s="222"/>
      <c r="H52" s="211"/>
      <c r="I52" s="211"/>
      <c r="K52" s="211"/>
      <c r="L52" s="211"/>
      <c r="M52" s="241"/>
    </row>
    <row r="53" spans="1:13" x14ac:dyDescent="0.2">
      <c r="A53" s="80">
        <f t="shared" si="0"/>
        <v>44</v>
      </c>
      <c r="B53" s="214" t="str">
        <f t="shared" si="1"/>
        <v>Total Secondary Voltage</v>
      </c>
      <c r="C53" s="215"/>
      <c r="D53" s="209"/>
      <c r="E53" s="209"/>
      <c r="F53" s="210"/>
      <c r="G53" s="222"/>
      <c r="H53" s="209"/>
      <c r="I53" s="209"/>
      <c r="K53" s="209"/>
      <c r="L53" s="211"/>
      <c r="M53" s="241"/>
    </row>
    <row r="54" spans="1:13" x14ac:dyDescent="0.2">
      <c r="A54" s="80">
        <f t="shared" si="0"/>
        <v>45</v>
      </c>
      <c r="B54" s="214"/>
      <c r="C54" s="215"/>
      <c r="D54" s="211"/>
      <c r="E54" s="211"/>
      <c r="F54" s="212"/>
      <c r="G54" s="222"/>
      <c r="H54" s="211"/>
      <c r="I54" s="211"/>
      <c r="K54" s="211"/>
      <c r="L54" s="211"/>
      <c r="M54" s="241"/>
    </row>
    <row r="55" spans="1:13" x14ac:dyDescent="0.2">
      <c r="A55" s="80">
        <f t="shared" si="0"/>
        <v>46</v>
      </c>
      <c r="B55" s="207" t="str">
        <f>B21</f>
        <v>Primary Voltage</v>
      </c>
      <c r="C55" s="208"/>
      <c r="D55" s="211"/>
      <c r="E55" s="211"/>
      <c r="F55" s="212"/>
      <c r="G55" s="222"/>
      <c r="H55" s="211"/>
      <c r="I55" s="211"/>
      <c r="K55" s="211"/>
      <c r="L55" s="211"/>
      <c r="M55" s="241"/>
    </row>
    <row r="56" spans="1:13" x14ac:dyDescent="0.2">
      <c r="A56" s="80">
        <f t="shared" si="0"/>
        <v>47</v>
      </c>
      <c r="B56" s="213" t="str">
        <f>B22</f>
        <v>General Service</v>
      </c>
      <c r="C56" s="208" t="str">
        <f>C22</f>
        <v>10 (31)</v>
      </c>
      <c r="D56" s="211"/>
      <c r="E56" s="211"/>
      <c r="F56" s="212" t="str">
        <f>IFERROR(E56/D56-1, "n/a")</f>
        <v>n/a</v>
      </c>
      <c r="G56" s="222"/>
      <c r="H56" s="211"/>
      <c r="I56" s="211"/>
      <c r="K56" s="211"/>
      <c r="L56" s="211"/>
      <c r="M56" s="241"/>
    </row>
    <row r="57" spans="1:13" x14ac:dyDescent="0.2">
      <c r="A57" s="80">
        <f t="shared" si="0"/>
        <v>48</v>
      </c>
      <c r="B57" s="213" t="str">
        <f>B23</f>
        <v>Irrigation</v>
      </c>
      <c r="C57" s="208">
        <f>C23</f>
        <v>35</v>
      </c>
      <c r="D57" s="211"/>
      <c r="E57" s="211"/>
      <c r="F57" s="212" t="str">
        <f>IFERROR(E57/D57-1, "n/a")</f>
        <v>n/a</v>
      </c>
      <c r="G57" s="222"/>
      <c r="H57" s="211"/>
      <c r="I57" s="211"/>
      <c r="K57" s="211"/>
      <c r="L57" s="211"/>
      <c r="M57" s="241"/>
    </row>
    <row r="58" spans="1:13" x14ac:dyDescent="0.2">
      <c r="A58" s="80">
        <f t="shared" si="0"/>
        <v>49</v>
      </c>
      <c r="B58" s="213" t="str">
        <f>B24</f>
        <v>Interruptible Schools</v>
      </c>
      <c r="C58" s="208">
        <f>C24</f>
        <v>43</v>
      </c>
      <c r="D58" s="211"/>
      <c r="E58" s="211"/>
      <c r="F58" s="212" t="str">
        <f>IFERROR(E58/D58-1, "n/a")</f>
        <v>n/a</v>
      </c>
      <c r="G58" s="222"/>
      <c r="H58" s="211"/>
      <c r="I58" s="211"/>
      <c r="K58" s="211"/>
      <c r="L58" s="211"/>
      <c r="M58" s="241"/>
    </row>
    <row r="59" spans="1:13" x14ac:dyDescent="0.2">
      <c r="A59" s="80">
        <f t="shared" si="0"/>
        <v>50</v>
      </c>
      <c r="B59" s="214" t="str">
        <f>B25</f>
        <v>Total Primary Voltage</v>
      </c>
      <c r="C59" s="215"/>
      <c r="D59" s="209"/>
      <c r="E59" s="209"/>
      <c r="F59" s="210"/>
      <c r="G59" s="222"/>
      <c r="H59" s="209"/>
      <c r="I59" s="209"/>
      <c r="K59" s="209"/>
      <c r="L59" s="211"/>
      <c r="M59" s="241"/>
    </row>
    <row r="60" spans="1:13" x14ac:dyDescent="0.2">
      <c r="A60" s="80">
        <f t="shared" si="0"/>
        <v>51</v>
      </c>
      <c r="B60" s="214"/>
      <c r="C60" s="215"/>
      <c r="D60" s="211"/>
      <c r="E60" s="211"/>
      <c r="F60" s="212"/>
      <c r="G60" s="222"/>
      <c r="H60" s="211"/>
      <c r="I60" s="211"/>
      <c r="K60" s="211"/>
      <c r="L60" s="211"/>
      <c r="M60" s="241"/>
    </row>
    <row r="61" spans="1:13" x14ac:dyDescent="0.2">
      <c r="A61" s="80">
        <f t="shared" si="0"/>
        <v>52</v>
      </c>
      <c r="B61" s="207" t="str">
        <f>B27</f>
        <v>High Voltage</v>
      </c>
      <c r="C61" s="208"/>
      <c r="D61" s="211"/>
      <c r="E61" s="211"/>
      <c r="F61" s="212"/>
      <c r="G61" s="222"/>
      <c r="H61" s="211"/>
      <c r="I61" s="211"/>
      <c r="K61" s="211"/>
      <c r="L61" s="211"/>
      <c r="M61" s="241"/>
    </row>
    <row r="62" spans="1:13" x14ac:dyDescent="0.2">
      <c r="A62" s="80">
        <f t="shared" si="0"/>
        <v>53</v>
      </c>
      <c r="B62" s="213" t="str">
        <f>B28</f>
        <v>Interruptible Service</v>
      </c>
      <c r="C62" s="208">
        <f>C28</f>
        <v>46</v>
      </c>
      <c r="D62" s="211"/>
      <c r="E62" s="211"/>
      <c r="F62" s="212" t="str">
        <f>IFERROR(E62/D62-1, "n/a")</f>
        <v>n/a</v>
      </c>
      <c r="G62" s="222"/>
      <c r="H62" s="211"/>
      <c r="I62" s="211"/>
      <c r="K62" s="211"/>
      <c r="L62" s="211"/>
      <c r="M62" s="241"/>
    </row>
    <row r="63" spans="1:13" x14ac:dyDescent="0.2">
      <c r="A63" s="80">
        <f t="shared" si="0"/>
        <v>54</v>
      </c>
      <c r="B63" s="213" t="str">
        <f>B29</f>
        <v>General Service</v>
      </c>
      <c r="C63" s="208">
        <f>C29</f>
        <v>49</v>
      </c>
      <c r="D63" s="211"/>
      <c r="E63" s="211"/>
      <c r="F63" s="212" t="str">
        <f>IFERROR(E63/D63-1, "n/a")</f>
        <v>n/a</v>
      </c>
      <c r="G63" s="222"/>
      <c r="H63" s="211"/>
      <c r="I63" s="211"/>
      <c r="K63" s="211"/>
      <c r="L63" s="211"/>
      <c r="M63" s="241"/>
    </row>
    <row r="64" spans="1:13" x14ac:dyDescent="0.2">
      <c r="A64" s="80">
        <f t="shared" si="0"/>
        <v>55</v>
      </c>
      <c r="B64" s="216" t="str">
        <f>B30</f>
        <v>Total High Voltage</v>
      </c>
      <c r="C64" s="215"/>
      <c r="D64" s="209"/>
      <c r="E64" s="209"/>
      <c r="F64" s="210"/>
      <c r="G64" s="222"/>
      <c r="H64" s="209"/>
      <c r="I64" s="209"/>
      <c r="K64" s="209"/>
      <c r="L64" s="211"/>
      <c r="M64" s="241"/>
    </row>
    <row r="65" spans="1:13" x14ac:dyDescent="0.2">
      <c r="A65" s="80">
        <f t="shared" si="0"/>
        <v>56</v>
      </c>
      <c r="B65" s="166"/>
      <c r="C65" s="92"/>
      <c r="D65" s="167"/>
      <c r="E65" s="167"/>
      <c r="F65" s="164"/>
      <c r="G65" s="222"/>
      <c r="H65" s="167"/>
      <c r="I65" s="167"/>
      <c r="K65" s="167"/>
      <c r="L65" s="167"/>
      <c r="M65" s="241"/>
    </row>
    <row r="66" spans="1:13" x14ac:dyDescent="0.2">
      <c r="A66" s="80">
        <f t="shared" si="0"/>
        <v>57</v>
      </c>
      <c r="B66" s="168" t="str">
        <f t="shared" ref="B66:C69" si="2">B32</f>
        <v>Choice / Retail Wheeling</v>
      </c>
      <c r="C66" s="174" t="str">
        <f t="shared" si="2"/>
        <v>448 - 459</v>
      </c>
      <c r="D66" s="178">
        <f>'Rate Impacts'!I34</f>
        <v>6.3770000000000007E-3</v>
      </c>
      <c r="E66" s="178">
        <f>SUM(H66:I66)</f>
        <v>9.8700000000000003E-3</v>
      </c>
      <c r="F66" s="164">
        <f>IFERROR(E66/D66-1, "n/a")</f>
        <v>0.54774972557628976</v>
      </c>
      <c r="H66" s="178">
        <f>ROUND('Rate Spread &amp; Design'!O30,6)</f>
        <v>1.0796E-2</v>
      </c>
      <c r="I66" s="178">
        <f>ROUND('Rate Spread &amp; Design'!Q30,6)</f>
        <v>-9.2599999999999996E-4</v>
      </c>
      <c r="J66" s="238"/>
      <c r="K66" s="251" t="s">
        <v>75</v>
      </c>
      <c r="L66" s="178"/>
      <c r="M66" s="237">
        <f>SUM(H66:I66)-E66</f>
        <v>0</v>
      </c>
    </row>
    <row r="67" spans="1:13" x14ac:dyDescent="0.2">
      <c r="A67" s="80">
        <f t="shared" si="0"/>
        <v>58</v>
      </c>
      <c r="B67" s="207" t="str">
        <f t="shared" si="2"/>
        <v>Special Contracts</v>
      </c>
      <c r="C67" s="208" t="str">
        <f t="shared" si="2"/>
        <v>Special Contract</v>
      </c>
      <c r="D67" s="211"/>
      <c r="E67" s="211"/>
      <c r="F67" s="212" t="str">
        <f>IFERROR(E67/D67-1, "n/a")</f>
        <v>n/a</v>
      </c>
      <c r="G67" s="222"/>
      <c r="H67" s="211"/>
      <c r="I67" s="211"/>
      <c r="K67" s="211"/>
      <c r="L67" s="211"/>
    </row>
    <row r="68" spans="1:13" x14ac:dyDescent="0.2">
      <c r="A68" s="80">
        <f t="shared" si="0"/>
        <v>59</v>
      </c>
      <c r="B68" s="207" t="str">
        <f t="shared" si="2"/>
        <v>Lighting</v>
      </c>
      <c r="C68" s="208" t="str">
        <f t="shared" si="2"/>
        <v>50 - 59</v>
      </c>
      <c r="D68" s="211"/>
      <c r="E68" s="211"/>
      <c r="F68" s="212" t="str">
        <f>IFERROR(E68/D68-1, "n/a")</f>
        <v>n/a</v>
      </c>
      <c r="G68" s="222"/>
      <c r="H68" s="211"/>
      <c r="I68" s="211"/>
      <c r="K68" s="211"/>
      <c r="L68" s="211"/>
    </row>
    <row r="69" spans="1:13" s="196" customFormat="1" x14ac:dyDescent="0.2">
      <c r="A69" s="80">
        <f t="shared" si="0"/>
        <v>60</v>
      </c>
      <c r="B69" s="329" t="str">
        <f t="shared" si="2"/>
        <v>Transportation Electrification</v>
      </c>
      <c r="C69" s="330">
        <f t="shared" si="2"/>
        <v>558</v>
      </c>
      <c r="D69" s="331"/>
      <c r="E69" s="331"/>
      <c r="F69" s="332"/>
      <c r="G69" s="333"/>
      <c r="H69" s="331"/>
      <c r="I69" s="331"/>
      <c r="J69" s="334"/>
      <c r="K69" s="331"/>
      <c r="L69" s="211"/>
    </row>
    <row r="70" spans="1:13" x14ac:dyDescent="0.2">
      <c r="A70" s="80">
        <f t="shared" si="0"/>
        <v>61</v>
      </c>
      <c r="B70" s="207"/>
      <c r="C70" s="208"/>
      <c r="D70" s="211"/>
      <c r="E70" s="211"/>
      <c r="F70" s="212"/>
      <c r="G70" s="222"/>
      <c r="H70" s="211"/>
      <c r="I70" s="211"/>
      <c r="K70" s="211"/>
      <c r="L70" s="211"/>
    </row>
    <row r="71" spans="1:13" x14ac:dyDescent="0.2">
      <c r="A71" s="80">
        <f t="shared" si="0"/>
        <v>62</v>
      </c>
      <c r="B71" s="207" t="str">
        <f>B37</f>
        <v>Total Retail Sales</v>
      </c>
      <c r="C71" s="215"/>
      <c r="D71" s="209"/>
      <c r="E71" s="209"/>
      <c r="F71" s="210"/>
      <c r="G71" s="222"/>
      <c r="H71" s="209"/>
      <c r="I71" s="209"/>
      <c r="K71" s="209"/>
      <c r="L71" s="211"/>
    </row>
    <row r="72" spans="1:13" x14ac:dyDescent="0.2">
      <c r="A72" s="80">
        <f t="shared" si="0"/>
        <v>63</v>
      </c>
      <c r="B72" s="207"/>
      <c r="C72" s="208"/>
      <c r="D72" s="211"/>
      <c r="E72" s="211"/>
      <c r="F72" s="212"/>
      <c r="G72" s="222"/>
      <c r="H72" s="211"/>
      <c r="I72" s="211"/>
      <c r="K72" s="211"/>
      <c r="L72" s="211"/>
    </row>
    <row r="73" spans="1:13" x14ac:dyDescent="0.2">
      <c r="A73" s="80">
        <f t="shared" si="0"/>
        <v>64</v>
      </c>
      <c r="B73" s="207" t="str">
        <f>B39</f>
        <v>Firm Resale</v>
      </c>
      <c r="C73" s="208">
        <f>C39</f>
        <v>5</v>
      </c>
      <c r="D73" s="211"/>
      <c r="E73" s="211"/>
      <c r="F73" s="212" t="str">
        <f>IFERROR(E73/D73-1, "n/a")</f>
        <v>n/a</v>
      </c>
      <c r="G73" s="222"/>
      <c r="H73" s="211"/>
      <c r="I73" s="211"/>
      <c r="K73" s="211"/>
      <c r="L73" s="211"/>
    </row>
    <row r="74" spans="1:13" x14ac:dyDescent="0.2">
      <c r="A74" s="80">
        <f t="shared" si="0"/>
        <v>65</v>
      </c>
      <c r="B74" s="207"/>
      <c r="C74" s="216"/>
      <c r="D74" s="217"/>
      <c r="E74" s="217"/>
      <c r="F74" s="212"/>
      <c r="G74" s="221"/>
      <c r="H74" s="217"/>
      <c r="I74" s="217"/>
      <c r="K74" s="217"/>
      <c r="L74" s="217"/>
    </row>
    <row r="75" spans="1:13" ht="12" thickBot="1" x14ac:dyDescent="0.25">
      <c r="A75" s="80">
        <f>+A74+1</f>
        <v>66</v>
      </c>
      <c r="B75" s="207" t="str">
        <f>B41</f>
        <v>Total Sales</v>
      </c>
      <c r="C75" s="218"/>
      <c r="D75" s="219"/>
      <c r="E75" s="219"/>
      <c r="F75" s="220"/>
      <c r="G75" s="221"/>
      <c r="H75" s="219"/>
      <c r="I75" s="219"/>
      <c r="K75" s="219"/>
      <c r="L75" s="217"/>
    </row>
    <row r="76" spans="1:13" ht="12" thickTop="1" x14ac:dyDescent="0.2"/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4" tint="0.79998168889431442"/>
    <pageSetUpPr fitToPage="1"/>
  </sheetPr>
  <dimension ref="A1:L213"/>
  <sheetViews>
    <sheetView topLeftCell="B1" zoomScaleNormal="100" workbookViewId="0">
      <pane ySplit="8" topLeftCell="A189" activePane="bottomLeft" state="frozen"/>
      <selection pane="bottomLeft" activeCell="G205" sqref="G205"/>
    </sheetView>
  </sheetViews>
  <sheetFormatPr defaultColWidth="8.85546875" defaultRowHeight="11.25" x14ac:dyDescent="0.2"/>
  <cols>
    <col min="1" max="1" width="4.42578125" style="5" bestFit="1" customWidth="1"/>
    <col min="2" max="2" width="28.7109375" style="5" customWidth="1"/>
    <col min="3" max="3" width="12.7109375" style="5" customWidth="1"/>
    <col min="4" max="4" width="11.7109375" style="5" customWidth="1"/>
    <col min="5" max="5" width="12.42578125" style="5" bestFit="1" customWidth="1"/>
    <col min="6" max="6" width="13.140625" style="5" customWidth="1"/>
    <col min="7" max="7" width="14.7109375" style="2" bestFit="1" customWidth="1"/>
    <col min="8" max="8" width="12.5703125" style="5" bestFit="1" customWidth="1"/>
    <col min="9" max="9" width="9.42578125" style="5" bestFit="1" customWidth="1"/>
    <col min="10" max="16384" width="8.85546875" style="5"/>
  </cols>
  <sheetData>
    <row r="1" spans="1:9" s="69" customFormat="1" x14ac:dyDescent="0.2">
      <c r="A1" s="113" t="s">
        <v>112</v>
      </c>
      <c r="B1" s="147"/>
      <c r="C1" s="147"/>
      <c r="D1" s="147"/>
      <c r="E1" s="147"/>
      <c r="F1" s="147"/>
      <c r="G1" s="256"/>
    </row>
    <row r="2" spans="1:9" s="69" customFormat="1" x14ac:dyDescent="0.2">
      <c r="A2" s="147" t="s">
        <v>23</v>
      </c>
      <c r="B2" s="147"/>
      <c r="C2" s="147"/>
      <c r="D2" s="147"/>
      <c r="E2" s="147"/>
      <c r="F2" s="147"/>
      <c r="G2" s="256"/>
    </row>
    <row r="3" spans="1:9" s="69" customFormat="1" x14ac:dyDescent="0.2">
      <c r="A3" s="114" t="str">
        <f>Inputs!B2&amp;" Forecasted Rate-Year Ended "&amp;TEXT(Inputs!B4,"mmmm d, yyyy")</f>
        <v>F2024 Forecasted Rate-Year Ended April 30, 2026</v>
      </c>
      <c r="B3" s="113"/>
      <c r="C3" s="113"/>
      <c r="D3" s="113"/>
      <c r="E3" s="113"/>
      <c r="F3" s="113"/>
      <c r="G3" s="256"/>
    </row>
    <row r="4" spans="1:9" s="69" customFormat="1" x14ac:dyDescent="0.2">
      <c r="A4" s="114" t="str">
        <f>"Proposed Rate Effective "&amp;TEXT(Inputs!B1,"mmmm d, yyyy")</f>
        <v>Proposed Rate Effective May 1, 2025</v>
      </c>
      <c r="B4" s="113"/>
      <c r="C4" s="113"/>
      <c r="D4" s="113"/>
      <c r="E4" s="113"/>
      <c r="F4" s="113"/>
      <c r="G4" s="256"/>
    </row>
    <row r="5" spans="1:9" s="69" customFormat="1" x14ac:dyDescent="0.2">
      <c r="A5" s="147" t="s">
        <v>130</v>
      </c>
      <c r="B5" s="147"/>
      <c r="C5" s="147"/>
      <c r="D5" s="147"/>
      <c r="E5" s="147"/>
      <c r="F5" s="147"/>
      <c r="G5" s="256"/>
    </row>
    <row r="6" spans="1:9" s="69" customFormat="1" ht="12" thickBot="1" x14ac:dyDescent="0.25">
      <c r="A6" s="147"/>
      <c r="B6" s="147"/>
      <c r="C6" s="147"/>
      <c r="D6" s="147"/>
      <c r="E6" s="147"/>
      <c r="F6" s="147"/>
      <c r="G6" s="256"/>
    </row>
    <row r="7" spans="1:9" s="69" customFormat="1" ht="12" thickBot="1" x14ac:dyDescent="0.25">
      <c r="A7" s="336" t="s">
        <v>113</v>
      </c>
      <c r="B7" s="336"/>
      <c r="C7" s="336"/>
      <c r="D7" s="433" t="s">
        <v>254</v>
      </c>
      <c r="E7" s="434"/>
      <c r="F7" s="434"/>
      <c r="G7" s="435"/>
    </row>
    <row r="8" spans="1:9" s="69" customFormat="1" ht="33.75" x14ac:dyDescent="0.2">
      <c r="A8" s="66" t="s">
        <v>0</v>
      </c>
      <c r="B8" s="66" t="s">
        <v>195</v>
      </c>
      <c r="C8" s="66" t="s">
        <v>29</v>
      </c>
      <c r="D8" s="67" t="s">
        <v>94</v>
      </c>
      <c r="E8" s="67" t="s">
        <v>95</v>
      </c>
      <c r="F8" s="67" t="s">
        <v>142</v>
      </c>
      <c r="G8" s="225" t="s">
        <v>73</v>
      </c>
    </row>
    <row r="9" spans="1:9" x14ac:dyDescent="0.2">
      <c r="A9" s="31"/>
      <c r="B9" s="45"/>
      <c r="C9" s="46"/>
      <c r="D9" s="48"/>
      <c r="E9" s="48"/>
      <c r="F9" s="9"/>
      <c r="G9" s="226"/>
    </row>
    <row r="10" spans="1:9" ht="13.5" x14ac:dyDescent="0.35">
      <c r="A10" s="31">
        <v>1</v>
      </c>
      <c r="B10" s="255" t="s">
        <v>155</v>
      </c>
      <c r="C10" s="4"/>
      <c r="D10" s="30"/>
      <c r="E10" s="30"/>
      <c r="F10" s="30"/>
      <c r="G10" s="226"/>
    </row>
    <row r="11" spans="1:9" x14ac:dyDescent="0.2">
      <c r="A11" s="31">
        <f>A10+1</f>
        <v>2</v>
      </c>
      <c r="B11" s="49" t="s">
        <v>164</v>
      </c>
      <c r="C11" s="51">
        <v>22</v>
      </c>
      <c r="D11" s="252">
        <f>ROUND('Lighting RD'!G11,2)</f>
        <v>0.05</v>
      </c>
      <c r="E11" s="252">
        <f>ROUND('Lighting RD'!H11,2)</f>
        <v>0</v>
      </c>
      <c r="F11" s="179">
        <f>SUM(D11:E11)</f>
        <v>0.05</v>
      </c>
      <c r="G11" s="222" t="s">
        <v>75</v>
      </c>
      <c r="H11" s="429"/>
      <c r="I11" s="429"/>
    </row>
    <row r="12" spans="1:9" x14ac:dyDescent="0.2">
      <c r="A12" s="31">
        <f t="shared" ref="A12:A78" si="0">A11+1</f>
        <v>3</v>
      </c>
      <c r="B12" s="11"/>
      <c r="C12" s="9"/>
      <c r="D12" s="253"/>
      <c r="E12" s="253"/>
      <c r="F12" s="30"/>
      <c r="G12" s="227"/>
      <c r="H12" s="429"/>
      <c r="I12" s="429"/>
    </row>
    <row r="13" spans="1:9" x14ac:dyDescent="0.2">
      <c r="A13" s="31">
        <f t="shared" si="0"/>
        <v>4</v>
      </c>
      <c r="B13" s="49" t="s">
        <v>165</v>
      </c>
      <c r="C13" s="54">
        <v>100</v>
      </c>
      <c r="D13" s="252">
        <f>ROUND('Lighting RD'!G13,2)</f>
        <v>0.27</v>
      </c>
      <c r="E13" s="252">
        <f>ROUND('Lighting RD'!H13,2)</f>
        <v>-0.02</v>
      </c>
      <c r="F13" s="179">
        <f>SUM(D13:E13)</f>
        <v>0.25</v>
      </c>
      <c r="G13" s="222" t="s">
        <v>75</v>
      </c>
      <c r="H13" s="429"/>
      <c r="I13" s="429"/>
    </row>
    <row r="14" spans="1:9" x14ac:dyDescent="0.2">
      <c r="A14" s="31">
        <f t="shared" si="0"/>
        <v>5</v>
      </c>
      <c r="B14" s="49" t="s">
        <v>165</v>
      </c>
      <c r="C14" s="54">
        <v>175</v>
      </c>
      <c r="D14" s="252">
        <f>ROUND('Lighting RD'!G14,2)</f>
        <v>0.47</v>
      </c>
      <c r="E14" s="252">
        <f>ROUND('Lighting RD'!H14,2)</f>
        <v>-0.04</v>
      </c>
      <c r="F14" s="179">
        <f>SUM(D14:E14)</f>
        <v>0.43</v>
      </c>
      <c r="G14" s="222" t="s">
        <v>75</v>
      </c>
      <c r="H14" s="429"/>
      <c r="I14" s="429"/>
    </row>
    <row r="15" spans="1:9" x14ac:dyDescent="0.2">
      <c r="A15" s="31">
        <f t="shared" si="0"/>
        <v>6</v>
      </c>
      <c r="B15" s="49" t="s">
        <v>165</v>
      </c>
      <c r="C15" s="54">
        <v>400</v>
      </c>
      <c r="D15" s="252">
        <f>ROUND('Lighting RD'!G15,2)</f>
        <v>0.98</v>
      </c>
      <c r="E15" s="252">
        <f>ROUND('Lighting RD'!H15,2)</f>
        <v>-0.08</v>
      </c>
      <c r="F15" s="179">
        <f>SUM(D15:E15)</f>
        <v>0.9</v>
      </c>
      <c r="G15" s="222" t="s">
        <v>75</v>
      </c>
      <c r="H15" s="429"/>
      <c r="I15" s="429"/>
    </row>
    <row r="16" spans="1:9" x14ac:dyDescent="0.2">
      <c r="A16" s="31">
        <f t="shared" si="0"/>
        <v>7</v>
      </c>
      <c r="B16" s="49"/>
      <c r="C16" s="54"/>
      <c r="D16" s="254"/>
      <c r="E16" s="254"/>
      <c r="F16" s="53"/>
      <c r="G16" s="227"/>
      <c r="H16" s="429"/>
      <c r="I16" s="429"/>
    </row>
    <row r="17" spans="1:9" x14ac:dyDescent="0.2">
      <c r="A17" s="31">
        <f t="shared" si="0"/>
        <v>8</v>
      </c>
      <c r="B17" s="49" t="s">
        <v>166</v>
      </c>
      <c r="C17" s="54">
        <v>100</v>
      </c>
      <c r="D17" s="252">
        <f>ROUND('Lighting RD'!G13,2)</f>
        <v>0.27</v>
      </c>
      <c r="E17" s="252">
        <f>ROUND('Lighting RD'!H13,2)</f>
        <v>-0.02</v>
      </c>
      <c r="F17" s="179">
        <f>SUM(D17:E17)</f>
        <v>0.25</v>
      </c>
      <c r="G17" s="222" t="s">
        <v>75</v>
      </c>
      <c r="H17" s="429"/>
      <c r="I17" s="429"/>
    </row>
    <row r="18" spans="1:9" x14ac:dyDescent="0.2">
      <c r="A18" s="31">
        <f t="shared" si="0"/>
        <v>9</v>
      </c>
      <c r="B18" s="49" t="s">
        <v>166</v>
      </c>
      <c r="C18" s="54">
        <v>175</v>
      </c>
      <c r="D18" s="252">
        <f>ROUND('Lighting RD'!G14,2)</f>
        <v>0.47</v>
      </c>
      <c r="E18" s="252">
        <f>ROUND('Lighting RD'!H14,2)</f>
        <v>-0.04</v>
      </c>
      <c r="F18" s="179">
        <f>SUM(D18:E18)</f>
        <v>0.43</v>
      </c>
      <c r="G18" s="222" t="s">
        <v>75</v>
      </c>
      <c r="H18" s="429"/>
      <c r="I18" s="429"/>
    </row>
    <row r="19" spans="1:9" x14ac:dyDescent="0.2">
      <c r="A19" s="31">
        <f t="shared" si="0"/>
        <v>10</v>
      </c>
      <c r="B19" s="49" t="s">
        <v>166</v>
      </c>
      <c r="C19" s="54">
        <v>400</v>
      </c>
      <c r="D19" s="252">
        <f>ROUND('Lighting RD'!G15,2)</f>
        <v>0.98</v>
      </c>
      <c r="E19" s="252">
        <f>ROUND('Lighting RD'!H15,2)</f>
        <v>-0.08</v>
      </c>
      <c r="F19" s="179">
        <f>SUM(D19:E19)</f>
        <v>0.9</v>
      </c>
      <c r="G19" s="222" t="s">
        <v>75</v>
      </c>
      <c r="H19" s="429"/>
      <c r="I19" s="429"/>
    </row>
    <row r="20" spans="1:9" x14ac:dyDescent="0.2">
      <c r="A20" s="31">
        <f t="shared" si="0"/>
        <v>11</v>
      </c>
      <c r="B20" s="49" t="s">
        <v>166</v>
      </c>
      <c r="C20" s="54">
        <v>700</v>
      </c>
      <c r="D20" s="252">
        <f>ROUND('Lighting RD'!G16,2)</f>
        <v>2.4500000000000002</v>
      </c>
      <c r="E20" s="252">
        <f>ROUND('Lighting RD'!H16,2)</f>
        <v>-0.21</v>
      </c>
      <c r="F20" s="179">
        <f>SUM(D20:E20)</f>
        <v>2.2400000000000002</v>
      </c>
      <c r="G20" s="222" t="s">
        <v>75</v>
      </c>
      <c r="H20" s="429"/>
      <c r="I20" s="429"/>
    </row>
    <row r="21" spans="1:9" x14ac:dyDescent="0.2">
      <c r="A21" s="31">
        <f t="shared" si="0"/>
        <v>12</v>
      </c>
      <c r="B21" s="49"/>
      <c r="C21" s="54"/>
      <c r="D21" s="252"/>
      <c r="E21" s="252"/>
      <c r="F21" s="179"/>
      <c r="G21" s="222"/>
      <c r="H21" s="429"/>
      <c r="I21" s="429"/>
    </row>
    <row r="22" spans="1:9" ht="13.5" x14ac:dyDescent="0.35">
      <c r="A22" s="31">
        <f t="shared" si="0"/>
        <v>13</v>
      </c>
      <c r="B22" s="255" t="s">
        <v>156</v>
      </c>
      <c r="C22" s="4"/>
      <c r="D22" s="253"/>
      <c r="E22" s="253"/>
      <c r="F22" s="30"/>
      <c r="G22" s="227"/>
      <c r="H22" s="429"/>
      <c r="I22" s="429"/>
    </row>
    <row r="23" spans="1:9" x14ac:dyDescent="0.2">
      <c r="A23" s="31">
        <f t="shared" si="0"/>
        <v>14</v>
      </c>
      <c r="B23" s="49" t="s">
        <v>167</v>
      </c>
      <c r="C23" s="55" t="s">
        <v>90</v>
      </c>
      <c r="D23" s="252">
        <f>ROUND('Lighting RD'!G19,2)</f>
        <v>0.05</v>
      </c>
      <c r="E23" s="252">
        <f>ROUND('Lighting RD'!H19,2)</f>
        <v>0</v>
      </c>
      <c r="F23" s="179">
        <f t="shared" ref="F23:F32" si="1">SUM(D23:E23)</f>
        <v>0.05</v>
      </c>
      <c r="G23" s="222" t="s">
        <v>76</v>
      </c>
      <c r="H23" s="429"/>
      <c r="I23" s="429"/>
    </row>
    <row r="24" spans="1:9" x14ac:dyDescent="0.2">
      <c r="A24" s="31">
        <f t="shared" si="0"/>
        <v>15</v>
      </c>
      <c r="B24" s="49" t="s">
        <v>167</v>
      </c>
      <c r="C24" s="55" t="s">
        <v>34</v>
      </c>
      <c r="D24" s="252">
        <f>ROUND('Lighting RD'!G20,2)</f>
        <v>0.11</v>
      </c>
      <c r="E24" s="252">
        <f>ROUND('Lighting RD'!H20,2)</f>
        <v>-0.01</v>
      </c>
      <c r="F24" s="179">
        <f t="shared" si="1"/>
        <v>0.1</v>
      </c>
      <c r="G24" s="222" t="s">
        <v>76</v>
      </c>
      <c r="H24" s="429"/>
      <c r="I24" s="429"/>
    </row>
    <row r="25" spans="1:9" x14ac:dyDescent="0.2">
      <c r="A25" s="31">
        <f t="shared" si="0"/>
        <v>16</v>
      </c>
      <c r="B25" s="49" t="s">
        <v>167</v>
      </c>
      <c r="C25" s="54" t="s">
        <v>35</v>
      </c>
      <c r="D25" s="252">
        <f>ROUND('Lighting RD'!G21,2)</f>
        <v>0.18</v>
      </c>
      <c r="E25" s="252">
        <f>ROUND('Lighting RD'!H21,2)</f>
        <v>-0.02</v>
      </c>
      <c r="F25" s="179">
        <f t="shared" si="1"/>
        <v>0.16</v>
      </c>
      <c r="G25" s="222" t="s">
        <v>76</v>
      </c>
      <c r="H25" s="429"/>
      <c r="I25" s="429"/>
    </row>
    <row r="26" spans="1:9" x14ac:dyDescent="0.2">
      <c r="A26" s="31">
        <f t="shared" si="0"/>
        <v>17</v>
      </c>
      <c r="B26" s="49" t="s">
        <v>167</v>
      </c>
      <c r="C26" s="54" t="s">
        <v>36</v>
      </c>
      <c r="D26" s="252">
        <f>ROUND('Lighting RD'!G22,2)</f>
        <v>0.27</v>
      </c>
      <c r="E26" s="252">
        <f>ROUND('Lighting RD'!H22,2)</f>
        <v>-0.02</v>
      </c>
      <c r="F26" s="179">
        <f t="shared" si="1"/>
        <v>0.25</v>
      </c>
      <c r="G26" s="222" t="s">
        <v>76</v>
      </c>
      <c r="H26" s="429"/>
      <c r="I26" s="429"/>
    </row>
    <row r="27" spans="1:9" x14ac:dyDescent="0.2">
      <c r="A27" s="31">
        <f t="shared" si="0"/>
        <v>18</v>
      </c>
      <c r="B27" s="49" t="s">
        <v>167</v>
      </c>
      <c r="C27" s="54" t="s">
        <v>37</v>
      </c>
      <c r="D27" s="252">
        <f>ROUND('Lighting RD'!G23,2)</f>
        <v>0.27</v>
      </c>
      <c r="E27" s="252">
        <f>ROUND('Lighting RD'!H23,2)</f>
        <v>-0.02</v>
      </c>
      <c r="F27" s="179">
        <f t="shared" si="1"/>
        <v>0.25</v>
      </c>
      <c r="G27" s="222" t="s">
        <v>76</v>
      </c>
      <c r="H27" s="429"/>
      <c r="I27" s="429"/>
    </row>
    <row r="28" spans="1:9" x14ac:dyDescent="0.2">
      <c r="A28" s="31">
        <f t="shared" si="0"/>
        <v>19</v>
      </c>
      <c r="B28" s="49" t="s">
        <v>167</v>
      </c>
      <c r="C28" s="54" t="s">
        <v>38</v>
      </c>
      <c r="D28" s="252">
        <f>ROUND('Lighting RD'!G24,2)</f>
        <v>0.47</v>
      </c>
      <c r="E28" s="252">
        <f>ROUND('Lighting RD'!H24,2)</f>
        <v>-0.04</v>
      </c>
      <c r="F28" s="179">
        <f t="shared" si="1"/>
        <v>0.43</v>
      </c>
      <c r="G28" s="222" t="s">
        <v>76</v>
      </c>
      <c r="H28" s="429"/>
      <c r="I28" s="429"/>
    </row>
    <row r="29" spans="1:9" x14ac:dyDescent="0.2">
      <c r="A29" s="31">
        <f t="shared" si="0"/>
        <v>20</v>
      </c>
      <c r="B29" s="49" t="s">
        <v>167</v>
      </c>
      <c r="C29" s="54" t="s">
        <v>39</v>
      </c>
      <c r="D29" s="252">
        <f>ROUND('Lighting RD'!G25,2)</f>
        <v>0.47</v>
      </c>
      <c r="E29" s="252">
        <f>ROUND('Lighting RD'!H25,2)</f>
        <v>-0.04</v>
      </c>
      <c r="F29" s="179">
        <f t="shared" si="1"/>
        <v>0.43</v>
      </c>
      <c r="G29" s="222" t="s">
        <v>77</v>
      </c>
      <c r="H29" s="429"/>
      <c r="I29" s="429"/>
    </row>
    <row r="30" spans="1:9" x14ac:dyDescent="0.2">
      <c r="A30" s="31">
        <f t="shared" si="0"/>
        <v>21</v>
      </c>
      <c r="B30" s="49" t="s">
        <v>167</v>
      </c>
      <c r="C30" s="54" t="s">
        <v>40</v>
      </c>
      <c r="D30" s="252">
        <f>ROUND('Lighting RD'!G26,2)</f>
        <v>0.47</v>
      </c>
      <c r="E30" s="252">
        <f>ROUND('Lighting RD'!H26,2)</f>
        <v>-0.04</v>
      </c>
      <c r="F30" s="179">
        <f t="shared" si="1"/>
        <v>0.43</v>
      </c>
      <c r="G30" s="222" t="s">
        <v>77</v>
      </c>
      <c r="H30" s="429"/>
      <c r="I30" s="429"/>
    </row>
    <row r="31" spans="1:9" x14ac:dyDescent="0.2">
      <c r="A31" s="31">
        <f t="shared" si="0"/>
        <v>22</v>
      </c>
      <c r="B31" s="49" t="s">
        <v>167</v>
      </c>
      <c r="C31" s="54" t="s">
        <v>41</v>
      </c>
      <c r="D31" s="252">
        <f>ROUND('Lighting RD'!G27,2)</f>
        <v>0.62</v>
      </c>
      <c r="E31" s="252">
        <f>ROUND('Lighting RD'!H27,2)</f>
        <v>-0.05</v>
      </c>
      <c r="F31" s="179">
        <f t="shared" si="1"/>
        <v>0.56999999999999995</v>
      </c>
      <c r="G31" s="222" t="s">
        <v>77</v>
      </c>
      <c r="H31" s="429"/>
      <c r="I31" s="429"/>
    </row>
    <row r="32" spans="1:9" x14ac:dyDescent="0.2">
      <c r="A32" s="31">
        <f t="shared" si="0"/>
        <v>23</v>
      </c>
      <c r="B32" s="49" t="s">
        <v>167</v>
      </c>
      <c r="C32" s="54" t="s">
        <v>42</v>
      </c>
      <c r="D32" s="252">
        <f>ROUND('Lighting RD'!G28,2)</f>
        <v>0.62</v>
      </c>
      <c r="E32" s="252">
        <f>ROUND('Lighting RD'!H28,2)</f>
        <v>-0.05</v>
      </c>
      <c r="F32" s="179">
        <f t="shared" si="1"/>
        <v>0.56999999999999995</v>
      </c>
      <c r="G32" s="222" t="s">
        <v>77</v>
      </c>
      <c r="H32" s="429"/>
      <c r="I32" s="429"/>
    </row>
    <row r="33" spans="1:9" x14ac:dyDescent="0.2">
      <c r="A33" s="31">
        <f t="shared" si="0"/>
        <v>24</v>
      </c>
      <c r="B33" s="49"/>
      <c r="C33" s="54"/>
      <c r="D33" s="254"/>
      <c r="E33" s="254"/>
      <c r="F33" s="53"/>
      <c r="G33" s="222"/>
      <c r="H33" s="429"/>
      <c r="I33" s="429"/>
    </row>
    <row r="34" spans="1:9" x14ac:dyDescent="0.2">
      <c r="A34" s="31">
        <f t="shared" si="0"/>
        <v>25</v>
      </c>
      <c r="B34" s="49" t="s">
        <v>168</v>
      </c>
      <c r="C34" s="55" t="s">
        <v>103</v>
      </c>
      <c r="D34" s="239">
        <f>ROUND('Lighting RD'!G29,6)</f>
        <v>6.8089999999999999E-3</v>
      </c>
      <c r="E34" s="239">
        <f>ROUND('Lighting RD'!H29,6)</f>
        <v>-5.8399999999999999E-4</v>
      </c>
      <c r="F34" s="229">
        <f>SUM(D34:E34)</f>
        <v>6.2249999999999996E-3</v>
      </c>
      <c r="G34" s="222" t="s">
        <v>81</v>
      </c>
      <c r="H34" s="430"/>
      <c r="I34" s="430"/>
    </row>
    <row r="35" spans="1:9" x14ac:dyDescent="0.2">
      <c r="A35" s="31">
        <f t="shared" si="0"/>
        <v>26</v>
      </c>
      <c r="B35" s="49"/>
      <c r="C35" s="55"/>
      <c r="D35" s="239"/>
      <c r="E35" s="239"/>
      <c r="F35" s="229"/>
      <c r="G35" s="222"/>
      <c r="H35" s="429"/>
      <c r="I35" s="429"/>
    </row>
    <row r="36" spans="1:9" ht="13.5" x14ac:dyDescent="0.35">
      <c r="A36" s="31">
        <f t="shared" si="0"/>
        <v>27</v>
      </c>
      <c r="B36" s="255" t="s">
        <v>157</v>
      </c>
      <c r="C36" s="4"/>
      <c r="D36" s="253"/>
      <c r="E36" s="253"/>
      <c r="F36" s="30"/>
      <c r="G36" s="227"/>
      <c r="H36" s="429"/>
      <c r="I36" s="429"/>
    </row>
    <row r="37" spans="1:9" x14ac:dyDescent="0.2">
      <c r="A37" s="31">
        <f t="shared" si="0"/>
        <v>28</v>
      </c>
      <c r="B37" s="49" t="s">
        <v>169</v>
      </c>
      <c r="C37" s="37">
        <v>50</v>
      </c>
      <c r="D37" s="252">
        <f>ROUND('Lighting RD'!G32,2)</f>
        <v>0.11</v>
      </c>
      <c r="E37" s="252">
        <f>ROUND('Lighting RD'!H32,2)</f>
        <v>-0.01</v>
      </c>
      <c r="F37" s="179">
        <f t="shared" ref="F37:F44" si="2">SUM(D37:E37)</f>
        <v>0.1</v>
      </c>
      <c r="G37" s="222" t="s">
        <v>78</v>
      </c>
      <c r="H37" s="429"/>
      <c r="I37" s="429"/>
    </row>
    <row r="38" spans="1:9" x14ac:dyDescent="0.2">
      <c r="A38" s="31">
        <f t="shared" si="0"/>
        <v>29</v>
      </c>
      <c r="B38" s="49" t="s">
        <v>169</v>
      </c>
      <c r="C38" s="37">
        <v>70</v>
      </c>
      <c r="D38" s="252">
        <f>ROUND('Lighting RD'!G33,2)</f>
        <v>0.18</v>
      </c>
      <c r="E38" s="252">
        <f>ROUND('Lighting RD'!H33,2)</f>
        <v>-0.02</v>
      </c>
      <c r="F38" s="179">
        <f t="shared" si="2"/>
        <v>0.16</v>
      </c>
      <c r="G38" s="222" t="s">
        <v>78</v>
      </c>
      <c r="H38" s="429"/>
      <c r="I38" s="429"/>
    </row>
    <row r="39" spans="1:9" x14ac:dyDescent="0.2">
      <c r="A39" s="31">
        <f t="shared" si="0"/>
        <v>30</v>
      </c>
      <c r="B39" s="49" t="s">
        <v>169</v>
      </c>
      <c r="C39" s="37">
        <v>100</v>
      </c>
      <c r="D39" s="252">
        <f>ROUND('Lighting RD'!G34,2)</f>
        <v>0.27</v>
      </c>
      <c r="E39" s="252">
        <f>ROUND('Lighting RD'!H34,2)</f>
        <v>-0.02</v>
      </c>
      <c r="F39" s="179">
        <f t="shared" si="2"/>
        <v>0.25</v>
      </c>
      <c r="G39" s="222" t="s">
        <v>78</v>
      </c>
      <c r="H39" s="429"/>
      <c r="I39" s="429"/>
    </row>
    <row r="40" spans="1:9" x14ac:dyDescent="0.2">
      <c r="A40" s="31">
        <f t="shared" si="0"/>
        <v>31</v>
      </c>
      <c r="B40" s="49" t="s">
        <v>169</v>
      </c>
      <c r="C40" s="37">
        <v>150</v>
      </c>
      <c r="D40" s="252">
        <f>ROUND('Lighting RD'!G35,2)</f>
        <v>0.27</v>
      </c>
      <c r="E40" s="252">
        <f>ROUND('Lighting RD'!H35,2)</f>
        <v>-0.02</v>
      </c>
      <c r="F40" s="179">
        <f t="shared" si="2"/>
        <v>0.25</v>
      </c>
      <c r="G40" s="222" t="s">
        <v>78</v>
      </c>
      <c r="H40" s="429"/>
      <c r="I40" s="429"/>
    </row>
    <row r="41" spans="1:9" x14ac:dyDescent="0.2">
      <c r="A41" s="31">
        <f t="shared" si="0"/>
        <v>32</v>
      </c>
      <c r="B41" s="49" t="s">
        <v>169</v>
      </c>
      <c r="C41" s="37">
        <v>200</v>
      </c>
      <c r="D41" s="252">
        <f>ROUND('Lighting RD'!G36,2)</f>
        <v>0.47</v>
      </c>
      <c r="E41" s="252">
        <f>ROUND('Lighting RD'!H36,2)</f>
        <v>-0.04</v>
      </c>
      <c r="F41" s="179">
        <f t="shared" si="2"/>
        <v>0.43</v>
      </c>
      <c r="G41" s="222" t="s">
        <v>78</v>
      </c>
      <c r="H41" s="429"/>
      <c r="I41" s="429"/>
    </row>
    <row r="42" spans="1:9" x14ac:dyDescent="0.2">
      <c r="A42" s="31">
        <f t="shared" si="0"/>
        <v>33</v>
      </c>
      <c r="B42" s="49" t="s">
        <v>169</v>
      </c>
      <c r="C42" s="37">
        <v>250</v>
      </c>
      <c r="D42" s="252">
        <f>ROUND('Lighting RD'!G37,2)</f>
        <v>0.62</v>
      </c>
      <c r="E42" s="252">
        <f>ROUND('Lighting RD'!H37,2)</f>
        <v>-0.05</v>
      </c>
      <c r="F42" s="179">
        <f t="shared" si="2"/>
        <v>0.56999999999999995</v>
      </c>
      <c r="G42" s="222" t="s">
        <v>78</v>
      </c>
      <c r="H42" s="429"/>
      <c r="I42" s="429"/>
    </row>
    <row r="43" spans="1:9" x14ac:dyDescent="0.2">
      <c r="A43" s="31">
        <f t="shared" si="0"/>
        <v>34</v>
      </c>
      <c r="B43" s="49" t="s">
        <v>169</v>
      </c>
      <c r="C43" s="37">
        <v>310</v>
      </c>
      <c r="D43" s="252">
        <f>ROUND('Lighting RD'!G38,2)</f>
        <v>0.62</v>
      </c>
      <c r="E43" s="252">
        <f>ROUND('Lighting RD'!H38,2)</f>
        <v>-0.05</v>
      </c>
      <c r="F43" s="179">
        <f t="shared" si="2"/>
        <v>0.56999999999999995</v>
      </c>
      <c r="G43" s="222" t="s">
        <v>78</v>
      </c>
      <c r="H43" s="429"/>
      <c r="I43" s="429"/>
    </row>
    <row r="44" spans="1:9" x14ac:dyDescent="0.2">
      <c r="A44" s="31">
        <f t="shared" si="0"/>
        <v>35</v>
      </c>
      <c r="B44" s="49" t="s">
        <v>169</v>
      </c>
      <c r="C44" s="37">
        <v>400</v>
      </c>
      <c r="D44" s="252">
        <f>ROUND('Lighting RD'!G39,2)</f>
        <v>0.98</v>
      </c>
      <c r="E44" s="252">
        <f>ROUND('Lighting RD'!H39,2)</f>
        <v>-0.08</v>
      </c>
      <c r="F44" s="179">
        <f t="shared" si="2"/>
        <v>0.9</v>
      </c>
      <c r="G44" s="222" t="s">
        <v>78</v>
      </c>
      <c r="H44" s="429"/>
      <c r="I44" s="429"/>
    </row>
    <row r="45" spans="1:9" x14ac:dyDescent="0.2">
      <c r="A45" s="31">
        <f t="shared" si="0"/>
        <v>36</v>
      </c>
      <c r="B45" s="56"/>
      <c r="C45" s="37"/>
      <c r="D45" s="253"/>
      <c r="E45" s="253"/>
      <c r="F45" s="30"/>
      <c r="G45" s="222"/>
      <c r="H45" s="429"/>
      <c r="I45" s="429"/>
    </row>
    <row r="46" spans="1:9" x14ac:dyDescent="0.2">
      <c r="A46" s="31">
        <f t="shared" si="0"/>
        <v>37</v>
      </c>
      <c r="B46" s="49" t="s">
        <v>170</v>
      </c>
      <c r="C46" s="37">
        <v>70</v>
      </c>
      <c r="D46" s="252">
        <f>ROUND('Lighting RD'!G41,2)</f>
        <v>0.18</v>
      </c>
      <c r="E46" s="252">
        <f>ROUND('Lighting RD'!H41,2)</f>
        <v>-0.02</v>
      </c>
      <c r="F46" s="179">
        <f t="shared" ref="F46:F52" si="3">SUM(D46:E46)</f>
        <v>0.16</v>
      </c>
      <c r="G46" s="222" t="s">
        <v>78</v>
      </c>
      <c r="H46" s="429"/>
      <c r="I46" s="429"/>
    </row>
    <row r="47" spans="1:9" x14ac:dyDescent="0.2">
      <c r="A47" s="31">
        <f t="shared" si="0"/>
        <v>38</v>
      </c>
      <c r="B47" s="49" t="s">
        <v>170</v>
      </c>
      <c r="C47" s="37">
        <v>100</v>
      </c>
      <c r="D47" s="252">
        <f>ROUND('Lighting RD'!G42,2)</f>
        <v>0.27</v>
      </c>
      <c r="E47" s="252">
        <f>ROUND('Lighting RD'!H42,2)</f>
        <v>-0.02</v>
      </c>
      <c r="F47" s="179">
        <f t="shared" si="3"/>
        <v>0.25</v>
      </c>
      <c r="G47" s="222" t="s">
        <v>78</v>
      </c>
      <c r="H47" s="429"/>
      <c r="I47" s="429"/>
    </row>
    <row r="48" spans="1:9" x14ac:dyDescent="0.2">
      <c r="A48" s="31">
        <f t="shared" si="0"/>
        <v>39</v>
      </c>
      <c r="B48" s="49" t="s">
        <v>170</v>
      </c>
      <c r="C48" s="37">
        <v>150</v>
      </c>
      <c r="D48" s="252">
        <f>ROUND('Lighting RD'!G43,2)</f>
        <v>0.27</v>
      </c>
      <c r="E48" s="252">
        <f>ROUND('Lighting RD'!H43,2)</f>
        <v>-0.02</v>
      </c>
      <c r="F48" s="179">
        <f t="shared" si="3"/>
        <v>0.25</v>
      </c>
      <c r="G48" s="222" t="s">
        <v>78</v>
      </c>
      <c r="H48" s="429"/>
      <c r="I48" s="429"/>
    </row>
    <row r="49" spans="1:9" x14ac:dyDescent="0.2">
      <c r="A49" s="31">
        <f t="shared" si="0"/>
        <v>40</v>
      </c>
      <c r="B49" s="49" t="s">
        <v>170</v>
      </c>
      <c r="C49" s="37">
        <v>175</v>
      </c>
      <c r="D49" s="252">
        <f>ROUND('Lighting RD'!G44,2)</f>
        <v>0.47</v>
      </c>
      <c r="E49" s="252">
        <f>ROUND('Lighting RD'!H44,2)</f>
        <v>-0.04</v>
      </c>
      <c r="F49" s="179">
        <f t="shared" si="3"/>
        <v>0.43</v>
      </c>
      <c r="G49" s="222" t="s">
        <v>78</v>
      </c>
      <c r="H49" s="429"/>
      <c r="I49" s="429"/>
    </row>
    <row r="50" spans="1:9" x14ac:dyDescent="0.2">
      <c r="A50" s="31">
        <f t="shared" si="0"/>
        <v>41</v>
      </c>
      <c r="B50" s="49" t="s">
        <v>170</v>
      </c>
      <c r="C50" s="37">
        <v>250</v>
      </c>
      <c r="D50" s="252">
        <f>ROUND('Lighting RD'!G45,2)</f>
        <v>0.62</v>
      </c>
      <c r="E50" s="252">
        <f>ROUND('Lighting RD'!H45,2)</f>
        <v>-0.05</v>
      </c>
      <c r="F50" s="179">
        <f t="shared" si="3"/>
        <v>0.56999999999999995</v>
      </c>
      <c r="G50" s="222" t="s">
        <v>78</v>
      </c>
      <c r="H50" s="429"/>
      <c r="I50" s="429"/>
    </row>
    <row r="51" spans="1:9" x14ac:dyDescent="0.2">
      <c r="A51" s="31">
        <f t="shared" si="0"/>
        <v>42</v>
      </c>
      <c r="B51" s="49" t="s">
        <v>170</v>
      </c>
      <c r="C51" s="37">
        <v>400</v>
      </c>
      <c r="D51" s="252">
        <f>ROUND('Lighting RD'!G46,2)</f>
        <v>0.98</v>
      </c>
      <c r="E51" s="252">
        <f>ROUND('Lighting RD'!H46,2)</f>
        <v>-0.08</v>
      </c>
      <c r="F51" s="179">
        <f t="shared" si="3"/>
        <v>0.9</v>
      </c>
      <c r="G51" s="222" t="s">
        <v>78</v>
      </c>
      <c r="H51" s="429"/>
      <c r="I51" s="429"/>
    </row>
    <row r="52" spans="1:9" x14ac:dyDescent="0.2">
      <c r="A52" s="31">
        <f t="shared" si="0"/>
        <v>43</v>
      </c>
      <c r="B52" s="49" t="s">
        <v>170</v>
      </c>
      <c r="C52" s="37">
        <v>1000</v>
      </c>
      <c r="D52" s="252">
        <f>ROUND('Lighting RD'!G47,2)</f>
        <v>2.4500000000000002</v>
      </c>
      <c r="E52" s="252">
        <f>ROUND('Lighting RD'!H47,2)</f>
        <v>-0.21</v>
      </c>
      <c r="F52" s="179">
        <f t="shared" si="3"/>
        <v>2.2400000000000002</v>
      </c>
      <c r="G52" s="222" t="s">
        <v>78</v>
      </c>
      <c r="H52" s="429"/>
      <c r="I52" s="429"/>
    </row>
    <row r="53" spans="1:9" x14ac:dyDescent="0.2">
      <c r="A53" s="31">
        <f t="shared" si="0"/>
        <v>44</v>
      </c>
      <c r="B53" s="49"/>
      <c r="C53" s="37"/>
      <c r="D53" s="252"/>
      <c r="E53" s="252"/>
      <c r="F53" s="179"/>
      <c r="G53" s="222"/>
      <c r="H53" s="429"/>
      <c r="I53" s="429"/>
    </row>
    <row r="54" spans="1:9" ht="13.5" x14ac:dyDescent="0.35">
      <c r="A54" s="31">
        <f t="shared" si="0"/>
        <v>45</v>
      </c>
      <c r="B54" s="255" t="s">
        <v>158</v>
      </c>
      <c r="C54" s="4"/>
      <c r="D54" s="253"/>
      <c r="E54" s="253"/>
      <c r="F54" s="30"/>
      <c r="G54" s="222"/>
      <c r="H54" s="429"/>
      <c r="I54" s="429"/>
    </row>
    <row r="55" spans="1:9" x14ac:dyDescent="0.2">
      <c r="A55" s="31">
        <f t="shared" si="0"/>
        <v>46</v>
      </c>
      <c r="B55" s="49" t="s">
        <v>177</v>
      </c>
      <c r="C55" s="37">
        <v>50</v>
      </c>
      <c r="D55" s="252">
        <f>ROUND('Lighting RD'!G50,2)</f>
        <v>0.11</v>
      </c>
      <c r="E55" s="252">
        <f>ROUND('Lighting RD'!H50,2)</f>
        <v>-0.01</v>
      </c>
      <c r="F55" s="179">
        <f t="shared" ref="F55:F63" si="4">SUM(D55:E55)</f>
        <v>0.1</v>
      </c>
      <c r="G55" s="222" t="s">
        <v>78</v>
      </c>
      <c r="H55" s="429"/>
      <c r="I55" s="429"/>
    </row>
    <row r="56" spans="1:9" x14ac:dyDescent="0.2">
      <c r="A56" s="31">
        <f t="shared" si="0"/>
        <v>47</v>
      </c>
      <c r="B56" s="49" t="s">
        <v>177</v>
      </c>
      <c r="C56" s="37">
        <v>70</v>
      </c>
      <c r="D56" s="252">
        <f>ROUND('Lighting RD'!G51,2)</f>
        <v>0.18</v>
      </c>
      <c r="E56" s="252">
        <f>ROUND('Lighting RD'!H51,2)</f>
        <v>-0.02</v>
      </c>
      <c r="F56" s="179">
        <f t="shared" si="4"/>
        <v>0.16</v>
      </c>
      <c r="G56" s="222" t="s">
        <v>78</v>
      </c>
      <c r="H56" s="429"/>
      <c r="I56" s="429"/>
    </row>
    <row r="57" spans="1:9" x14ac:dyDescent="0.2">
      <c r="A57" s="31">
        <f t="shared" si="0"/>
        <v>48</v>
      </c>
      <c r="B57" s="49" t="s">
        <v>177</v>
      </c>
      <c r="C57" s="37">
        <v>100</v>
      </c>
      <c r="D57" s="252">
        <f>ROUND('Lighting RD'!G52,2)</f>
        <v>0.27</v>
      </c>
      <c r="E57" s="252">
        <f>ROUND('Lighting RD'!H52,2)</f>
        <v>-0.02</v>
      </c>
      <c r="F57" s="179">
        <f t="shared" si="4"/>
        <v>0.25</v>
      </c>
      <c r="G57" s="222" t="s">
        <v>78</v>
      </c>
      <c r="H57" s="429"/>
      <c r="I57" s="429"/>
    </row>
    <row r="58" spans="1:9" x14ac:dyDescent="0.2">
      <c r="A58" s="31">
        <f t="shared" si="0"/>
        <v>49</v>
      </c>
      <c r="B58" s="49" t="s">
        <v>177</v>
      </c>
      <c r="C58" s="37">
        <v>150</v>
      </c>
      <c r="D58" s="252">
        <f>ROUND('Lighting RD'!G53,2)</f>
        <v>0.27</v>
      </c>
      <c r="E58" s="252">
        <f>ROUND('Lighting RD'!H53,2)</f>
        <v>-0.02</v>
      </c>
      <c r="F58" s="179">
        <f t="shared" si="4"/>
        <v>0.25</v>
      </c>
      <c r="G58" s="222" t="s">
        <v>78</v>
      </c>
      <c r="H58" s="429"/>
      <c r="I58" s="429"/>
    </row>
    <row r="59" spans="1:9" x14ac:dyDescent="0.2">
      <c r="A59" s="31">
        <f t="shared" si="0"/>
        <v>50</v>
      </c>
      <c r="B59" s="49" t="s">
        <v>177</v>
      </c>
      <c r="C59" s="37">
        <v>200</v>
      </c>
      <c r="D59" s="252">
        <f>ROUND('Lighting RD'!G54,2)</f>
        <v>0.47</v>
      </c>
      <c r="E59" s="252">
        <f>ROUND('Lighting RD'!H54,2)</f>
        <v>-0.04</v>
      </c>
      <c r="F59" s="179">
        <f t="shared" si="4"/>
        <v>0.43</v>
      </c>
      <c r="G59" s="222" t="s">
        <v>78</v>
      </c>
      <c r="H59" s="429"/>
      <c r="I59" s="429"/>
    </row>
    <row r="60" spans="1:9" x14ac:dyDescent="0.2">
      <c r="A60" s="31">
        <f t="shared" si="0"/>
        <v>51</v>
      </c>
      <c r="B60" s="49" t="s">
        <v>177</v>
      </c>
      <c r="C60" s="37">
        <v>250</v>
      </c>
      <c r="D60" s="252">
        <f>ROUND('Lighting RD'!G55,2)</f>
        <v>0.62</v>
      </c>
      <c r="E60" s="252">
        <f>ROUND('Lighting RD'!H55,2)</f>
        <v>-0.05</v>
      </c>
      <c r="F60" s="179">
        <f t="shared" si="4"/>
        <v>0.56999999999999995</v>
      </c>
      <c r="G60" s="222" t="s">
        <v>78</v>
      </c>
      <c r="H60" s="429"/>
      <c r="I60" s="429"/>
    </row>
    <row r="61" spans="1:9" x14ac:dyDescent="0.2">
      <c r="A61" s="31">
        <f t="shared" si="0"/>
        <v>52</v>
      </c>
      <c r="B61" s="49" t="s">
        <v>177</v>
      </c>
      <c r="C61" s="37">
        <v>310</v>
      </c>
      <c r="D61" s="252">
        <f>ROUND('Lighting RD'!G56,2)</f>
        <v>0.62</v>
      </c>
      <c r="E61" s="252">
        <f>ROUND('Lighting RD'!H56,2)</f>
        <v>-0.05</v>
      </c>
      <c r="F61" s="179">
        <f t="shared" si="4"/>
        <v>0.56999999999999995</v>
      </c>
      <c r="G61" s="222" t="s">
        <v>78</v>
      </c>
      <c r="H61" s="429"/>
      <c r="I61" s="429"/>
    </row>
    <row r="62" spans="1:9" x14ac:dyDescent="0.2">
      <c r="A62" s="31">
        <f t="shared" si="0"/>
        <v>53</v>
      </c>
      <c r="B62" s="49" t="s">
        <v>177</v>
      </c>
      <c r="C62" s="37">
        <v>400</v>
      </c>
      <c r="D62" s="252">
        <f>ROUND('Lighting RD'!G57,2)</f>
        <v>0.98</v>
      </c>
      <c r="E62" s="252">
        <f>ROUND('Lighting RD'!H57,2)</f>
        <v>-0.08</v>
      </c>
      <c r="F62" s="179">
        <f t="shared" si="4"/>
        <v>0.9</v>
      </c>
      <c r="G62" s="222" t="s">
        <v>78</v>
      </c>
      <c r="H62" s="429"/>
      <c r="I62" s="429"/>
    </row>
    <row r="63" spans="1:9" x14ac:dyDescent="0.2">
      <c r="A63" s="31">
        <f t="shared" si="0"/>
        <v>54</v>
      </c>
      <c r="B63" s="49" t="s">
        <v>177</v>
      </c>
      <c r="C63" s="37">
        <v>1000</v>
      </c>
      <c r="D63" s="252">
        <f>ROUND('Lighting RD'!G58,2)</f>
        <v>2.4500000000000002</v>
      </c>
      <c r="E63" s="252">
        <f>ROUND('Lighting RD'!H58,2)</f>
        <v>-0.21</v>
      </c>
      <c r="F63" s="179">
        <f t="shared" si="4"/>
        <v>2.2400000000000002</v>
      </c>
      <c r="G63" s="222" t="s">
        <v>78</v>
      </c>
      <c r="H63" s="429"/>
      <c r="I63" s="429"/>
    </row>
    <row r="64" spans="1:9" x14ac:dyDescent="0.2">
      <c r="A64" s="31">
        <f t="shared" si="0"/>
        <v>55</v>
      </c>
      <c r="B64" s="49"/>
      <c r="C64" s="37"/>
      <c r="D64" s="253"/>
      <c r="E64" s="253"/>
      <c r="F64" s="30"/>
      <c r="G64" s="222"/>
      <c r="H64" s="429"/>
      <c r="I64" s="429"/>
    </row>
    <row r="65" spans="1:9" x14ac:dyDescent="0.2">
      <c r="A65" s="31">
        <f t="shared" si="0"/>
        <v>56</v>
      </c>
      <c r="B65" s="49" t="s">
        <v>178</v>
      </c>
      <c r="C65" s="37">
        <v>70</v>
      </c>
      <c r="D65" s="252">
        <f>ROUND('Lighting RD'!G60,2)</f>
        <v>0.18</v>
      </c>
      <c r="E65" s="252">
        <f>ROUND('Lighting RD'!H60,2)</f>
        <v>-0.02</v>
      </c>
      <c r="F65" s="179">
        <f>SUM(D65:E65)</f>
        <v>0.16</v>
      </c>
      <c r="G65" s="222" t="s">
        <v>79</v>
      </c>
      <c r="H65" s="429"/>
      <c r="I65" s="429"/>
    </row>
    <row r="66" spans="1:9" x14ac:dyDescent="0.2">
      <c r="A66" s="31">
        <f t="shared" si="0"/>
        <v>57</v>
      </c>
      <c r="B66" s="49" t="s">
        <v>178</v>
      </c>
      <c r="C66" s="37">
        <v>100</v>
      </c>
      <c r="D66" s="252">
        <f>ROUND('Lighting RD'!G61,2)</f>
        <v>0.27</v>
      </c>
      <c r="E66" s="252">
        <f>ROUND('Lighting RD'!H61,2)</f>
        <v>-0.02</v>
      </c>
      <c r="F66" s="179">
        <f>SUM(D66:E66)</f>
        <v>0.25</v>
      </c>
      <c r="G66" s="222" t="s">
        <v>79</v>
      </c>
      <c r="H66" s="429"/>
      <c r="I66" s="429"/>
    </row>
    <row r="67" spans="1:9" x14ac:dyDescent="0.2">
      <c r="A67" s="31">
        <f t="shared" si="0"/>
        <v>58</v>
      </c>
      <c r="B67" s="49" t="s">
        <v>178</v>
      </c>
      <c r="C67" s="37">
        <v>150</v>
      </c>
      <c r="D67" s="252">
        <f>ROUND('Lighting RD'!G62,2)</f>
        <v>0.27</v>
      </c>
      <c r="E67" s="252">
        <f>ROUND('Lighting RD'!H62,2)</f>
        <v>-0.02</v>
      </c>
      <c r="F67" s="179">
        <f>SUM(D67:E67)</f>
        <v>0.25</v>
      </c>
      <c r="G67" s="222" t="s">
        <v>79</v>
      </c>
      <c r="H67" s="429"/>
      <c r="I67" s="429"/>
    </row>
    <row r="68" spans="1:9" x14ac:dyDescent="0.2">
      <c r="A68" s="31">
        <f t="shared" si="0"/>
        <v>59</v>
      </c>
      <c r="B68" s="49" t="s">
        <v>178</v>
      </c>
      <c r="C68" s="37">
        <v>250</v>
      </c>
      <c r="D68" s="252">
        <f>ROUND('Lighting RD'!G64,2)</f>
        <v>0.62</v>
      </c>
      <c r="E68" s="252">
        <f>ROUND('Lighting RD'!H64,2)</f>
        <v>-0.05</v>
      </c>
      <c r="F68" s="179">
        <f>SUM(D68:E68)</f>
        <v>0.56999999999999995</v>
      </c>
      <c r="G68" s="222" t="s">
        <v>79</v>
      </c>
      <c r="H68" s="429"/>
      <c r="I68" s="429"/>
    </row>
    <row r="69" spans="1:9" x14ac:dyDescent="0.2">
      <c r="A69" s="31">
        <f t="shared" si="0"/>
        <v>60</v>
      </c>
      <c r="B69" s="49" t="s">
        <v>178</v>
      </c>
      <c r="C69" s="37">
        <v>400</v>
      </c>
      <c r="D69" s="252">
        <f>ROUND('Lighting RD'!G65,2)</f>
        <v>0.98</v>
      </c>
      <c r="E69" s="252">
        <f>ROUND('Lighting RD'!H65,2)</f>
        <v>-0.08</v>
      </c>
      <c r="F69" s="179">
        <f>SUM(D69:E69)</f>
        <v>0.9</v>
      </c>
      <c r="G69" s="222" t="s">
        <v>79</v>
      </c>
      <c r="H69" s="429"/>
      <c r="I69" s="429"/>
    </row>
    <row r="70" spans="1:9" x14ac:dyDescent="0.2">
      <c r="A70" s="31">
        <f t="shared" si="0"/>
        <v>61</v>
      </c>
      <c r="B70" s="49"/>
      <c r="C70" s="37"/>
      <c r="D70" s="253"/>
      <c r="E70" s="253"/>
      <c r="F70" s="30"/>
      <c r="G70" s="222"/>
      <c r="H70" s="429"/>
      <c r="I70" s="429"/>
    </row>
    <row r="71" spans="1:9" x14ac:dyDescent="0.2">
      <c r="A71" s="31">
        <f t="shared" si="0"/>
        <v>62</v>
      </c>
      <c r="B71" s="49" t="s">
        <v>179</v>
      </c>
      <c r="C71" s="55" t="s">
        <v>90</v>
      </c>
      <c r="D71" s="252">
        <f>ROUND('Lighting RD'!G67,2)</f>
        <v>0.05</v>
      </c>
      <c r="E71" s="252">
        <f>ROUND('Lighting RD'!H67,2)</f>
        <v>0</v>
      </c>
      <c r="F71" s="179">
        <f t="shared" ref="F71:F80" si="5">SUM(D71:E71)</f>
        <v>0.05</v>
      </c>
      <c r="G71" s="222" t="s">
        <v>80</v>
      </c>
      <c r="H71" s="429"/>
      <c r="I71" s="429"/>
    </row>
    <row r="72" spans="1:9" x14ac:dyDescent="0.2">
      <c r="A72" s="31">
        <f t="shared" si="0"/>
        <v>63</v>
      </c>
      <c r="B72" s="49" t="s">
        <v>179</v>
      </c>
      <c r="C72" s="55" t="s">
        <v>34</v>
      </c>
      <c r="D72" s="252">
        <f>ROUND('Lighting RD'!G68,2)</f>
        <v>0.11</v>
      </c>
      <c r="E72" s="252">
        <f>ROUND('Lighting RD'!H68,2)</f>
        <v>-0.01</v>
      </c>
      <c r="F72" s="179">
        <f t="shared" si="5"/>
        <v>0.1</v>
      </c>
      <c r="G72" s="222" t="s">
        <v>80</v>
      </c>
      <c r="H72" s="429"/>
      <c r="I72" s="429"/>
    </row>
    <row r="73" spans="1:9" x14ac:dyDescent="0.2">
      <c r="A73" s="31">
        <f t="shared" si="0"/>
        <v>64</v>
      </c>
      <c r="B73" s="49" t="s">
        <v>179</v>
      </c>
      <c r="C73" s="54" t="s">
        <v>35</v>
      </c>
      <c r="D73" s="252">
        <f>ROUND('Lighting RD'!G69,2)</f>
        <v>0.18</v>
      </c>
      <c r="E73" s="252">
        <f>ROUND('Lighting RD'!H69,2)</f>
        <v>-0.02</v>
      </c>
      <c r="F73" s="179">
        <f t="shared" si="5"/>
        <v>0.16</v>
      </c>
      <c r="G73" s="222" t="s">
        <v>80</v>
      </c>
      <c r="H73" s="429"/>
      <c r="I73" s="429"/>
    </row>
    <row r="74" spans="1:9" x14ac:dyDescent="0.2">
      <c r="A74" s="31">
        <f t="shared" si="0"/>
        <v>65</v>
      </c>
      <c r="B74" s="49" t="s">
        <v>179</v>
      </c>
      <c r="C74" s="54" t="s">
        <v>36</v>
      </c>
      <c r="D74" s="252">
        <f>ROUND('Lighting RD'!G70,2)</f>
        <v>0.27</v>
      </c>
      <c r="E74" s="252">
        <f>ROUND('Lighting RD'!H70,2)</f>
        <v>-0.02</v>
      </c>
      <c r="F74" s="179">
        <f t="shared" si="5"/>
        <v>0.25</v>
      </c>
      <c r="G74" s="222" t="s">
        <v>80</v>
      </c>
      <c r="H74" s="429"/>
      <c r="I74" s="429"/>
    </row>
    <row r="75" spans="1:9" x14ac:dyDescent="0.2">
      <c r="A75" s="31">
        <f t="shared" si="0"/>
        <v>66</v>
      </c>
      <c r="B75" s="49" t="s">
        <v>179</v>
      </c>
      <c r="C75" s="54" t="s">
        <v>37</v>
      </c>
      <c r="D75" s="252">
        <f>ROUND('Lighting RD'!G71,2)</f>
        <v>0.27</v>
      </c>
      <c r="E75" s="252">
        <f>ROUND('Lighting RD'!H71,2)</f>
        <v>-0.02</v>
      </c>
      <c r="F75" s="179">
        <f t="shared" si="5"/>
        <v>0.25</v>
      </c>
      <c r="G75" s="222" t="s">
        <v>80</v>
      </c>
      <c r="H75" s="429"/>
      <c r="I75" s="429"/>
    </row>
    <row r="76" spans="1:9" x14ac:dyDescent="0.2">
      <c r="A76" s="31">
        <f t="shared" si="0"/>
        <v>67</v>
      </c>
      <c r="B76" s="49" t="s">
        <v>179</v>
      </c>
      <c r="C76" s="54" t="s">
        <v>38</v>
      </c>
      <c r="D76" s="252">
        <f>ROUND('Lighting RD'!G72,2)</f>
        <v>0.47</v>
      </c>
      <c r="E76" s="252">
        <f>ROUND('Lighting RD'!H72,2)</f>
        <v>-0.04</v>
      </c>
      <c r="F76" s="179">
        <f t="shared" si="5"/>
        <v>0.43</v>
      </c>
      <c r="G76" s="222" t="s">
        <v>80</v>
      </c>
      <c r="H76" s="429"/>
      <c r="I76" s="429"/>
    </row>
    <row r="77" spans="1:9" x14ac:dyDescent="0.2">
      <c r="A77" s="31">
        <f t="shared" si="0"/>
        <v>68</v>
      </c>
      <c r="B77" s="49" t="s">
        <v>179</v>
      </c>
      <c r="C77" s="54" t="s">
        <v>39</v>
      </c>
      <c r="D77" s="252">
        <f>ROUND('Lighting RD'!G73,2)</f>
        <v>0.47</v>
      </c>
      <c r="E77" s="252">
        <f>ROUND('Lighting RD'!H73,2)</f>
        <v>-0.04</v>
      </c>
      <c r="F77" s="179">
        <f t="shared" si="5"/>
        <v>0.43</v>
      </c>
      <c r="G77" s="222" t="s">
        <v>81</v>
      </c>
      <c r="H77" s="429"/>
      <c r="I77" s="429"/>
    </row>
    <row r="78" spans="1:9" x14ac:dyDescent="0.2">
      <c r="A78" s="31">
        <f t="shared" si="0"/>
        <v>69</v>
      </c>
      <c r="B78" s="49" t="s">
        <v>179</v>
      </c>
      <c r="C78" s="54" t="s">
        <v>40</v>
      </c>
      <c r="D78" s="252">
        <f>ROUND('Lighting RD'!G74,2)</f>
        <v>0.47</v>
      </c>
      <c r="E78" s="252">
        <f>ROUND('Lighting RD'!H74,2)</f>
        <v>-0.04</v>
      </c>
      <c r="F78" s="179">
        <f t="shared" si="5"/>
        <v>0.43</v>
      </c>
      <c r="G78" s="222" t="s">
        <v>81</v>
      </c>
      <c r="H78" s="429"/>
      <c r="I78" s="429"/>
    </row>
    <row r="79" spans="1:9" x14ac:dyDescent="0.2">
      <c r="A79" s="31">
        <f t="shared" ref="A79:A144" si="6">A78+1</f>
        <v>70</v>
      </c>
      <c r="B79" s="49" t="s">
        <v>179</v>
      </c>
      <c r="C79" s="54" t="s">
        <v>41</v>
      </c>
      <c r="D79" s="252">
        <f>ROUND('Lighting RD'!G75,2)</f>
        <v>0.62</v>
      </c>
      <c r="E79" s="252">
        <f>ROUND('Lighting RD'!H75,2)</f>
        <v>-0.05</v>
      </c>
      <c r="F79" s="179">
        <f t="shared" si="5"/>
        <v>0.56999999999999995</v>
      </c>
      <c r="G79" s="222" t="s">
        <v>81</v>
      </c>
      <c r="H79" s="429"/>
      <c r="I79" s="429"/>
    </row>
    <row r="80" spans="1:9" x14ac:dyDescent="0.2">
      <c r="A80" s="31">
        <f t="shared" si="6"/>
        <v>71</v>
      </c>
      <c r="B80" s="49" t="s">
        <v>179</v>
      </c>
      <c r="C80" s="54" t="s">
        <v>42</v>
      </c>
      <c r="D80" s="252">
        <f>ROUND('Lighting RD'!G76,2)</f>
        <v>0.62</v>
      </c>
      <c r="E80" s="252">
        <f>ROUND('Lighting RD'!H76,2)</f>
        <v>-0.05</v>
      </c>
      <c r="F80" s="179">
        <f t="shared" si="5"/>
        <v>0.56999999999999995</v>
      </c>
      <c r="G80" s="222" t="s">
        <v>81</v>
      </c>
      <c r="H80" s="429"/>
      <c r="I80" s="429"/>
    </row>
    <row r="81" spans="1:9" x14ac:dyDescent="0.2">
      <c r="A81" s="31">
        <f t="shared" si="6"/>
        <v>72</v>
      </c>
      <c r="B81" s="49"/>
      <c r="C81" s="54"/>
      <c r="D81" s="254"/>
      <c r="E81" s="254"/>
      <c r="F81" s="53"/>
      <c r="G81" s="222"/>
      <c r="H81" s="429"/>
      <c r="I81" s="429"/>
    </row>
    <row r="82" spans="1:9" x14ac:dyDescent="0.2">
      <c r="A82" s="31">
        <f t="shared" si="6"/>
        <v>73</v>
      </c>
      <c r="B82" s="49" t="s">
        <v>180</v>
      </c>
      <c r="C82" s="55" t="s">
        <v>103</v>
      </c>
      <c r="D82" s="239">
        <f>ROUND('Lighting RD'!G77,6)</f>
        <v>6.8089999999999999E-3</v>
      </c>
      <c r="E82" s="239">
        <f>ROUND('Lighting RD'!H77,6)</f>
        <v>-5.8399999999999999E-4</v>
      </c>
      <c r="F82" s="229">
        <f>SUM(D82:E82)</f>
        <v>6.2249999999999996E-3</v>
      </c>
      <c r="G82" s="222" t="s">
        <v>81</v>
      </c>
      <c r="H82" s="429"/>
      <c r="I82" s="429"/>
    </row>
    <row r="83" spans="1:9" x14ac:dyDescent="0.2">
      <c r="A83" s="31">
        <f t="shared" si="6"/>
        <v>74</v>
      </c>
      <c r="B83" s="49"/>
      <c r="C83" s="37"/>
      <c r="D83" s="253"/>
      <c r="E83" s="253"/>
      <c r="F83" s="30"/>
      <c r="G83" s="222"/>
      <c r="H83" s="429"/>
      <c r="I83" s="429"/>
    </row>
    <row r="84" spans="1:9" x14ac:dyDescent="0.2">
      <c r="A84" s="31">
        <f t="shared" si="6"/>
        <v>75</v>
      </c>
      <c r="B84" s="49" t="s">
        <v>181</v>
      </c>
      <c r="C84" s="37">
        <v>50</v>
      </c>
      <c r="D84" s="252">
        <f>ROUND('Lighting RD'!G50,2)</f>
        <v>0.11</v>
      </c>
      <c r="E84" s="252">
        <f>ROUND('Lighting RD'!H50,2)</f>
        <v>-0.01</v>
      </c>
      <c r="F84" s="179">
        <f t="shared" ref="F84:F92" si="7">SUM(D84:E84)</f>
        <v>0.1</v>
      </c>
      <c r="G84" s="222" t="s">
        <v>79</v>
      </c>
      <c r="H84" s="429"/>
      <c r="I84" s="429"/>
    </row>
    <row r="85" spans="1:9" x14ac:dyDescent="0.2">
      <c r="A85" s="31">
        <f t="shared" si="6"/>
        <v>76</v>
      </c>
      <c r="B85" s="49" t="s">
        <v>181</v>
      </c>
      <c r="C85" s="37">
        <v>70</v>
      </c>
      <c r="D85" s="252">
        <f>ROUND('Lighting RD'!G51,2)</f>
        <v>0.18</v>
      </c>
      <c r="E85" s="252">
        <f>ROUND('Lighting RD'!H51,2)</f>
        <v>-0.02</v>
      </c>
      <c r="F85" s="179">
        <f t="shared" si="7"/>
        <v>0.16</v>
      </c>
      <c r="G85" s="222" t="s">
        <v>79</v>
      </c>
      <c r="H85" s="429"/>
      <c r="I85" s="429"/>
    </row>
    <row r="86" spans="1:9" x14ac:dyDescent="0.2">
      <c r="A86" s="31">
        <f t="shared" si="6"/>
        <v>77</v>
      </c>
      <c r="B86" s="49" t="s">
        <v>181</v>
      </c>
      <c r="C86" s="37">
        <v>100</v>
      </c>
      <c r="D86" s="252">
        <f>ROUND('Lighting RD'!G52,2)</f>
        <v>0.27</v>
      </c>
      <c r="E86" s="252">
        <f>ROUND('Lighting RD'!H52,2)</f>
        <v>-0.02</v>
      </c>
      <c r="F86" s="179">
        <f t="shared" si="7"/>
        <v>0.25</v>
      </c>
      <c r="G86" s="222" t="s">
        <v>79</v>
      </c>
      <c r="H86" s="429"/>
      <c r="I86" s="429"/>
    </row>
    <row r="87" spans="1:9" x14ac:dyDescent="0.2">
      <c r="A87" s="31">
        <f t="shared" si="6"/>
        <v>78</v>
      </c>
      <c r="B87" s="49" t="s">
        <v>181</v>
      </c>
      <c r="C87" s="37">
        <v>150</v>
      </c>
      <c r="D87" s="252">
        <f>ROUND('Lighting RD'!G53,2)</f>
        <v>0.27</v>
      </c>
      <c r="E87" s="252">
        <f>ROUND('Lighting RD'!H53,2)</f>
        <v>-0.02</v>
      </c>
      <c r="F87" s="179">
        <f t="shared" si="7"/>
        <v>0.25</v>
      </c>
      <c r="G87" s="222" t="s">
        <v>79</v>
      </c>
      <c r="H87" s="429"/>
      <c r="I87" s="429"/>
    </row>
    <row r="88" spans="1:9" x14ac:dyDescent="0.2">
      <c r="A88" s="31">
        <f t="shared" si="6"/>
        <v>79</v>
      </c>
      <c r="B88" s="49" t="s">
        <v>181</v>
      </c>
      <c r="C88" s="37">
        <v>200</v>
      </c>
      <c r="D88" s="252">
        <f>ROUND('Lighting RD'!G54,2)</f>
        <v>0.47</v>
      </c>
      <c r="E88" s="252">
        <f>ROUND('Lighting RD'!H54,2)</f>
        <v>-0.04</v>
      </c>
      <c r="F88" s="179">
        <f t="shared" si="7"/>
        <v>0.43</v>
      </c>
      <c r="G88" s="222" t="s">
        <v>79</v>
      </c>
      <c r="H88" s="429"/>
      <c r="I88" s="429"/>
    </row>
    <row r="89" spans="1:9" x14ac:dyDescent="0.2">
      <c r="A89" s="31">
        <f t="shared" si="6"/>
        <v>80</v>
      </c>
      <c r="B89" s="49" t="s">
        <v>181</v>
      </c>
      <c r="C89" s="37">
        <v>250</v>
      </c>
      <c r="D89" s="252">
        <f>ROUND('Lighting RD'!G55,2)</f>
        <v>0.62</v>
      </c>
      <c r="E89" s="252">
        <f>ROUND('Lighting RD'!H55,2)</f>
        <v>-0.05</v>
      </c>
      <c r="F89" s="179">
        <f t="shared" si="7"/>
        <v>0.56999999999999995</v>
      </c>
      <c r="G89" s="222" t="s">
        <v>79</v>
      </c>
      <c r="H89" s="429"/>
      <c r="I89" s="429"/>
    </row>
    <row r="90" spans="1:9" x14ac:dyDescent="0.2">
      <c r="A90" s="31">
        <f t="shared" si="6"/>
        <v>81</v>
      </c>
      <c r="B90" s="49" t="s">
        <v>181</v>
      </c>
      <c r="C90" s="37">
        <v>310</v>
      </c>
      <c r="D90" s="252">
        <f>ROUND('Lighting RD'!G56,2)</f>
        <v>0.62</v>
      </c>
      <c r="E90" s="252">
        <f>ROUND('Lighting RD'!H56,2)</f>
        <v>-0.05</v>
      </c>
      <c r="F90" s="179">
        <f t="shared" si="7"/>
        <v>0.56999999999999995</v>
      </c>
      <c r="G90" s="222" t="s">
        <v>79</v>
      </c>
      <c r="H90" s="429"/>
      <c r="I90" s="429"/>
    </row>
    <row r="91" spans="1:9" x14ac:dyDescent="0.2">
      <c r="A91" s="31">
        <f t="shared" si="6"/>
        <v>82</v>
      </c>
      <c r="B91" s="49" t="s">
        <v>181</v>
      </c>
      <c r="C91" s="37">
        <v>400</v>
      </c>
      <c r="D91" s="252">
        <f>ROUND('Lighting RD'!G57,2)</f>
        <v>0.98</v>
      </c>
      <c r="E91" s="252">
        <f>ROUND('Lighting RD'!H57,2)</f>
        <v>-0.08</v>
      </c>
      <c r="F91" s="179">
        <f t="shared" si="7"/>
        <v>0.9</v>
      </c>
      <c r="G91" s="222" t="s">
        <v>79</v>
      </c>
      <c r="H91" s="429"/>
      <c r="I91" s="429"/>
    </row>
    <row r="92" spans="1:9" x14ac:dyDescent="0.2">
      <c r="A92" s="31">
        <f t="shared" si="6"/>
        <v>83</v>
      </c>
      <c r="B92" s="49" t="s">
        <v>181</v>
      </c>
      <c r="C92" s="37">
        <v>1000</v>
      </c>
      <c r="D92" s="252">
        <f>ROUND('Lighting RD'!G58,2)</f>
        <v>2.4500000000000002</v>
      </c>
      <c r="E92" s="252">
        <f>ROUND('Lighting RD'!H58,2)</f>
        <v>-0.21</v>
      </c>
      <c r="F92" s="179">
        <f t="shared" si="7"/>
        <v>2.2400000000000002</v>
      </c>
      <c r="G92" s="222" t="s">
        <v>79</v>
      </c>
      <c r="H92" s="429"/>
      <c r="I92" s="429"/>
    </row>
    <row r="93" spans="1:9" x14ac:dyDescent="0.2">
      <c r="A93" s="31">
        <f t="shared" si="6"/>
        <v>84</v>
      </c>
      <c r="B93" s="49"/>
      <c r="C93" s="37"/>
      <c r="D93" s="253"/>
      <c r="E93" s="253"/>
      <c r="F93" s="30"/>
      <c r="G93" s="222"/>
      <c r="H93" s="429"/>
      <c r="I93" s="429"/>
    </row>
    <row r="94" spans="1:9" x14ac:dyDescent="0.2">
      <c r="A94" s="31">
        <f t="shared" si="6"/>
        <v>85</v>
      </c>
      <c r="B94" s="49" t="s">
        <v>182</v>
      </c>
      <c r="C94" s="37">
        <v>70</v>
      </c>
      <c r="D94" s="252">
        <f>ROUND('Lighting RD'!G60,2)</f>
        <v>0.18</v>
      </c>
      <c r="E94" s="252">
        <f>ROUND('Lighting RD'!H60,2)</f>
        <v>-0.02</v>
      </c>
      <c r="F94" s="179">
        <f t="shared" ref="F94:F99" si="8">SUM(D94:E94)</f>
        <v>0.16</v>
      </c>
      <c r="G94" s="222" t="s">
        <v>79</v>
      </c>
      <c r="H94" s="429"/>
      <c r="I94" s="429"/>
    </row>
    <row r="95" spans="1:9" x14ac:dyDescent="0.2">
      <c r="A95" s="31">
        <f t="shared" si="6"/>
        <v>86</v>
      </c>
      <c r="B95" s="49" t="s">
        <v>182</v>
      </c>
      <c r="C95" s="37">
        <v>100</v>
      </c>
      <c r="D95" s="252">
        <f>ROUND('Lighting RD'!G61,2)</f>
        <v>0.27</v>
      </c>
      <c r="E95" s="252">
        <f>ROUND('Lighting RD'!H61,2)</f>
        <v>-0.02</v>
      </c>
      <c r="F95" s="179">
        <f t="shared" si="8"/>
        <v>0.25</v>
      </c>
      <c r="G95" s="222" t="s">
        <v>79</v>
      </c>
      <c r="H95" s="429"/>
      <c r="I95" s="429"/>
    </row>
    <row r="96" spans="1:9" x14ac:dyDescent="0.2">
      <c r="A96" s="31">
        <f t="shared" si="6"/>
        <v>87</v>
      </c>
      <c r="B96" s="49" t="s">
        <v>182</v>
      </c>
      <c r="C96" s="37">
        <v>150</v>
      </c>
      <c r="D96" s="252">
        <f>ROUND('Lighting RD'!G62,2)</f>
        <v>0.27</v>
      </c>
      <c r="E96" s="252">
        <f>ROUND('Lighting RD'!H62,2)</f>
        <v>-0.02</v>
      </c>
      <c r="F96" s="179">
        <f t="shared" si="8"/>
        <v>0.25</v>
      </c>
      <c r="G96" s="222" t="s">
        <v>79</v>
      </c>
      <c r="H96" s="429"/>
      <c r="I96" s="429"/>
    </row>
    <row r="97" spans="1:9" x14ac:dyDescent="0.2">
      <c r="A97" s="31">
        <f t="shared" si="6"/>
        <v>88</v>
      </c>
      <c r="B97" s="49" t="s">
        <v>182</v>
      </c>
      <c r="C97" s="37">
        <v>175</v>
      </c>
      <c r="D97" s="252">
        <f>ROUND('Lighting RD'!G63,2)</f>
        <v>0.47</v>
      </c>
      <c r="E97" s="252">
        <f>ROUND('Lighting RD'!H63,2)</f>
        <v>-0.04</v>
      </c>
      <c r="F97" s="179">
        <f t="shared" si="8"/>
        <v>0.43</v>
      </c>
      <c r="G97" s="222" t="s">
        <v>79</v>
      </c>
      <c r="H97" s="429"/>
      <c r="I97" s="429"/>
    </row>
    <row r="98" spans="1:9" x14ac:dyDescent="0.2">
      <c r="A98" s="31">
        <f t="shared" si="6"/>
        <v>89</v>
      </c>
      <c r="B98" s="49" t="s">
        <v>182</v>
      </c>
      <c r="C98" s="37">
        <v>250</v>
      </c>
      <c r="D98" s="252">
        <f>ROUND('Lighting RD'!G64,2)</f>
        <v>0.62</v>
      </c>
      <c r="E98" s="252">
        <f>ROUND('Lighting RD'!H64,2)</f>
        <v>-0.05</v>
      </c>
      <c r="F98" s="179">
        <f t="shared" si="8"/>
        <v>0.56999999999999995</v>
      </c>
      <c r="G98" s="222" t="s">
        <v>79</v>
      </c>
      <c r="H98" s="429"/>
      <c r="I98" s="429"/>
    </row>
    <row r="99" spans="1:9" x14ac:dyDescent="0.2">
      <c r="A99" s="31">
        <f t="shared" si="6"/>
        <v>90</v>
      </c>
      <c r="B99" s="49" t="s">
        <v>182</v>
      </c>
      <c r="C99" s="37">
        <v>400</v>
      </c>
      <c r="D99" s="252">
        <f>ROUND('Lighting RD'!G65,2)</f>
        <v>0.98</v>
      </c>
      <c r="E99" s="252">
        <f>ROUND('Lighting RD'!H65,2)</f>
        <v>-0.08</v>
      </c>
      <c r="F99" s="179">
        <f t="shared" si="8"/>
        <v>0.9</v>
      </c>
      <c r="G99" s="222" t="s">
        <v>79</v>
      </c>
      <c r="H99" s="429"/>
      <c r="I99" s="429"/>
    </row>
    <row r="100" spans="1:9" x14ac:dyDescent="0.2">
      <c r="A100" s="31">
        <f t="shared" si="6"/>
        <v>91</v>
      </c>
      <c r="B100" s="49"/>
      <c r="C100" s="37"/>
      <c r="D100" s="253"/>
      <c r="E100" s="253"/>
      <c r="F100" s="30"/>
      <c r="G100" s="222"/>
      <c r="H100" s="429"/>
      <c r="I100" s="429"/>
    </row>
    <row r="101" spans="1:9" x14ac:dyDescent="0.2">
      <c r="A101" s="31">
        <f t="shared" si="6"/>
        <v>92</v>
      </c>
      <c r="B101" s="49" t="s">
        <v>183</v>
      </c>
      <c r="C101" s="55" t="s">
        <v>90</v>
      </c>
      <c r="D101" s="252">
        <f>ROUND('Lighting RD'!G67,2)</f>
        <v>0.05</v>
      </c>
      <c r="E101" s="252">
        <f>ROUND('Lighting RD'!H67,2)</f>
        <v>0</v>
      </c>
      <c r="F101" s="179">
        <f t="shared" ref="F101:F110" si="9">SUM(D101:E101)</f>
        <v>0.05</v>
      </c>
      <c r="G101" s="222" t="s">
        <v>76</v>
      </c>
      <c r="H101" s="429"/>
      <c r="I101" s="429"/>
    </row>
    <row r="102" spans="1:9" x14ac:dyDescent="0.2">
      <c r="A102" s="31">
        <f t="shared" si="6"/>
        <v>93</v>
      </c>
      <c r="B102" s="49" t="s">
        <v>183</v>
      </c>
      <c r="C102" s="55" t="s">
        <v>34</v>
      </c>
      <c r="D102" s="252">
        <f>ROUND('Lighting RD'!G68,2)</f>
        <v>0.11</v>
      </c>
      <c r="E102" s="252">
        <f>ROUND('Lighting RD'!H68,2)</f>
        <v>-0.01</v>
      </c>
      <c r="F102" s="179">
        <f t="shared" si="9"/>
        <v>0.1</v>
      </c>
      <c r="G102" s="222" t="s">
        <v>76</v>
      </c>
      <c r="H102" s="429"/>
      <c r="I102" s="429"/>
    </row>
    <row r="103" spans="1:9" x14ac:dyDescent="0.2">
      <c r="A103" s="31">
        <f t="shared" si="6"/>
        <v>94</v>
      </c>
      <c r="B103" s="49" t="s">
        <v>183</v>
      </c>
      <c r="C103" s="54" t="s">
        <v>35</v>
      </c>
      <c r="D103" s="252">
        <f>ROUND('Lighting RD'!G69,2)</f>
        <v>0.18</v>
      </c>
      <c r="E103" s="252">
        <f>ROUND('Lighting RD'!H69,2)</f>
        <v>-0.02</v>
      </c>
      <c r="F103" s="179">
        <f t="shared" si="9"/>
        <v>0.16</v>
      </c>
      <c r="G103" s="222" t="s">
        <v>76</v>
      </c>
      <c r="H103" s="429"/>
      <c r="I103" s="429"/>
    </row>
    <row r="104" spans="1:9" x14ac:dyDescent="0.2">
      <c r="A104" s="31">
        <f t="shared" si="6"/>
        <v>95</v>
      </c>
      <c r="B104" s="49" t="s">
        <v>183</v>
      </c>
      <c r="C104" s="54" t="s">
        <v>36</v>
      </c>
      <c r="D104" s="252">
        <f>ROUND('Lighting RD'!G70,2)</f>
        <v>0.27</v>
      </c>
      <c r="E104" s="252">
        <f>ROUND('Lighting RD'!H70,2)</f>
        <v>-0.02</v>
      </c>
      <c r="F104" s="179">
        <f t="shared" si="9"/>
        <v>0.25</v>
      </c>
      <c r="G104" s="222" t="s">
        <v>76</v>
      </c>
      <c r="H104" s="429"/>
      <c r="I104" s="429"/>
    </row>
    <row r="105" spans="1:9" x14ac:dyDescent="0.2">
      <c r="A105" s="31">
        <f t="shared" si="6"/>
        <v>96</v>
      </c>
      <c r="B105" s="49" t="s">
        <v>183</v>
      </c>
      <c r="C105" s="54" t="s">
        <v>37</v>
      </c>
      <c r="D105" s="252">
        <f>ROUND('Lighting RD'!G71,2)</f>
        <v>0.27</v>
      </c>
      <c r="E105" s="252">
        <f>ROUND('Lighting RD'!H71,2)</f>
        <v>-0.02</v>
      </c>
      <c r="F105" s="179">
        <f t="shared" si="9"/>
        <v>0.25</v>
      </c>
      <c r="G105" s="222" t="s">
        <v>76</v>
      </c>
      <c r="H105" s="429"/>
      <c r="I105" s="429"/>
    </row>
    <row r="106" spans="1:9" x14ac:dyDescent="0.2">
      <c r="A106" s="31">
        <f t="shared" si="6"/>
        <v>97</v>
      </c>
      <c r="B106" s="49" t="s">
        <v>183</v>
      </c>
      <c r="C106" s="54" t="s">
        <v>38</v>
      </c>
      <c r="D106" s="252">
        <f>ROUND('Lighting RD'!G72,2)</f>
        <v>0.47</v>
      </c>
      <c r="E106" s="252">
        <f>ROUND('Lighting RD'!H72,2)</f>
        <v>-0.04</v>
      </c>
      <c r="F106" s="179">
        <f t="shared" si="9"/>
        <v>0.43</v>
      </c>
      <c r="G106" s="222" t="s">
        <v>76</v>
      </c>
      <c r="H106" s="429"/>
      <c r="I106" s="429"/>
    </row>
    <row r="107" spans="1:9" x14ac:dyDescent="0.2">
      <c r="A107" s="31">
        <f t="shared" si="6"/>
        <v>98</v>
      </c>
      <c r="B107" s="49" t="s">
        <v>183</v>
      </c>
      <c r="C107" s="54" t="s">
        <v>39</v>
      </c>
      <c r="D107" s="252">
        <f>ROUND('Lighting RD'!G73,2)</f>
        <v>0.47</v>
      </c>
      <c r="E107" s="252">
        <f>ROUND('Lighting RD'!H73,2)</f>
        <v>-0.04</v>
      </c>
      <c r="F107" s="179">
        <f t="shared" si="9"/>
        <v>0.43</v>
      </c>
      <c r="G107" s="222" t="s">
        <v>77</v>
      </c>
      <c r="H107" s="429"/>
      <c r="I107" s="429"/>
    </row>
    <row r="108" spans="1:9" x14ac:dyDescent="0.2">
      <c r="A108" s="31">
        <f t="shared" si="6"/>
        <v>99</v>
      </c>
      <c r="B108" s="49" t="s">
        <v>183</v>
      </c>
      <c r="C108" s="54" t="s">
        <v>40</v>
      </c>
      <c r="D108" s="252">
        <f>ROUND('Lighting RD'!G74,2)</f>
        <v>0.47</v>
      </c>
      <c r="E108" s="252">
        <f>ROUND('Lighting RD'!H74,2)</f>
        <v>-0.04</v>
      </c>
      <c r="F108" s="179">
        <f t="shared" si="9"/>
        <v>0.43</v>
      </c>
      <c r="G108" s="222" t="s">
        <v>77</v>
      </c>
      <c r="H108" s="429"/>
      <c r="I108" s="429"/>
    </row>
    <row r="109" spans="1:9" x14ac:dyDescent="0.2">
      <c r="A109" s="31">
        <f t="shared" si="6"/>
        <v>100</v>
      </c>
      <c r="B109" s="49" t="s">
        <v>183</v>
      </c>
      <c r="C109" s="54" t="s">
        <v>41</v>
      </c>
      <c r="D109" s="252">
        <f>ROUND('Lighting RD'!G75,2)</f>
        <v>0.62</v>
      </c>
      <c r="E109" s="252">
        <f>ROUND('Lighting RD'!H75,2)</f>
        <v>-0.05</v>
      </c>
      <c r="F109" s="179">
        <f t="shared" si="9"/>
        <v>0.56999999999999995</v>
      </c>
      <c r="G109" s="222" t="s">
        <v>77</v>
      </c>
      <c r="H109" s="429"/>
      <c r="I109" s="429"/>
    </row>
    <row r="110" spans="1:9" x14ac:dyDescent="0.2">
      <c r="A110" s="31">
        <f t="shared" si="6"/>
        <v>101</v>
      </c>
      <c r="B110" s="49" t="s">
        <v>183</v>
      </c>
      <c r="C110" s="54" t="s">
        <v>42</v>
      </c>
      <c r="D110" s="252">
        <f>ROUND('Lighting RD'!G76,2)</f>
        <v>0.62</v>
      </c>
      <c r="E110" s="252">
        <f>ROUND('Lighting RD'!H76,2)</f>
        <v>-0.05</v>
      </c>
      <c r="F110" s="179">
        <f t="shared" si="9"/>
        <v>0.56999999999999995</v>
      </c>
      <c r="G110" s="222" t="s">
        <v>77</v>
      </c>
      <c r="H110" s="429"/>
      <c r="I110" s="429"/>
    </row>
    <row r="111" spans="1:9" x14ac:dyDescent="0.2">
      <c r="A111" s="31">
        <f t="shared" si="6"/>
        <v>102</v>
      </c>
      <c r="B111" s="49"/>
      <c r="C111" s="54"/>
      <c r="D111" s="252"/>
      <c r="E111" s="252"/>
      <c r="F111" s="179"/>
      <c r="G111" s="222"/>
      <c r="H111" s="429"/>
      <c r="I111" s="429"/>
    </row>
    <row r="112" spans="1:9" ht="13.5" x14ac:dyDescent="0.35">
      <c r="A112" s="31">
        <f t="shared" si="6"/>
        <v>103</v>
      </c>
      <c r="B112" s="255" t="s">
        <v>159</v>
      </c>
      <c r="C112" s="4"/>
      <c r="D112" s="253"/>
      <c r="E112" s="253"/>
      <c r="F112" s="30"/>
      <c r="G112" s="222"/>
      <c r="H112" s="429"/>
      <c r="I112" s="429"/>
    </row>
    <row r="113" spans="1:9" x14ac:dyDescent="0.2">
      <c r="A113" s="31">
        <f t="shared" si="6"/>
        <v>104</v>
      </c>
      <c r="B113" s="49" t="s">
        <v>171</v>
      </c>
      <c r="C113" s="37">
        <v>50</v>
      </c>
      <c r="D113" s="252">
        <f>ROUND('Lighting RD'!G80,2)</f>
        <v>0.11</v>
      </c>
      <c r="E113" s="252">
        <f>ROUND('Lighting RD'!H80,2)</f>
        <v>-0.01</v>
      </c>
      <c r="F113" s="179">
        <f t="shared" ref="F113:F121" si="10">SUM(D113:E113)</f>
        <v>0.1</v>
      </c>
      <c r="G113" s="222" t="s">
        <v>82</v>
      </c>
      <c r="H113" s="429"/>
      <c r="I113" s="429"/>
    </row>
    <row r="114" spans="1:9" x14ac:dyDescent="0.2">
      <c r="A114" s="31">
        <f t="shared" si="6"/>
        <v>105</v>
      </c>
      <c r="B114" s="49" t="s">
        <v>171</v>
      </c>
      <c r="C114" s="37">
        <v>70</v>
      </c>
      <c r="D114" s="252">
        <f>ROUND('Lighting RD'!G81,2)</f>
        <v>0.18</v>
      </c>
      <c r="E114" s="252">
        <f>ROUND('Lighting RD'!H81,2)</f>
        <v>-0.02</v>
      </c>
      <c r="F114" s="179">
        <f t="shared" si="10"/>
        <v>0.16</v>
      </c>
      <c r="G114" s="222" t="s">
        <v>82</v>
      </c>
      <c r="H114" s="429"/>
      <c r="I114" s="429"/>
    </row>
    <row r="115" spans="1:9" x14ac:dyDescent="0.2">
      <c r="A115" s="31">
        <f t="shared" si="6"/>
        <v>106</v>
      </c>
      <c r="B115" s="49" t="s">
        <v>171</v>
      </c>
      <c r="C115" s="37">
        <v>100</v>
      </c>
      <c r="D115" s="252">
        <f>ROUND('Lighting RD'!G82,2)</f>
        <v>0.27</v>
      </c>
      <c r="E115" s="252">
        <f>ROUND('Lighting RD'!H82,2)</f>
        <v>-0.02</v>
      </c>
      <c r="F115" s="179">
        <f t="shared" si="10"/>
        <v>0.25</v>
      </c>
      <c r="G115" s="222" t="s">
        <v>82</v>
      </c>
      <c r="H115" s="429"/>
      <c r="I115" s="429"/>
    </row>
    <row r="116" spans="1:9" x14ac:dyDescent="0.2">
      <c r="A116" s="31">
        <f t="shared" si="6"/>
        <v>107</v>
      </c>
      <c r="B116" s="49" t="s">
        <v>171</v>
      </c>
      <c r="C116" s="37">
        <v>150</v>
      </c>
      <c r="D116" s="252">
        <f>ROUND('Lighting RD'!G83,2)</f>
        <v>0.27</v>
      </c>
      <c r="E116" s="252">
        <f>ROUND('Lighting RD'!H83,2)</f>
        <v>-0.02</v>
      </c>
      <c r="F116" s="179">
        <f t="shared" si="10"/>
        <v>0.25</v>
      </c>
      <c r="G116" s="222" t="s">
        <v>82</v>
      </c>
      <c r="H116" s="429"/>
      <c r="I116" s="429"/>
    </row>
    <row r="117" spans="1:9" x14ac:dyDescent="0.2">
      <c r="A117" s="31">
        <f t="shared" si="6"/>
        <v>108</v>
      </c>
      <c r="B117" s="49" t="s">
        <v>171</v>
      </c>
      <c r="C117" s="37">
        <v>200</v>
      </c>
      <c r="D117" s="252">
        <f>ROUND('Lighting RD'!G84,2)</f>
        <v>0.47</v>
      </c>
      <c r="E117" s="252">
        <f>ROUND('Lighting RD'!H84,2)</f>
        <v>-0.04</v>
      </c>
      <c r="F117" s="179">
        <f t="shared" si="10"/>
        <v>0.43</v>
      </c>
      <c r="G117" s="222" t="s">
        <v>82</v>
      </c>
      <c r="H117" s="429"/>
      <c r="I117" s="429"/>
    </row>
    <row r="118" spans="1:9" x14ac:dyDescent="0.2">
      <c r="A118" s="31">
        <f t="shared" si="6"/>
        <v>109</v>
      </c>
      <c r="B118" s="49" t="s">
        <v>171</v>
      </c>
      <c r="C118" s="37">
        <v>250</v>
      </c>
      <c r="D118" s="252">
        <f>ROUND('Lighting RD'!G85,2)</f>
        <v>0.62</v>
      </c>
      <c r="E118" s="252">
        <f>ROUND('Lighting RD'!H85,2)</f>
        <v>-0.05</v>
      </c>
      <c r="F118" s="179">
        <f t="shared" si="10"/>
        <v>0.56999999999999995</v>
      </c>
      <c r="G118" s="222" t="s">
        <v>82</v>
      </c>
      <c r="H118" s="429"/>
      <c r="I118" s="429"/>
    </row>
    <row r="119" spans="1:9" x14ac:dyDescent="0.2">
      <c r="A119" s="31">
        <f t="shared" si="6"/>
        <v>110</v>
      </c>
      <c r="B119" s="49" t="s">
        <v>171</v>
      </c>
      <c r="C119" s="37">
        <v>310</v>
      </c>
      <c r="D119" s="252">
        <f>ROUND('Lighting RD'!G86,2)</f>
        <v>0.62</v>
      </c>
      <c r="E119" s="252">
        <f>ROUND('Lighting RD'!H86,2)</f>
        <v>-0.05</v>
      </c>
      <c r="F119" s="179">
        <f t="shared" si="10"/>
        <v>0.56999999999999995</v>
      </c>
      <c r="G119" s="222" t="s">
        <v>82</v>
      </c>
      <c r="H119" s="429"/>
      <c r="I119" s="429"/>
    </row>
    <row r="120" spans="1:9" x14ac:dyDescent="0.2">
      <c r="A120" s="31">
        <f t="shared" si="6"/>
        <v>111</v>
      </c>
      <c r="B120" s="49" t="s">
        <v>171</v>
      </c>
      <c r="C120" s="37">
        <v>400</v>
      </c>
      <c r="D120" s="252">
        <f>ROUND('Lighting RD'!G87,2)</f>
        <v>0.98</v>
      </c>
      <c r="E120" s="252">
        <f>ROUND('Lighting RD'!H87,2)</f>
        <v>-0.08</v>
      </c>
      <c r="F120" s="179">
        <f t="shared" si="10"/>
        <v>0.9</v>
      </c>
      <c r="G120" s="222" t="s">
        <v>82</v>
      </c>
      <c r="H120" s="429"/>
      <c r="I120" s="429"/>
    </row>
    <row r="121" spans="1:9" x14ac:dyDescent="0.2">
      <c r="A121" s="31">
        <f t="shared" si="6"/>
        <v>112</v>
      </c>
      <c r="B121" s="49" t="s">
        <v>171</v>
      </c>
      <c r="C121" s="37">
        <v>1000</v>
      </c>
      <c r="D121" s="252">
        <f>ROUND('Lighting RD'!G88,2)</f>
        <v>2.4500000000000002</v>
      </c>
      <c r="E121" s="252">
        <f>ROUND('Lighting RD'!H88,2)</f>
        <v>-0.21</v>
      </c>
      <c r="F121" s="179">
        <f t="shared" si="10"/>
        <v>2.2400000000000002</v>
      </c>
      <c r="G121" s="222" t="s">
        <v>82</v>
      </c>
      <c r="H121" s="429"/>
      <c r="I121" s="429"/>
    </row>
    <row r="122" spans="1:9" x14ac:dyDescent="0.2">
      <c r="A122" s="31">
        <f t="shared" si="6"/>
        <v>113</v>
      </c>
      <c r="B122" s="57"/>
      <c r="C122" s="37"/>
      <c r="D122" s="253"/>
      <c r="E122" s="253"/>
      <c r="F122" s="30"/>
      <c r="G122" s="222"/>
      <c r="H122" s="429"/>
      <c r="I122" s="429"/>
    </row>
    <row r="123" spans="1:9" x14ac:dyDescent="0.2">
      <c r="A123" s="31">
        <f t="shared" si="6"/>
        <v>114</v>
      </c>
      <c r="B123" s="49" t="s">
        <v>172</v>
      </c>
      <c r="C123" s="55" t="s">
        <v>90</v>
      </c>
      <c r="D123" s="252">
        <f>ROUND('Lighting RD'!G90,2)</f>
        <v>0.05</v>
      </c>
      <c r="E123" s="252">
        <f>ROUND('Lighting RD'!H90,2)</f>
        <v>0</v>
      </c>
      <c r="F123" s="179">
        <f t="shared" ref="F123:F132" si="11">SUM(D123:E123)</f>
        <v>0.05</v>
      </c>
      <c r="G123" s="222" t="s">
        <v>76</v>
      </c>
      <c r="H123" s="429"/>
      <c r="I123" s="429"/>
    </row>
    <row r="124" spans="1:9" x14ac:dyDescent="0.2">
      <c r="A124" s="31">
        <f t="shared" si="6"/>
        <v>115</v>
      </c>
      <c r="B124" s="49" t="s">
        <v>172</v>
      </c>
      <c r="C124" s="54" t="s">
        <v>34</v>
      </c>
      <c r="D124" s="252">
        <f>ROUND('Lighting RD'!G91,2)</f>
        <v>0.11</v>
      </c>
      <c r="E124" s="252">
        <f>ROUND('Lighting RD'!H91,2)</f>
        <v>-0.01</v>
      </c>
      <c r="F124" s="179">
        <f t="shared" si="11"/>
        <v>0.1</v>
      </c>
      <c r="G124" s="222" t="s">
        <v>76</v>
      </c>
      <c r="H124" s="429"/>
      <c r="I124" s="429"/>
    </row>
    <row r="125" spans="1:9" x14ac:dyDescent="0.2">
      <c r="A125" s="31">
        <f t="shared" si="6"/>
        <v>116</v>
      </c>
      <c r="B125" s="49" t="s">
        <v>172</v>
      </c>
      <c r="C125" s="54" t="s">
        <v>35</v>
      </c>
      <c r="D125" s="252">
        <f>ROUND('Lighting RD'!G92,2)</f>
        <v>0.18</v>
      </c>
      <c r="E125" s="252">
        <f>ROUND('Lighting RD'!H92,2)</f>
        <v>-0.02</v>
      </c>
      <c r="F125" s="179">
        <f t="shared" si="11"/>
        <v>0.16</v>
      </c>
      <c r="G125" s="222" t="s">
        <v>76</v>
      </c>
      <c r="H125" s="429"/>
      <c r="I125" s="429"/>
    </row>
    <row r="126" spans="1:9" x14ac:dyDescent="0.2">
      <c r="A126" s="31">
        <f t="shared" si="6"/>
        <v>117</v>
      </c>
      <c r="B126" s="49" t="s">
        <v>172</v>
      </c>
      <c r="C126" s="54" t="s">
        <v>36</v>
      </c>
      <c r="D126" s="252">
        <f>ROUND('Lighting RD'!G93,2)</f>
        <v>0.27</v>
      </c>
      <c r="E126" s="252">
        <f>ROUND('Lighting RD'!H93,2)</f>
        <v>-0.02</v>
      </c>
      <c r="F126" s="179">
        <f t="shared" si="11"/>
        <v>0.25</v>
      </c>
      <c r="G126" s="222" t="s">
        <v>76</v>
      </c>
      <c r="H126" s="429"/>
      <c r="I126" s="429"/>
    </row>
    <row r="127" spans="1:9" x14ac:dyDescent="0.2">
      <c r="A127" s="31">
        <f t="shared" si="6"/>
        <v>118</v>
      </c>
      <c r="B127" s="49" t="s">
        <v>172</v>
      </c>
      <c r="C127" s="54" t="s">
        <v>37</v>
      </c>
      <c r="D127" s="252">
        <f>ROUND('Lighting RD'!G94,2)</f>
        <v>0.27</v>
      </c>
      <c r="E127" s="252">
        <f>ROUND('Lighting RD'!H94,2)</f>
        <v>-0.02</v>
      </c>
      <c r="F127" s="179">
        <f t="shared" si="11"/>
        <v>0.25</v>
      </c>
      <c r="G127" s="222" t="s">
        <v>76</v>
      </c>
      <c r="H127" s="429"/>
      <c r="I127" s="429"/>
    </row>
    <row r="128" spans="1:9" x14ac:dyDescent="0.2">
      <c r="A128" s="31">
        <f t="shared" si="6"/>
        <v>119</v>
      </c>
      <c r="B128" s="49" t="s">
        <v>172</v>
      </c>
      <c r="C128" s="54" t="s">
        <v>38</v>
      </c>
      <c r="D128" s="252">
        <f>ROUND('Lighting RD'!G95,2)</f>
        <v>0.47</v>
      </c>
      <c r="E128" s="252">
        <f>ROUND('Lighting RD'!H95,2)</f>
        <v>-0.04</v>
      </c>
      <c r="F128" s="179">
        <f t="shared" si="11"/>
        <v>0.43</v>
      </c>
      <c r="G128" s="222" t="s">
        <v>76</v>
      </c>
      <c r="H128" s="429"/>
      <c r="I128" s="429"/>
    </row>
    <row r="129" spans="1:9" x14ac:dyDescent="0.2">
      <c r="A129" s="31">
        <f t="shared" si="6"/>
        <v>120</v>
      </c>
      <c r="B129" s="49" t="s">
        <v>172</v>
      </c>
      <c r="C129" s="54" t="s">
        <v>39</v>
      </c>
      <c r="D129" s="252">
        <f>ROUND('Lighting RD'!G96,2)</f>
        <v>0.47</v>
      </c>
      <c r="E129" s="252">
        <f>ROUND('Lighting RD'!H96,2)</f>
        <v>-0.04</v>
      </c>
      <c r="F129" s="179">
        <f t="shared" si="11"/>
        <v>0.43</v>
      </c>
      <c r="G129" s="222" t="s">
        <v>77</v>
      </c>
      <c r="H129" s="429"/>
      <c r="I129" s="429"/>
    </row>
    <row r="130" spans="1:9" x14ac:dyDescent="0.2">
      <c r="A130" s="31">
        <f t="shared" si="6"/>
        <v>121</v>
      </c>
      <c r="B130" s="49" t="s">
        <v>172</v>
      </c>
      <c r="C130" s="54" t="s">
        <v>40</v>
      </c>
      <c r="D130" s="252">
        <f>ROUND('Lighting RD'!G97,2)</f>
        <v>0.47</v>
      </c>
      <c r="E130" s="252">
        <f>ROUND('Lighting RD'!H97,2)</f>
        <v>-0.04</v>
      </c>
      <c r="F130" s="179">
        <f t="shared" si="11"/>
        <v>0.43</v>
      </c>
      <c r="G130" s="222" t="s">
        <v>77</v>
      </c>
      <c r="H130" s="429"/>
      <c r="I130" s="429"/>
    </row>
    <row r="131" spans="1:9" x14ac:dyDescent="0.2">
      <c r="A131" s="31">
        <f t="shared" si="6"/>
        <v>122</v>
      </c>
      <c r="B131" s="49" t="s">
        <v>172</v>
      </c>
      <c r="C131" s="54" t="s">
        <v>41</v>
      </c>
      <c r="D131" s="252">
        <f>ROUND('Lighting RD'!G98,2)</f>
        <v>0.62</v>
      </c>
      <c r="E131" s="252">
        <f>ROUND('Lighting RD'!H98,2)</f>
        <v>-0.05</v>
      </c>
      <c r="F131" s="179">
        <f t="shared" si="11"/>
        <v>0.56999999999999995</v>
      </c>
      <c r="G131" s="222" t="s">
        <v>77</v>
      </c>
      <c r="H131" s="429"/>
      <c r="I131" s="429"/>
    </row>
    <row r="132" spans="1:9" x14ac:dyDescent="0.2">
      <c r="A132" s="31">
        <f t="shared" si="6"/>
        <v>123</v>
      </c>
      <c r="B132" s="49" t="s">
        <v>172</v>
      </c>
      <c r="C132" s="54" t="s">
        <v>42</v>
      </c>
      <c r="D132" s="252">
        <f>ROUND('Lighting RD'!G99,2)</f>
        <v>0.62</v>
      </c>
      <c r="E132" s="252">
        <f>ROUND('Lighting RD'!H99,2)</f>
        <v>-0.05</v>
      </c>
      <c r="F132" s="179">
        <f t="shared" si="11"/>
        <v>0.56999999999999995</v>
      </c>
      <c r="G132" s="222" t="s">
        <v>77</v>
      </c>
      <c r="H132" s="429"/>
      <c r="I132" s="429"/>
    </row>
    <row r="133" spans="1:9" x14ac:dyDescent="0.2">
      <c r="A133" s="31">
        <f t="shared" si="6"/>
        <v>124</v>
      </c>
      <c r="B133" s="49"/>
      <c r="C133" s="54"/>
      <c r="D133" s="252"/>
      <c r="E133" s="252"/>
      <c r="F133" s="179"/>
      <c r="G133" s="222"/>
      <c r="H133" s="429"/>
      <c r="I133" s="429"/>
    </row>
    <row r="134" spans="1:9" ht="13.5" x14ac:dyDescent="0.35">
      <c r="A134" s="31">
        <f t="shared" si="6"/>
        <v>125</v>
      </c>
      <c r="B134" s="255" t="s">
        <v>160</v>
      </c>
      <c r="C134" s="37"/>
      <c r="D134" s="253"/>
      <c r="E134" s="253"/>
      <c r="F134" s="30"/>
      <c r="G134" s="222"/>
      <c r="H134" s="429"/>
      <c r="I134" s="429"/>
    </row>
    <row r="135" spans="1:9" x14ac:dyDescent="0.2">
      <c r="A135" s="31">
        <f t="shared" si="6"/>
        <v>126</v>
      </c>
      <c r="B135" s="49" t="s">
        <v>173</v>
      </c>
      <c r="C135" s="37">
        <v>70</v>
      </c>
      <c r="D135" s="252">
        <f>ROUND('Lighting RD'!G102,2)</f>
        <v>0.36</v>
      </c>
      <c r="E135" s="252">
        <f>ROUND('Lighting RD'!H102,2)</f>
        <v>-0.03</v>
      </c>
      <c r="F135" s="179">
        <f t="shared" ref="F135:F140" si="12">SUM(D135:E135)</f>
        <v>0.32999999999999996</v>
      </c>
      <c r="G135" s="222" t="s">
        <v>82</v>
      </c>
      <c r="H135" s="429"/>
      <c r="I135" s="429"/>
    </row>
    <row r="136" spans="1:9" x14ac:dyDescent="0.2">
      <c r="A136" s="31">
        <f t="shared" si="6"/>
        <v>127</v>
      </c>
      <c r="B136" s="57" t="s">
        <v>173</v>
      </c>
      <c r="C136" s="37">
        <v>100</v>
      </c>
      <c r="D136" s="252">
        <f>ROUND('Lighting RD'!G103,2)</f>
        <v>0.44</v>
      </c>
      <c r="E136" s="252">
        <f>ROUND('Lighting RD'!H103,2)</f>
        <v>-0.04</v>
      </c>
      <c r="F136" s="179">
        <f t="shared" si="12"/>
        <v>0.4</v>
      </c>
      <c r="G136" s="222" t="s">
        <v>82</v>
      </c>
      <c r="H136" s="429"/>
      <c r="I136" s="429"/>
    </row>
    <row r="137" spans="1:9" x14ac:dyDescent="0.2">
      <c r="A137" s="31">
        <f t="shared" si="6"/>
        <v>128</v>
      </c>
      <c r="B137" s="57" t="s">
        <v>173</v>
      </c>
      <c r="C137" s="37">
        <v>150</v>
      </c>
      <c r="D137" s="252">
        <f>ROUND('Lighting RD'!G104,2)</f>
        <v>0.44</v>
      </c>
      <c r="E137" s="252">
        <f>ROUND('Lighting RD'!H104,2)</f>
        <v>-0.04</v>
      </c>
      <c r="F137" s="179">
        <f t="shared" si="12"/>
        <v>0.4</v>
      </c>
      <c r="G137" s="222" t="s">
        <v>82</v>
      </c>
      <c r="H137" s="429"/>
      <c r="I137" s="429"/>
    </row>
    <row r="138" spans="1:9" x14ac:dyDescent="0.2">
      <c r="A138" s="31">
        <f t="shared" si="6"/>
        <v>129</v>
      </c>
      <c r="B138" s="57" t="s">
        <v>173</v>
      </c>
      <c r="C138" s="37">
        <v>200</v>
      </c>
      <c r="D138" s="252">
        <f>ROUND('Lighting RD'!G105,2)</f>
        <v>0.65</v>
      </c>
      <c r="E138" s="252">
        <f>ROUND('Lighting RD'!H105,2)</f>
        <v>-0.06</v>
      </c>
      <c r="F138" s="179">
        <f t="shared" si="12"/>
        <v>0.59000000000000008</v>
      </c>
      <c r="G138" s="222" t="s">
        <v>82</v>
      </c>
      <c r="H138" s="429"/>
      <c r="I138" s="429"/>
    </row>
    <row r="139" spans="1:9" x14ac:dyDescent="0.2">
      <c r="A139" s="31">
        <f t="shared" si="6"/>
        <v>130</v>
      </c>
      <c r="B139" s="57" t="s">
        <v>173</v>
      </c>
      <c r="C139" s="37">
        <v>250</v>
      </c>
      <c r="D139" s="252">
        <f>ROUND('Lighting RD'!G106,2)</f>
        <v>0.81</v>
      </c>
      <c r="E139" s="252">
        <f>ROUND('Lighting RD'!H106,2)</f>
        <v>-7.0000000000000007E-2</v>
      </c>
      <c r="F139" s="179">
        <f t="shared" si="12"/>
        <v>0.74</v>
      </c>
      <c r="G139" s="222" t="s">
        <v>82</v>
      </c>
      <c r="H139" s="429"/>
      <c r="I139" s="429"/>
    </row>
    <row r="140" spans="1:9" x14ac:dyDescent="0.2">
      <c r="A140" s="31">
        <f t="shared" si="6"/>
        <v>131</v>
      </c>
      <c r="B140" s="57" t="s">
        <v>173</v>
      </c>
      <c r="C140" s="37">
        <v>400</v>
      </c>
      <c r="D140" s="252">
        <f>ROUND('Lighting RD'!G107,2)</f>
        <v>1.1399999999999999</v>
      </c>
      <c r="E140" s="252">
        <f>ROUND('Lighting RD'!H107,2)</f>
        <v>-0.1</v>
      </c>
      <c r="F140" s="179">
        <f t="shared" si="12"/>
        <v>1.0399999999999998</v>
      </c>
      <c r="G140" s="222" t="s">
        <v>82</v>
      </c>
      <c r="H140" s="429"/>
      <c r="I140" s="429"/>
    </row>
    <row r="141" spans="1:9" x14ac:dyDescent="0.2">
      <c r="A141" s="31">
        <f t="shared" si="6"/>
        <v>132</v>
      </c>
      <c r="B141" s="57"/>
      <c r="C141" s="37"/>
      <c r="D141" s="252"/>
      <c r="E141" s="252"/>
      <c r="F141" s="30"/>
      <c r="G141" s="227"/>
      <c r="H141" s="429"/>
      <c r="I141" s="429"/>
    </row>
    <row r="142" spans="1:9" x14ac:dyDescent="0.2">
      <c r="A142" s="31">
        <f t="shared" si="6"/>
        <v>133</v>
      </c>
      <c r="B142" s="57" t="s">
        <v>174</v>
      </c>
      <c r="C142" s="37">
        <v>250</v>
      </c>
      <c r="D142" s="252">
        <f>ROUND('Lighting RD'!G109,2)</f>
        <v>0.81</v>
      </c>
      <c r="E142" s="252">
        <f>ROUND('Lighting RD'!H109,2)</f>
        <v>-7.0000000000000007E-2</v>
      </c>
      <c r="F142" s="179">
        <f>SUM(D142:E142)</f>
        <v>0.74</v>
      </c>
      <c r="G142" s="222" t="s">
        <v>83</v>
      </c>
      <c r="H142" s="429"/>
      <c r="I142" s="429"/>
    </row>
    <row r="143" spans="1:9" x14ac:dyDescent="0.2">
      <c r="A143" s="31">
        <f t="shared" si="6"/>
        <v>134</v>
      </c>
      <c r="B143" s="57"/>
      <c r="C143" s="37"/>
      <c r="D143" s="252"/>
      <c r="E143" s="252"/>
      <c r="F143" s="30"/>
      <c r="G143" s="227"/>
      <c r="H143" s="429"/>
      <c r="I143" s="429"/>
    </row>
    <row r="144" spans="1:9" x14ac:dyDescent="0.2">
      <c r="A144" s="31">
        <f t="shared" si="6"/>
        <v>135</v>
      </c>
      <c r="B144" s="57" t="s">
        <v>175</v>
      </c>
      <c r="C144" s="55" t="s">
        <v>90</v>
      </c>
      <c r="D144" s="252">
        <f>ROUND('Lighting RD'!G111,2)</f>
        <v>0.22</v>
      </c>
      <c r="E144" s="252">
        <f>ROUND('Lighting RD'!H111,2)</f>
        <v>-0.02</v>
      </c>
      <c r="F144" s="179">
        <f t="shared" ref="F144:F153" si="13">SUM(D144:E144)</f>
        <v>0.2</v>
      </c>
      <c r="G144" s="222" t="s">
        <v>83</v>
      </c>
      <c r="H144" s="429"/>
      <c r="I144" s="429"/>
    </row>
    <row r="145" spans="1:9" x14ac:dyDescent="0.2">
      <c r="A145" s="31">
        <f t="shared" ref="A145:A208" si="14">A144+1</f>
        <v>136</v>
      </c>
      <c r="B145" s="57" t="s">
        <v>175</v>
      </c>
      <c r="C145" s="55" t="s">
        <v>34</v>
      </c>
      <c r="D145" s="252">
        <f>ROUND('Lighting RD'!G112,2)</f>
        <v>0.27</v>
      </c>
      <c r="E145" s="252">
        <f>ROUND('Lighting RD'!H112,2)</f>
        <v>-0.02</v>
      </c>
      <c r="F145" s="179">
        <f t="shared" si="13"/>
        <v>0.25</v>
      </c>
      <c r="G145" s="222" t="s">
        <v>83</v>
      </c>
      <c r="H145" s="429"/>
      <c r="I145" s="429"/>
    </row>
    <row r="146" spans="1:9" x14ac:dyDescent="0.2">
      <c r="A146" s="31">
        <f t="shared" si="14"/>
        <v>137</v>
      </c>
      <c r="B146" s="57" t="s">
        <v>175</v>
      </c>
      <c r="C146" s="54" t="s">
        <v>35</v>
      </c>
      <c r="D146" s="252">
        <f>ROUND('Lighting RD'!G113,2)</f>
        <v>0.36</v>
      </c>
      <c r="E146" s="252">
        <f>ROUND('Lighting RD'!H113,2)</f>
        <v>-0.03</v>
      </c>
      <c r="F146" s="179">
        <f t="shared" si="13"/>
        <v>0.32999999999999996</v>
      </c>
      <c r="G146" s="222" t="s">
        <v>83</v>
      </c>
      <c r="H146" s="429"/>
      <c r="I146" s="429"/>
    </row>
    <row r="147" spans="1:9" x14ac:dyDescent="0.2">
      <c r="A147" s="31">
        <f t="shared" si="14"/>
        <v>138</v>
      </c>
      <c r="B147" s="57" t="s">
        <v>175</v>
      </c>
      <c r="C147" s="54" t="s">
        <v>36</v>
      </c>
      <c r="D147" s="252">
        <f>ROUND('Lighting RD'!G114,2)</f>
        <v>0.44</v>
      </c>
      <c r="E147" s="252">
        <f>ROUND('Lighting RD'!H114,2)</f>
        <v>-0.04</v>
      </c>
      <c r="F147" s="179">
        <f t="shared" si="13"/>
        <v>0.4</v>
      </c>
      <c r="G147" s="222" t="s">
        <v>83</v>
      </c>
      <c r="H147" s="429"/>
      <c r="I147" s="429"/>
    </row>
    <row r="148" spans="1:9" x14ac:dyDescent="0.2">
      <c r="A148" s="31">
        <f t="shared" si="14"/>
        <v>139</v>
      </c>
      <c r="B148" s="57" t="s">
        <v>175</v>
      </c>
      <c r="C148" s="54" t="s">
        <v>37</v>
      </c>
      <c r="D148" s="252">
        <f>ROUND('Lighting RD'!G115,2)</f>
        <v>0.44</v>
      </c>
      <c r="E148" s="252">
        <f>ROUND('Lighting RD'!H115,2)</f>
        <v>-0.04</v>
      </c>
      <c r="F148" s="179">
        <f t="shared" si="13"/>
        <v>0.4</v>
      </c>
      <c r="G148" s="222" t="s">
        <v>83</v>
      </c>
      <c r="H148" s="429"/>
      <c r="I148" s="429"/>
    </row>
    <row r="149" spans="1:9" x14ac:dyDescent="0.2">
      <c r="A149" s="31">
        <f t="shared" si="14"/>
        <v>140</v>
      </c>
      <c r="B149" s="57" t="s">
        <v>175</v>
      </c>
      <c r="C149" s="54" t="s">
        <v>38</v>
      </c>
      <c r="D149" s="252">
        <f>ROUND('Lighting RD'!G116,2)</f>
        <v>0.65</v>
      </c>
      <c r="E149" s="252">
        <f>ROUND('Lighting RD'!H116,2)</f>
        <v>-0.06</v>
      </c>
      <c r="F149" s="179">
        <f t="shared" si="13"/>
        <v>0.59000000000000008</v>
      </c>
      <c r="G149" s="222" t="s">
        <v>83</v>
      </c>
      <c r="H149" s="429"/>
      <c r="I149" s="429"/>
    </row>
    <row r="150" spans="1:9" x14ac:dyDescent="0.2">
      <c r="A150" s="31">
        <f t="shared" si="14"/>
        <v>141</v>
      </c>
      <c r="B150" s="57" t="s">
        <v>175</v>
      </c>
      <c r="C150" s="54" t="s">
        <v>39</v>
      </c>
      <c r="D150" s="252">
        <f>ROUND('Lighting RD'!G117,2)</f>
        <v>0.65</v>
      </c>
      <c r="E150" s="252">
        <f>ROUND('Lighting RD'!H117,2)</f>
        <v>-0.06</v>
      </c>
      <c r="F150" s="179">
        <f t="shared" si="13"/>
        <v>0.59000000000000008</v>
      </c>
      <c r="G150" s="222" t="s">
        <v>83</v>
      </c>
      <c r="H150" s="429"/>
      <c r="I150" s="429"/>
    </row>
    <row r="151" spans="1:9" x14ac:dyDescent="0.2">
      <c r="A151" s="31">
        <f t="shared" si="14"/>
        <v>142</v>
      </c>
      <c r="B151" s="57" t="s">
        <v>175</v>
      </c>
      <c r="C151" s="54" t="s">
        <v>40</v>
      </c>
      <c r="D151" s="252">
        <f>ROUND('Lighting RD'!G118,2)</f>
        <v>0.65</v>
      </c>
      <c r="E151" s="252">
        <f>ROUND('Lighting RD'!H118,2)</f>
        <v>-0.06</v>
      </c>
      <c r="F151" s="179">
        <f t="shared" si="13"/>
        <v>0.59000000000000008</v>
      </c>
      <c r="G151" s="222" t="s">
        <v>83</v>
      </c>
      <c r="H151" s="429"/>
      <c r="I151" s="429"/>
    </row>
    <row r="152" spans="1:9" x14ac:dyDescent="0.2">
      <c r="A152" s="31">
        <f t="shared" si="14"/>
        <v>143</v>
      </c>
      <c r="B152" s="57" t="s">
        <v>175</v>
      </c>
      <c r="C152" s="54" t="s">
        <v>41</v>
      </c>
      <c r="D152" s="252">
        <f>ROUND('Lighting RD'!G119,2)</f>
        <v>0.81</v>
      </c>
      <c r="E152" s="252">
        <f>ROUND('Lighting RD'!H119,2)</f>
        <v>-7.0000000000000007E-2</v>
      </c>
      <c r="F152" s="179">
        <f t="shared" si="13"/>
        <v>0.74</v>
      </c>
      <c r="G152" s="222" t="s">
        <v>83</v>
      </c>
      <c r="H152" s="429"/>
      <c r="I152" s="429"/>
    </row>
    <row r="153" spans="1:9" x14ac:dyDescent="0.2">
      <c r="A153" s="31">
        <f t="shared" si="14"/>
        <v>144</v>
      </c>
      <c r="B153" s="57" t="s">
        <v>175</v>
      </c>
      <c r="C153" s="54" t="s">
        <v>42</v>
      </c>
      <c r="D153" s="252">
        <f>ROUND('Lighting RD'!G120,2)</f>
        <v>0.81</v>
      </c>
      <c r="E153" s="252">
        <f>ROUND('Lighting RD'!H120,2)</f>
        <v>-7.0000000000000007E-2</v>
      </c>
      <c r="F153" s="179">
        <f t="shared" si="13"/>
        <v>0.74</v>
      </c>
      <c r="G153" s="222" t="s">
        <v>83</v>
      </c>
      <c r="H153" s="429"/>
      <c r="I153" s="429"/>
    </row>
    <row r="154" spans="1:9" x14ac:dyDescent="0.2">
      <c r="A154" s="31">
        <f t="shared" si="14"/>
        <v>145</v>
      </c>
      <c r="B154" s="57"/>
      <c r="C154" s="54"/>
      <c r="D154" s="252"/>
      <c r="E154" s="252"/>
      <c r="F154" s="179"/>
      <c r="G154" s="222"/>
      <c r="H154" s="429"/>
      <c r="I154" s="429"/>
    </row>
    <row r="155" spans="1:9" x14ac:dyDescent="0.2">
      <c r="A155" s="31">
        <f t="shared" si="14"/>
        <v>146</v>
      </c>
      <c r="B155" s="49" t="s">
        <v>161</v>
      </c>
      <c r="C155" s="37">
        <v>0</v>
      </c>
      <c r="D155" s="252">
        <f>ROUND('Lighting RD'!G165,2)</f>
        <v>0.13</v>
      </c>
      <c r="E155" s="252">
        <f>ROUND('Lighting RD'!H165,2)</f>
        <v>-0.01</v>
      </c>
      <c r="F155" s="179">
        <f>SUM(D155:E155)</f>
        <v>0.12000000000000001</v>
      </c>
      <c r="G155" s="222" t="s">
        <v>83</v>
      </c>
      <c r="H155" s="429"/>
      <c r="I155" s="429"/>
    </row>
    <row r="156" spans="1:9" x14ac:dyDescent="0.2">
      <c r="A156" s="31">
        <f t="shared" si="14"/>
        <v>147</v>
      </c>
      <c r="B156" s="49" t="s">
        <v>162</v>
      </c>
      <c r="C156" s="37">
        <v>0</v>
      </c>
      <c r="D156" s="252">
        <f>ROUND('Lighting RD'!G166,2)</f>
        <v>0.13</v>
      </c>
      <c r="E156" s="252">
        <f>ROUND('Lighting RD'!H166,2)</f>
        <v>-0.01</v>
      </c>
      <c r="F156" s="179">
        <f>SUM(D156:E156)</f>
        <v>0.12000000000000001</v>
      </c>
      <c r="G156" s="222" t="s">
        <v>83</v>
      </c>
      <c r="H156" s="429"/>
      <c r="I156" s="429"/>
    </row>
    <row r="157" spans="1:9" x14ac:dyDescent="0.2">
      <c r="A157" s="31">
        <f t="shared" si="14"/>
        <v>148</v>
      </c>
      <c r="B157" s="57"/>
      <c r="C157" s="54"/>
      <c r="D157" s="252"/>
      <c r="E157" s="252"/>
      <c r="F157" s="179"/>
      <c r="G157" s="222"/>
      <c r="H157" s="429"/>
      <c r="I157" s="429"/>
    </row>
    <row r="158" spans="1:9" ht="13.5" x14ac:dyDescent="0.35">
      <c r="A158" s="31">
        <f t="shared" si="14"/>
        <v>149</v>
      </c>
      <c r="B158" s="255" t="s">
        <v>58</v>
      </c>
      <c r="C158" s="37"/>
      <c r="D158" s="253"/>
      <c r="E158" s="253"/>
      <c r="F158" s="30"/>
      <c r="G158" s="222"/>
      <c r="H158" s="429"/>
      <c r="I158" s="429"/>
    </row>
    <row r="159" spans="1:9" x14ac:dyDescent="0.2">
      <c r="A159" s="31">
        <f t="shared" si="14"/>
        <v>150</v>
      </c>
      <c r="B159" s="57" t="s">
        <v>59</v>
      </c>
      <c r="C159" s="37" t="s">
        <v>188</v>
      </c>
      <c r="D159" s="285">
        <f>ROUND('Lighting RD'!G123,5)</f>
        <v>1.75E-3</v>
      </c>
      <c r="E159" s="285">
        <f>ROUND('Lighting RD'!H123,5)</f>
        <v>-1.4999999999999999E-4</v>
      </c>
      <c r="F159" s="286">
        <f>SUM(D159:E159)</f>
        <v>1.6000000000000001E-3</v>
      </c>
      <c r="G159" s="222" t="s">
        <v>84</v>
      </c>
      <c r="H159" s="429"/>
      <c r="I159" s="429"/>
    </row>
    <row r="160" spans="1:9" x14ac:dyDescent="0.2">
      <c r="A160" s="31">
        <f t="shared" si="14"/>
        <v>151</v>
      </c>
      <c r="B160" s="57"/>
      <c r="C160" s="54"/>
      <c r="D160" s="252"/>
      <c r="E160" s="252"/>
      <c r="F160" s="179"/>
      <c r="G160" s="222"/>
      <c r="H160" s="429"/>
      <c r="I160" s="429"/>
    </row>
    <row r="161" spans="1:9" ht="13.5" x14ac:dyDescent="0.35">
      <c r="A161" s="31">
        <f t="shared" si="14"/>
        <v>152</v>
      </c>
      <c r="B161" s="255" t="s">
        <v>48</v>
      </c>
      <c r="C161" s="37"/>
      <c r="D161" s="253"/>
      <c r="E161" s="253"/>
      <c r="F161" s="30"/>
      <c r="G161" s="222"/>
      <c r="H161" s="429"/>
      <c r="I161" s="429"/>
    </row>
    <row r="162" spans="1:9" x14ac:dyDescent="0.2">
      <c r="A162" s="31">
        <f t="shared" si="14"/>
        <v>153</v>
      </c>
      <c r="B162" s="49" t="s">
        <v>184</v>
      </c>
      <c r="C162" s="37">
        <v>70</v>
      </c>
      <c r="D162" s="252">
        <f>ROUND('Lighting RD'!G126,2)</f>
        <v>0.36</v>
      </c>
      <c r="E162" s="252">
        <f>ROUND('Lighting RD'!H126,2)</f>
        <v>-0.03</v>
      </c>
      <c r="F162" s="179">
        <f t="shared" ref="F162:F167" si="15">SUM(D162:E162)</f>
        <v>0.32999999999999996</v>
      </c>
      <c r="G162" s="222" t="s">
        <v>84</v>
      </c>
      <c r="H162" s="429"/>
      <c r="I162" s="429"/>
    </row>
    <row r="163" spans="1:9" x14ac:dyDescent="0.2">
      <c r="A163" s="31">
        <f t="shared" si="14"/>
        <v>154</v>
      </c>
      <c r="B163" s="57" t="s">
        <v>184</v>
      </c>
      <c r="C163" s="37">
        <v>100</v>
      </c>
      <c r="D163" s="252">
        <f>ROUND('Lighting RD'!G127,2)</f>
        <v>0.44</v>
      </c>
      <c r="E163" s="252">
        <f>ROUND('Lighting RD'!H127,2)</f>
        <v>-0.04</v>
      </c>
      <c r="F163" s="179">
        <f t="shared" si="15"/>
        <v>0.4</v>
      </c>
      <c r="G163" s="222" t="s">
        <v>84</v>
      </c>
      <c r="H163" s="429"/>
      <c r="I163" s="429"/>
    </row>
    <row r="164" spans="1:9" x14ac:dyDescent="0.2">
      <c r="A164" s="31">
        <f t="shared" si="14"/>
        <v>155</v>
      </c>
      <c r="B164" s="57" t="s">
        <v>184</v>
      </c>
      <c r="C164" s="37">
        <v>150</v>
      </c>
      <c r="D164" s="252">
        <f>ROUND('Lighting RD'!G128,2)</f>
        <v>0.44</v>
      </c>
      <c r="E164" s="252">
        <f>ROUND('Lighting RD'!H128,2)</f>
        <v>-0.04</v>
      </c>
      <c r="F164" s="179">
        <f t="shared" si="15"/>
        <v>0.4</v>
      </c>
      <c r="G164" s="222" t="s">
        <v>84</v>
      </c>
      <c r="H164" s="429"/>
      <c r="I164" s="429"/>
    </row>
    <row r="165" spans="1:9" x14ac:dyDescent="0.2">
      <c r="A165" s="31">
        <f t="shared" si="14"/>
        <v>156</v>
      </c>
      <c r="B165" s="57" t="s">
        <v>184</v>
      </c>
      <c r="C165" s="37">
        <v>200</v>
      </c>
      <c r="D165" s="252">
        <f>ROUND('Lighting RD'!G129,2)</f>
        <v>0.65</v>
      </c>
      <c r="E165" s="252">
        <f>ROUND('Lighting RD'!H129,2)</f>
        <v>-0.06</v>
      </c>
      <c r="F165" s="179">
        <f t="shared" si="15"/>
        <v>0.59000000000000008</v>
      </c>
      <c r="G165" s="222" t="s">
        <v>84</v>
      </c>
      <c r="H165" s="429"/>
      <c r="I165" s="429"/>
    </row>
    <row r="166" spans="1:9" x14ac:dyDescent="0.2">
      <c r="A166" s="31">
        <f t="shared" si="14"/>
        <v>157</v>
      </c>
      <c r="B166" s="57" t="s">
        <v>184</v>
      </c>
      <c r="C166" s="37">
        <v>250</v>
      </c>
      <c r="D166" s="252">
        <f>ROUND('Lighting RD'!G130,2)</f>
        <v>0.81</v>
      </c>
      <c r="E166" s="252">
        <f>ROUND('Lighting RD'!H130,2)</f>
        <v>-7.0000000000000007E-2</v>
      </c>
      <c r="F166" s="179">
        <f t="shared" si="15"/>
        <v>0.74</v>
      </c>
      <c r="G166" s="222" t="s">
        <v>84</v>
      </c>
      <c r="H166" s="429"/>
      <c r="I166" s="429"/>
    </row>
    <row r="167" spans="1:9" x14ac:dyDescent="0.2">
      <c r="A167" s="31">
        <f t="shared" si="14"/>
        <v>158</v>
      </c>
      <c r="B167" s="57" t="s">
        <v>184</v>
      </c>
      <c r="C167" s="37">
        <v>400</v>
      </c>
      <c r="D167" s="252">
        <f>ROUND('Lighting RD'!G131,2)</f>
        <v>1.1399999999999999</v>
      </c>
      <c r="E167" s="252">
        <f>ROUND('Lighting RD'!H131,2)</f>
        <v>-0.1</v>
      </c>
      <c r="F167" s="179">
        <f t="shared" si="15"/>
        <v>1.0399999999999998</v>
      </c>
      <c r="G167" s="222" t="s">
        <v>84</v>
      </c>
      <c r="H167" s="429"/>
      <c r="I167" s="429"/>
    </row>
    <row r="168" spans="1:9" x14ac:dyDescent="0.2">
      <c r="A168" s="31">
        <f t="shared" si="14"/>
        <v>159</v>
      </c>
      <c r="B168" s="57"/>
      <c r="C168" s="37"/>
      <c r="D168" s="253"/>
      <c r="E168" s="253"/>
      <c r="F168" s="30"/>
      <c r="G168" s="222"/>
      <c r="H168" s="429"/>
      <c r="I168" s="429"/>
    </row>
    <row r="169" spans="1:9" x14ac:dyDescent="0.2">
      <c r="A169" s="31">
        <f t="shared" si="14"/>
        <v>160</v>
      </c>
      <c r="B169" s="49" t="s">
        <v>185</v>
      </c>
      <c r="C169" s="37">
        <v>100</v>
      </c>
      <c r="D169" s="252">
        <f>ROUND('Lighting RD'!G133,2)</f>
        <v>0.44</v>
      </c>
      <c r="E169" s="252">
        <f>ROUND('Lighting RD'!H133,2)</f>
        <v>-0.04</v>
      </c>
      <c r="F169" s="179">
        <f>SUM(D169:E169)</f>
        <v>0.4</v>
      </c>
      <c r="G169" s="222" t="s">
        <v>85</v>
      </c>
      <c r="H169" s="429"/>
      <c r="I169" s="429"/>
    </row>
    <row r="170" spans="1:9" x14ac:dyDescent="0.2">
      <c r="A170" s="31">
        <f t="shared" si="14"/>
        <v>161</v>
      </c>
      <c r="B170" s="57" t="s">
        <v>185</v>
      </c>
      <c r="C170" s="37">
        <v>150</v>
      </c>
      <c r="D170" s="252">
        <f>ROUND('Lighting RD'!G134,2)</f>
        <v>0.44</v>
      </c>
      <c r="E170" s="252">
        <f>ROUND('Lighting RD'!H134,2)</f>
        <v>-0.04</v>
      </c>
      <c r="F170" s="179">
        <f>SUM(D170:E170)</f>
        <v>0.4</v>
      </c>
      <c r="G170" s="222" t="s">
        <v>85</v>
      </c>
      <c r="H170" s="429"/>
      <c r="I170" s="429"/>
    </row>
    <row r="171" spans="1:9" x14ac:dyDescent="0.2">
      <c r="A171" s="31">
        <f t="shared" si="14"/>
        <v>162</v>
      </c>
      <c r="B171" s="57" t="s">
        <v>185</v>
      </c>
      <c r="C171" s="37">
        <v>200</v>
      </c>
      <c r="D171" s="252">
        <f>ROUND('Lighting RD'!G135,2)</f>
        <v>0.65</v>
      </c>
      <c r="E171" s="252">
        <f>ROUND('Lighting RD'!H135,2)</f>
        <v>-0.06</v>
      </c>
      <c r="F171" s="179">
        <f>SUM(D171:E171)</f>
        <v>0.59000000000000008</v>
      </c>
      <c r="G171" s="222" t="s">
        <v>85</v>
      </c>
      <c r="H171" s="429"/>
      <c r="I171" s="429"/>
    </row>
    <row r="172" spans="1:9" x14ac:dyDescent="0.2">
      <c r="A172" s="31">
        <f t="shared" si="14"/>
        <v>163</v>
      </c>
      <c r="B172" s="57" t="s">
        <v>185</v>
      </c>
      <c r="C172" s="37">
        <v>250</v>
      </c>
      <c r="D172" s="252">
        <f>ROUND('Lighting RD'!G136,2)</f>
        <v>0.81</v>
      </c>
      <c r="E172" s="252">
        <f>ROUND('Lighting RD'!H136,2)</f>
        <v>-7.0000000000000007E-2</v>
      </c>
      <c r="F172" s="179">
        <f>SUM(D172:E172)</f>
        <v>0.74</v>
      </c>
      <c r="G172" s="222" t="s">
        <v>85</v>
      </c>
      <c r="H172" s="429"/>
      <c r="I172" s="429"/>
    </row>
    <row r="173" spans="1:9" x14ac:dyDescent="0.2">
      <c r="A173" s="31">
        <f t="shared" si="14"/>
        <v>164</v>
      </c>
      <c r="B173" s="57" t="s">
        <v>185</v>
      </c>
      <c r="C173" s="37">
        <v>400</v>
      </c>
      <c r="D173" s="252">
        <f>ROUND('Lighting RD'!G137,2)</f>
        <v>1.1399999999999999</v>
      </c>
      <c r="E173" s="252">
        <f>ROUND('Lighting RD'!H137,2)</f>
        <v>-0.1</v>
      </c>
      <c r="F173" s="179">
        <f>SUM(D173:E173)</f>
        <v>1.0399999999999998</v>
      </c>
      <c r="G173" s="222" t="s">
        <v>85</v>
      </c>
      <c r="H173" s="429"/>
      <c r="I173" s="429"/>
    </row>
    <row r="174" spans="1:9" x14ac:dyDescent="0.2">
      <c r="A174" s="31">
        <f t="shared" si="14"/>
        <v>165</v>
      </c>
      <c r="B174" s="57"/>
      <c r="C174" s="37"/>
      <c r="D174" s="253"/>
      <c r="E174" s="253"/>
      <c r="F174" s="30"/>
      <c r="G174" s="222"/>
      <c r="H174" s="429"/>
      <c r="I174" s="429"/>
    </row>
    <row r="175" spans="1:9" x14ac:dyDescent="0.2">
      <c r="A175" s="31">
        <f t="shared" si="14"/>
        <v>166</v>
      </c>
      <c r="B175" s="57" t="s">
        <v>186</v>
      </c>
      <c r="C175" s="37">
        <v>175</v>
      </c>
      <c r="D175" s="252">
        <f>ROUND('Lighting RD'!G139,2)</f>
        <v>0.65</v>
      </c>
      <c r="E175" s="252">
        <f>ROUND('Lighting RD'!H139,2)</f>
        <v>-0.06</v>
      </c>
      <c r="F175" s="179">
        <f>SUM(D175:E175)</f>
        <v>0.59000000000000008</v>
      </c>
      <c r="G175" s="222" t="s">
        <v>84</v>
      </c>
      <c r="H175" s="429"/>
      <c r="I175" s="429"/>
    </row>
    <row r="176" spans="1:9" x14ac:dyDescent="0.2">
      <c r="A176" s="31">
        <f t="shared" si="14"/>
        <v>167</v>
      </c>
      <c r="B176" s="57" t="s">
        <v>186</v>
      </c>
      <c r="C176" s="37">
        <v>250</v>
      </c>
      <c r="D176" s="252">
        <f>ROUND('Lighting RD'!G140,2)</f>
        <v>0.81</v>
      </c>
      <c r="E176" s="252">
        <f>ROUND('Lighting RD'!H140,2)</f>
        <v>-7.0000000000000007E-2</v>
      </c>
      <c r="F176" s="179">
        <f>SUM(D176:E176)</f>
        <v>0.74</v>
      </c>
      <c r="G176" s="222" t="s">
        <v>84</v>
      </c>
      <c r="H176" s="429"/>
      <c r="I176" s="429"/>
    </row>
    <row r="177" spans="1:9" x14ac:dyDescent="0.2">
      <c r="A177" s="31">
        <f t="shared" si="14"/>
        <v>168</v>
      </c>
      <c r="B177" s="57" t="s">
        <v>186</v>
      </c>
      <c r="C177" s="37">
        <v>400</v>
      </c>
      <c r="D177" s="252">
        <f>ROUND('Lighting RD'!G141,2)</f>
        <v>1.1399999999999999</v>
      </c>
      <c r="E177" s="252">
        <f>ROUND('Lighting RD'!H141,2)</f>
        <v>-0.1</v>
      </c>
      <c r="F177" s="179">
        <f>SUM(D177:E177)</f>
        <v>1.0399999999999998</v>
      </c>
      <c r="G177" s="222" t="s">
        <v>84</v>
      </c>
      <c r="H177" s="429"/>
      <c r="I177" s="429"/>
    </row>
    <row r="178" spans="1:9" x14ac:dyDescent="0.2">
      <c r="A178" s="31">
        <f t="shared" si="14"/>
        <v>169</v>
      </c>
      <c r="B178" s="57" t="s">
        <v>186</v>
      </c>
      <c r="C178" s="37">
        <v>1000</v>
      </c>
      <c r="D178" s="252">
        <f>ROUND('Lighting RD'!G142,2)</f>
        <v>2.65</v>
      </c>
      <c r="E178" s="252">
        <f>ROUND('Lighting RD'!H142,2)</f>
        <v>-0.23</v>
      </c>
      <c r="F178" s="179">
        <f>SUM(D178:E178)</f>
        <v>2.42</v>
      </c>
      <c r="G178" s="222" t="s">
        <v>84</v>
      </c>
      <c r="H178" s="429"/>
      <c r="I178" s="429"/>
    </row>
    <row r="179" spans="1:9" x14ac:dyDescent="0.2">
      <c r="A179" s="31">
        <f t="shared" si="14"/>
        <v>170</v>
      </c>
      <c r="B179" s="57"/>
      <c r="C179" s="37"/>
      <c r="D179" s="253"/>
      <c r="E179" s="253"/>
      <c r="F179" s="30"/>
      <c r="G179" s="222"/>
      <c r="H179" s="429"/>
      <c r="I179" s="429"/>
    </row>
    <row r="180" spans="1:9" x14ac:dyDescent="0.2">
      <c r="A180" s="31">
        <f t="shared" si="14"/>
        <v>171</v>
      </c>
      <c r="B180" s="57" t="s">
        <v>187</v>
      </c>
      <c r="C180" s="37">
        <v>250</v>
      </c>
      <c r="D180" s="252">
        <f>ROUND('Lighting RD'!G144,2)</f>
        <v>0.81</v>
      </c>
      <c r="E180" s="252">
        <f>ROUND('Lighting RD'!H144,2)</f>
        <v>-7.0000000000000007E-2</v>
      </c>
      <c r="F180" s="179">
        <f>SUM(D180:E180)</f>
        <v>0.74</v>
      </c>
      <c r="G180" s="222" t="s">
        <v>87</v>
      </c>
      <c r="H180" s="429"/>
      <c r="I180" s="429"/>
    </row>
    <row r="181" spans="1:9" x14ac:dyDescent="0.2">
      <c r="A181" s="31">
        <f t="shared" si="14"/>
        <v>172</v>
      </c>
      <c r="B181" s="57" t="s">
        <v>187</v>
      </c>
      <c r="C181" s="37">
        <v>400</v>
      </c>
      <c r="D181" s="252">
        <f>ROUND('Lighting RD'!G145,2)</f>
        <v>1.1399999999999999</v>
      </c>
      <c r="E181" s="252">
        <f>ROUND('Lighting RD'!H145,2)</f>
        <v>-0.1</v>
      </c>
      <c r="F181" s="179">
        <f>SUM(D181:E181)</f>
        <v>1.0399999999999998</v>
      </c>
      <c r="G181" s="222" t="s">
        <v>87</v>
      </c>
      <c r="H181" s="429"/>
      <c r="I181" s="429"/>
    </row>
    <row r="182" spans="1:9" x14ac:dyDescent="0.2">
      <c r="A182" s="31">
        <f t="shared" si="14"/>
        <v>173</v>
      </c>
      <c r="B182" s="57"/>
      <c r="C182" s="37"/>
      <c r="D182" s="253"/>
      <c r="E182" s="253"/>
      <c r="F182" s="30"/>
      <c r="G182" s="222"/>
      <c r="H182" s="429"/>
      <c r="I182" s="429"/>
    </row>
    <row r="183" spans="1:9" x14ac:dyDescent="0.2">
      <c r="A183" s="31">
        <f t="shared" si="14"/>
        <v>174</v>
      </c>
      <c r="B183" s="57" t="s">
        <v>176</v>
      </c>
      <c r="C183" s="55" t="s">
        <v>90</v>
      </c>
      <c r="D183" s="252">
        <f>ROUND('Lighting RD'!G147,2)</f>
        <v>0.22</v>
      </c>
      <c r="E183" s="252">
        <f>ROUND('Lighting RD'!H147,2)</f>
        <v>-0.02</v>
      </c>
      <c r="F183" s="179">
        <f t="shared" ref="F183:F198" si="16">SUM(D183:E183)</f>
        <v>0.2</v>
      </c>
      <c r="G183" s="222" t="s">
        <v>85</v>
      </c>
      <c r="H183" s="429"/>
      <c r="I183" s="429"/>
    </row>
    <row r="184" spans="1:9" x14ac:dyDescent="0.2">
      <c r="A184" s="31">
        <f t="shared" si="14"/>
        <v>175</v>
      </c>
      <c r="B184" s="57" t="s">
        <v>176</v>
      </c>
      <c r="C184" s="55" t="s">
        <v>34</v>
      </c>
      <c r="D184" s="252">
        <f>ROUND('Lighting RD'!G148,2)</f>
        <v>0.27</v>
      </c>
      <c r="E184" s="252">
        <f>ROUND('Lighting RD'!H148,2)</f>
        <v>-0.02</v>
      </c>
      <c r="F184" s="179">
        <f t="shared" si="16"/>
        <v>0.25</v>
      </c>
      <c r="G184" s="222" t="s">
        <v>85</v>
      </c>
      <c r="H184" s="429"/>
      <c r="I184" s="429"/>
    </row>
    <row r="185" spans="1:9" x14ac:dyDescent="0.2">
      <c r="A185" s="31">
        <f t="shared" si="14"/>
        <v>176</v>
      </c>
      <c r="B185" s="57" t="s">
        <v>176</v>
      </c>
      <c r="C185" s="54" t="s">
        <v>35</v>
      </c>
      <c r="D185" s="252">
        <f>ROUND('Lighting RD'!G149,2)</f>
        <v>0.36</v>
      </c>
      <c r="E185" s="252">
        <f>ROUND('Lighting RD'!H149,2)</f>
        <v>-0.03</v>
      </c>
      <c r="F185" s="179">
        <f t="shared" si="16"/>
        <v>0.32999999999999996</v>
      </c>
      <c r="G185" s="222" t="s">
        <v>85</v>
      </c>
      <c r="H185" s="429"/>
      <c r="I185" s="429"/>
    </row>
    <row r="186" spans="1:9" x14ac:dyDescent="0.2">
      <c r="A186" s="31">
        <f t="shared" si="14"/>
        <v>177</v>
      </c>
      <c r="B186" s="57" t="s">
        <v>176</v>
      </c>
      <c r="C186" s="54" t="s">
        <v>36</v>
      </c>
      <c r="D186" s="252">
        <f>ROUND('Lighting RD'!G150,2)</f>
        <v>0.44</v>
      </c>
      <c r="E186" s="252">
        <f>ROUND('Lighting RD'!H150,2)</f>
        <v>-0.04</v>
      </c>
      <c r="F186" s="179">
        <f t="shared" si="16"/>
        <v>0.4</v>
      </c>
      <c r="G186" s="222" t="s">
        <v>85</v>
      </c>
      <c r="H186" s="429"/>
      <c r="I186" s="429"/>
    </row>
    <row r="187" spans="1:9" x14ac:dyDescent="0.2">
      <c r="A187" s="31">
        <f t="shared" si="14"/>
        <v>178</v>
      </c>
      <c r="B187" s="57" t="s">
        <v>176</v>
      </c>
      <c r="C187" s="54" t="s">
        <v>37</v>
      </c>
      <c r="D187" s="252">
        <f>ROUND('Lighting RD'!G151,2)</f>
        <v>0.44</v>
      </c>
      <c r="E187" s="252">
        <f>ROUND('Lighting RD'!H151,2)</f>
        <v>-0.04</v>
      </c>
      <c r="F187" s="179">
        <f t="shared" si="16"/>
        <v>0.4</v>
      </c>
      <c r="G187" s="222" t="s">
        <v>85</v>
      </c>
      <c r="H187" s="429"/>
      <c r="I187" s="429"/>
    </row>
    <row r="188" spans="1:9" x14ac:dyDescent="0.2">
      <c r="A188" s="31">
        <f t="shared" si="14"/>
        <v>179</v>
      </c>
      <c r="B188" s="57" t="s">
        <v>176</v>
      </c>
      <c r="C188" s="54" t="s">
        <v>38</v>
      </c>
      <c r="D188" s="252">
        <f>ROUND('Lighting RD'!G152,2)</f>
        <v>0.65</v>
      </c>
      <c r="E188" s="252">
        <f>ROUND('Lighting RD'!H152,2)</f>
        <v>-0.06</v>
      </c>
      <c r="F188" s="179">
        <f t="shared" si="16"/>
        <v>0.59000000000000008</v>
      </c>
      <c r="G188" s="222" t="s">
        <v>85</v>
      </c>
      <c r="H188" s="429"/>
      <c r="I188" s="429"/>
    </row>
    <row r="189" spans="1:9" x14ac:dyDescent="0.2">
      <c r="A189" s="31">
        <f t="shared" si="14"/>
        <v>180</v>
      </c>
      <c r="B189" s="57" t="s">
        <v>176</v>
      </c>
      <c r="C189" s="54" t="s">
        <v>39</v>
      </c>
      <c r="D189" s="252">
        <f>ROUND('Lighting RD'!G153,2)</f>
        <v>0.65</v>
      </c>
      <c r="E189" s="252">
        <f>ROUND('Lighting RD'!H153,2)</f>
        <v>-0.06</v>
      </c>
      <c r="F189" s="179">
        <f t="shared" si="16"/>
        <v>0.59000000000000008</v>
      </c>
      <c r="G189" s="222" t="s">
        <v>85</v>
      </c>
      <c r="H189" s="429"/>
      <c r="I189" s="429"/>
    </row>
    <row r="190" spans="1:9" x14ac:dyDescent="0.2">
      <c r="A190" s="31">
        <f t="shared" si="14"/>
        <v>181</v>
      </c>
      <c r="B190" s="57" t="s">
        <v>176</v>
      </c>
      <c r="C190" s="54" t="s">
        <v>40</v>
      </c>
      <c r="D190" s="252">
        <f>ROUND('Lighting RD'!G154,2)</f>
        <v>0.65</v>
      </c>
      <c r="E190" s="252">
        <f>ROUND('Lighting RD'!H154,2)</f>
        <v>-0.06</v>
      </c>
      <c r="F190" s="179">
        <f t="shared" si="16"/>
        <v>0.59000000000000008</v>
      </c>
      <c r="G190" s="222" t="s">
        <v>85</v>
      </c>
      <c r="H190" s="429"/>
      <c r="I190" s="429"/>
    </row>
    <row r="191" spans="1:9" x14ac:dyDescent="0.2">
      <c r="A191" s="31">
        <f t="shared" si="14"/>
        <v>182</v>
      </c>
      <c r="B191" s="57" t="s">
        <v>176</v>
      </c>
      <c r="C191" s="54" t="s">
        <v>41</v>
      </c>
      <c r="D191" s="252">
        <f>ROUND('Lighting RD'!G155,2)</f>
        <v>0.81</v>
      </c>
      <c r="E191" s="252">
        <f>ROUND('Lighting RD'!H155,2)</f>
        <v>-7.0000000000000007E-2</v>
      </c>
      <c r="F191" s="179">
        <f t="shared" si="16"/>
        <v>0.74</v>
      </c>
      <c r="G191" s="222" t="s">
        <v>85</v>
      </c>
      <c r="H191" s="429"/>
      <c r="I191" s="429"/>
    </row>
    <row r="192" spans="1:9" x14ac:dyDescent="0.2">
      <c r="A192" s="31">
        <f t="shared" si="14"/>
        <v>183</v>
      </c>
      <c r="B192" s="57" t="s">
        <v>176</v>
      </c>
      <c r="C192" s="54" t="s">
        <v>42</v>
      </c>
      <c r="D192" s="252">
        <f>ROUND('Lighting RD'!G156,2)</f>
        <v>0.81</v>
      </c>
      <c r="E192" s="252">
        <f>ROUND('Lighting RD'!H156,2)</f>
        <v>-7.0000000000000007E-2</v>
      </c>
      <c r="F192" s="179">
        <f t="shared" si="16"/>
        <v>0.74</v>
      </c>
      <c r="G192" s="222" t="s">
        <v>86</v>
      </c>
      <c r="H192" s="429"/>
      <c r="I192" s="429"/>
    </row>
    <row r="193" spans="1:12" x14ac:dyDescent="0.2">
      <c r="A193" s="31">
        <f t="shared" si="14"/>
        <v>184</v>
      </c>
      <c r="B193" s="57" t="s">
        <v>176</v>
      </c>
      <c r="C193" s="54" t="s">
        <v>52</v>
      </c>
      <c r="D193" s="252">
        <f>ROUND('Lighting RD'!G157,2)</f>
        <v>1.1399999999999999</v>
      </c>
      <c r="E193" s="252">
        <f>ROUND('Lighting RD'!H157,2)</f>
        <v>-0.1</v>
      </c>
      <c r="F193" s="179">
        <f t="shared" si="16"/>
        <v>1.0399999999999998</v>
      </c>
      <c r="G193" s="222" t="s">
        <v>86</v>
      </c>
      <c r="H193" s="429"/>
      <c r="I193" s="429"/>
    </row>
    <row r="194" spans="1:12" x14ac:dyDescent="0.2">
      <c r="A194" s="31">
        <f t="shared" si="14"/>
        <v>185</v>
      </c>
      <c r="B194" s="57" t="s">
        <v>176</v>
      </c>
      <c r="C194" s="54" t="s">
        <v>53</v>
      </c>
      <c r="D194" s="252">
        <f>ROUND('Lighting RD'!G158,2)</f>
        <v>1.1399999999999999</v>
      </c>
      <c r="E194" s="252">
        <f>ROUND('Lighting RD'!H158,2)</f>
        <v>-0.1</v>
      </c>
      <c r="F194" s="179">
        <f t="shared" si="16"/>
        <v>1.0399999999999998</v>
      </c>
      <c r="G194" s="222" t="s">
        <v>86</v>
      </c>
      <c r="H194" s="429"/>
      <c r="I194" s="429"/>
    </row>
    <row r="195" spans="1:12" x14ac:dyDescent="0.2">
      <c r="A195" s="31">
        <f t="shared" si="14"/>
        <v>186</v>
      </c>
      <c r="B195" s="57" t="s">
        <v>176</v>
      </c>
      <c r="C195" s="54" t="s">
        <v>54</v>
      </c>
      <c r="D195" s="252">
        <f>ROUND('Lighting RD'!G159,2)</f>
        <v>1.1399999999999999</v>
      </c>
      <c r="E195" s="252">
        <f>ROUND('Lighting RD'!H159,2)</f>
        <v>-0.1</v>
      </c>
      <c r="F195" s="179">
        <f t="shared" si="16"/>
        <v>1.0399999999999998</v>
      </c>
      <c r="G195" s="222" t="s">
        <v>86</v>
      </c>
      <c r="H195" s="429"/>
      <c r="I195" s="429"/>
    </row>
    <row r="196" spans="1:12" x14ac:dyDescent="0.2">
      <c r="A196" s="31">
        <f t="shared" si="14"/>
        <v>187</v>
      </c>
      <c r="B196" s="57" t="s">
        <v>176</v>
      </c>
      <c r="C196" s="54" t="s">
        <v>55</v>
      </c>
      <c r="D196" s="252">
        <f>ROUND('Lighting RD'!G160,2)</f>
        <v>2.65</v>
      </c>
      <c r="E196" s="252">
        <f>ROUND('Lighting RD'!H160,2)</f>
        <v>-0.23</v>
      </c>
      <c r="F196" s="179">
        <f t="shared" si="16"/>
        <v>2.42</v>
      </c>
      <c r="G196" s="222" t="s">
        <v>86</v>
      </c>
      <c r="H196" s="429"/>
      <c r="I196" s="429"/>
    </row>
    <row r="197" spans="1:12" x14ac:dyDescent="0.2">
      <c r="A197" s="31">
        <f t="shared" si="14"/>
        <v>188</v>
      </c>
      <c r="B197" s="57" t="s">
        <v>176</v>
      </c>
      <c r="C197" s="54" t="s">
        <v>56</v>
      </c>
      <c r="D197" s="252">
        <f>ROUND('Lighting RD'!G161,2)</f>
        <v>2.65</v>
      </c>
      <c r="E197" s="252">
        <f>ROUND('Lighting RD'!H161,2)</f>
        <v>-0.23</v>
      </c>
      <c r="F197" s="179">
        <f t="shared" si="16"/>
        <v>2.42</v>
      </c>
      <c r="G197" s="222" t="s">
        <v>86</v>
      </c>
      <c r="H197" s="429"/>
      <c r="I197" s="429"/>
    </row>
    <row r="198" spans="1:12" x14ac:dyDescent="0.2">
      <c r="A198" s="31">
        <f t="shared" si="14"/>
        <v>189</v>
      </c>
      <c r="B198" s="57" t="s">
        <v>176</v>
      </c>
      <c r="C198" s="54" t="s">
        <v>57</v>
      </c>
      <c r="D198" s="252">
        <f>ROUND('Lighting RD'!G162,2)</f>
        <v>2.65</v>
      </c>
      <c r="E198" s="252">
        <f>ROUND('Lighting RD'!H162,2)</f>
        <v>-0.23</v>
      </c>
      <c r="F198" s="179">
        <f t="shared" si="16"/>
        <v>2.42</v>
      </c>
      <c r="G198" s="222" t="s">
        <v>86</v>
      </c>
      <c r="H198" s="429"/>
      <c r="I198" s="429"/>
    </row>
    <row r="199" spans="1:12" x14ac:dyDescent="0.2">
      <c r="A199" s="31">
        <f t="shared" si="14"/>
        <v>190</v>
      </c>
      <c r="B199" s="49"/>
      <c r="C199" s="4"/>
      <c r="D199" s="253"/>
      <c r="E199" s="253"/>
      <c r="F199" s="30"/>
      <c r="G199" s="222"/>
      <c r="H199" s="429"/>
      <c r="I199" s="429"/>
    </row>
    <row r="200" spans="1:12" x14ac:dyDescent="0.2">
      <c r="A200" s="31">
        <f t="shared" si="14"/>
        <v>191</v>
      </c>
      <c r="B200" s="49" t="s">
        <v>163</v>
      </c>
      <c r="C200" s="37">
        <v>0</v>
      </c>
      <c r="D200" s="252">
        <f>ROUND('Lighting RD'!G168,2)</f>
        <v>0.13</v>
      </c>
      <c r="E200" s="252">
        <f>ROUND('Lighting RD'!H168,2)</f>
        <v>-0.01</v>
      </c>
      <c r="F200" s="179">
        <f>SUM(D200:E200)</f>
        <v>0.12000000000000001</v>
      </c>
      <c r="G200" s="222" t="s">
        <v>87</v>
      </c>
      <c r="H200" s="429"/>
      <c r="I200" s="429"/>
    </row>
    <row r="201" spans="1:12" ht="12" thickBot="1" x14ac:dyDescent="0.25">
      <c r="A201" s="31">
        <f t="shared" si="14"/>
        <v>192</v>
      </c>
      <c r="B201" s="4"/>
      <c r="C201" s="4"/>
      <c r="D201" s="30"/>
      <c r="E201" s="30"/>
      <c r="F201" s="30"/>
      <c r="G201" s="228"/>
    </row>
    <row r="202" spans="1:12" ht="15.75" customHeight="1" thickBot="1" x14ac:dyDescent="0.3">
      <c r="A202" s="31">
        <f t="shared" si="14"/>
        <v>193</v>
      </c>
      <c r="C202" s="436" t="s">
        <v>255</v>
      </c>
      <c r="D202" s="437"/>
      <c r="E202" s="437"/>
      <c r="F202" s="438"/>
      <c r="G202" s="438"/>
      <c r="H202" s="438"/>
      <c r="I202" s="439"/>
    </row>
    <row r="203" spans="1:12" x14ac:dyDescent="0.2">
      <c r="A203" s="31">
        <f t="shared" si="14"/>
        <v>194</v>
      </c>
      <c r="B203" s="337" t="s">
        <v>256</v>
      </c>
      <c r="C203" s="7"/>
      <c r="D203" s="7"/>
      <c r="E203" s="7"/>
      <c r="G203" s="228"/>
    </row>
    <row r="204" spans="1:12" ht="15" x14ac:dyDescent="0.25">
      <c r="A204" s="31">
        <f t="shared" si="14"/>
        <v>195</v>
      </c>
      <c r="B204" s="337"/>
      <c r="C204" s="440" t="s">
        <v>257</v>
      </c>
      <c r="D204" s="441"/>
      <c r="E204" s="442"/>
      <c r="F204" s="443" t="s">
        <v>258</v>
      </c>
      <c r="G204" s="444"/>
      <c r="H204" s="445"/>
      <c r="I204" s="228"/>
      <c r="K204" s="2"/>
    </row>
    <row r="205" spans="1:12" ht="45" x14ac:dyDescent="0.2">
      <c r="A205" s="31">
        <f t="shared" si="14"/>
        <v>196</v>
      </c>
      <c r="B205" s="338" t="s">
        <v>259</v>
      </c>
      <c r="C205" s="339" t="s">
        <v>291</v>
      </c>
      <c r="D205" s="339" t="s">
        <v>293</v>
      </c>
      <c r="E205" s="339" t="s">
        <v>292</v>
      </c>
      <c r="F205" s="425" t="s">
        <v>294</v>
      </c>
      <c r="G205" s="425" t="s">
        <v>295</v>
      </c>
      <c r="H205" s="425" t="s">
        <v>296</v>
      </c>
      <c r="I205" s="365" t="s">
        <v>73</v>
      </c>
      <c r="K205" s="2"/>
    </row>
    <row r="206" spans="1:12" x14ac:dyDescent="0.2">
      <c r="A206" s="31">
        <f t="shared" si="14"/>
        <v>197</v>
      </c>
      <c r="B206" s="10" t="s">
        <v>260</v>
      </c>
      <c r="C206" s="363">
        <f>ROUND('Lighting RD'!T11,2)</f>
        <v>0.05</v>
      </c>
      <c r="D206" s="363">
        <f>ROUND('Lighting RD'!U11,2)</f>
        <v>0</v>
      </c>
      <c r="E206" s="363">
        <f>'Lighting RD'!V11</f>
        <v>4.6249155716726144E-2</v>
      </c>
      <c r="F206" s="364">
        <f>ROUND('Lighting RD'!R11,6)</f>
        <v>6.8089999999999999E-3</v>
      </c>
      <c r="G206" s="364">
        <f>ROUND('Lighting RD'!S11,6)</f>
        <v>-5.8399999999999999E-4</v>
      </c>
      <c r="H206" s="364">
        <f>ROUND('Rate Spread &amp; Design'!$R$28,6)</f>
        <v>6.2249999999999996E-3</v>
      </c>
      <c r="I206" s="222" t="s">
        <v>87</v>
      </c>
      <c r="K206" s="426"/>
      <c r="L206" s="427"/>
    </row>
    <row r="207" spans="1:12" x14ac:dyDescent="0.2">
      <c r="A207" s="31">
        <f t="shared" si="14"/>
        <v>198</v>
      </c>
      <c r="B207" s="10" t="s">
        <v>261</v>
      </c>
      <c r="C207" s="363">
        <f>ROUND('Lighting RD'!T12,2)</f>
        <v>0.11</v>
      </c>
      <c r="D207" s="363">
        <f>ROUND('Lighting RD'!U12,2)</f>
        <v>-0.01</v>
      </c>
      <c r="E207" s="363">
        <f>'Lighting RD'!V12</f>
        <v>0.10107133975320264</v>
      </c>
      <c r="F207" s="364">
        <f>ROUND('Lighting RD'!R12,6)</f>
        <v>6.8089999999999999E-3</v>
      </c>
      <c r="G207" s="364">
        <f>ROUND('Lighting RD'!S12,6)</f>
        <v>-5.8399999999999999E-4</v>
      </c>
      <c r="H207" s="364">
        <f>ROUND('Rate Spread &amp; Design'!$R$28,6)</f>
        <v>6.2249999999999996E-3</v>
      </c>
      <c r="I207" s="222" t="s">
        <v>87</v>
      </c>
      <c r="K207" s="426"/>
      <c r="L207" s="427"/>
    </row>
    <row r="208" spans="1:12" x14ac:dyDescent="0.2">
      <c r="A208" s="31">
        <f t="shared" si="14"/>
        <v>199</v>
      </c>
      <c r="B208" s="10" t="s">
        <v>262</v>
      </c>
      <c r="C208" s="363">
        <f>ROUND('Lighting RD'!T13,2)</f>
        <v>0.18</v>
      </c>
      <c r="D208" s="363">
        <f>ROUND('Lighting RD'!U13,2)</f>
        <v>-0.02</v>
      </c>
      <c r="E208" s="363">
        <f>'Lighting RD'!V13</f>
        <v>0.16300892040102391</v>
      </c>
      <c r="F208" s="364">
        <f>ROUND('Lighting RD'!R13,6)</f>
        <v>6.8089999999999999E-3</v>
      </c>
      <c r="G208" s="364">
        <f>ROUND('Lighting RD'!S13,6)</f>
        <v>-5.8399999999999999E-4</v>
      </c>
      <c r="H208" s="364">
        <f>ROUND('Rate Spread &amp; Design'!$R$28,6)</f>
        <v>6.2249999999999996E-3</v>
      </c>
      <c r="I208" s="222" t="s">
        <v>87</v>
      </c>
      <c r="K208" s="426"/>
      <c r="L208" s="427"/>
    </row>
    <row r="209" spans="1:12" x14ac:dyDescent="0.2">
      <c r="A209" s="31">
        <f>A208+1</f>
        <v>200</v>
      </c>
      <c r="B209" s="10" t="s">
        <v>263</v>
      </c>
      <c r="C209" s="363">
        <f>ROUND('Lighting RD'!T14,2)</f>
        <v>0.27</v>
      </c>
      <c r="D209" s="363">
        <f>ROUND('Lighting RD'!U14,2)</f>
        <v>-0.02</v>
      </c>
      <c r="E209" s="363">
        <f>'Lighting RD'!V14</f>
        <v>0.24696971485815716</v>
      </c>
      <c r="F209" s="364">
        <f>ROUND('Lighting RD'!R14,6)</f>
        <v>6.8089999999999999E-3</v>
      </c>
      <c r="G209" s="364">
        <f>ROUND('Lighting RD'!S14,6)</f>
        <v>-5.8399999999999999E-4</v>
      </c>
      <c r="H209" s="364">
        <f>ROUND('Rate Spread &amp; Design'!$R$28,6)</f>
        <v>6.2249999999999996E-3</v>
      </c>
      <c r="I209" s="222" t="s">
        <v>87</v>
      </c>
      <c r="K209" s="426"/>
      <c r="L209" s="427"/>
    </row>
    <row r="210" spans="1:12" x14ac:dyDescent="0.2">
      <c r="A210" s="31">
        <f>A209+1</f>
        <v>201</v>
      </c>
      <c r="B210" s="10" t="s">
        <v>264</v>
      </c>
      <c r="C210" s="363">
        <f>ROUND('Lighting RD'!T15,2)</f>
        <v>0.47</v>
      </c>
      <c r="D210" s="363">
        <f>ROUND('Lighting RD'!U15,2)</f>
        <v>-0.04</v>
      </c>
      <c r="E210" s="363">
        <f>'Lighting RD'!V15</f>
        <v>0.43260082441084069</v>
      </c>
      <c r="F210" s="364">
        <f>ROUND('Lighting RD'!R15,6)</f>
        <v>6.8089999999999999E-3</v>
      </c>
      <c r="G210" s="364">
        <f>ROUND('Lighting RD'!S15,6)</f>
        <v>-5.8399999999999999E-4</v>
      </c>
      <c r="H210" s="364">
        <f>ROUND('Rate Spread &amp; Design'!$R$28,6)</f>
        <v>6.2249999999999996E-3</v>
      </c>
      <c r="I210" s="222" t="s">
        <v>87</v>
      </c>
      <c r="K210" s="426"/>
      <c r="L210" s="427"/>
    </row>
    <row r="211" spans="1:12" x14ac:dyDescent="0.2">
      <c r="A211" s="31">
        <f>A210+1</f>
        <v>202</v>
      </c>
      <c r="B211" s="10" t="s">
        <v>265</v>
      </c>
      <c r="C211" s="363">
        <f>ROUND('Lighting RD'!T16,2)</f>
        <v>0.63</v>
      </c>
      <c r="D211" s="363">
        <f>ROUND('Lighting RD'!U16,2)</f>
        <v>-0.05</v>
      </c>
      <c r="E211" s="428">
        <v>0.57999999999999996</v>
      </c>
      <c r="F211" s="364">
        <f>ROUND('Lighting RD'!R16,6)</f>
        <v>6.8089999999999999E-3</v>
      </c>
      <c r="G211" s="364">
        <f>ROUND('Lighting RD'!S16,6)</f>
        <v>-5.8399999999999999E-4</v>
      </c>
      <c r="H211" s="364">
        <f>ROUND('Rate Spread &amp; Design'!$R$28,6)</f>
        <v>6.2249999999999996E-3</v>
      </c>
      <c r="I211" s="222" t="s">
        <v>87</v>
      </c>
      <c r="K211" s="426"/>
      <c r="L211" s="427"/>
    </row>
    <row r="212" spans="1:12" x14ac:dyDescent="0.2">
      <c r="A212" s="31">
        <f>A211+1</f>
        <v>203</v>
      </c>
      <c r="B212" s="10" t="s">
        <v>266</v>
      </c>
      <c r="C212" s="363">
        <f>ROUND('Lighting RD'!T17,2)</f>
        <v>0.98</v>
      </c>
      <c r="D212" s="363">
        <f>ROUND('Lighting RD'!U17,2)</f>
        <v>-0.08</v>
      </c>
      <c r="E212" s="363">
        <f>'Lighting RD'!V17</f>
        <v>0.8983174825171405</v>
      </c>
      <c r="F212" s="364">
        <f>ROUND('Lighting RD'!R17,6)</f>
        <v>6.8089999999999999E-3</v>
      </c>
      <c r="G212" s="364">
        <f>ROUND('Lighting RD'!S17,6)</f>
        <v>-5.8399999999999999E-4</v>
      </c>
      <c r="H212" s="364">
        <f>ROUND('Rate Spread &amp; Design'!$R$28,6)</f>
        <v>6.2249999999999996E-3</v>
      </c>
      <c r="I212" s="222" t="s">
        <v>87</v>
      </c>
      <c r="K212" s="426"/>
      <c r="L212" s="427"/>
    </row>
    <row r="213" spans="1:12" x14ac:dyDescent="0.2">
      <c r="A213" s="31">
        <f>A212+1</f>
        <v>204</v>
      </c>
      <c r="B213" s="10" t="s">
        <v>267</v>
      </c>
      <c r="C213" s="363">
        <f>ROUND('Lighting RD'!T18,2)</f>
        <v>2.46</v>
      </c>
      <c r="D213" s="363">
        <f>ROUND('Lighting RD'!U18,2)</f>
        <v>-0.21</v>
      </c>
      <c r="E213" s="363">
        <f>'Lighting RD'!V18</f>
        <v>2.2457937062928512</v>
      </c>
      <c r="F213" s="364">
        <f>ROUND('Lighting RD'!R18,6)</f>
        <v>6.8089999999999999E-3</v>
      </c>
      <c r="G213" s="364">
        <f>ROUND('Lighting RD'!S18,6)</f>
        <v>-5.8399999999999999E-4</v>
      </c>
      <c r="H213" s="364">
        <f>ROUND('Rate Spread &amp; Design'!$R$28,6)</f>
        <v>6.2249999999999996E-3</v>
      </c>
      <c r="I213" s="222" t="s">
        <v>87</v>
      </c>
      <c r="K213" s="426"/>
      <c r="L213" s="427"/>
    </row>
  </sheetData>
  <mergeCells count="4">
    <mergeCell ref="D7:G7"/>
    <mergeCell ref="C202:I202"/>
    <mergeCell ref="C204:E204"/>
    <mergeCell ref="F204:H204"/>
  </mergeCells>
  <printOptions horizontalCentered="1"/>
  <pageMargins left="0.7" right="0.7" top="0.75" bottom="0.75" header="0.3" footer="0.3"/>
  <pageSetup scale="66" fitToHeight="0" orientation="landscape" r:id="rId1"/>
  <headerFooter alignWithMargins="0">
    <oddFooter>&amp;L&amp;F
&amp;A&amp;RPage &amp;P of &amp;N</oddFooter>
  </headerFooter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4" tint="0.79998168889431442"/>
    <pageSetUpPr fitToPage="1"/>
  </sheetPr>
  <dimension ref="A1:S46"/>
  <sheetViews>
    <sheetView tabSelected="1" topLeftCell="A7" zoomScaleNormal="100" workbookViewId="0">
      <selection activeCell="F9" sqref="F9"/>
    </sheetView>
  </sheetViews>
  <sheetFormatPr defaultColWidth="5.7109375" defaultRowHeight="11.25" x14ac:dyDescent="0.2"/>
  <cols>
    <col min="1" max="1" width="6.7109375" style="7" bestFit="1" customWidth="1"/>
    <col min="2" max="2" width="43.42578125" style="7" bestFit="1" customWidth="1"/>
    <col min="3" max="3" width="6.28515625" style="7" customWidth="1"/>
    <col min="4" max="5" width="6.7109375" style="7" customWidth="1"/>
    <col min="6" max="6" width="7.7109375" style="7" bestFit="1" customWidth="1"/>
    <col min="7" max="7" width="12.85546875" style="7" bestFit="1" customWidth="1"/>
    <col min="8" max="8" width="10.42578125" style="7" customWidth="1"/>
    <col min="9" max="9" width="4.28515625" style="7" customWidth="1"/>
    <col min="10" max="10" width="6" style="7" bestFit="1" customWidth="1"/>
    <col min="11" max="12" width="9.5703125" style="7" customWidth="1"/>
    <col min="13" max="13" width="7.7109375" style="7" bestFit="1" customWidth="1"/>
    <col min="14" max="14" width="16.42578125" style="7" bestFit="1" customWidth="1"/>
    <col min="15" max="15" width="11.28515625" style="7" bestFit="1" customWidth="1"/>
    <col min="16" max="16" width="9.28515625" style="7" customWidth="1"/>
    <col min="17" max="18" width="5.7109375" style="7"/>
    <col min="19" max="19" width="11.5703125" style="7" bestFit="1" customWidth="1"/>
    <col min="20" max="16384" width="5.7109375" style="7"/>
  </cols>
  <sheetData>
    <row r="1" spans="1:19" s="62" customFormat="1" x14ac:dyDescent="0.2">
      <c r="A1" s="113" t="s">
        <v>112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9" s="62" customFormat="1" x14ac:dyDescent="0.2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9" s="62" customFormat="1" x14ac:dyDescent="0.2">
      <c r="A3" s="114" t="str">
        <f>Inputs!B2&amp;" Forecasted Rate-Year Ended "&amp;TEXT(Inputs!B4,"mmmm d, yyyy")</f>
        <v>F2024 Forecasted Rate-Year Ended April 30, 2026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9" s="62" customFormat="1" x14ac:dyDescent="0.2">
      <c r="A4" s="114" t="str">
        <f>"Proposed Rate Effective "&amp;TEXT(Inputs!B1,"mmmm d, yyyy")</f>
        <v>Proposed Rate Effective May 1, 2025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9" s="62" customFormat="1" x14ac:dyDescent="0.2">
      <c r="A5" s="113" t="s">
        <v>133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9" s="62" customFormat="1" x14ac:dyDescent="0.2">
      <c r="A6" s="113" t="s">
        <v>113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9" s="68" customFormat="1" ht="56.25" x14ac:dyDescent="0.2">
      <c r="A7" s="66" t="s">
        <v>0</v>
      </c>
      <c r="B7" s="66" t="s">
        <v>114</v>
      </c>
      <c r="C7" s="115" t="s">
        <v>2</v>
      </c>
      <c r="D7" s="116"/>
      <c r="E7" s="115"/>
      <c r="F7" s="115"/>
      <c r="G7" s="67" t="str">
        <f>'Rate Spread &amp; Design'!K7</f>
        <v>F2024 Forecasted Rate-Year Energy (kWh)</v>
      </c>
      <c r="H7" s="67" t="str">
        <f>'Rate Spread &amp; Design'!L7</f>
        <v>F2024 Forecasted Rate-Year Demand (kVA)</v>
      </c>
      <c r="I7" s="70" t="s">
        <v>105</v>
      </c>
      <c r="J7" s="65"/>
      <c r="K7" s="67" t="s">
        <v>106</v>
      </c>
      <c r="L7" s="180" t="s">
        <v>297</v>
      </c>
      <c r="M7" s="180"/>
      <c r="N7" s="108" t="s">
        <v>123</v>
      </c>
      <c r="O7" s="70" t="s">
        <v>89</v>
      </c>
      <c r="P7" s="70"/>
    </row>
    <row r="8" spans="1:19" s="8" customFormat="1" ht="22.5" x14ac:dyDescent="0.2">
      <c r="A8" s="117"/>
      <c r="B8" s="271" t="s">
        <v>109</v>
      </c>
      <c r="C8" s="273" t="s">
        <v>115</v>
      </c>
      <c r="D8" s="273"/>
      <c r="E8" s="273"/>
      <c r="F8" s="273"/>
      <c r="G8" s="272" t="s">
        <v>116</v>
      </c>
      <c r="H8" s="272" t="s">
        <v>117</v>
      </c>
      <c r="I8" s="273" t="s">
        <v>140</v>
      </c>
      <c r="J8" s="273"/>
      <c r="K8" s="271" t="s">
        <v>146</v>
      </c>
      <c r="L8" s="274" t="s">
        <v>153</v>
      </c>
      <c r="M8" s="274"/>
      <c r="N8" s="272" t="s">
        <v>209</v>
      </c>
      <c r="O8" s="271" t="s">
        <v>207</v>
      </c>
      <c r="P8" s="271" t="s">
        <v>208</v>
      </c>
    </row>
    <row r="9" spans="1:19" s="8" customFormat="1" x14ac:dyDescent="0.2">
      <c r="A9" s="11">
        <v>1</v>
      </c>
      <c r="C9" s="123" t="s">
        <v>113</v>
      </c>
      <c r="D9" s="124"/>
      <c r="E9" s="123"/>
      <c r="F9" s="123"/>
      <c r="G9" s="13"/>
      <c r="H9" s="13"/>
      <c r="I9" s="185" t="s">
        <v>113</v>
      </c>
      <c r="J9" s="185"/>
      <c r="K9" s="14"/>
      <c r="L9" s="181" t="s">
        <v>113</v>
      </c>
      <c r="M9" s="181"/>
      <c r="N9" s="14"/>
      <c r="O9" s="13"/>
      <c r="P9" s="13"/>
    </row>
    <row r="10" spans="1:19" x14ac:dyDescent="0.2">
      <c r="A10" s="8">
        <f>A9+1</f>
        <v>2</v>
      </c>
      <c r="B10" s="202" t="s">
        <v>4</v>
      </c>
      <c r="C10" s="123" t="str">
        <f>'Sch 140 Rates'!$C$11</f>
        <v>7 (307) (317) (327)</v>
      </c>
      <c r="D10" s="124"/>
      <c r="E10" s="123"/>
      <c r="F10" s="123"/>
      <c r="G10" s="157">
        <v>11360099583.257719</v>
      </c>
      <c r="H10" s="157"/>
      <c r="I10" s="414">
        <v>1.598E-3</v>
      </c>
      <c r="J10" s="414"/>
      <c r="K10" s="160">
        <f>'Sch 140 Rates'!E11</f>
        <v>2.1029999999999998E-3</v>
      </c>
      <c r="L10" s="415">
        <v>1835083757.6961253</v>
      </c>
      <c r="M10" s="415"/>
      <c r="N10" s="129">
        <f>L10+G10*(K10-I10)</f>
        <v>1840820607.9856703</v>
      </c>
      <c r="O10" s="127">
        <f>+N10-L10</f>
        <v>5736850.2895450592</v>
      </c>
      <c r="P10" s="128">
        <f>IF(L10=0,"n/a",+O10/L10)</f>
        <v>3.1262062374457756E-3</v>
      </c>
      <c r="S10" s="44"/>
    </row>
    <row r="11" spans="1:19" x14ac:dyDescent="0.2">
      <c r="A11" s="8">
        <f>A10+1</f>
        <v>3</v>
      </c>
      <c r="B11" s="202"/>
      <c r="C11" s="123" t="s">
        <v>113</v>
      </c>
      <c r="D11" s="124"/>
      <c r="E11" s="123"/>
      <c r="F11" s="123"/>
      <c r="G11" s="132"/>
      <c r="H11" s="132"/>
      <c r="I11" s="186" t="s">
        <v>113</v>
      </c>
      <c r="J11" s="186"/>
      <c r="K11" s="134"/>
      <c r="L11" s="181" t="s">
        <v>113</v>
      </c>
      <c r="M11" s="181"/>
      <c r="N11" s="130"/>
      <c r="O11" s="133"/>
      <c r="P11" s="135"/>
    </row>
    <row r="12" spans="1:19" x14ac:dyDescent="0.2">
      <c r="A12" s="8">
        <f>A11+1</f>
        <v>4</v>
      </c>
      <c r="B12" s="202" t="s">
        <v>5</v>
      </c>
      <c r="C12" s="123" t="s">
        <v>113</v>
      </c>
      <c r="D12" s="124"/>
      <c r="E12" s="123"/>
      <c r="F12" s="123"/>
      <c r="G12" s="37"/>
      <c r="H12" s="37"/>
      <c r="I12" s="187" t="s">
        <v>113</v>
      </c>
      <c r="J12" s="187"/>
      <c r="K12" s="21"/>
      <c r="L12" s="181" t="s">
        <v>113</v>
      </c>
      <c r="M12" s="181"/>
      <c r="N12" s="130"/>
      <c r="O12" s="130"/>
      <c r="P12" s="72"/>
    </row>
    <row r="13" spans="1:19" x14ac:dyDescent="0.2">
      <c r="A13" s="8">
        <f>A12+1</f>
        <v>5</v>
      </c>
      <c r="B13" s="280" t="s">
        <v>197</v>
      </c>
      <c r="C13" s="123" t="str">
        <f>'Sch 140 Rates'!$C$14</f>
        <v>08 (24) (324)</v>
      </c>
      <c r="D13" s="124"/>
      <c r="E13" s="123"/>
      <c r="F13" s="123"/>
      <c r="G13" s="158">
        <v>2693017787.7097392</v>
      </c>
      <c r="H13" s="158"/>
      <c r="I13" s="416">
        <v>1.3259999999999999E-3</v>
      </c>
      <c r="J13" s="417"/>
      <c r="K13" s="161">
        <f>'Sch 140 Rates'!E14</f>
        <v>1.8549999999999999E-3</v>
      </c>
      <c r="L13" s="418">
        <v>428680974.91747087</v>
      </c>
      <c r="M13" s="418"/>
      <c r="N13" s="131">
        <f>L13+G13*(K13-I13)</f>
        <v>430105581.3271693</v>
      </c>
      <c r="O13" s="130">
        <f>+N13-L13</f>
        <v>1424606.4096984267</v>
      </c>
      <c r="P13" s="72">
        <f>IF(L13=0,"n/a",+O13/L13)</f>
        <v>3.3232321774314573E-3</v>
      </c>
      <c r="S13" s="44"/>
    </row>
    <row r="14" spans="1:19" x14ac:dyDescent="0.2">
      <c r="A14" s="8">
        <f>A13+1</f>
        <v>6</v>
      </c>
      <c r="B14" s="281" t="s">
        <v>198</v>
      </c>
      <c r="C14" s="123" t="str">
        <f>'Sch 140 Rates'!$C$15&amp;", "&amp;'Sch 140 Rates'!$C$16</f>
        <v>7A, 11 / 25</v>
      </c>
      <c r="D14" s="124"/>
      <c r="E14" s="123"/>
      <c r="F14" s="123"/>
      <c r="G14" s="158">
        <v>2969093006.541297</v>
      </c>
      <c r="H14" s="158"/>
      <c r="I14" s="416">
        <v>1.2369999999999998E-3</v>
      </c>
      <c r="J14" s="417"/>
      <c r="K14" s="161">
        <f>'Sch 140 Rates'!E15</f>
        <v>1.709E-3</v>
      </c>
      <c r="L14" s="418">
        <v>436045201.34652531</v>
      </c>
      <c r="M14" s="418"/>
      <c r="N14" s="131">
        <f>L14+G14*(K14-I14)</f>
        <v>437446613.2456128</v>
      </c>
      <c r="O14" s="130">
        <f>+N14-L14</f>
        <v>1401411.8990874887</v>
      </c>
      <c r="P14" s="72">
        <f>IF(L14=0,"n/a",+O14/L14)</f>
        <v>3.2139142794367919E-3</v>
      </c>
      <c r="S14" s="44"/>
    </row>
    <row r="15" spans="1:19" x14ac:dyDescent="0.2">
      <c r="A15" s="8">
        <f t="shared" ref="A15:A46" si="0">+A14+1</f>
        <v>7</v>
      </c>
      <c r="B15" s="281" t="s">
        <v>203</v>
      </c>
      <c r="C15" s="123" t="str">
        <f>'Sch 140 Rates'!$C$17</f>
        <v>12 (26) (26P)</v>
      </c>
      <c r="D15" s="124"/>
      <c r="E15" s="123"/>
      <c r="F15" s="123"/>
      <c r="G15" s="158">
        <v>2065352001.3623114</v>
      </c>
      <c r="H15" s="158"/>
      <c r="I15" s="416">
        <v>1.0119999999999999E-3</v>
      </c>
      <c r="J15" s="417"/>
      <c r="K15" s="161">
        <f>'Sch 140 Rates'!E17</f>
        <v>1.3310000000000002E-3</v>
      </c>
      <c r="L15" s="418">
        <v>272120899.7216447</v>
      </c>
      <c r="M15" s="418"/>
      <c r="N15" s="131">
        <f>L15+G15*(K15-I15)</f>
        <v>272779747.01007926</v>
      </c>
      <c r="O15" s="130">
        <f>+N15-L15</f>
        <v>658847.28843456507</v>
      </c>
      <c r="P15" s="72">
        <f>IF(L15=0,"n/a",+O15/L15)</f>
        <v>2.4211565120816035E-3</v>
      </c>
      <c r="S15" s="44"/>
    </row>
    <row r="16" spans="1:19" ht="13.5" x14ac:dyDescent="0.35">
      <c r="A16" s="8">
        <f t="shared" si="0"/>
        <v>8</v>
      </c>
      <c r="B16" s="279" t="s">
        <v>204</v>
      </c>
      <c r="C16" s="123">
        <f>'Sch 140 Rates'!$C$18</f>
        <v>29</v>
      </c>
      <c r="D16" s="124"/>
      <c r="E16" s="123"/>
      <c r="F16" s="123"/>
      <c r="G16" s="158">
        <v>14420837.616554612</v>
      </c>
      <c r="H16" s="158"/>
      <c r="I16" s="419">
        <v>1.2369999999999998E-3</v>
      </c>
      <c r="J16" s="417"/>
      <c r="K16" s="161">
        <f>'Sch 140 Rates'!E18</f>
        <v>1.709E-3</v>
      </c>
      <c r="L16" s="418">
        <v>1846135.5797549628</v>
      </c>
      <c r="M16" s="418"/>
      <c r="N16" s="131">
        <f>L16+G16*(K16-I16)</f>
        <v>1852942.2151099767</v>
      </c>
      <c r="O16" s="130">
        <f>+N16-L16</f>
        <v>6806.6353550138883</v>
      </c>
      <c r="P16" s="72">
        <f>IF(L16=0,"n/a",+O16/L16)</f>
        <v>3.686963963891174E-3</v>
      </c>
      <c r="S16" s="44"/>
    </row>
    <row r="17" spans="1:19" x14ac:dyDescent="0.2">
      <c r="A17" s="8">
        <f t="shared" si="0"/>
        <v>9</v>
      </c>
      <c r="B17" s="23" t="s">
        <v>9</v>
      </c>
      <c r="C17" s="123" t="s">
        <v>113</v>
      </c>
      <c r="D17" s="124"/>
      <c r="E17" s="123"/>
      <c r="F17" s="123"/>
      <c r="G17" s="17">
        <f>SUM(G13:G16)</f>
        <v>7741883633.2299013</v>
      </c>
      <c r="H17" s="17"/>
      <c r="I17" s="188" t="s">
        <v>113</v>
      </c>
      <c r="J17" s="188"/>
      <c r="K17" s="19"/>
      <c r="L17" s="182">
        <f>SUM(L13:L16)</f>
        <v>1138693211.5653958</v>
      </c>
      <c r="M17" s="182"/>
      <c r="N17" s="129">
        <f>SUM(N13:N16)</f>
        <v>1142184883.7979715</v>
      </c>
      <c r="O17" s="129">
        <f>SUM(O13:O16)</f>
        <v>3491672.2325754943</v>
      </c>
      <c r="P17" s="71">
        <f>IF(L17=0,"n/a",+O17/L17)</f>
        <v>3.0663853943375913E-3</v>
      </c>
    </row>
    <row r="18" spans="1:19" x14ac:dyDescent="0.2">
      <c r="A18" s="8">
        <f t="shared" si="0"/>
        <v>10</v>
      </c>
      <c r="B18" s="23"/>
      <c r="C18" s="123" t="s">
        <v>113</v>
      </c>
      <c r="D18" s="124"/>
      <c r="E18" s="123"/>
      <c r="F18" s="123"/>
      <c r="G18" s="37"/>
      <c r="H18" s="37"/>
      <c r="I18" s="187" t="s">
        <v>113</v>
      </c>
      <c r="J18" s="187"/>
      <c r="K18" s="21"/>
      <c r="L18" s="181" t="s">
        <v>113</v>
      </c>
      <c r="M18" s="181"/>
      <c r="N18" s="130"/>
      <c r="O18" s="130"/>
      <c r="P18" s="72"/>
    </row>
    <row r="19" spans="1:19" x14ac:dyDescent="0.2">
      <c r="A19" s="8">
        <f t="shared" si="0"/>
        <v>11</v>
      </c>
      <c r="B19" s="7" t="s">
        <v>10</v>
      </c>
      <c r="C19" s="123" t="s">
        <v>113</v>
      </c>
      <c r="D19" s="124"/>
      <c r="E19" s="123"/>
      <c r="F19" s="123"/>
      <c r="G19" s="37"/>
      <c r="H19" s="37"/>
      <c r="I19" s="187" t="s">
        <v>113</v>
      </c>
      <c r="J19" s="187"/>
      <c r="K19" s="21"/>
      <c r="L19" s="181" t="s">
        <v>113</v>
      </c>
      <c r="M19" s="181"/>
      <c r="N19" s="130"/>
      <c r="O19" s="130"/>
      <c r="P19" s="72"/>
    </row>
    <row r="20" spans="1:19" x14ac:dyDescent="0.2">
      <c r="A20" s="8">
        <f t="shared" si="0"/>
        <v>12</v>
      </c>
      <c r="B20" s="281" t="s">
        <v>14</v>
      </c>
      <c r="C20" s="123" t="str">
        <f>'Sch 140 Rates'!$C$22</f>
        <v>10 (31)</v>
      </c>
      <c r="D20" s="124"/>
      <c r="E20" s="123"/>
      <c r="F20" s="123"/>
      <c r="G20" s="158">
        <v>1378600015.3562117</v>
      </c>
      <c r="H20" s="158"/>
      <c r="I20" s="416">
        <v>1.0309999999999998E-3</v>
      </c>
      <c r="J20" s="417"/>
      <c r="K20" s="162">
        <f>'Sch 140 Rates'!E22</f>
        <v>1.459E-3</v>
      </c>
      <c r="L20" s="418">
        <v>176500749.09050682</v>
      </c>
      <c r="M20" s="418"/>
      <c r="N20" s="130">
        <f>L20+G20*(K20-I20)</f>
        <v>177090789.89707929</v>
      </c>
      <c r="O20" s="130">
        <f>+N20-L20</f>
        <v>590040.80657246709</v>
      </c>
      <c r="P20" s="72">
        <f>IF(L20=0,"n/a",+O20/L20)</f>
        <v>3.3429932145494939E-3</v>
      </c>
      <c r="S20" s="44"/>
    </row>
    <row r="21" spans="1:19" x14ac:dyDescent="0.2">
      <c r="A21" s="8">
        <f t="shared" si="0"/>
        <v>13</v>
      </c>
      <c r="B21" s="278" t="s">
        <v>205</v>
      </c>
      <c r="C21" s="123">
        <f>'Sch 140 Rates'!$C$23</f>
        <v>35</v>
      </c>
      <c r="D21" s="124"/>
      <c r="E21" s="123"/>
      <c r="F21" s="123"/>
      <c r="G21" s="158">
        <v>5934926.6636967957</v>
      </c>
      <c r="H21" s="158"/>
      <c r="I21" s="416">
        <v>1.0309999999999998E-3</v>
      </c>
      <c r="J21" s="417"/>
      <c r="K21" s="162">
        <f>'Sch 140 Rates'!E23</f>
        <v>1.459E-3</v>
      </c>
      <c r="L21" s="418">
        <v>665038.13704966067</v>
      </c>
      <c r="M21" s="418"/>
      <c r="N21" s="130">
        <f>L21+G21*(K21-I21)</f>
        <v>667578.28566172288</v>
      </c>
      <c r="O21" s="130">
        <f>+N21-L21</f>
        <v>2540.1486120622139</v>
      </c>
      <c r="P21" s="72">
        <f>IF(L21=0,"n/a",+O21/L21)</f>
        <v>3.8195533016064194E-3</v>
      </c>
      <c r="S21" s="44"/>
    </row>
    <row r="22" spans="1:19" ht="13.5" x14ac:dyDescent="0.35">
      <c r="A22" s="8">
        <f t="shared" si="0"/>
        <v>14</v>
      </c>
      <c r="B22" s="279" t="s">
        <v>200</v>
      </c>
      <c r="C22" s="123">
        <f>'Sch 140 Rates'!$C$24</f>
        <v>43</v>
      </c>
      <c r="D22" s="124"/>
      <c r="E22" s="123"/>
      <c r="F22" s="123"/>
      <c r="G22" s="158">
        <v>108844561.70565043</v>
      </c>
      <c r="H22" s="158"/>
      <c r="I22" s="416">
        <v>9.5800000000000008E-4</v>
      </c>
      <c r="J22" s="417"/>
      <c r="K22" s="162">
        <f>'Sch 140 Rates'!E24</f>
        <v>1.663E-3</v>
      </c>
      <c r="L22" s="418">
        <v>14465102.129580269</v>
      </c>
      <c r="M22" s="418"/>
      <c r="N22" s="130">
        <f>L22+G22*(K22-I22)</f>
        <v>14541837.545582753</v>
      </c>
      <c r="O22" s="130">
        <f>+N22-L22</f>
        <v>76735.416002484038</v>
      </c>
      <c r="P22" s="72">
        <f>IF(L22=0,"n/a",+O22/L22)</f>
        <v>5.3048651378385155E-3</v>
      </c>
      <c r="S22" s="44"/>
    </row>
    <row r="23" spans="1:19" x14ac:dyDescent="0.2">
      <c r="A23" s="8">
        <f t="shared" si="0"/>
        <v>15</v>
      </c>
      <c r="B23" s="16" t="s">
        <v>11</v>
      </c>
      <c r="C23" s="123" t="s">
        <v>113</v>
      </c>
      <c r="D23" s="124"/>
      <c r="E23" s="123"/>
      <c r="F23" s="123"/>
      <c r="G23" s="17">
        <f>SUM(G20:G22)</f>
        <v>1493379503.7255588</v>
      </c>
      <c r="H23" s="17"/>
      <c r="I23" s="188" t="s">
        <v>113</v>
      </c>
      <c r="J23" s="188"/>
      <c r="K23" s="19"/>
      <c r="L23" s="182">
        <f>SUM(L20:L22)</f>
        <v>191630889.35713676</v>
      </c>
      <c r="M23" s="182"/>
      <c r="N23" s="129">
        <f>SUM(N20:N22)</f>
        <v>192300205.72832376</v>
      </c>
      <c r="O23" s="129">
        <f>SUM(O20:O22)</f>
        <v>669316.37118701334</v>
      </c>
      <c r="P23" s="71">
        <f>IF(L23=0,"n/a",+O23/L23)</f>
        <v>3.4927373840009084E-3</v>
      </c>
    </row>
    <row r="24" spans="1:19" x14ac:dyDescent="0.2">
      <c r="A24" s="8">
        <f t="shared" si="0"/>
        <v>16</v>
      </c>
      <c r="C24" s="123" t="s">
        <v>113</v>
      </c>
      <c r="D24" s="124"/>
      <c r="E24" s="123"/>
      <c r="F24" s="123"/>
      <c r="G24" s="1"/>
      <c r="H24" s="1"/>
      <c r="I24" s="189" t="s">
        <v>113</v>
      </c>
      <c r="J24" s="189"/>
      <c r="K24" s="25"/>
      <c r="L24" s="181" t="s">
        <v>113</v>
      </c>
      <c r="M24" s="181"/>
      <c r="N24" s="60"/>
      <c r="O24" s="60"/>
      <c r="P24" s="73"/>
    </row>
    <row r="25" spans="1:19" x14ac:dyDescent="0.2">
      <c r="A25" s="8">
        <f t="shared" si="0"/>
        <v>17</v>
      </c>
      <c r="B25" s="284" t="s">
        <v>67</v>
      </c>
      <c r="C25" s="277" t="str">
        <f>'Sch 140 Rates'!$C$33</f>
        <v>Special Contract</v>
      </c>
      <c r="D25" s="124"/>
      <c r="E25" s="123"/>
      <c r="F25" s="123"/>
      <c r="G25" s="159">
        <v>319873933.30400002</v>
      </c>
      <c r="H25" s="159"/>
      <c r="I25" s="414">
        <v>3.1E-4</v>
      </c>
      <c r="J25" s="420"/>
      <c r="K25" s="243">
        <f>'Sch 140 Rates'!$E$33</f>
        <v>7.94E-4</v>
      </c>
      <c r="L25" s="415">
        <v>10118600.190831607</v>
      </c>
      <c r="M25" s="415"/>
      <c r="N25" s="129">
        <f>L25+G25*(K25-I25)</f>
        <v>10273419.174550744</v>
      </c>
      <c r="O25" s="129">
        <f>+N25-L25</f>
        <v>154818.98371913657</v>
      </c>
      <c r="P25" s="71">
        <f>IF(L25=0,"n/a",+O25/L25)</f>
        <v>1.5300434921760914E-2</v>
      </c>
      <c r="S25" s="44"/>
    </row>
    <row r="26" spans="1:19" x14ac:dyDescent="0.2">
      <c r="A26" s="8">
        <f t="shared" si="0"/>
        <v>18</v>
      </c>
      <c r="C26" s="123" t="s">
        <v>113</v>
      </c>
      <c r="D26" s="124"/>
      <c r="E26" s="123"/>
      <c r="F26" s="123"/>
      <c r="G26" s="1"/>
      <c r="H26" s="1"/>
      <c r="I26" s="189" t="s">
        <v>113</v>
      </c>
      <c r="J26" s="189"/>
      <c r="K26" s="25"/>
      <c r="L26" s="181" t="s">
        <v>113</v>
      </c>
      <c r="M26" s="181"/>
      <c r="N26" s="60"/>
      <c r="O26" s="60"/>
      <c r="P26" s="73"/>
    </row>
    <row r="27" spans="1:19" x14ac:dyDescent="0.2">
      <c r="A27" s="8">
        <f t="shared" si="0"/>
        <v>19</v>
      </c>
      <c r="B27" s="7" t="s">
        <v>15</v>
      </c>
      <c r="C27" s="123" t="s">
        <v>113</v>
      </c>
      <c r="D27" s="124"/>
      <c r="E27" s="123"/>
      <c r="F27" s="123"/>
      <c r="G27" s="1"/>
      <c r="H27" s="1"/>
      <c r="I27" s="189" t="s">
        <v>113</v>
      </c>
      <c r="J27" s="189"/>
      <c r="K27" s="25"/>
      <c r="L27" s="181" t="s">
        <v>113</v>
      </c>
      <c r="M27" s="181"/>
      <c r="N27" s="60"/>
      <c r="O27" s="60"/>
      <c r="P27" s="73"/>
    </row>
    <row r="28" spans="1:19" x14ac:dyDescent="0.2">
      <c r="A28" s="8">
        <f t="shared" si="0"/>
        <v>20</v>
      </c>
      <c r="B28" s="282" t="s">
        <v>149</v>
      </c>
      <c r="C28" s="123">
        <f>'Sch 140 Rates'!$C$28</f>
        <v>46</v>
      </c>
      <c r="D28" s="124"/>
      <c r="E28" s="123"/>
      <c r="F28" s="123"/>
      <c r="G28" s="158">
        <v>93572538.659561396</v>
      </c>
      <c r="H28" s="158"/>
      <c r="I28" s="416">
        <v>5.6799999999999993E-4</v>
      </c>
      <c r="J28" s="421"/>
      <c r="K28" s="162">
        <f>'Sch 140 Rates'!E28</f>
        <v>7.8199999999999993E-4</v>
      </c>
      <c r="L28" s="418">
        <v>9256666.0931570865</v>
      </c>
      <c r="M28" s="418"/>
      <c r="N28" s="130">
        <f>L28+G28*(K28-I28)</f>
        <v>9276690.6164302323</v>
      </c>
      <c r="O28" s="130">
        <f>+N28-L28</f>
        <v>20024.52327314578</v>
      </c>
      <c r="P28" s="72">
        <f>IF(L28=0,"n/a",+O28/L28)</f>
        <v>2.1632543587100698E-3</v>
      </c>
      <c r="S28" s="44"/>
    </row>
    <row r="29" spans="1:19" ht="13.5" x14ac:dyDescent="0.35">
      <c r="A29" s="8">
        <f t="shared" si="0"/>
        <v>21</v>
      </c>
      <c r="B29" s="283" t="s">
        <v>14</v>
      </c>
      <c r="C29" s="123">
        <f>'Sch 140 Rates'!$C$29</f>
        <v>49</v>
      </c>
      <c r="D29" s="124"/>
      <c r="E29" s="123"/>
      <c r="F29" s="123"/>
      <c r="G29" s="158">
        <v>530773099.64765275</v>
      </c>
      <c r="H29" s="158"/>
      <c r="I29" s="416">
        <v>5.6799999999999993E-4</v>
      </c>
      <c r="J29" s="421"/>
      <c r="K29" s="162">
        <f>'Sch 140 Rates'!E29</f>
        <v>7.8199999999999993E-4</v>
      </c>
      <c r="L29" s="418">
        <v>54705130.663201883</v>
      </c>
      <c r="M29" s="418"/>
      <c r="N29" s="130">
        <f>L29+G29*(K29-I29)</f>
        <v>54818716.106526479</v>
      </c>
      <c r="O29" s="130">
        <f>+N29-L29</f>
        <v>113585.44332459569</v>
      </c>
      <c r="P29" s="72">
        <f>IF(L29=0,"n/a",+O29/L29)</f>
        <v>2.0763215798513834E-3</v>
      </c>
      <c r="S29" s="44"/>
    </row>
    <row r="30" spans="1:19" x14ac:dyDescent="0.2">
      <c r="A30" s="8">
        <f t="shared" si="0"/>
        <v>22</v>
      </c>
      <c r="B30" s="23" t="s">
        <v>12</v>
      </c>
      <c r="C30" s="123" t="s">
        <v>113</v>
      </c>
      <c r="D30" s="124"/>
      <c r="E30" s="123"/>
      <c r="F30" s="123"/>
      <c r="G30" s="17">
        <f>SUM(G28:G29)</f>
        <v>624345638.30721414</v>
      </c>
      <c r="H30" s="17"/>
      <c r="I30" s="188" t="s">
        <v>113</v>
      </c>
      <c r="J30" s="188"/>
      <c r="K30" s="19"/>
      <c r="L30" s="182">
        <f>SUM(L28:L29)</f>
        <v>63961796.756358966</v>
      </c>
      <c r="M30" s="182"/>
      <c r="N30" s="129">
        <f>SUM(N28:N29)</f>
        <v>64095406.72295671</v>
      </c>
      <c r="O30" s="129">
        <f>SUM(O28:O29)</f>
        <v>133609.96659774147</v>
      </c>
      <c r="P30" s="71">
        <f>IF(L30=0,"n/a",+O30/L30)</f>
        <v>2.088902647727109E-3</v>
      </c>
    </row>
    <row r="31" spans="1:19" x14ac:dyDescent="0.2">
      <c r="A31" s="8">
        <f t="shared" si="0"/>
        <v>23</v>
      </c>
      <c r="C31" s="123" t="s">
        <v>113</v>
      </c>
      <c r="D31" s="124"/>
      <c r="E31" s="123"/>
      <c r="F31" s="123"/>
      <c r="G31" s="1"/>
      <c r="H31" s="1"/>
      <c r="I31" s="189" t="s">
        <v>113</v>
      </c>
      <c r="J31" s="189"/>
      <c r="K31" s="25"/>
      <c r="L31" s="181" t="s">
        <v>113</v>
      </c>
      <c r="M31" s="181"/>
      <c r="N31" s="60"/>
      <c r="O31" s="60"/>
      <c r="P31" s="73"/>
    </row>
    <row r="32" spans="1:19" x14ac:dyDescent="0.2">
      <c r="A32" s="8">
        <f t="shared" si="0"/>
        <v>24</v>
      </c>
      <c r="B32" s="7" t="s">
        <v>206</v>
      </c>
      <c r="C32" s="123" t="str">
        <f>'Sch 140 Rates'!$C$34</f>
        <v>50 - 59</v>
      </c>
      <c r="D32" s="124"/>
      <c r="E32" s="123"/>
      <c r="F32" s="123"/>
      <c r="G32" s="159">
        <v>64341676.6170213</v>
      </c>
      <c r="H32" s="159"/>
      <c r="I32" s="414">
        <v>4.9940000000000002E-3</v>
      </c>
      <c r="J32" s="420"/>
      <c r="K32" s="243">
        <f>'Sch 140 Rates'!$E$34</f>
        <v>6.2249999999999996E-3</v>
      </c>
      <c r="L32" s="415">
        <v>24186029.742802352</v>
      </c>
      <c r="M32" s="415"/>
      <c r="N32" s="129">
        <f>L32+G32*(K32-I32)</f>
        <v>24265234.346717905</v>
      </c>
      <c r="O32" s="129">
        <f>+N32-L32</f>
        <v>79204.60391555354</v>
      </c>
      <c r="P32" s="71">
        <f>IF(L32=0,"n/a",+O32/L32)</f>
        <v>3.2748080093271386E-3</v>
      </c>
      <c r="S32" s="44"/>
    </row>
    <row r="33" spans="1:19" x14ac:dyDescent="0.2">
      <c r="A33" s="8">
        <f t="shared" si="0"/>
        <v>25</v>
      </c>
      <c r="C33" s="123" t="s">
        <v>113</v>
      </c>
      <c r="D33" s="124"/>
      <c r="E33" s="123"/>
      <c r="F33" s="123"/>
      <c r="G33" s="1"/>
      <c r="H33" s="1"/>
      <c r="I33" s="189" t="s">
        <v>113</v>
      </c>
      <c r="J33" s="189"/>
      <c r="K33" s="25"/>
      <c r="L33" s="181" t="s">
        <v>113</v>
      </c>
      <c r="M33" s="181"/>
      <c r="N33" s="60"/>
      <c r="O33" s="60"/>
      <c r="P33" s="73"/>
    </row>
    <row r="34" spans="1:19" x14ac:dyDescent="0.2">
      <c r="A34" s="8">
        <f t="shared" si="0"/>
        <v>26</v>
      </c>
      <c r="B34" s="16" t="s">
        <v>150</v>
      </c>
      <c r="C34" s="123" t="str">
        <f>'Sch 140 Rates'!$C$32</f>
        <v>448 - 459</v>
      </c>
      <c r="D34" s="124"/>
      <c r="E34" s="123"/>
      <c r="F34" s="123"/>
      <c r="G34" s="159">
        <v>1953924436.0460784</v>
      </c>
      <c r="H34" s="159">
        <v>3388391.6175520504</v>
      </c>
      <c r="I34" s="414">
        <v>6.3770000000000007E-3</v>
      </c>
      <c r="J34" s="420"/>
      <c r="K34" s="243">
        <f>'Sch 140 Rates'!$E$66</f>
        <v>9.8700000000000003E-3</v>
      </c>
      <c r="L34" s="415">
        <v>17415674.448766891</v>
      </c>
      <c r="M34" s="415"/>
      <c r="N34" s="129">
        <f>L34+H34*(K34-I34)</f>
        <v>17427510.100687001</v>
      </c>
      <c r="O34" s="129">
        <f>+N34-L34</f>
        <v>11835.651920109987</v>
      </c>
      <c r="P34" s="71">
        <f>IF(L34=0,"n/a",+O34/L34)</f>
        <v>6.7959767822531878E-4</v>
      </c>
      <c r="S34" s="44"/>
    </row>
    <row r="35" spans="1:19" x14ac:dyDescent="0.2">
      <c r="A35" s="8">
        <f t="shared" si="0"/>
        <v>27</v>
      </c>
      <c r="B35" s="16"/>
      <c r="C35" s="447"/>
      <c r="D35" s="447"/>
      <c r="E35" s="447"/>
      <c r="F35" s="447"/>
      <c r="G35" s="158"/>
      <c r="H35" s="158"/>
      <c r="I35" s="449"/>
      <c r="J35" s="449"/>
      <c r="K35" s="162"/>
      <c r="L35" s="451"/>
      <c r="M35" s="451"/>
      <c r="N35" s="130"/>
      <c r="O35" s="130"/>
      <c r="P35" s="72"/>
      <c r="S35" s="44"/>
    </row>
    <row r="36" spans="1:19" x14ac:dyDescent="0.2">
      <c r="A36" s="8">
        <f t="shared" si="0"/>
        <v>28</v>
      </c>
      <c r="B36" s="318" t="s">
        <v>251</v>
      </c>
      <c r="C36" s="448">
        <f>'Sch 140 Rates'!$C$35</f>
        <v>558</v>
      </c>
      <c r="D36" s="448"/>
      <c r="E36" s="448"/>
      <c r="F36" s="448"/>
      <c r="G36" s="319">
        <v>0</v>
      </c>
      <c r="H36" s="319">
        <v>0</v>
      </c>
      <c r="I36" s="450">
        <v>0</v>
      </c>
      <c r="J36" s="450"/>
      <c r="K36" s="320">
        <f>'Rate Spread &amp; Design'!R32</f>
        <v>1.6587329087551477E-3</v>
      </c>
      <c r="L36" s="452">
        <v>0</v>
      </c>
      <c r="M36" s="452"/>
      <c r="N36" s="321">
        <v>0</v>
      </c>
      <c r="O36" s="321">
        <v>0</v>
      </c>
      <c r="P36" s="322" t="str">
        <f>IF(L36=0,"n/a",+O36/L36)</f>
        <v>n/a</v>
      </c>
      <c r="S36" s="44"/>
    </row>
    <row r="37" spans="1:19" x14ac:dyDescent="0.2">
      <c r="A37" s="8">
        <f t="shared" si="0"/>
        <v>29</v>
      </c>
      <c r="C37" s="123" t="s">
        <v>113</v>
      </c>
      <c r="D37" s="124"/>
      <c r="E37" s="123"/>
      <c r="F37" s="123"/>
      <c r="G37" s="1"/>
      <c r="H37" s="1"/>
      <c r="I37" s="189" t="s">
        <v>113</v>
      </c>
      <c r="J37" s="189"/>
      <c r="K37" s="25"/>
      <c r="L37" s="181" t="s">
        <v>113</v>
      </c>
      <c r="M37" s="181"/>
      <c r="N37" s="60"/>
      <c r="O37" s="24"/>
      <c r="P37" s="73"/>
    </row>
    <row r="38" spans="1:19" ht="12" thickBot="1" x14ac:dyDescent="0.25">
      <c r="A38" s="8">
        <f t="shared" si="0"/>
        <v>30</v>
      </c>
      <c r="B38" s="276" t="s">
        <v>199</v>
      </c>
      <c r="C38" s="125" t="s">
        <v>113</v>
      </c>
      <c r="D38" s="126"/>
      <c r="E38" s="125"/>
      <c r="F38" s="125"/>
      <c r="G38" s="26">
        <f>SUM(G10,G17,G23,G25,G30,G32,G34)</f>
        <v>23557848404.487492</v>
      </c>
      <c r="H38" s="26">
        <f>SUM(H10,H17,H23,H25,H30,H32,H34)</f>
        <v>3388391.6175520504</v>
      </c>
      <c r="I38" s="190" t="s">
        <v>113</v>
      </c>
      <c r="J38" s="190"/>
      <c r="K38" s="28"/>
      <c r="L38" s="183">
        <f>SUM(L10,L17,L23,L25,L30,L34,L32)</f>
        <v>3281089959.7574177</v>
      </c>
      <c r="M38" s="183"/>
      <c r="N38" s="275">
        <f>SUM(N10,N17,N23,N25,N30,N32,N34)</f>
        <v>3291367267.8568778</v>
      </c>
      <c r="O38" s="27">
        <f>SUM(O10,O17,O23,O25,O30,O32,O34)</f>
        <v>10277308.099460108</v>
      </c>
      <c r="P38" s="74">
        <f>IF(L38=0,"n/a",+O38/L38)</f>
        <v>3.1322847668035121E-3</v>
      </c>
      <c r="S38" s="44"/>
    </row>
    <row r="39" spans="1:19" ht="12" thickTop="1" x14ac:dyDescent="0.2">
      <c r="A39" s="8">
        <f t="shared" si="0"/>
        <v>31</v>
      </c>
      <c r="C39" s="123" t="s">
        <v>113</v>
      </c>
      <c r="D39" s="124"/>
      <c r="E39" s="123"/>
      <c r="F39" s="123"/>
      <c r="G39" s="422">
        <v>0</v>
      </c>
      <c r="H39" s="422">
        <v>0</v>
      </c>
      <c r="I39" s="191" t="s">
        <v>113</v>
      </c>
      <c r="J39" s="189"/>
      <c r="L39" s="423">
        <v>0</v>
      </c>
      <c r="M39" s="192"/>
      <c r="O39" s="44"/>
    </row>
    <row r="40" spans="1:19" x14ac:dyDescent="0.2">
      <c r="A40" s="8">
        <f t="shared" si="0"/>
        <v>32</v>
      </c>
      <c r="B40" s="23"/>
      <c r="C40" s="123" t="s">
        <v>113</v>
      </c>
      <c r="D40" s="124"/>
      <c r="E40" s="123"/>
      <c r="F40" s="123"/>
      <c r="I40" s="192" t="s">
        <v>113</v>
      </c>
      <c r="J40" s="192"/>
      <c r="L40" s="192" t="s">
        <v>113</v>
      </c>
      <c r="M40" s="192"/>
    </row>
    <row r="41" spans="1:19" ht="13.5" x14ac:dyDescent="0.2">
      <c r="A41" s="8">
        <f t="shared" si="0"/>
        <v>33</v>
      </c>
      <c r="B41" s="234" t="s">
        <v>118</v>
      </c>
      <c r="C41" s="98"/>
      <c r="D41" s="98"/>
      <c r="E41" s="109"/>
      <c r="F41" s="109"/>
      <c r="G41" s="110"/>
      <c r="H41" s="110"/>
      <c r="I41" s="110"/>
      <c r="J41" s="109"/>
      <c r="K41" s="109"/>
      <c r="L41" s="110"/>
      <c r="M41" s="110"/>
      <c r="N41" s="110"/>
      <c r="O41" s="109"/>
      <c r="P41" s="109"/>
    </row>
    <row r="42" spans="1:19" ht="13.5" x14ac:dyDescent="0.35">
      <c r="A42" s="8">
        <f t="shared" si="0"/>
        <v>34</v>
      </c>
      <c r="B42" s="99"/>
      <c r="C42" s="100" t="s">
        <v>68</v>
      </c>
      <c r="D42" s="100"/>
      <c r="E42" s="100"/>
      <c r="F42" s="100"/>
      <c r="G42" s="100"/>
      <c r="H42" s="100"/>
      <c r="I42" s="184"/>
      <c r="J42" s="100" t="s">
        <v>69</v>
      </c>
      <c r="K42" s="101"/>
      <c r="L42" s="101"/>
      <c r="M42" s="101"/>
      <c r="N42" s="101"/>
      <c r="O42" s="102"/>
      <c r="P42" s="102"/>
    </row>
    <row r="43" spans="1:19" ht="40.5" x14ac:dyDescent="0.35">
      <c r="A43" s="8">
        <f t="shared" si="0"/>
        <v>35</v>
      </c>
      <c r="B43" s="4"/>
      <c r="C43" s="103" t="s">
        <v>70</v>
      </c>
      <c r="D43" s="103" t="s">
        <v>71</v>
      </c>
      <c r="E43" s="103" t="s">
        <v>72</v>
      </c>
      <c r="F43" s="103" t="s">
        <v>143</v>
      </c>
      <c r="G43" s="269" t="s">
        <v>144</v>
      </c>
      <c r="H43" s="269"/>
      <c r="I43" s="103"/>
      <c r="J43" s="103" t="s">
        <v>70</v>
      </c>
      <c r="K43" s="103" t="s">
        <v>71</v>
      </c>
      <c r="L43" s="103" t="s">
        <v>72</v>
      </c>
      <c r="M43" s="103" t="s">
        <v>143</v>
      </c>
      <c r="N43" s="104" t="s">
        <v>119</v>
      </c>
      <c r="O43" s="104" t="s">
        <v>120</v>
      </c>
      <c r="P43" s="104" t="s">
        <v>121</v>
      </c>
    </row>
    <row r="44" spans="1:19" x14ac:dyDescent="0.2">
      <c r="A44" s="8">
        <f t="shared" si="0"/>
        <v>36</v>
      </c>
      <c r="B44" s="141" t="s">
        <v>122</v>
      </c>
      <c r="C44" s="105">
        <v>7.49</v>
      </c>
      <c r="D44" s="105">
        <v>79.81</v>
      </c>
      <c r="E44" s="105">
        <v>30.49</v>
      </c>
      <c r="F44" s="105">
        <v>8.91</v>
      </c>
      <c r="G44" s="270">
        <f>SUM(C44:F44)</f>
        <v>126.69999999999999</v>
      </c>
      <c r="H44" s="270"/>
      <c r="I44" s="111"/>
      <c r="J44" s="111">
        <f>C44</f>
        <v>7.49</v>
      </c>
      <c r="K44" s="111">
        <f>D44</f>
        <v>79.81</v>
      </c>
      <c r="L44" s="111">
        <f>E44</f>
        <v>30.49</v>
      </c>
      <c r="M44" s="111">
        <f>ROUND(F44+($K$10-$I$10)*800,2)</f>
        <v>9.31</v>
      </c>
      <c r="N44" s="106">
        <f>SUM(J44:M44)</f>
        <v>127.1</v>
      </c>
      <c r="O44" s="112">
        <f>N44-G44</f>
        <v>0.40000000000000568</v>
      </c>
      <c r="P44" s="107">
        <f>O44/G44</f>
        <v>3.1570639305446386E-3</v>
      </c>
    </row>
    <row r="45" spans="1:19" x14ac:dyDescent="0.2">
      <c r="A45" s="8">
        <f t="shared" si="0"/>
        <v>37</v>
      </c>
    </row>
    <row r="46" spans="1:19" x14ac:dyDescent="0.2">
      <c r="A46" s="8">
        <f t="shared" si="0"/>
        <v>38</v>
      </c>
      <c r="B46" s="446" t="s">
        <v>104</v>
      </c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</row>
  </sheetData>
  <mergeCells count="7">
    <mergeCell ref="B46:P46"/>
    <mergeCell ref="C35:F35"/>
    <mergeCell ref="C36:F36"/>
    <mergeCell ref="I35:J35"/>
    <mergeCell ref="I36:J36"/>
    <mergeCell ref="L35:M35"/>
    <mergeCell ref="L36:M36"/>
  </mergeCells>
  <printOptions horizontalCentered="1"/>
  <pageMargins left="0.7" right="0.7" top="0.75" bottom="0.75" header="0.3" footer="0.3"/>
  <pageSetup scale="97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C000"/>
  </sheetPr>
  <dimension ref="A1"/>
  <sheetViews>
    <sheetView workbookViewId="0"/>
  </sheetViews>
  <sheetFormatPr defaultColWidth="8.85546875" defaultRowHeight="12.75" x14ac:dyDescent="0.2"/>
  <cols>
    <col min="1" max="16384" width="8.85546875" style="197"/>
  </cols>
  <sheetData/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4" tint="0.79998168889431442"/>
    <pageSetUpPr fitToPage="1"/>
  </sheetPr>
  <dimension ref="A1:V180"/>
  <sheetViews>
    <sheetView zoomScaleNormal="100" workbookViewId="0">
      <pane xSplit="5" ySplit="9" topLeftCell="F160" activePane="bottomRight" state="frozen"/>
      <selection activeCell="D6" sqref="D6"/>
      <selection pane="topRight" activeCell="D6" sqref="D6"/>
      <selection pane="bottomLeft" activeCell="D6" sqref="D6"/>
      <selection pane="bottomRight" activeCell="H168" sqref="H168"/>
    </sheetView>
  </sheetViews>
  <sheetFormatPr defaultColWidth="8.85546875" defaultRowHeight="11.25" x14ac:dyDescent="0.2"/>
  <cols>
    <col min="1" max="1" width="4.85546875" style="5" bestFit="1" customWidth="1"/>
    <col min="2" max="2" width="4.42578125" style="30" customWidth="1"/>
    <col min="3" max="3" width="29.7109375" style="30" bestFit="1" customWidth="1"/>
    <col min="4" max="4" width="18.7109375" style="30" bestFit="1" customWidth="1"/>
    <col min="5" max="5" width="12.28515625" style="30" bestFit="1" customWidth="1"/>
    <col min="6" max="12" width="13.140625" style="5" customWidth="1"/>
    <col min="13" max="13" width="1.85546875" style="5" customWidth="1"/>
    <col min="14" max="14" width="9.42578125" style="5" customWidth="1"/>
    <col min="15" max="15" width="9.7109375" style="5" customWidth="1"/>
    <col min="16" max="16" width="9.5703125" style="5" customWidth="1"/>
    <col min="17" max="17" width="9.7109375" style="5" customWidth="1"/>
    <col min="18" max="16384" width="8.85546875" style="5"/>
  </cols>
  <sheetData>
    <row r="1" spans="1:22" s="69" customFormat="1" x14ac:dyDescent="0.2">
      <c r="A1" s="113" t="s">
        <v>112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22" s="69" customFormat="1" x14ac:dyDescent="0.2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22" s="69" customFormat="1" x14ac:dyDescent="0.2">
      <c r="A3" s="114" t="str">
        <f>Inputs!B2&amp;" Forecasted Rate-Year Ended "&amp;TEXT(Inputs!B4,"mmmm d, yyyy")</f>
        <v>F2024 Forecasted Rate-Year Ended April 30, 2026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2" s="69" customFormat="1" x14ac:dyDescent="0.2">
      <c r="A4" s="114" t="str">
        <f>"Proposed Rate Effective "&amp;TEXT(Inputs!B1,"mmmm d, yyyy")</f>
        <v>Proposed Rate Effective May 1, 2025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2" s="69" customFormat="1" x14ac:dyDescent="0.2">
      <c r="A5" s="63" t="s">
        <v>130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22" s="69" customFormat="1" ht="15" customHeight="1" thickBot="1" x14ac:dyDescent="0.25">
      <c r="A6" s="76"/>
      <c r="B6" s="76"/>
      <c r="C6" s="75"/>
      <c r="D6" s="75"/>
      <c r="E6" s="75"/>
      <c r="F6" s="75"/>
      <c r="G6" s="75"/>
      <c r="H6" s="75"/>
      <c r="I6" s="29"/>
      <c r="J6" s="29"/>
      <c r="K6" s="29"/>
      <c r="L6" s="29"/>
      <c r="N6" s="454" t="s">
        <v>255</v>
      </c>
      <c r="O6" s="454"/>
      <c r="P6" s="454"/>
      <c r="Q6" s="454"/>
      <c r="R6" s="454"/>
      <c r="S6" s="454"/>
      <c r="T6" s="454"/>
      <c r="U6" s="454"/>
      <c r="V6" s="454"/>
    </row>
    <row r="7" spans="1:22" s="69" customFormat="1" ht="45" x14ac:dyDescent="0.2">
      <c r="A7" s="66" t="s">
        <v>0</v>
      </c>
      <c r="B7" s="66"/>
      <c r="C7" s="66" t="s">
        <v>2</v>
      </c>
      <c r="D7" s="66" t="s">
        <v>24</v>
      </c>
      <c r="E7" s="66" t="s">
        <v>29</v>
      </c>
      <c r="F7" s="67" t="s">
        <v>276</v>
      </c>
      <c r="G7" s="67" t="s">
        <v>94</v>
      </c>
      <c r="H7" s="67" t="s">
        <v>95</v>
      </c>
      <c r="I7" s="67" t="s">
        <v>277</v>
      </c>
      <c r="J7" s="67" t="s">
        <v>98</v>
      </c>
      <c r="K7" s="67" t="s">
        <v>99</v>
      </c>
      <c r="L7" s="67" t="s">
        <v>100</v>
      </c>
      <c r="M7" s="351"/>
      <c r="N7" s="352" t="s">
        <v>141</v>
      </c>
      <c r="O7" s="453" t="s">
        <v>279</v>
      </c>
      <c r="P7" s="453"/>
      <c r="Q7" s="353" t="s">
        <v>280</v>
      </c>
      <c r="R7" s="353" t="s">
        <v>281</v>
      </c>
      <c r="S7" s="353" t="s">
        <v>282</v>
      </c>
      <c r="T7" s="353" t="s">
        <v>283</v>
      </c>
      <c r="U7" s="353" t="s">
        <v>284</v>
      </c>
      <c r="V7" s="354" t="s">
        <v>285</v>
      </c>
    </row>
    <row r="8" spans="1:22" x14ac:dyDescent="0.2">
      <c r="A8" s="31"/>
      <c r="B8" s="31"/>
      <c r="C8" s="45"/>
      <c r="D8" s="45"/>
      <c r="E8" s="46"/>
      <c r="F8" s="45" t="s">
        <v>19</v>
      </c>
      <c r="G8" s="46" t="s">
        <v>17</v>
      </c>
      <c r="H8" s="47" t="s">
        <v>21</v>
      </c>
      <c r="I8" s="45" t="s">
        <v>18</v>
      </c>
      <c r="J8" s="47" t="s">
        <v>20</v>
      </c>
      <c r="K8" s="47" t="s">
        <v>16</v>
      </c>
      <c r="L8" s="47" t="s">
        <v>28</v>
      </c>
      <c r="M8" s="345"/>
      <c r="N8" s="343"/>
      <c r="O8" s="345"/>
      <c r="P8" s="346"/>
      <c r="Q8" s="226"/>
      <c r="R8" s="345"/>
      <c r="S8" s="228"/>
      <c r="T8" s="345"/>
      <c r="U8" s="345"/>
      <c r="V8" s="355"/>
    </row>
    <row r="9" spans="1:22" x14ac:dyDescent="0.2">
      <c r="A9" s="31"/>
      <c r="B9" s="31"/>
      <c r="C9" s="45"/>
      <c r="D9" s="45"/>
      <c r="E9" s="46"/>
      <c r="F9" s="46"/>
      <c r="G9" s="46"/>
      <c r="H9" s="46"/>
      <c r="I9" s="30"/>
      <c r="J9" s="48" t="s">
        <v>131</v>
      </c>
      <c r="K9" s="48" t="s">
        <v>132</v>
      </c>
      <c r="L9" s="9" t="s">
        <v>63</v>
      </c>
      <c r="M9" s="345"/>
      <c r="N9" s="356"/>
      <c r="O9" s="345"/>
      <c r="P9" s="345"/>
      <c r="Q9" s="345"/>
      <c r="R9" s="345"/>
      <c r="S9" s="345"/>
      <c r="T9" s="345"/>
      <c r="U9" s="345"/>
      <c r="V9" s="355"/>
    </row>
    <row r="10" spans="1:22" ht="34.5" customHeight="1" x14ac:dyDescent="0.35">
      <c r="A10" s="31">
        <v>1</v>
      </c>
      <c r="B10" s="226"/>
      <c r="C10" s="255" t="s">
        <v>155</v>
      </c>
      <c r="D10" s="226"/>
      <c r="E10" s="226"/>
      <c r="F10" s="4"/>
      <c r="G10" s="4"/>
      <c r="H10" s="4"/>
      <c r="I10" s="30"/>
      <c r="J10" s="30"/>
      <c r="K10" s="30"/>
      <c r="L10" s="30"/>
      <c r="M10" s="345"/>
      <c r="N10" s="344" t="s">
        <v>278</v>
      </c>
      <c r="O10" s="360"/>
      <c r="P10" s="361"/>
      <c r="Q10" s="361"/>
      <c r="R10" s="361"/>
      <c r="S10" s="361"/>
      <c r="T10" s="361"/>
      <c r="U10" s="361"/>
      <c r="V10" s="362"/>
    </row>
    <row r="11" spans="1:22" x14ac:dyDescent="0.2">
      <c r="A11" s="31">
        <f>A10+1</f>
        <v>2</v>
      </c>
      <c r="B11" s="31"/>
      <c r="C11" s="49" t="s">
        <v>30</v>
      </c>
      <c r="D11" s="50" t="s">
        <v>268</v>
      </c>
      <c r="E11" s="407">
        <v>22</v>
      </c>
      <c r="F11" s="398">
        <v>1.98</v>
      </c>
      <c r="G11" s="52">
        <f>F11*$J$173</f>
        <v>5.0479863235844261E-2</v>
      </c>
      <c r="H11" s="52">
        <f>F11*$K$173</f>
        <v>-4.3298126041643832E-3</v>
      </c>
      <c r="I11" s="399">
        <v>708</v>
      </c>
      <c r="J11" s="53">
        <f>I11*G11</f>
        <v>35.739743170977739</v>
      </c>
      <c r="K11" s="53">
        <f>I11*H11</f>
        <v>-3.0655073237483834</v>
      </c>
      <c r="L11" s="53">
        <f>SUM(J11:K11)</f>
        <v>32.674235847229355</v>
      </c>
      <c r="N11" s="357"/>
      <c r="O11" s="347">
        <v>0</v>
      </c>
      <c r="P11" s="347">
        <v>30</v>
      </c>
      <c r="Q11" s="348">
        <v>7.4297601011292338</v>
      </c>
      <c r="R11" s="341">
        <f>'Rate Spread &amp; Design'!$N$28</f>
        <v>6.8088694255658165E-3</v>
      </c>
      <c r="S11" s="341">
        <f>'Rate Spread &amp; Design'!$P$28</f>
        <v>-5.8401760165607385E-4</v>
      </c>
      <c r="T11" s="52">
        <f>R11*Q11</f>
        <v>5.0588266391867628E-2</v>
      </c>
      <c r="U11" s="52">
        <f>Q11*S11</f>
        <v>-4.3391106751414837E-3</v>
      </c>
      <c r="V11" s="369">
        <f>SUM(T11:U11)</f>
        <v>4.6249155716726144E-2</v>
      </c>
    </row>
    <row r="12" spans="1:22" x14ac:dyDescent="0.2">
      <c r="A12" s="31">
        <f t="shared" ref="A12:A66" si="0">A11+1</f>
        <v>3</v>
      </c>
      <c r="B12" s="31"/>
      <c r="C12" s="11"/>
      <c r="D12" s="46"/>
      <c r="E12" s="407"/>
      <c r="F12" s="398"/>
      <c r="G12" s="52"/>
      <c r="H12" s="52"/>
      <c r="I12" s="399"/>
      <c r="J12" s="3"/>
      <c r="K12" s="3"/>
      <c r="L12" s="30"/>
      <c r="N12" s="357"/>
      <c r="O12" s="347">
        <v>30.01</v>
      </c>
      <c r="P12" s="347">
        <v>60</v>
      </c>
      <c r="Q12" s="348">
        <v>16.236746289282937</v>
      </c>
      <c r="R12" s="341">
        <f>'Rate Spread &amp; Design'!$N$28</f>
        <v>6.8088694255658165E-3</v>
      </c>
      <c r="S12" s="341">
        <f>'Rate Spread &amp; Design'!$P$28</f>
        <v>-5.8401760165607385E-4</v>
      </c>
      <c r="T12" s="52">
        <f t="shared" ref="T12:T18" si="1">R12*Q12</f>
        <v>0.11055388537976782</v>
      </c>
      <c r="U12" s="52">
        <f t="shared" ref="U12:U18" si="2">Q12*S12</f>
        <v>-9.4825456265651784E-3</v>
      </c>
      <c r="V12" s="369">
        <f t="shared" ref="V12:V18" si="3">SUM(T12:U12)</f>
        <v>0.10107133975320264</v>
      </c>
    </row>
    <row r="13" spans="1:22" x14ac:dyDescent="0.2">
      <c r="A13" s="31">
        <f t="shared" si="0"/>
        <v>4</v>
      </c>
      <c r="B13" s="31"/>
      <c r="C13" s="49" t="s">
        <v>269</v>
      </c>
      <c r="D13" s="408" t="s">
        <v>25</v>
      </c>
      <c r="E13" s="404">
        <v>100</v>
      </c>
      <c r="F13" s="398">
        <v>10.56</v>
      </c>
      <c r="G13" s="52">
        <f t="shared" ref="G13:G75" si="4">F13*$J$173</f>
        <v>0.26922593725783611</v>
      </c>
      <c r="H13" s="52">
        <f t="shared" ref="H13:H75" si="5">F13*$K$173</f>
        <v>-2.3092333888876708E-2</v>
      </c>
      <c r="I13" s="399">
        <v>36</v>
      </c>
      <c r="J13" s="53">
        <f>I13*G13</f>
        <v>9.6921337412821007</v>
      </c>
      <c r="K13" s="53">
        <f>I13*H13</f>
        <v>-0.83132401999956151</v>
      </c>
      <c r="L13" s="53">
        <f>SUM(J13:K13)</f>
        <v>8.8608097212825392</v>
      </c>
      <c r="N13" s="357"/>
      <c r="O13" s="347">
        <v>60.01</v>
      </c>
      <c r="P13" s="347">
        <v>90</v>
      </c>
      <c r="Q13" s="348">
        <v>26.186795286420214</v>
      </c>
      <c r="R13" s="341">
        <f>'Rate Spread &amp; Design'!$N$28</f>
        <v>6.8088694255658165E-3</v>
      </c>
      <c r="S13" s="341">
        <f>'Rate Spread &amp; Design'!$P$28</f>
        <v>-5.8401760165607385E-4</v>
      </c>
      <c r="T13" s="52">
        <f t="shared" si="1"/>
        <v>0.17830246977925762</v>
      </c>
      <c r="U13" s="52">
        <f t="shared" si="2"/>
        <v>-1.5293549378233713E-2</v>
      </c>
      <c r="V13" s="369">
        <f t="shared" si="3"/>
        <v>0.16300892040102391</v>
      </c>
    </row>
    <row r="14" spans="1:22" x14ac:dyDescent="0.2">
      <c r="A14" s="31">
        <f t="shared" si="0"/>
        <v>5</v>
      </c>
      <c r="B14" s="31"/>
      <c r="C14" s="49" t="str">
        <f>+C13</f>
        <v>50E</v>
      </c>
      <c r="D14" s="408" t="s">
        <v>25</v>
      </c>
      <c r="E14" s="404">
        <v>175</v>
      </c>
      <c r="F14" s="398">
        <v>18.5</v>
      </c>
      <c r="G14" s="52">
        <f t="shared" si="4"/>
        <v>0.47165528780965599</v>
      </c>
      <c r="H14" s="52">
        <f t="shared" si="5"/>
        <v>-4.0455319786384385E-2</v>
      </c>
      <c r="I14" s="399">
        <v>241</v>
      </c>
      <c r="J14" s="53">
        <f>I14*G14</f>
        <v>113.66892436212709</v>
      </c>
      <c r="K14" s="53">
        <f>I14*H14</f>
        <v>-9.7497320685186359</v>
      </c>
      <c r="L14" s="53">
        <f>SUM(J14:K14)</f>
        <v>103.91919229360845</v>
      </c>
      <c r="N14" s="357"/>
      <c r="O14" s="347">
        <v>90.01</v>
      </c>
      <c r="P14" s="347">
        <v>150</v>
      </c>
      <c r="Q14" s="348">
        <v>39.674794170929992</v>
      </c>
      <c r="R14" s="341">
        <f>'Rate Spread &amp; Design'!$N$28</f>
        <v>6.8088694255658165E-3</v>
      </c>
      <c r="S14" s="341">
        <f>'Rate Spread &amp; Design'!$P$28</f>
        <v>-5.8401760165607385E-4</v>
      </c>
      <c r="T14" s="52">
        <f t="shared" si="1"/>
        <v>0.27014049299606208</v>
      </c>
      <c r="U14" s="52">
        <f t="shared" si="2"/>
        <v>-2.3170778137904913E-2</v>
      </c>
      <c r="V14" s="369">
        <f t="shared" si="3"/>
        <v>0.24696971485815716</v>
      </c>
    </row>
    <row r="15" spans="1:22" x14ac:dyDescent="0.2">
      <c r="A15" s="31">
        <f t="shared" si="0"/>
        <v>6</v>
      </c>
      <c r="B15" s="31"/>
      <c r="C15" s="49" t="str">
        <f>+C14</f>
        <v>50E</v>
      </c>
      <c r="D15" s="408" t="s">
        <v>25</v>
      </c>
      <c r="E15" s="404">
        <v>400</v>
      </c>
      <c r="F15" s="398">
        <v>38.409999999999997</v>
      </c>
      <c r="G15" s="52">
        <f t="shared" si="4"/>
        <v>0.97925835701453434</v>
      </c>
      <c r="H15" s="52">
        <f t="shared" si="5"/>
        <v>-8.3993990972704005E-2</v>
      </c>
      <c r="I15" s="399">
        <v>216</v>
      </c>
      <c r="J15" s="53">
        <f>I15*G15</f>
        <v>211.51980511513941</v>
      </c>
      <c r="K15" s="53">
        <f>I15*H15</f>
        <v>-18.142702050104067</v>
      </c>
      <c r="L15" s="53">
        <f>SUM(J15:K15)</f>
        <v>193.37710306503533</v>
      </c>
      <c r="N15" s="357"/>
      <c r="O15" s="347">
        <v>150.01</v>
      </c>
      <c r="P15" s="347">
        <v>240</v>
      </c>
      <c r="Q15" s="348">
        <v>69.495762573691295</v>
      </c>
      <c r="R15" s="341">
        <f>'Rate Spread &amp; Design'!$N$28</f>
        <v>6.8088694255658165E-3</v>
      </c>
      <c r="S15" s="341">
        <f>'Rate Spread &amp; Design'!$P$28</f>
        <v>-5.8401760165607385E-4</v>
      </c>
      <c r="T15" s="52">
        <f t="shared" si="1"/>
        <v>0.4731875729943878</v>
      </c>
      <c r="U15" s="52">
        <f t="shared" si="2"/>
        <v>-4.0586748583547126E-2</v>
      </c>
      <c r="V15" s="369">
        <f t="shared" si="3"/>
        <v>0.43260082441084069</v>
      </c>
    </row>
    <row r="16" spans="1:22" x14ac:dyDescent="0.2">
      <c r="A16" s="31">
        <f t="shared" si="0"/>
        <v>7</v>
      </c>
      <c r="B16" s="31"/>
      <c r="C16" s="49" t="str">
        <f>+C15</f>
        <v>50E</v>
      </c>
      <c r="D16" s="408" t="s">
        <v>25</v>
      </c>
      <c r="E16" s="404">
        <v>700</v>
      </c>
      <c r="F16" s="398">
        <v>96.03</v>
      </c>
      <c r="G16" s="52">
        <f t="shared" si="4"/>
        <v>2.4482733669384467</v>
      </c>
      <c r="H16" s="52">
        <f t="shared" si="5"/>
        <v>-0.20999591130197257</v>
      </c>
      <c r="I16" s="399">
        <v>0</v>
      </c>
      <c r="J16" s="53">
        <f t="shared" ref="J16:J77" si="6">I16*G16</f>
        <v>0</v>
      </c>
      <c r="K16" s="53">
        <f t="shared" ref="K16:K77" si="7">I16*H16</f>
        <v>0</v>
      </c>
      <c r="L16" s="53">
        <f t="shared" ref="L16:L77" si="8">SUM(J16:K16)</f>
        <v>0</v>
      </c>
      <c r="N16" s="357"/>
      <c r="O16" s="347">
        <v>240.01</v>
      </c>
      <c r="P16" s="347">
        <v>340</v>
      </c>
      <c r="Q16" s="348">
        <v>92.063107873663981</v>
      </c>
      <c r="R16" s="341">
        <f>'Rate Spread &amp; Design'!$N$28</f>
        <v>6.8088694255658165E-3</v>
      </c>
      <c r="S16" s="341">
        <f>'Rate Spread &amp; Design'!$P$28</f>
        <v>-5.8401760165607385E-4</v>
      </c>
      <c r="T16" s="52">
        <f t="shared" si="1"/>
        <v>0.62684568042355826</v>
      </c>
      <c r="U16" s="52">
        <f t="shared" si="2"/>
        <v>-5.3766475461381649E-2</v>
      </c>
      <c r="V16" s="369">
        <f>SUM(T16:U16)</f>
        <v>0.57307920496217657</v>
      </c>
    </row>
    <row r="17" spans="1:22" x14ac:dyDescent="0.2">
      <c r="A17" s="31">
        <f t="shared" si="0"/>
        <v>8</v>
      </c>
      <c r="B17" s="31"/>
      <c r="C17" s="409"/>
      <c r="D17" s="410"/>
      <c r="E17" s="261"/>
      <c r="F17" s="156"/>
      <c r="G17" s="52"/>
      <c r="H17" s="52"/>
      <c r="I17" s="158"/>
      <c r="J17" s="53"/>
      <c r="K17" s="53"/>
      <c r="L17" s="53"/>
      <c r="N17" s="357"/>
      <c r="O17" s="347">
        <v>340.01</v>
      </c>
      <c r="P17" s="347">
        <v>600</v>
      </c>
      <c r="Q17" s="348">
        <v>144.31146442180207</v>
      </c>
      <c r="R17" s="341">
        <f>'Rate Spread &amp; Design'!$N$28</f>
        <v>6.8088694255658165E-3</v>
      </c>
      <c r="S17" s="341">
        <f>'Rate Spread &amp; Design'!$P$28</f>
        <v>-5.8401760165607385E-4</v>
      </c>
      <c r="T17" s="52">
        <f t="shared" si="1"/>
        <v>0.9825979178602372</v>
      </c>
      <c r="U17" s="52">
        <f t="shared" si="2"/>
        <v>-8.4280435343096677E-2</v>
      </c>
      <c r="V17" s="369">
        <f t="shared" si="3"/>
        <v>0.8983174825171405</v>
      </c>
    </row>
    <row r="18" spans="1:22" ht="14.25" thickBot="1" x14ac:dyDescent="0.4">
      <c r="A18" s="31">
        <f t="shared" si="0"/>
        <v>9</v>
      </c>
      <c r="B18" s="31"/>
      <c r="C18" s="255" t="s">
        <v>31</v>
      </c>
      <c r="D18" s="410"/>
      <c r="E18" s="261"/>
      <c r="F18" s="156"/>
      <c r="G18" s="52"/>
      <c r="H18" s="52"/>
      <c r="I18" s="158"/>
      <c r="J18" s="53"/>
      <c r="K18" s="53"/>
      <c r="L18" s="53"/>
      <c r="N18" s="358"/>
      <c r="O18" s="349">
        <v>600.01</v>
      </c>
      <c r="P18" s="349">
        <v>1000</v>
      </c>
      <c r="Q18" s="350">
        <v>360.77866105450516</v>
      </c>
      <c r="R18" s="359">
        <f>'Rate Spread &amp; Design'!$N$28</f>
        <v>6.8088694255658165E-3</v>
      </c>
      <c r="S18" s="359">
        <f>'Rate Spread &amp; Design'!$P$28</f>
        <v>-5.8401760165607385E-4</v>
      </c>
      <c r="T18" s="370">
        <f t="shared" si="1"/>
        <v>2.4564947946505931</v>
      </c>
      <c r="U18" s="370">
        <f t="shared" si="2"/>
        <v>-0.21070108835774168</v>
      </c>
      <c r="V18" s="371">
        <f t="shared" si="3"/>
        <v>2.2457937062928512</v>
      </c>
    </row>
    <row r="19" spans="1:22" x14ac:dyDescent="0.2">
      <c r="A19" s="31">
        <f t="shared" si="0"/>
        <v>10</v>
      </c>
      <c r="B19" s="31"/>
      <c r="C19" s="49" t="s">
        <v>32</v>
      </c>
      <c r="D19" s="408" t="s">
        <v>33</v>
      </c>
      <c r="E19" s="261" t="s">
        <v>260</v>
      </c>
      <c r="F19" s="398">
        <v>1.98</v>
      </c>
      <c r="G19" s="52">
        <f t="shared" si="4"/>
        <v>5.0479863235844261E-2</v>
      </c>
      <c r="H19" s="52">
        <f t="shared" si="5"/>
        <v>-4.3298126041643832E-3</v>
      </c>
      <c r="I19" s="399">
        <v>3</v>
      </c>
      <c r="J19" s="53">
        <f t="shared" si="6"/>
        <v>0.1514395897075328</v>
      </c>
      <c r="K19" s="53">
        <f t="shared" si="7"/>
        <v>-1.2989437812493149E-2</v>
      </c>
      <c r="L19" s="53">
        <f t="shared" si="8"/>
        <v>0.13845015189503965</v>
      </c>
      <c r="O19" s="345"/>
      <c r="P19" s="345"/>
      <c r="Q19" s="345"/>
    </row>
    <row r="20" spans="1:22" x14ac:dyDescent="0.2">
      <c r="A20" s="31">
        <f t="shared" si="0"/>
        <v>11</v>
      </c>
      <c r="B20" s="31"/>
      <c r="C20" s="49" t="s">
        <v>32</v>
      </c>
      <c r="D20" s="408" t="s">
        <v>33</v>
      </c>
      <c r="E20" s="411" t="s">
        <v>270</v>
      </c>
      <c r="F20" s="398">
        <v>4.32</v>
      </c>
      <c r="G20" s="52">
        <f t="shared" si="4"/>
        <v>0.11013788342366022</v>
      </c>
      <c r="H20" s="52">
        <f t="shared" si="5"/>
        <v>-9.4468638636313815E-3</v>
      </c>
      <c r="I20" s="399">
        <v>62432</v>
      </c>
      <c r="J20" s="53">
        <f t="shared" si="6"/>
        <v>6876.128337905955</v>
      </c>
      <c r="K20" s="53">
        <f t="shared" si="7"/>
        <v>-589.7866047342344</v>
      </c>
      <c r="L20" s="53">
        <f t="shared" si="8"/>
        <v>6286.341733171721</v>
      </c>
      <c r="O20" s="345"/>
      <c r="P20" s="345"/>
      <c r="Q20" s="345"/>
    </row>
    <row r="21" spans="1:22" x14ac:dyDescent="0.2">
      <c r="A21" s="31">
        <f t="shared" si="0"/>
        <v>12</v>
      </c>
      <c r="B21" s="409"/>
      <c r="C21" s="49" t="s">
        <v>32</v>
      </c>
      <c r="D21" s="408" t="s">
        <v>33</v>
      </c>
      <c r="E21" s="404" t="s">
        <v>35</v>
      </c>
      <c r="F21" s="398">
        <v>6.97</v>
      </c>
      <c r="G21" s="52">
        <f t="shared" si="4"/>
        <v>0.17769931654234067</v>
      </c>
      <c r="H21" s="52">
        <f t="shared" si="5"/>
        <v>-1.524181507627563E-2</v>
      </c>
      <c r="I21" s="399">
        <v>35235</v>
      </c>
      <c r="J21" s="53">
        <f t="shared" si="6"/>
        <v>6261.2354183693733</v>
      </c>
      <c r="K21" s="53">
        <f t="shared" si="7"/>
        <v>-537.04535421257185</v>
      </c>
      <c r="L21" s="53">
        <f t="shared" si="8"/>
        <v>5724.1900641568018</v>
      </c>
    </row>
    <row r="22" spans="1:22" x14ac:dyDescent="0.2">
      <c r="A22" s="31">
        <f t="shared" si="0"/>
        <v>13</v>
      </c>
      <c r="B22" s="409"/>
      <c r="C22" s="49" t="s">
        <v>32</v>
      </c>
      <c r="D22" s="408" t="s">
        <v>33</v>
      </c>
      <c r="E22" s="404" t="s">
        <v>36</v>
      </c>
      <c r="F22" s="398">
        <v>10.56</v>
      </c>
      <c r="G22" s="52">
        <f t="shared" si="4"/>
        <v>0.26922593725783611</v>
      </c>
      <c r="H22" s="52">
        <f t="shared" si="5"/>
        <v>-2.3092333888876708E-2</v>
      </c>
      <c r="I22" s="399">
        <v>15281</v>
      </c>
      <c r="J22" s="53">
        <f t="shared" si="6"/>
        <v>4114.0415472369932</v>
      </c>
      <c r="K22" s="53">
        <f t="shared" si="7"/>
        <v>-352.87395415592499</v>
      </c>
      <c r="L22" s="53">
        <f t="shared" si="8"/>
        <v>3761.1675930810684</v>
      </c>
    </row>
    <row r="23" spans="1:22" x14ac:dyDescent="0.2">
      <c r="A23" s="31">
        <f t="shared" si="0"/>
        <v>14</v>
      </c>
      <c r="B23" s="31"/>
      <c r="C23" s="49" t="s">
        <v>32</v>
      </c>
      <c r="D23" s="408" t="s">
        <v>33</v>
      </c>
      <c r="E23" s="404" t="s">
        <v>37</v>
      </c>
      <c r="F23" s="398">
        <v>10.56</v>
      </c>
      <c r="G23" s="52">
        <f t="shared" si="4"/>
        <v>0.26922593725783611</v>
      </c>
      <c r="H23" s="52">
        <f t="shared" si="5"/>
        <v>-2.3092333888876708E-2</v>
      </c>
      <c r="I23" s="399">
        <v>6961</v>
      </c>
      <c r="J23" s="53">
        <f t="shared" si="6"/>
        <v>1874.0817492517972</v>
      </c>
      <c r="K23" s="53">
        <f t="shared" si="7"/>
        <v>-160.74573620047076</v>
      </c>
      <c r="L23" s="53">
        <f t="shared" si="8"/>
        <v>1713.3360130513265</v>
      </c>
    </row>
    <row r="24" spans="1:22" x14ac:dyDescent="0.2">
      <c r="A24" s="31">
        <f t="shared" si="0"/>
        <v>15</v>
      </c>
      <c r="B24" s="31"/>
      <c r="C24" s="49" t="s">
        <v>32</v>
      </c>
      <c r="D24" s="408" t="s">
        <v>33</v>
      </c>
      <c r="E24" s="404" t="s">
        <v>38</v>
      </c>
      <c r="F24" s="398">
        <v>18.5</v>
      </c>
      <c r="G24" s="52">
        <f t="shared" si="4"/>
        <v>0.47165528780965599</v>
      </c>
      <c r="H24" s="52">
        <f t="shared" si="5"/>
        <v>-4.0455319786384385E-2</v>
      </c>
      <c r="I24" s="399">
        <v>908</v>
      </c>
      <c r="J24" s="53">
        <f t="shared" si="6"/>
        <v>428.26300133116763</v>
      </c>
      <c r="K24" s="53">
        <f t="shared" si="7"/>
        <v>-36.73343036603702</v>
      </c>
      <c r="L24" s="53">
        <f t="shared" si="8"/>
        <v>391.52957096513063</v>
      </c>
    </row>
    <row r="25" spans="1:22" x14ac:dyDescent="0.2">
      <c r="A25" s="31">
        <f t="shared" si="0"/>
        <v>16</v>
      </c>
      <c r="B25" s="31"/>
      <c r="C25" s="49" t="s">
        <v>32</v>
      </c>
      <c r="D25" s="408" t="s">
        <v>33</v>
      </c>
      <c r="E25" s="404" t="s">
        <v>39</v>
      </c>
      <c r="F25" s="398">
        <v>18.5</v>
      </c>
      <c r="G25" s="52">
        <f t="shared" si="4"/>
        <v>0.47165528780965599</v>
      </c>
      <c r="H25" s="52">
        <f t="shared" si="5"/>
        <v>-4.0455319786384385E-2</v>
      </c>
      <c r="I25" s="399">
        <v>2412</v>
      </c>
      <c r="J25" s="53">
        <f t="shared" si="6"/>
        <v>1137.6325541968902</v>
      </c>
      <c r="K25" s="53">
        <f t="shared" si="7"/>
        <v>-97.57823132475913</v>
      </c>
      <c r="L25" s="53">
        <f t="shared" si="8"/>
        <v>1040.054322872131</v>
      </c>
    </row>
    <row r="26" spans="1:22" x14ac:dyDescent="0.2">
      <c r="A26" s="31">
        <f t="shared" si="0"/>
        <v>17</v>
      </c>
      <c r="B26" s="31"/>
      <c r="C26" s="49" t="s">
        <v>32</v>
      </c>
      <c r="D26" s="408" t="s">
        <v>33</v>
      </c>
      <c r="E26" s="404" t="s">
        <v>40</v>
      </c>
      <c r="F26" s="398">
        <v>18.5</v>
      </c>
      <c r="G26" s="52">
        <f t="shared" si="4"/>
        <v>0.47165528780965599</v>
      </c>
      <c r="H26" s="52">
        <f t="shared" si="5"/>
        <v>-4.0455319786384385E-2</v>
      </c>
      <c r="I26" s="399">
        <v>938</v>
      </c>
      <c r="J26" s="53">
        <f t="shared" si="6"/>
        <v>442.41265996545729</v>
      </c>
      <c r="K26" s="53">
        <f t="shared" si="7"/>
        <v>-37.947089959628556</v>
      </c>
      <c r="L26" s="53">
        <f t="shared" si="8"/>
        <v>404.46557000582874</v>
      </c>
    </row>
    <row r="27" spans="1:22" x14ac:dyDescent="0.2">
      <c r="A27" s="31">
        <f t="shared" si="0"/>
        <v>18</v>
      </c>
      <c r="B27" s="31"/>
      <c r="C27" s="49" t="s">
        <v>32</v>
      </c>
      <c r="D27" s="408" t="s">
        <v>33</v>
      </c>
      <c r="E27" s="404" t="s">
        <v>41</v>
      </c>
      <c r="F27" s="398">
        <v>24.5</v>
      </c>
      <c r="G27" s="52">
        <f t="shared" si="4"/>
        <v>0.62462457034251739</v>
      </c>
      <c r="H27" s="52">
        <f t="shared" si="5"/>
        <v>-5.3575964041427969E-2</v>
      </c>
      <c r="I27" s="399">
        <v>96</v>
      </c>
      <c r="J27" s="53">
        <f t="shared" si="6"/>
        <v>59.963958752881666</v>
      </c>
      <c r="K27" s="53">
        <f t="shared" si="7"/>
        <v>-5.1432925479770848</v>
      </c>
      <c r="L27" s="53">
        <f t="shared" si="8"/>
        <v>54.820666204904583</v>
      </c>
    </row>
    <row r="28" spans="1:22" x14ac:dyDescent="0.2">
      <c r="A28" s="31">
        <f t="shared" si="0"/>
        <v>19</v>
      </c>
      <c r="B28" s="31"/>
      <c r="C28" s="49" t="s">
        <v>32</v>
      </c>
      <c r="D28" s="408" t="s">
        <v>33</v>
      </c>
      <c r="E28" s="404" t="s">
        <v>42</v>
      </c>
      <c r="F28" s="398">
        <v>24.5</v>
      </c>
      <c r="G28" s="52">
        <f t="shared" si="4"/>
        <v>0.62462457034251739</v>
      </c>
      <c r="H28" s="52">
        <f t="shared" si="5"/>
        <v>-5.3575964041427969E-2</v>
      </c>
      <c r="I28" s="399">
        <v>996</v>
      </c>
      <c r="J28" s="53">
        <f t="shared" si="6"/>
        <v>622.12607206114728</v>
      </c>
      <c r="K28" s="53">
        <f t="shared" si="7"/>
        <v>-53.361660185262259</v>
      </c>
      <c r="L28" s="53">
        <f t="shared" si="8"/>
        <v>568.764411875885</v>
      </c>
    </row>
    <row r="29" spans="1:22" x14ac:dyDescent="0.2">
      <c r="A29" s="31">
        <f t="shared" si="0"/>
        <v>20</v>
      </c>
      <c r="B29" s="31"/>
      <c r="C29" s="49" t="s">
        <v>271</v>
      </c>
      <c r="D29" s="408" t="s">
        <v>88</v>
      </c>
      <c r="E29" s="412" t="s">
        <v>272</v>
      </c>
      <c r="F29" s="156"/>
      <c r="G29" s="341">
        <f>'Rate Spread &amp; Design'!$N$28</f>
        <v>6.8088694255658165E-3</v>
      </c>
      <c r="H29" s="341">
        <f>'Rate Spread &amp; Design'!$P$28</f>
        <v>-5.8401760165607385E-4</v>
      </c>
      <c r="I29" s="400">
        <v>364552.40584913531</v>
      </c>
      <c r="J29" s="53">
        <f t="shared" si="6"/>
        <v>2482.1897302026382</v>
      </c>
      <c r="K29" s="53">
        <f t="shared" si="7"/>
        <v>-212.90502174196368</v>
      </c>
      <c r="L29" s="53">
        <f t="shared" si="8"/>
        <v>2269.2847084606747</v>
      </c>
    </row>
    <row r="30" spans="1:22" x14ac:dyDescent="0.2">
      <c r="A30" s="31">
        <f t="shared" si="0"/>
        <v>21</v>
      </c>
      <c r="B30" s="31"/>
      <c r="C30" s="409"/>
      <c r="D30" s="226"/>
      <c r="E30" s="261"/>
      <c r="F30" s="156"/>
      <c r="G30" s="52"/>
      <c r="H30" s="52"/>
      <c r="I30" s="158"/>
      <c r="J30" s="53"/>
      <c r="K30" s="53"/>
      <c r="L30" s="53"/>
    </row>
    <row r="31" spans="1:22" ht="13.5" x14ac:dyDescent="0.35">
      <c r="A31" s="31">
        <f t="shared" si="0"/>
        <v>22</v>
      </c>
      <c r="B31" s="31"/>
      <c r="C31" s="255" t="s">
        <v>157</v>
      </c>
      <c r="D31" s="226"/>
      <c r="E31" s="261"/>
      <c r="F31" s="156"/>
      <c r="G31" s="52"/>
      <c r="H31" s="52"/>
      <c r="I31" s="158"/>
      <c r="J31" s="53"/>
      <c r="K31" s="53"/>
      <c r="L31" s="53"/>
    </row>
    <row r="32" spans="1:22" x14ac:dyDescent="0.2">
      <c r="A32" s="31">
        <f t="shared" si="0"/>
        <v>23</v>
      </c>
      <c r="B32" s="31"/>
      <c r="C32" s="49" t="s">
        <v>43</v>
      </c>
      <c r="D32" s="37" t="s">
        <v>26</v>
      </c>
      <c r="E32" s="404">
        <v>50</v>
      </c>
      <c r="F32" s="398">
        <v>4.32</v>
      </c>
      <c r="G32" s="52">
        <f t="shared" si="4"/>
        <v>0.11013788342366022</v>
      </c>
      <c r="H32" s="52">
        <f t="shared" si="5"/>
        <v>-9.4468638636313815E-3</v>
      </c>
      <c r="I32" s="399">
        <v>0</v>
      </c>
      <c r="J32" s="53">
        <f t="shared" si="6"/>
        <v>0</v>
      </c>
      <c r="K32" s="53">
        <f t="shared" si="7"/>
        <v>0</v>
      </c>
      <c r="L32" s="53">
        <f t="shared" si="8"/>
        <v>0</v>
      </c>
    </row>
    <row r="33" spans="1:12" x14ac:dyDescent="0.2">
      <c r="A33" s="31">
        <f t="shared" si="0"/>
        <v>24</v>
      </c>
      <c r="B33" s="31"/>
      <c r="C33" s="49" t="str">
        <f t="shared" ref="C33:C39" si="9">+C32</f>
        <v xml:space="preserve">52E </v>
      </c>
      <c r="D33" s="37" t="s">
        <v>26</v>
      </c>
      <c r="E33" s="404">
        <v>70</v>
      </c>
      <c r="F33" s="398">
        <v>6.97</v>
      </c>
      <c r="G33" s="52">
        <f t="shared" si="4"/>
        <v>0.17769931654234067</v>
      </c>
      <c r="H33" s="52">
        <f t="shared" si="5"/>
        <v>-1.524181507627563E-2</v>
      </c>
      <c r="I33" s="399">
        <v>7894</v>
      </c>
      <c r="J33" s="53">
        <f t="shared" si="6"/>
        <v>1402.7584047852372</v>
      </c>
      <c r="K33" s="53">
        <f t="shared" si="7"/>
        <v>-120.31888821211983</v>
      </c>
      <c r="L33" s="53">
        <f t="shared" si="8"/>
        <v>1282.4395165731173</v>
      </c>
    </row>
    <row r="34" spans="1:12" x14ac:dyDescent="0.2">
      <c r="A34" s="31">
        <f t="shared" si="0"/>
        <v>25</v>
      </c>
      <c r="B34" s="409"/>
      <c r="C34" s="49" t="str">
        <f t="shared" si="9"/>
        <v xml:space="preserve">52E </v>
      </c>
      <c r="D34" s="37" t="s">
        <v>26</v>
      </c>
      <c r="E34" s="404">
        <v>100</v>
      </c>
      <c r="F34" s="398">
        <v>10.56</v>
      </c>
      <c r="G34" s="52">
        <f t="shared" si="4"/>
        <v>0.26922593725783611</v>
      </c>
      <c r="H34" s="52">
        <f t="shared" si="5"/>
        <v>-2.3092333888876708E-2</v>
      </c>
      <c r="I34" s="399">
        <v>114110</v>
      </c>
      <c r="J34" s="53">
        <f t="shared" si="6"/>
        <v>30721.37170049168</v>
      </c>
      <c r="K34" s="53">
        <f t="shared" si="7"/>
        <v>-2635.0662200597212</v>
      </c>
      <c r="L34" s="53">
        <f t="shared" si="8"/>
        <v>28086.305480431958</v>
      </c>
    </row>
    <row r="35" spans="1:12" x14ac:dyDescent="0.2">
      <c r="A35" s="31">
        <f t="shared" si="0"/>
        <v>26</v>
      </c>
      <c r="B35" s="31"/>
      <c r="C35" s="49" t="str">
        <f t="shared" si="9"/>
        <v xml:space="preserve">52E </v>
      </c>
      <c r="D35" s="37" t="s">
        <v>26</v>
      </c>
      <c r="E35" s="404">
        <v>150</v>
      </c>
      <c r="F35" s="398">
        <v>10.56</v>
      </c>
      <c r="G35" s="52">
        <f t="shared" si="4"/>
        <v>0.26922593725783611</v>
      </c>
      <c r="H35" s="52">
        <f t="shared" si="5"/>
        <v>-2.3092333888876708E-2</v>
      </c>
      <c r="I35" s="399">
        <v>53138</v>
      </c>
      <c r="J35" s="53">
        <f t="shared" si="6"/>
        <v>14306.127854006896</v>
      </c>
      <c r="K35" s="53">
        <f t="shared" si="7"/>
        <v>-1227.0804381871305</v>
      </c>
      <c r="L35" s="53">
        <f t="shared" si="8"/>
        <v>13079.047415819765</v>
      </c>
    </row>
    <row r="36" spans="1:12" x14ac:dyDescent="0.2">
      <c r="A36" s="31">
        <f t="shared" si="0"/>
        <v>27</v>
      </c>
      <c r="B36" s="31"/>
      <c r="C36" s="49" t="str">
        <f t="shared" si="9"/>
        <v xml:space="preserve">52E </v>
      </c>
      <c r="D36" s="37" t="s">
        <v>26</v>
      </c>
      <c r="E36" s="404">
        <v>200</v>
      </c>
      <c r="F36" s="398">
        <v>18.5</v>
      </c>
      <c r="G36" s="52">
        <f t="shared" si="4"/>
        <v>0.47165528780965599</v>
      </c>
      <c r="H36" s="52">
        <f t="shared" si="5"/>
        <v>-4.0455319786384385E-2</v>
      </c>
      <c r="I36" s="399">
        <v>11171</v>
      </c>
      <c r="J36" s="53">
        <f t="shared" si="6"/>
        <v>5268.8612201216674</v>
      </c>
      <c r="K36" s="53">
        <f t="shared" si="7"/>
        <v>-451.92637733369997</v>
      </c>
      <c r="L36" s="53">
        <f t="shared" si="8"/>
        <v>4816.9348427879677</v>
      </c>
    </row>
    <row r="37" spans="1:12" x14ac:dyDescent="0.2">
      <c r="A37" s="31">
        <f t="shared" si="0"/>
        <v>28</v>
      </c>
      <c r="B37" s="31"/>
      <c r="C37" s="49" t="str">
        <f t="shared" si="9"/>
        <v xml:space="preserve">52E </v>
      </c>
      <c r="D37" s="37" t="s">
        <v>26</v>
      </c>
      <c r="E37" s="404">
        <v>250</v>
      </c>
      <c r="F37" s="398">
        <v>24.5</v>
      </c>
      <c r="G37" s="52">
        <f t="shared" si="4"/>
        <v>0.62462457034251739</v>
      </c>
      <c r="H37" s="52">
        <f t="shared" si="5"/>
        <v>-5.3575964041427969E-2</v>
      </c>
      <c r="I37" s="399">
        <v>16530</v>
      </c>
      <c r="J37" s="53">
        <f t="shared" si="6"/>
        <v>10325.044147761813</v>
      </c>
      <c r="K37" s="53">
        <f t="shared" si="7"/>
        <v>-885.6106856048043</v>
      </c>
      <c r="L37" s="53">
        <f t="shared" si="8"/>
        <v>9439.4334621570088</v>
      </c>
    </row>
    <row r="38" spans="1:12" x14ac:dyDescent="0.2">
      <c r="A38" s="31">
        <f t="shared" si="0"/>
        <v>29</v>
      </c>
      <c r="B38" s="31"/>
      <c r="C38" s="49" t="str">
        <f t="shared" si="9"/>
        <v xml:space="preserve">52E </v>
      </c>
      <c r="D38" s="37" t="s">
        <v>26</v>
      </c>
      <c r="E38" s="404">
        <v>310</v>
      </c>
      <c r="F38" s="398">
        <v>24.5</v>
      </c>
      <c r="G38" s="52">
        <f t="shared" si="4"/>
        <v>0.62462457034251739</v>
      </c>
      <c r="H38" s="52">
        <f t="shared" si="5"/>
        <v>-5.3575964041427969E-2</v>
      </c>
      <c r="I38" s="399">
        <v>1721</v>
      </c>
      <c r="J38" s="53">
        <f t="shared" si="6"/>
        <v>1074.9788855594725</v>
      </c>
      <c r="K38" s="53">
        <f t="shared" si="7"/>
        <v>-92.204234115297538</v>
      </c>
      <c r="L38" s="53">
        <f t="shared" si="8"/>
        <v>982.77465144417488</v>
      </c>
    </row>
    <row r="39" spans="1:12" x14ac:dyDescent="0.2">
      <c r="A39" s="31">
        <f t="shared" si="0"/>
        <v>30</v>
      </c>
      <c r="B39" s="31"/>
      <c r="C39" s="49" t="str">
        <f t="shared" si="9"/>
        <v xml:space="preserve">52E </v>
      </c>
      <c r="D39" s="37" t="s">
        <v>26</v>
      </c>
      <c r="E39" s="404">
        <v>400</v>
      </c>
      <c r="F39" s="398">
        <v>38.409999999999997</v>
      </c>
      <c r="G39" s="52">
        <f t="shared" si="4"/>
        <v>0.97925835701453434</v>
      </c>
      <c r="H39" s="52">
        <f t="shared" si="5"/>
        <v>-8.3993990972704005E-2</v>
      </c>
      <c r="I39" s="399">
        <v>6966</v>
      </c>
      <c r="J39" s="53">
        <f t="shared" si="6"/>
        <v>6821.5137149632465</v>
      </c>
      <c r="K39" s="53">
        <f t="shared" si="7"/>
        <v>-585.10214111585606</v>
      </c>
      <c r="L39" s="53">
        <f t="shared" si="8"/>
        <v>6236.4115738473902</v>
      </c>
    </row>
    <row r="40" spans="1:12" x14ac:dyDescent="0.2">
      <c r="A40" s="31">
        <f t="shared" si="0"/>
        <v>31</v>
      </c>
      <c r="B40" s="31"/>
      <c r="C40" s="56"/>
      <c r="D40" s="37"/>
      <c r="E40" s="404"/>
      <c r="F40" s="398"/>
      <c r="G40" s="52"/>
      <c r="H40" s="52"/>
      <c r="I40" s="399"/>
      <c r="J40" s="53"/>
      <c r="K40" s="53"/>
      <c r="L40" s="53"/>
    </row>
    <row r="41" spans="1:12" x14ac:dyDescent="0.2">
      <c r="A41" s="31">
        <f t="shared" si="0"/>
        <v>32</v>
      </c>
      <c r="B41" s="31"/>
      <c r="C41" s="49" t="str">
        <f>+C36</f>
        <v xml:space="preserve">52E </v>
      </c>
      <c r="D41" s="37" t="s">
        <v>44</v>
      </c>
      <c r="E41" s="404">
        <v>70</v>
      </c>
      <c r="F41" s="398">
        <v>6.97</v>
      </c>
      <c r="G41" s="52">
        <f t="shared" si="4"/>
        <v>0.17769931654234067</v>
      </c>
      <c r="H41" s="52">
        <f t="shared" si="5"/>
        <v>-1.524181507627563E-2</v>
      </c>
      <c r="I41" s="399">
        <v>841</v>
      </c>
      <c r="J41" s="53">
        <f t="shared" si="6"/>
        <v>149.44512521210851</v>
      </c>
      <c r="K41" s="53">
        <f t="shared" si="7"/>
        <v>-12.818366479147805</v>
      </c>
      <c r="L41" s="53">
        <f t="shared" si="8"/>
        <v>136.6267587329607</v>
      </c>
    </row>
    <row r="42" spans="1:12" x14ac:dyDescent="0.2">
      <c r="A42" s="31">
        <f t="shared" si="0"/>
        <v>33</v>
      </c>
      <c r="B42" s="31"/>
      <c r="C42" s="49" t="str">
        <f>+C37</f>
        <v xml:space="preserve">52E </v>
      </c>
      <c r="D42" s="37" t="s">
        <v>44</v>
      </c>
      <c r="E42" s="404">
        <v>100</v>
      </c>
      <c r="F42" s="398">
        <v>10.56</v>
      </c>
      <c r="G42" s="52">
        <f t="shared" si="4"/>
        <v>0.26922593725783611</v>
      </c>
      <c r="H42" s="52">
        <f t="shared" si="5"/>
        <v>-2.3092333888876708E-2</v>
      </c>
      <c r="I42" s="399">
        <v>46</v>
      </c>
      <c r="J42" s="53">
        <f t="shared" si="6"/>
        <v>12.384393113860462</v>
      </c>
      <c r="K42" s="53">
        <f t="shared" si="7"/>
        <v>-1.0622473588883286</v>
      </c>
      <c r="L42" s="53">
        <f t="shared" si="8"/>
        <v>11.322145754972134</v>
      </c>
    </row>
    <row r="43" spans="1:12" x14ac:dyDescent="0.2">
      <c r="A43" s="31">
        <f t="shared" si="0"/>
        <v>34</v>
      </c>
      <c r="B43" s="31"/>
      <c r="C43" s="49" t="str">
        <f>+C38</f>
        <v xml:space="preserve">52E </v>
      </c>
      <c r="D43" s="37" t="s">
        <v>44</v>
      </c>
      <c r="E43" s="404">
        <v>150</v>
      </c>
      <c r="F43" s="398">
        <v>10.56</v>
      </c>
      <c r="G43" s="52">
        <f t="shared" si="4"/>
        <v>0.26922593725783611</v>
      </c>
      <c r="H43" s="52">
        <f t="shared" si="5"/>
        <v>-2.3092333888876708E-2</v>
      </c>
      <c r="I43" s="399">
        <v>2376</v>
      </c>
      <c r="J43" s="53">
        <f t="shared" si="6"/>
        <v>639.6808269246186</v>
      </c>
      <c r="K43" s="53">
        <f t="shared" si="7"/>
        <v>-54.867385319971056</v>
      </c>
      <c r="L43" s="53">
        <f t="shared" si="8"/>
        <v>584.81344160464755</v>
      </c>
    </row>
    <row r="44" spans="1:12" x14ac:dyDescent="0.2">
      <c r="A44" s="31">
        <f t="shared" si="0"/>
        <v>35</v>
      </c>
      <c r="B44" s="31"/>
      <c r="C44" s="49" t="str">
        <f>+C39</f>
        <v xml:space="preserve">52E </v>
      </c>
      <c r="D44" s="37" t="s">
        <v>44</v>
      </c>
      <c r="E44" s="404">
        <v>175</v>
      </c>
      <c r="F44" s="398">
        <v>18.5</v>
      </c>
      <c r="G44" s="52">
        <f t="shared" si="4"/>
        <v>0.47165528780965599</v>
      </c>
      <c r="H44" s="52">
        <f t="shared" si="5"/>
        <v>-4.0455319786384385E-2</v>
      </c>
      <c r="I44" s="399">
        <v>2514</v>
      </c>
      <c r="J44" s="53">
        <f t="shared" si="6"/>
        <v>1185.7413935534751</v>
      </c>
      <c r="K44" s="53">
        <f t="shared" si="7"/>
        <v>-101.70467394297035</v>
      </c>
      <c r="L44" s="53">
        <f t="shared" si="8"/>
        <v>1084.0367196105046</v>
      </c>
    </row>
    <row r="45" spans="1:12" x14ac:dyDescent="0.2">
      <c r="A45" s="31">
        <f t="shared" si="0"/>
        <v>36</v>
      </c>
      <c r="B45" s="31"/>
      <c r="C45" s="49" t="str">
        <f t="shared" ref="C45:D47" si="10">+C44</f>
        <v xml:space="preserve">52E </v>
      </c>
      <c r="D45" s="37" t="str">
        <f t="shared" si="10"/>
        <v>Metal Halide</v>
      </c>
      <c r="E45" s="404">
        <v>250</v>
      </c>
      <c r="F45" s="398">
        <v>24.5</v>
      </c>
      <c r="G45" s="52">
        <f t="shared" si="4"/>
        <v>0.62462457034251739</v>
      </c>
      <c r="H45" s="52">
        <f t="shared" si="5"/>
        <v>-5.3575964041427969E-2</v>
      </c>
      <c r="I45" s="399">
        <v>428</v>
      </c>
      <c r="J45" s="53">
        <f t="shared" si="6"/>
        <v>267.33931610659744</v>
      </c>
      <c r="K45" s="53">
        <f t="shared" si="7"/>
        <v>-22.930512609731171</v>
      </c>
      <c r="L45" s="53">
        <f t="shared" si="8"/>
        <v>244.40880349686626</v>
      </c>
    </row>
    <row r="46" spans="1:12" x14ac:dyDescent="0.2">
      <c r="A46" s="31">
        <f t="shared" si="0"/>
        <v>37</v>
      </c>
      <c r="B46" s="31"/>
      <c r="C46" s="49" t="str">
        <f t="shared" si="10"/>
        <v xml:space="preserve">52E </v>
      </c>
      <c r="D46" s="37" t="str">
        <f t="shared" si="10"/>
        <v>Metal Halide</v>
      </c>
      <c r="E46" s="404">
        <v>400</v>
      </c>
      <c r="F46" s="398">
        <v>38.409999999999997</v>
      </c>
      <c r="G46" s="52">
        <f t="shared" si="4"/>
        <v>0.97925835701453434</v>
      </c>
      <c r="H46" s="52">
        <f t="shared" si="5"/>
        <v>-8.3993990972704005E-2</v>
      </c>
      <c r="I46" s="399">
        <v>684</v>
      </c>
      <c r="J46" s="53">
        <f t="shared" si="6"/>
        <v>669.81271619794154</v>
      </c>
      <c r="K46" s="53">
        <f t="shared" si="7"/>
        <v>-57.451889825329538</v>
      </c>
      <c r="L46" s="53">
        <f t="shared" si="8"/>
        <v>612.360826372612</v>
      </c>
    </row>
    <row r="47" spans="1:12" x14ac:dyDescent="0.2">
      <c r="A47" s="31">
        <f t="shared" si="0"/>
        <v>38</v>
      </c>
      <c r="B47" s="31"/>
      <c r="C47" s="49" t="str">
        <f t="shared" si="10"/>
        <v xml:space="preserve">52E </v>
      </c>
      <c r="D47" s="37" t="str">
        <f t="shared" si="10"/>
        <v>Metal Halide</v>
      </c>
      <c r="E47" s="404">
        <v>1000</v>
      </c>
      <c r="F47" s="398">
        <v>96.03</v>
      </c>
      <c r="G47" s="52">
        <f t="shared" si="4"/>
        <v>2.4482733669384467</v>
      </c>
      <c r="H47" s="52">
        <f t="shared" si="5"/>
        <v>-0.20999591130197257</v>
      </c>
      <c r="I47" s="399">
        <v>216</v>
      </c>
      <c r="J47" s="53">
        <f t="shared" si="6"/>
        <v>528.82704725870451</v>
      </c>
      <c r="K47" s="53">
        <f t="shared" si="7"/>
        <v>-45.359116841226076</v>
      </c>
      <c r="L47" s="53">
        <f t="shared" si="8"/>
        <v>483.46793041747844</v>
      </c>
    </row>
    <row r="48" spans="1:12" x14ac:dyDescent="0.2">
      <c r="A48" s="31">
        <f t="shared" si="0"/>
        <v>39</v>
      </c>
      <c r="B48" s="31"/>
      <c r="C48" s="409"/>
      <c r="D48" s="226"/>
      <c r="E48" s="261"/>
      <c r="F48" s="156"/>
      <c r="G48" s="52"/>
      <c r="H48" s="52"/>
      <c r="I48" s="158"/>
      <c r="J48" s="53"/>
      <c r="K48" s="53"/>
      <c r="L48" s="53"/>
    </row>
    <row r="49" spans="1:12" ht="13.5" x14ac:dyDescent="0.35">
      <c r="A49" s="31">
        <f t="shared" si="0"/>
        <v>40</v>
      </c>
      <c r="B49" s="31"/>
      <c r="C49" s="255" t="s">
        <v>158</v>
      </c>
      <c r="D49" s="226"/>
      <c r="E49" s="261"/>
      <c r="F49" s="156"/>
      <c r="G49" s="52"/>
      <c r="H49" s="52"/>
      <c r="I49" s="158"/>
      <c r="J49" s="53"/>
      <c r="K49" s="53"/>
      <c r="L49" s="53"/>
    </row>
    <row r="50" spans="1:12" x14ac:dyDescent="0.2">
      <c r="A50" s="31">
        <f t="shared" si="0"/>
        <v>41</v>
      </c>
      <c r="B50" s="31"/>
      <c r="C50" s="49" t="s">
        <v>273</v>
      </c>
      <c r="D50" s="37" t="s">
        <v>26</v>
      </c>
      <c r="E50" s="404">
        <v>50</v>
      </c>
      <c r="F50" s="398">
        <v>4.32</v>
      </c>
      <c r="G50" s="52">
        <f t="shared" si="4"/>
        <v>0.11013788342366022</v>
      </c>
      <c r="H50" s="52">
        <f t="shared" si="5"/>
        <v>-9.4468638636313815E-3</v>
      </c>
      <c r="I50" s="399">
        <v>0</v>
      </c>
      <c r="J50" s="53">
        <f t="shared" si="6"/>
        <v>0</v>
      </c>
      <c r="K50" s="53">
        <f t="shared" si="7"/>
        <v>0</v>
      </c>
      <c r="L50" s="53">
        <f t="shared" si="8"/>
        <v>0</v>
      </c>
    </row>
    <row r="51" spans="1:12" x14ac:dyDescent="0.2">
      <c r="A51" s="31">
        <f t="shared" si="0"/>
        <v>42</v>
      </c>
      <c r="B51" s="409"/>
      <c r="C51" s="49" t="str">
        <f t="shared" ref="C51:C58" si="11">+C50</f>
        <v>53E</v>
      </c>
      <c r="D51" s="37" t="s">
        <v>26</v>
      </c>
      <c r="E51" s="404">
        <v>70</v>
      </c>
      <c r="F51" s="398">
        <v>6.97</v>
      </c>
      <c r="G51" s="52">
        <f t="shared" si="4"/>
        <v>0.17769931654234067</v>
      </c>
      <c r="H51" s="52">
        <f t="shared" si="5"/>
        <v>-1.524181507627563E-2</v>
      </c>
      <c r="I51" s="399">
        <v>45285</v>
      </c>
      <c r="J51" s="53">
        <f t="shared" si="6"/>
        <v>8047.1135496198967</v>
      </c>
      <c r="K51" s="53">
        <f t="shared" si="7"/>
        <v>-690.2255957291419</v>
      </c>
      <c r="L51" s="53">
        <f t="shared" si="8"/>
        <v>7356.8879538907549</v>
      </c>
    </row>
    <row r="52" spans="1:12" x14ac:dyDescent="0.2">
      <c r="A52" s="31">
        <f t="shared" si="0"/>
        <v>43</v>
      </c>
      <c r="B52" s="31"/>
      <c r="C52" s="49" t="str">
        <f t="shared" si="11"/>
        <v>53E</v>
      </c>
      <c r="D52" s="37" t="s">
        <v>26</v>
      </c>
      <c r="E52" s="404">
        <v>100</v>
      </c>
      <c r="F52" s="398">
        <v>10.56</v>
      </c>
      <c r="G52" s="52">
        <f t="shared" si="4"/>
        <v>0.26922593725783611</v>
      </c>
      <c r="H52" s="52">
        <f t="shared" si="5"/>
        <v>-2.3092333888876708E-2</v>
      </c>
      <c r="I52" s="399">
        <v>334953</v>
      </c>
      <c r="J52" s="53">
        <f t="shared" si="6"/>
        <v>90178.035362323979</v>
      </c>
      <c r="K52" s="53">
        <f t="shared" si="7"/>
        <v>-7734.84651308092</v>
      </c>
      <c r="L52" s="53">
        <f t="shared" si="8"/>
        <v>82443.188849243059</v>
      </c>
    </row>
    <row r="53" spans="1:12" x14ac:dyDescent="0.2">
      <c r="A53" s="31">
        <f t="shared" si="0"/>
        <v>44</v>
      </c>
      <c r="B53" s="31"/>
      <c r="C53" s="49" t="str">
        <f t="shared" si="11"/>
        <v>53E</v>
      </c>
      <c r="D53" s="37" t="s">
        <v>26</v>
      </c>
      <c r="E53" s="404">
        <v>150</v>
      </c>
      <c r="F53" s="398">
        <v>10.56</v>
      </c>
      <c r="G53" s="52">
        <f t="shared" si="4"/>
        <v>0.26922593725783611</v>
      </c>
      <c r="H53" s="52">
        <f t="shared" si="5"/>
        <v>-2.3092333888876708E-2</v>
      </c>
      <c r="I53" s="399">
        <v>41014</v>
      </c>
      <c r="J53" s="53">
        <f t="shared" si="6"/>
        <v>11042.03259069289</v>
      </c>
      <c r="K53" s="53">
        <f t="shared" si="7"/>
        <v>-947.10898211838935</v>
      </c>
      <c r="L53" s="53">
        <f t="shared" si="8"/>
        <v>10094.923608574501</v>
      </c>
    </row>
    <row r="54" spans="1:12" x14ac:dyDescent="0.2">
      <c r="A54" s="31">
        <f t="shared" si="0"/>
        <v>45</v>
      </c>
      <c r="B54" s="31"/>
      <c r="C54" s="49" t="str">
        <f t="shared" si="11"/>
        <v>53E</v>
      </c>
      <c r="D54" s="37" t="s">
        <v>26</v>
      </c>
      <c r="E54" s="404">
        <v>200</v>
      </c>
      <c r="F54" s="398">
        <v>18.5</v>
      </c>
      <c r="G54" s="52">
        <f t="shared" si="4"/>
        <v>0.47165528780965599</v>
      </c>
      <c r="H54" s="52">
        <f t="shared" si="5"/>
        <v>-4.0455319786384385E-2</v>
      </c>
      <c r="I54" s="399">
        <v>54688</v>
      </c>
      <c r="J54" s="53">
        <f t="shared" si="6"/>
        <v>25793.884379734467</v>
      </c>
      <c r="K54" s="53">
        <f t="shared" si="7"/>
        <v>-2212.420528477789</v>
      </c>
      <c r="L54" s="53">
        <f t="shared" si="8"/>
        <v>23581.463851256678</v>
      </c>
    </row>
    <row r="55" spans="1:12" x14ac:dyDescent="0.2">
      <c r="A55" s="31">
        <f t="shared" si="0"/>
        <v>46</v>
      </c>
      <c r="B55" s="31"/>
      <c r="C55" s="49" t="str">
        <f t="shared" si="11"/>
        <v>53E</v>
      </c>
      <c r="D55" s="37" t="s">
        <v>26</v>
      </c>
      <c r="E55" s="404">
        <v>250</v>
      </c>
      <c r="F55" s="398">
        <v>24.5</v>
      </c>
      <c r="G55" s="52">
        <f t="shared" si="4"/>
        <v>0.62462457034251739</v>
      </c>
      <c r="H55" s="52">
        <f t="shared" si="5"/>
        <v>-5.3575964041427969E-2</v>
      </c>
      <c r="I55" s="399">
        <v>21425</v>
      </c>
      <c r="J55" s="53">
        <f t="shared" si="6"/>
        <v>13382.581419588436</v>
      </c>
      <c r="K55" s="53">
        <f t="shared" si="7"/>
        <v>-1147.8650295875943</v>
      </c>
      <c r="L55" s="53">
        <f t="shared" si="8"/>
        <v>12234.716390000842</v>
      </c>
    </row>
    <row r="56" spans="1:12" x14ac:dyDescent="0.2">
      <c r="A56" s="31">
        <f t="shared" si="0"/>
        <v>47</v>
      </c>
      <c r="B56" s="31"/>
      <c r="C56" s="49" t="str">
        <f t="shared" si="11"/>
        <v>53E</v>
      </c>
      <c r="D56" s="37" t="s">
        <v>26</v>
      </c>
      <c r="E56" s="404">
        <v>310</v>
      </c>
      <c r="F56" s="398">
        <v>24.5</v>
      </c>
      <c r="G56" s="52">
        <f t="shared" si="4"/>
        <v>0.62462457034251739</v>
      </c>
      <c r="H56" s="52">
        <f t="shared" si="5"/>
        <v>-5.3575964041427969E-2</v>
      </c>
      <c r="I56" s="399">
        <v>237</v>
      </c>
      <c r="J56" s="53">
        <f t="shared" si="6"/>
        <v>148.03602317117662</v>
      </c>
      <c r="K56" s="53">
        <f t="shared" si="7"/>
        <v>-12.697503477818429</v>
      </c>
      <c r="L56" s="53">
        <f t="shared" si="8"/>
        <v>135.33851969335819</v>
      </c>
    </row>
    <row r="57" spans="1:12" x14ac:dyDescent="0.2">
      <c r="A57" s="31">
        <f t="shared" si="0"/>
        <v>48</v>
      </c>
      <c r="B57" s="31"/>
      <c r="C57" s="49" t="str">
        <f t="shared" si="11"/>
        <v>53E</v>
      </c>
      <c r="D57" s="37" t="s">
        <v>26</v>
      </c>
      <c r="E57" s="404">
        <v>400</v>
      </c>
      <c r="F57" s="398">
        <v>38.409999999999997</v>
      </c>
      <c r="G57" s="52">
        <f t="shared" si="4"/>
        <v>0.97925835701453434</v>
      </c>
      <c r="H57" s="52">
        <f t="shared" si="5"/>
        <v>-8.3993990972704005E-2</v>
      </c>
      <c r="I57" s="399">
        <v>14576</v>
      </c>
      <c r="J57" s="53">
        <f t="shared" si="6"/>
        <v>14273.669811843853</v>
      </c>
      <c r="K57" s="53">
        <f t="shared" si="7"/>
        <v>-1224.2964124181335</v>
      </c>
      <c r="L57" s="53">
        <f t="shared" si="8"/>
        <v>13049.37339942572</v>
      </c>
    </row>
    <row r="58" spans="1:12" x14ac:dyDescent="0.2">
      <c r="A58" s="31">
        <f t="shared" si="0"/>
        <v>49</v>
      </c>
      <c r="B58" s="31"/>
      <c r="C58" s="49" t="str">
        <f t="shared" si="11"/>
        <v>53E</v>
      </c>
      <c r="D58" s="37" t="s">
        <v>26</v>
      </c>
      <c r="E58" s="404">
        <v>1000</v>
      </c>
      <c r="F58" s="398">
        <v>96.03</v>
      </c>
      <c r="G58" s="52">
        <f t="shared" si="4"/>
        <v>2.4482733669384467</v>
      </c>
      <c r="H58" s="52">
        <f t="shared" si="5"/>
        <v>-0.20999591130197257</v>
      </c>
      <c r="I58" s="399">
        <v>0</v>
      </c>
      <c r="J58" s="53">
        <f t="shared" si="6"/>
        <v>0</v>
      </c>
      <c r="K58" s="53">
        <f t="shared" si="7"/>
        <v>0</v>
      </c>
      <c r="L58" s="53">
        <f t="shared" si="8"/>
        <v>0</v>
      </c>
    </row>
    <row r="59" spans="1:12" x14ac:dyDescent="0.2">
      <c r="A59" s="31">
        <f t="shared" si="0"/>
        <v>50</v>
      </c>
      <c r="B59" s="31"/>
      <c r="C59" s="49"/>
      <c r="D59" s="37"/>
      <c r="E59" s="404"/>
      <c r="F59" s="398"/>
      <c r="G59" s="52"/>
      <c r="H59" s="52"/>
      <c r="I59" s="399"/>
      <c r="J59" s="53"/>
      <c r="K59" s="53"/>
      <c r="L59" s="53"/>
    </row>
    <row r="60" spans="1:12" x14ac:dyDescent="0.2">
      <c r="A60" s="31">
        <f t="shared" si="0"/>
        <v>51</v>
      </c>
      <c r="B60" s="31"/>
      <c r="C60" s="49" t="str">
        <f>+C58</f>
        <v>53E</v>
      </c>
      <c r="D60" s="37" t="s">
        <v>44</v>
      </c>
      <c r="E60" s="404">
        <v>70</v>
      </c>
      <c r="F60" s="398">
        <v>6.97</v>
      </c>
      <c r="G60" s="52">
        <f t="shared" si="4"/>
        <v>0.17769931654234067</v>
      </c>
      <c r="H60" s="52">
        <f t="shared" si="5"/>
        <v>-1.524181507627563E-2</v>
      </c>
      <c r="I60" s="399">
        <v>0</v>
      </c>
      <c r="J60" s="53">
        <f t="shared" si="6"/>
        <v>0</v>
      </c>
      <c r="K60" s="53">
        <f t="shared" si="7"/>
        <v>0</v>
      </c>
      <c r="L60" s="53">
        <f t="shared" si="8"/>
        <v>0</v>
      </c>
    </row>
    <row r="61" spans="1:12" x14ac:dyDescent="0.2">
      <c r="A61" s="31">
        <f t="shared" si="0"/>
        <v>52</v>
      </c>
      <c r="B61" s="31"/>
      <c r="C61" s="49" t="str">
        <f>+C60</f>
        <v>53E</v>
      </c>
      <c r="D61" s="37" t="s">
        <v>44</v>
      </c>
      <c r="E61" s="404">
        <v>100</v>
      </c>
      <c r="F61" s="398">
        <v>10.56</v>
      </c>
      <c r="G61" s="52">
        <f t="shared" si="4"/>
        <v>0.26922593725783611</v>
      </c>
      <c r="H61" s="52">
        <f t="shared" si="5"/>
        <v>-2.3092333888876708E-2</v>
      </c>
      <c r="I61" s="399">
        <v>0</v>
      </c>
      <c r="J61" s="53">
        <f t="shared" si="6"/>
        <v>0</v>
      </c>
      <c r="K61" s="53">
        <f t="shared" si="7"/>
        <v>0</v>
      </c>
      <c r="L61" s="53">
        <f t="shared" si="8"/>
        <v>0</v>
      </c>
    </row>
    <row r="62" spans="1:12" x14ac:dyDescent="0.2">
      <c r="A62" s="31">
        <f t="shared" si="0"/>
        <v>53</v>
      </c>
      <c r="B62" s="31"/>
      <c r="C62" s="49" t="str">
        <f>+C61</f>
        <v>53E</v>
      </c>
      <c r="D62" s="37" t="s">
        <v>44</v>
      </c>
      <c r="E62" s="404">
        <v>150</v>
      </c>
      <c r="F62" s="398">
        <v>10.56</v>
      </c>
      <c r="G62" s="52">
        <f t="shared" si="4"/>
        <v>0.26922593725783611</v>
      </c>
      <c r="H62" s="52">
        <f t="shared" si="5"/>
        <v>-2.3092333888876708E-2</v>
      </c>
      <c r="I62" s="399">
        <v>0</v>
      </c>
      <c r="J62" s="53">
        <f t="shared" si="6"/>
        <v>0</v>
      </c>
      <c r="K62" s="53">
        <f t="shared" si="7"/>
        <v>0</v>
      </c>
      <c r="L62" s="53">
        <f t="shared" si="8"/>
        <v>0</v>
      </c>
    </row>
    <row r="63" spans="1:12" x14ac:dyDescent="0.2">
      <c r="A63" s="31">
        <f t="shared" si="0"/>
        <v>54</v>
      </c>
      <c r="B63" s="31"/>
      <c r="C63" s="49" t="str">
        <f>+C62</f>
        <v>53E</v>
      </c>
      <c r="D63" s="37" t="s">
        <v>44</v>
      </c>
      <c r="E63" s="404">
        <v>175</v>
      </c>
      <c r="F63" s="398">
        <v>18.5</v>
      </c>
      <c r="G63" s="52">
        <f t="shared" si="4"/>
        <v>0.47165528780965599</v>
      </c>
      <c r="H63" s="52">
        <f t="shared" si="5"/>
        <v>-4.0455319786384385E-2</v>
      </c>
      <c r="I63" s="399">
        <v>48</v>
      </c>
      <c r="J63" s="53">
        <f t="shared" si="6"/>
        <v>22.639453814863487</v>
      </c>
      <c r="K63" s="53">
        <f t="shared" si="7"/>
        <v>-1.9418553497464504</v>
      </c>
      <c r="L63" s="53">
        <f t="shared" si="8"/>
        <v>20.697598465117036</v>
      </c>
    </row>
    <row r="64" spans="1:12" x14ac:dyDescent="0.2">
      <c r="A64" s="31">
        <f t="shared" si="0"/>
        <v>55</v>
      </c>
      <c r="B64" s="31"/>
      <c r="C64" s="49" t="str">
        <f>+C63</f>
        <v>53E</v>
      </c>
      <c r="D64" s="37" t="s">
        <v>44</v>
      </c>
      <c r="E64" s="404">
        <v>250</v>
      </c>
      <c r="F64" s="398">
        <v>24.5</v>
      </c>
      <c r="G64" s="52">
        <f t="shared" si="4"/>
        <v>0.62462457034251739</v>
      </c>
      <c r="H64" s="52">
        <f t="shared" si="5"/>
        <v>-5.3575964041427969E-2</v>
      </c>
      <c r="I64" s="399">
        <v>0</v>
      </c>
      <c r="J64" s="53">
        <f t="shared" si="6"/>
        <v>0</v>
      </c>
      <c r="K64" s="53">
        <f t="shared" si="7"/>
        <v>0</v>
      </c>
      <c r="L64" s="53">
        <f t="shared" si="8"/>
        <v>0</v>
      </c>
    </row>
    <row r="65" spans="1:12" x14ac:dyDescent="0.2">
      <c r="A65" s="31">
        <f t="shared" si="0"/>
        <v>56</v>
      </c>
      <c r="B65" s="31"/>
      <c r="C65" s="49" t="str">
        <f>+C64</f>
        <v>53E</v>
      </c>
      <c r="D65" s="37" t="s">
        <v>44</v>
      </c>
      <c r="E65" s="404">
        <v>400</v>
      </c>
      <c r="F65" s="398">
        <v>38.409999999999997</v>
      </c>
      <c r="G65" s="52">
        <f t="shared" si="4"/>
        <v>0.97925835701453434</v>
      </c>
      <c r="H65" s="52">
        <f t="shared" si="5"/>
        <v>-8.3993990972704005E-2</v>
      </c>
      <c r="I65" s="399">
        <v>0</v>
      </c>
      <c r="J65" s="53">
        <f t="shared" si="6"/>
        <v>0</v>
      </c>
      <c r="K65" s="53">
        <f t="shared" si="7"/>
        <v>0</v>
      </c>
      <c r="L65" s="53">
        <f t="shared" si="8"/>
        <v>0</v>
      </c>
    </row>
    <row r="66" spans="1:12" x14ac:dyDescent="0.2">
      <c r="A66" s="31">
        <f t="shared" si="0"/>
        <v>57</v>
      </c>
      <c r="B66" s="31"/>
      <c r="C66" s="49"/>
      <c r="D66" s="37"/>
      <c r="E66" s="404"/>
      <c r="F66" s="156"/>
      <c r="G66" s="52"/>
      <c r="H66" s="52"/>
      <c r="I66" s="158"/>
      <c r="J66" s="53"/>
      <c r="K66" s="53"/>
      <c r="L66" s="53"/>
    </row>
    <row r="67" spans="1:12" x14ac:dyDescent="0.2">
      <c r="A67" s="31">
        <f t="shared" ref="A67:A121" si="12">A66+1</f>
        <v>58</v>
      </c>
      <c r="B67" s="31"/>
      <c r="C67" s="49" t="str">
        <f>+C64</f>
        <v>53E</v>
      </c>
      <c r="D67" s="37" t="s">
        <v>33</v>
      </c>
      <c r="E67" s="261" t="s">
        <v>260</v>
      </c>
      <c r="F67" s="398">
        <v>1.98</v>
      </c>
      <c r="G67" s="52">
        <f t="shared" si="4"/>
        <v>5.0479863235844261E-2</v>
      </c>
      <c r="H67" s="52">
        <f t="shared" si="5"/>
        <v>-4.3298126041643832E-3</v>
      </c>
      <c r="I67" s="399">
        <v>2</v>
      </c>
      <c r="J67" s="53">
        <f t="shared" si="6"/>
        <v>0.10095972647168852</v>
      </c>
      <c r="K67" s="53">
        <f t="shared" si="7"/>
        <v>-8.6596252083287664E-3</v>
      </c>
      <c r="L67" s="53">
        <f t="shared" si="8"/>
        <v>9.230010126335976E-2</v>
      </c>
    </row>
    <row r="68" spans="1:12" x14ac:dyDescent="0.2">
      <c r="A68" s="31">
        <f t="shared" si="12"/>
        <v>59</v>
      </c>
      <c r="B68" s="31"/>
      <c r="C68" s="49" t="str">
        <f>+C65</f>
        <v>53E</v>
      </c>
      <c r="D68" s="37" t="s">
        <v>33</v>
      </c>
      <c r="E68" s="411" t="s">
        <v>270</v>
      </c>
      <c r="F68" s="398">
        <v>4.32</v>
      </c>
      <c r="G68" s="52">
        <f t="shared" si="4"/>
        <v>0.11013788342366022</v>
      </c>
      <c r="H68" s="52">
        <f t="shared" si="5"/>
        <v>-9.4468638636313815E-3</v>
      </c>
      <c r="I68" s="399">
        <v>284567</v>
      </c>
      <c r="J68" s="53">
        <f t="shared" si="6"/>
        <v>31341.607072220719</v>
      </c>
      <c r="K68" s="53">
        <f t="shared" si="7"/>
        <v>-2688.2657090819912</v>
      </c>
      <c r="L68" s="53">
        <f t="shared" si="8"/>
        <v>28653.341363138727</v>
      </c>
    </row>
    <row r="69" spans="1:12" x14ac:dyDescent="0.2">
      <c r="A69" s="31">
        <f t="shared" si="12"/>
        <v>60</v>
      </c>
      <c r="B69" s="31"/>
      <c r="C69" s="49" t="str">
        <f t="shared" ref="C69:C76" si="13">C68</f>
        <v>53E</v>
      </c>
      <c r="D69" s="37" t="s">
        <v>33</v>
      </c>
      <c r="E69" s="404" t="s">
        <v>35</v>
      </c>
      <c r="F69" s="398">
        <v>6.97</v>
      </c>
      <c r="G69" s="52">
        <f t="shared" si="4"/>
        <v>0.17769931654234067</v>
      </c>
      <c r="H69" s="52">
        <f t="shared" si="5"/>
        <v>-1.524181507627563E-2</v>
      </c>
      <c r="I69" s="399">
        <v>16395</v>
      </c>
      <c r="J69" s="53">
        <f t="shared" si="6"/>
        <v>2913.3802947116751</v>
      </c>
      <c r="K69" s="53">
        <f t="shared" si="7"/>
        <v>-249.88955817553895</v>
      </c>
      <c r="L69" s="53">
        <f t="shared" si="8"/>
        <v>2663.490736536136</v>
      </c>
    </row>
    <row r="70" spans="1:12" x14ac:dyDescent="0.2">
      <c r="A70" s="31">
        <f t="shared" si="12"/>
        <v>61</v>
      </c>
      <c r="B70" s="31"/>
      <c r="C70" s="49" t="str">
        <f t="shared" si="13"/>
        <v>53E</v>
      </c>
      <c r="D70" s="37" t="s">
        <v>33</v>
      </c>
      <c r="E70" s="404" t="s">
        <v>36</v>
      </c>
      <c r="F70" s="398">
        <v>10.56</v>
      </c>
      <c r="G70" s="52">
        <f t="shared" si="4"/>
        <v>0.26922593725783611</v>
      </c>
      <c r="H70" s="52">
        <f t="shared" si="5"/>
        <v>-2.3092333888876708E-2</v>
      </c>
      <c r="I70" s="399">
        <v>43801</v>
      </c>
      <c r="J70" s="53">
        <f t="shared" si="6"/>
        <v>11792.36527783048</v>
      </c>
      <c r="K70" s="53">
        <f t="shared" si="7"/>
        <v>-1011.4673166666887</v>
      </c>
      <c r="L70" s="53">
        <f t="shared" si="8"/>
        <v>10780.897961163791</v>
      </c>
    </row>
    <row r="71" spans="1:12" x14ac:dyDescent="0.2">
      <c r="A71" s="31">
        <f t="shared" si="12"/>
        <v>62</v>
      </c>
      <c r="B71" s="31"/>
      <c r="C71" s="49" t="str">
        <f t="shared" si="13"/>
        <v>53E</v>
      </c>
      <c r="D71" s="37" t="s">
        <v>33</v>
      </c>
      <c r="E71" s="404" t="s">
        <v>37</v>
      </c>
      <c r="F71" s="398">
        <v>10.56</v>
      </c>
      <c r="G71" s="52">
        <f t="shared" si="4"/>
        <v>0.26922593725783611</v>
      </c>
      <c r="H71" s="52">
        <f t="shared" si="5"/>
        <v>-2.3092333888876708E-2</v>
      </c>
      <c r="I71" s="399">
        <v>23799</v>
      </c>
      <c r="J71" s="53">
        <f t="shared" si="6"/>
        <v>6407.3080807992419</v>
      </c>
      <c r="K71" s="53">
        <f t="shared" si="7"/>
        <v>-549.57445422137675</v>
      </c>
      <c r="L71" s="53">
        <f t="shared" si="8"/>
        <v>5857.7336265778649</v>
      </c>
    </row>
    <row r="72" spans="1:12" x14ac:dyDescent="0.2">
      <c r="A72" s="31">
        <f t="shared" si="12"/>
        <v>63</v>
      </c>
      <c r="B72" s="31"/>
      <c r="C72" s="49" t="str">
        <f t="shared" si="13"/>
        <v>53E</v>
      </c>
      <c r="D72" s="37" t="s">
        <v>33</v>
      </c>
      <c r="E72" s="404" t="s">
        <v>38</v>
      </c>
      <c r="F72" s="398">
        <v>18.5</v>
      </c>
      <c r="G72" s="52">
        <f t="shared" si="4"/>
        <v>0.47165528780965599</v>
      </c>
      <c r="H72" s="52">
        <f t="shared" si="5"/>
        <v>-4.0455319786384385E-2</v>
      </c>
      <c r="I72" s="399">
        <v>18581</v>
      </c>
      <c r="J72" s="53">
        <f t="shared" si="6"/>
        <v>8763.8269027912174</v>
      </c>
      <c r="K72" s="53">
        <f t="shared" si="7"/>
        <v>-751.70029695080825</v>
      </c>
      <c r="L72" s="53">
        <f t="shared" si="8"/>
        <v>8012.126605840409</v>
      </c>
    </row>
    <row r="73" spans="1:12" x14ac:dyDescent="0.2">
      <c r="A73" s="31">
        <f t="shared" si="12"/>
        <v>64</v>
      </c>
      <c r="B73" s="31"/>
      <c r="C73" s="49" t="str">
        <f t="shared" si="13"/>
        <v>53E</v>
      </c>
      <c r="D73" s="37" t="s">
        <v>33</v>
      </c>
      <c r="E73" s="404" t="s">
        <v>39</v>
      </c>
      <c r="F73" s="398">
        <v>18.5</v>
      </c>
      <c r="G73" s="52">
        <f t="shared" si="4"/>
        <v>0.47165528780965599</v>
      </c>
      <c r="H73" s="52">
        <f t="shared" si="5"/>
        <v>-4.0455319786384385E-2</v>
      </c>
      <c r="I73" s="399">
        <v>6336</v>
      </c>
      <c r="J73" s="53">
        <f t="shared" si="6"/>
        <v>2988.4079035619802</v>
      </c>
      <c r="K73" s="53">
        <f t="shared" si="7"/>
        <v>-256.32490616653143</v>
      </c>
      <c r="L73" s="53">
        <f t="shared" si="8"/>
        <v>2732.0829973954487</v>
      </c>
    </row>
    <row r="74" spans="1:12" x14ac:dyDescent="0.2">
      <c r="A74" s="31">
        <f t="shared" si="12"/>
        <v>65</v>
      </c>
      <c r="B74" s="31"/>
      <c r="C74" s="49" t="str">
        <f t="shared" si="13"/>
        <v>53E</v>
      </c>
      <c r="D74" s="37" t="s">
        <v>33</v>
      </c>
      <c r="E74" s="404" t="s">
        <v>40</v>
      </c>
      <c r="F74" s="398">
        <v>18.5</v>
      </c>
      <c r="G74" s="52">
        <f t="shared" si="4"/>
        <v>0.47165528780965599</v>
      </c>
      <c r="H74" s="52">
        <f t="shared" si="5"/>
        <v>-4.0455319786384385E-2</v>
      </c>
      <c r="I74" s="399">
        <v>1024</v>
      </c>
      <c r="J74" s="53">
        <f t="shared" si="6"/>
        <v>482.97501471708773</v>
      </c>
      <c r="K74" s="53">
        <f t="shared" si="7"/>
        <v>-41.42624746125761</v>
      </c>
      <c r="L74" s="53">
        <f t="shared" si="8"/>
        <v>441.54876725583011</v>
      </c>
    </row>
    <row r="75" spans="1:12" x14ac:dyDescent="0.2">
      <c r="A75" s="31">
        <f t="shared" si="12"/>
        <v>66</v>
      </c>
      <c r="B75" s="31"/>
      <c r="C75" s="49" t="str">
        <f t="shared" si="13"/>
        <v>53E</v>
      </c>
      <c r="D75" s="37" t="s">
        <v>33</v>
      </c>
      <c r="E75" s="404" t="s">
        <v>41</v>
      </c>
      <c r="F75" s="398">
        <v>24.5</v>
      </c>
      <c r="G75" s="52">
        <f t="shared" si="4"/>
        <v>0.62462457034251739</v>
      </c>
      <c r="H75" s="52">
        <f t="shared" si="5"/>
        <v>-5.3575964041427969E-2</v>
      </c>
      <c r="I75" s="399">
        <v>312</v>
      </c>
      <c r="J75" s="53">
        <f t="shared" si="6"/>
        <v>194.88286594686542</v>
      </c>
      <c r="K75" s="53">
        <f t="shared" si="7"/>
        <v>-16.715700780925527</v>
      </c>
      <c r="L75" s="53">
        <f t="shared" si="8"/>
        <v>178.16716516593991</v>
      </c>
    </row>
    <row r="76" spans="1:12" x14ac:dyDescent="0.2">
      <c r="A76" s="31">
        <f t="shared" si="12"/>
        <v>67</v>
      </c>
      <c r="B76" s="31"/>
      <c r="C76" s="49" t="str">
        <f t="shared" si="13"/>
        <v>53E</v>
      </c>
      <c r="D76" s="37" t="s">
        <v>33</v>
      </c>
      <c r="E76" s="404" t="s">
        <v>42</v>
      </c>
      <c r="F76" s="398">
        <v>24.5</v>
      </c>
      <c r="G76" s="52">
        <f t="shared" ref="G76:G139" si="14">F76*$J$173</f>
        <v>0.62462457034251739</v>
      </c>
      <c r="H76" s="52">
        <f t="shared" ref="H76:H139" si="15">F76*$K$173</f>
        <v>-5.3575964041427969E-2</v>
      </c>
      <c r="I76" s="399">
        <v>1899</v>
      </c>
      <c r="J76" s="53">
        <f t="shared" si="6"/>
        <v>1186.1620590804405</v>
      </c>
      <c r="K76" s="53">
        <f t="shared" si="7"/>
        <v>-101.74075571467171</v>
      </c>
      <c r="L76" s="53">
        <f t="shared" si="8"/>
        <v>1084.4213033657688</v>
      </c>
    </row>
    <row r="77" spans="1:12" x14ac:dyDescent="0.2">
      <c r="A77" s="31">
        <f t="shared" si="12"/>
        <v>68</v>
      </c>
      <c r="B77" s="31"/>
      <c r="C77" s="49" t="s">
        <v>274</v>
      </c>
      <c r="D77" s="37" t="s">
        <v>88</v>
      </c>
      <c r="E77" s="412" t="s">
        <v>272</v>
      </c>
      <c r="F77" s="156"/>
      <c r="G77" s="341">
        <f>'Rate Spread &amp; Design'!$N$28</f>
        <v>6.8088694255658165E-3</v>
      </c>
      <c r="H77" s="341">
        <f>'Rate Spread &amp; Design'!$P$28</f>
        <v>-5.8401760165607385E-4</v>
      </c>
      <c r="I77" s="400">
        <v>2320955.870615927</v>
      </c>
      <c r="J77" s="53">
        <f t="shared" si="6"/>
        <v>15803.085465524277</v>
      </c>
      <c r="K77" s="53">
        <f t="shared" si="7"/>
        <v>-1355.4790811066985</v>
      </c>
      <c r="L77" s="53">
        <f t="shared" si="8"/>
        <v>14447.606384417579</v>
      </c>
    </row>
    <row r="78" spans="1:12" x14ac:dyDescent="0.2">
      <c r="A78" s="31">
        <f t="shared" si="12"/>
        <v>69</v>
      </c>
      <c r="B78" s="31"/>
      <c r="C78" s="57"/>
      <c r="D78" s="37"/>
      <c r="E78" s="404"/>
      <c r="F78" s="156"/>
      <c r="G78" s="52"/>
      <c r="H78" s="52"/>
      <c r="I78" s="158"/>
      <c r="J78" s="53"/>
      <c r="K78" s="53"/>
      <c r="L78" s="53"/>
    </row>
    <row r="79" spans="1:12" ht="13.5" x14ac:dyDescent="0.35">
      <c r="A79" s="31">
        <f t="shared" si="12"/>
        <v>70</v>
      </c>
      <c r="B79" s="31"/>
      <c r="C79" s="255" t="s">
        <v>159</v>
      </c>
      <c r="D79" s="226"/>
      <c r="E79" s="261"/>
      <c r="F79" s="156"/>
      <c r="G79" s="52"/>
      <c r="H79" s="52"/>
      <c r="I79" s="158"/>
      <c r="J79" s="53"/>
      <c r="K79" s="53"/>
      <c r="L79" s="53"/>
    </row>
    <row r="80" spans="1:12" x14ac:dyDescent="0.2">
      <c r="A80" s="31">
        <f t="shared" si="12"/>
        <v>71</v>
      </c>
      <c r="B80" s="31"/>
      <c r="C80" s="49" t="s">
        <v>45</v>
      </c>
      <c r="D80" s="37" t="s">
        <v>26</v>
      </c>
      <c r="E80" s="404">
        <v>50</v>
      </c>
      <c r="F80" s="398">
        <v>4.32</v>
      </c>
      <c r="G80" s="52">
        <f t="shared" si="14"/>
        <v>0.11013788342366022</v>
      </c>
      <c r="H80" s="52">
        <f t="shared" si="15"/>
        <v>-9.4468638636313815E-3</v>
      </c>
      <c r="I80" s="399">
        <v>456</v>
      </c>
      <c r="J80" s="53">
        <f t="shared" ref="J80:J142" si="16">I80*G80</f>
        <v>50.222874841189061</v>
      </c>
      <c r="K80" s="53">
        <f t="shared" ref="K80:K142" si="17">I80*H80</f>
        <v>-4.3077699218159102</v>
      </c>
      <c r="L80" s="53">
        <f t="shared" ref="L80:L142" si="18">SUM(J80:K80)</f>
        <v>45.91510491937315</v>
      </c>
    </row>
    <row r="81" spans="1:12" x14ac:dyDescent="0.2">
      <c r="A81" s="31">
        <f t="shared" si="12"/>
        <v>72</v>
      </c>
      <c r="B81" s="31"/>
      <c r="C81" s="49" t="str">
        <f t="shared" ref="C81:C88" si="19">+C80</f>
        <v>54E</v>
      </c>
      <c r="D81" s="37" t="s">
        <v>26</v>
      </c>
      <c r="E81" s="404">
        <v>70</v>
      </c>
      <c r="F81" s="398">
        <v>6.97</v>
      </c>
      <c r="G81" s="52">
        <f t="shared" si="14"/>
        <v>0.17769931654234067</v>
      </c>
      <c r="H81" s="52">
        <f t="shared" si="15"/>
        <v>-1.524181507627563E-2</v>
      </c>
      <c r="I81" s="399">
        <v>1843</v>
      </c>
      <c r="J81" s="53">
        <f t="shared" si="16"/>
        <v>327.49984038753388</v>
      </c>
      <c r="K81" s="53">
        <f t="shared" si="17"/>
        <v>-28.090665185575986</v>
      </c>
      <c r="L81" s="53">
        <f t="shared" si="18"/>
        <v>299.40917520195791</v>
      </c>
    </row>
    <row r="82" spans="1:12" x14ac:dyDescent="0.2">
      <c r="A82" s="31">
        <f t="shared" si="12"/>
        <v>73</v>
      </c>
      <c r="B82" s="31"/>
      <c r="C82" s="49" t="str">
        <f t="shared" si="19"/>
        <v>54E</v>
      </c>
      <c r="D82" s="37" t="s">
        <v>26</v>
      </c>
      <c r="E82" s="404">
        <v>100</v>
      </c>
      <c r="F82" s="398">
        <v>10.56</v>
      </c>
      <c r="G82" s="52">
        <f t="shared" si="14"/>
        <v>0.26922593725783611</v>
      </c>
      <c r="H82" s="52">
        <f t="shared" si="15"/>
        <v>-2.3092333888876708E-2</v>
      </c>
      <c r="I82" s="399">
        <v>9599</v>
      </c>
      <c r="J82" s="53">
        <f t="shared" si="16"/>
        <v>2584.299771737969</v>
      </c>
      <c r="K82" s="53">
        <f t="shared" si="17"/>
        <v>-221.66331299932753</v>
      </c>
      <c r="L82" s="53">
        <f t="shared" si="18"/>
        <v>2362.6364587386415</v>
      </c>
    </row>
    <row r="83" spans="1:12" x14ac:dyDescent="0.2">
      <c r="A83" s="31">
        <f t="shared" si="12"/>
        <v>74</v>
      </c>
      <c r="B83" s="31"/>
      <c r="C83" s="49" t="str">
        <f t="shared" si="19"/>
        <v>54E</v>
      </c>
      <c r="D83" s="37" t="s">
        <v>26</v>
      </c>
      <c r="E83" s="404">
        <v>150</v>
      </c>
      <c r="F83" s="398">
        <v>10.56</v>
      </c>
      <c r="G83" s="52">
        <f t="shared" si="14"/>
        <v>0.26922593725783611</v>
      </c>
      <c r="H83" s="52">
        <f t="shared" si="15"/>
        <v>-2.3092333888876708E-2</v>
      </c>
      <c r="I83" s="399">
        <v>3365</v>
      </c>
      <c r="J83" s="53">
        <f t="shared" si="16"/>
        <v>905.94527887261847</v>
      </c>
      <c r="K83" s="53">
        <f t="shared" si="17"/>
        <v>-77.705703536070118</v>
      </c>
      <c r="L83" s="53">
        <f t="shared" si="18"/>
        <v>828.23957533654834</v>
      </c>
    </row>
    <row r="84" spans="1:12" x14ac:dyDescent="0.2">
      <c r="A84" s="31">
        <f t="shared" si="12"/>
        <v>75</v>
      </c>
      <c r="B84" s="31"/>
      <c r="C84" s="49" t="str">
        <f t="shared" si="19"/>
        <v>54E</v>
      </c>
      <c r="D84" s="37" t="s">
        <v>26</v>
      </c>
      <c r="E84" s="404">
        <v>200</v>
      </c>
      <c r="F84" s="398">
        <v>18.5</v>
      </c>
      <c r="G84" s="52">
        <f t="shared" si="14"/>
        <v>0.47165528780965599</v>
      </c>
      <c r="H84" s="52">
        <f t="shared" si="15"/>
        <v>-4.0455319786384385E-2</v>
      </c>
      <c r="I84" s="399">
        <v>3340</v>
      </c>
      <c r="J84" s="53">
        <f t="shared" si="16"/>
        <v>1575.328661284251</v>
      </c>
      <c r="K84" s="53">
        <f t="shared" si="17"/>
        <v>-135.12076808652384</v>
      </c>
      <c r="L84" s="53">
        <f t="shared" si="18"/>
        <v>1440.2078931977271</v>
      </c>
    </row>
    <row r="85" spans="1:12" x14ac:dyDescent="0.2">
      <c r="A85" s="31">
        <f t="shared" si="12"/>
        <v>76</v>
      </c>
      <c r="B85" s="31"/>
      <c r="C85" s="49" t="str">
        <f t="shared" si="19"/>
        <v>54E</v>
      </c>
      <c r="D85" s="37" t="s">
        <v>26</v>
      </c>
      <c r="E85" s="404">
        <v>250</v>
      </c>
      <c r="F85" s="398">
        <v>24.5</v>
      </c>
      <c r="G85" s="52">
        <f t="shared" si="14"/>
        <v>0.62462457034251739</v>
      </c>
      <c r="H85" s="52">
        <f t="shared" si="15"/>
        <v>-5.3575964041427969E-2</v>
      </c>
      <c r="I85" s="399">
        <v>3601</v>
      </c>
      <c r="J85" s="53">
        <f t="shared" si="16"/>
        <v>2249.2730778034052</v>
      </c>
      <c r="K85" s="53">
        <f t="shared" si="17"/>
        <v>-192.92704651318212</v>
      </c>
      <c r="L85" s="53">
        <f t="shared" si="18"/>
        <v>2056.346031290223</v>
      </c>
    </row>
    <row r="86" spans="1:12" x14ac:dyDescent="0.2">
      <c r="A86" s="31">
        <f t="shared" si="12"/>
        <v>77</v>
      </c>
      <c r="B86" s="31"/>
      <c r="C86" s="49" t="str">
        <f t="shared" si="19"/>
        <v>54E</v>
      </c>
      <c r="D86" s="37" t="s">
        <v>26</v>
      </c>
      <c r="E86" s="404">
        <v>310</v>
      </c>
      <c r="F86" s="398">
        <v>24.5</v>
      </c>
      <c r="G86" s="52">
        <f t="shared" si="14"/>
        <v>0.62462457034251739</v>
      </c>
      <c r="H86" s="52">
        <f t="shared" si="15"/>
        <v>-5.3575964041427969E-2</v>
      </c>
      <c r="I86" s="399">
        <v>669</v>
      </c>
      <c r="J86" s="53">
        <f t="shared" si="16"/>
        <v>417.87383755914414</v>
      </c>
      <c r="K86" s="53">
        <f t="shared" si="17"/>
        <v>-35.84231994371531</v>
      </c>
      <c r="L86" s="53">
        <f t="shared" si="18"/>
        <v>382.03151761542881</v>
      </c>
    </row>
    <row r="87" spans="1:12" x14ac:dyDescent="0.2">
      <c r="A87" s="31">
        <f t="shared" si="12"/>
        <v>78</v>
      </c>
      <c r="B87" s="31"/>
      <c r="C87" s="49" t="str">
        <f t="shared" si="19"/>
        <v>54E</v>
      </c>
      <c r="D87" s="37" t="s">
        <v>26</v>
      </c>
      <c r="E87" s="404">
        <v>400</v>
      </c>
      <c r="F87" s="398">
        <v>38.409999999999997</v>
      </c>
      <c r="G87" s="52">
        <f t="shared" si="14"/>
        <v>0.97925835701453434</v>
      </c>
      <c r="H87" s="52">
        <f t="shared" si="15"/>
        <v>-8.3993990972704005E-2</v>
      </c>
      <c r="I87" s="399">
        <v>6792</v>
      </c>
      <c r="J87" s="53">
        <f t="shared" si="16"/>
        <v>6651.1227608427171</v>
      </c>
      <c r="K87" s="53">
        <f t="shared" si="17"/>
        <v>-570.48718668660558</v>
      </c>
      <c r="L87" s="53">
        <f t="shared" si="18"/>
        <v>6080.635574156111</v>
      </c>
    </row>
    <row r="88" spans="1:12" x14ac:dyDescent="0.2">
      <c r="A88" s="31">
        <f t="shared" si="12"/>
        <v>79</v>
      </c>
      <c r="B88" s="31"/>
      <c r="C88" s="49" t="str">
        <f t="shared" si="19"/>
        <v>54E</v>
      </c>
      <c r="D88" s="37" t="s">
        <v>26</v>
      </c>
      <c r="E88" s="404">
        <v>1000</v>
      </c>
      <c r="F88" s="398">
        <v>96.03</v>
      </c>
      <c r="G88" s="52">
        <f t="shared" si="14"/>
        <v>2.4482733669384467</v>
      </c>
      <c r="H88" s="52">
        <f t="shared" si="15"/>
        <v>-0.20999591130197257</v>
      </c>
      <c r="I88" s="399">
        <v>0</v>
      </c>
      <c r="J88" s="53">
        <f t="shared" si="16"/>
        <v>0</v>
      </c>
      <c r="K88" s="53">
        <f t="shared" si="17"/>
        <v>0</v>
      </c>
      <c r="L88" s="53">
        <f t="shared" si="18"/>
        <v>0</v>
      </c>
    </row>
    <row r="89" spans="1:12" x14ac:dyDescent="0.2">
      <c r="A89" s="31">
        <f t="shared" si="12"/>
        <v>80</v>
      </c>
      <c r="B89" s="31"/>
      <c r="C89" s="57"/>
      <c r="D89" s="37"/>
      <c r="E89" s="404"/>
      <c r="F89" s="398"/>
      <c r="G89" s="52"/>
      <c r="H89" s="52"/>
      <c r="I89" s="399"/>
      <c r="J89" s="53"/>
      <c r="K89" s="53"/>
      <c r="L89" s="53"/>
    </row>
    <row r="90" spans="1:12" x14ac:dyDescent="0.2">
      <c r="A90" s="31">
        <f t="shared" si="12"/>
        <v>81</v>
      </c>
      <c r="B90" s="31"/>
      <c r="C90" s="49" t="str">
        <f>+C87</f>
        <v>54E</v>
      </c>
      <c r="D90" s="37" t="s">
        <v>33</v>
      </c>
      <c r="E90" s="411" t="s">
        <v>90</v>
      </c>
      <c r="F90" s="398">
        <v>1.98</v>
      </c>
      <c r="G90" s="52">
        <f t="shared" si="14"/>
        <v>5.0479863235844261E-2</v>
      </c>
      <c r="H90" s="52">
        <f t="shared" si="15"/>
        <v>-4.3298126041643832E-3</v>
      </c>
      <c r="I90" s="399">
        <v>0</v>
      </c>
      <c r="J90" s="53">
        <f t="shared" si="16"/>
        <v>0</v>
      </c>
      <c r="K90" s="53">
        <f t="shared" si="17"/>
        <v>0</v>
      </c>
      <c r="L90" s="53">
        <f t="shared" si="18"/>
        <v>0</v>
      </c>
    </row>
    <row r="91" spans="1:12" x14ac:dyDescent="0.2">
      <c r="A91" s="31">
        <f t="shared" si="12"/>
        <v>82</v>
      </c>
      <c r="B91" s="31"/>
      <c r="C91" s="49" t="str">
        <f>+C88</f>
        <v>54E</v>
      </c>
      <c r="D91" s="37" t="s">
        <v>33</v>
      </c>
      <c r="E91" s="411" t="s">
        <v>34</v>
      </c>
      <c r="F91" s="398">
        <v>4.32</v>
      </c>
      <c r="G91" s="52">
        <f t="shared" si="14"/>
        <v>0.11013788342366022</v>
      </c>
      <c r="H91" s="52">
        <f t="shared" si="15"/>
        <v>-9.4468638636313815E-3</v>
      </c>
      <c r="I91" s="399">
        <v>34694</v>
      </c>
      <c r="J91" s="53">
        <f t="shared" si="16"/>
        <v>3821.1237275004678</v>
      </c>
      <c r="K91" s="53">
        <f t="shared" si="17"/>
        <v>-327.74949488482713</v>
      </c>
      <c r="L91" s="53">
        <f t="shared" si="18"/>
        <v>3493.3742326156407</v>
      </c>
    </row>
    <row r="92" spans="1:12" x14ac:dyDescent="0.2">
      <c r="A92" s="31">
        <f t="shared" si="12"/>
        <v>83</v>
      </c>
      <c r="B92" s="31"/>
      <c r="C92" s="49" t="str">
        <f t="shared" ref="C92:C99" si="20">+C91</f>
        <v>54E</v>
      </c>
      <c r="D92" s="37" t="s">
        <v>33</v>
      </c>
      <c r="E92" s="404" t="s">
        <v>35</v>
      </c>
      <c r="F92" s="398">
        <v>6.97</v>
      </c>
      <c r="G92" s="52">
        <f t="shared" si="14"/>
        <v>0.17769931654234067</v>
      </c>
      <c r="H92" s="52">
        <f t="shared" si="15"/>
        <v>-1.524181507627563E-2</v>
      </c>
      <c r="I92" s="399">
        <v>2923</v>
      </c>
      <c r="J92" s="53">
        <f t="shared" si="16"/>
        <v>519.41510225326181</v>
      </c>
      <c r="K92" s="53">
        <f t="shared" si="17"/>
        <v>-44.55182546795367</v>
      </c>
      <c r="L92" s="53">
        <f t="shared" si="18"/>
        <v>474.86327678530813</v>
      </c>
    </row>
    <row r="93" spans="1:12" x14ac:dyDescent="0.2">
      <c r="A93" s="31">
        <f t="shared" si="12"/>
        <v>84</v>
      </c>
      <c r="B93" s="31"/>
      <c r="C93" s="49" t="str">
        <f t="shared" si="20"/>
        <v>54E</v>
      </c>
      <c r="D93" s="37" t="s">
        <v>33</v>
      </c>
      <c r="E93" s="404" t="s">
        <v>36</v>
      </c>
      <c r="F93" s="398">
        <v>10.56</v>
      </c>
      <c r="G93" s="52">
        <f t="shared" si="14"/>
        <v>0.26922593725783611</v>
      </c>
      <c r="H93" s="52">
        <f t="shared" si="15"/>
        <v>-2.3092333888876708E-2</v>
      </c>
      <c r="I93" s="399">
        <v>35164</v>
      </c>
      <c r="J93" s="53">
        <f t="shared" si="16"/>
        <v>9467.0608577345483</v>
      </c>
      <c r="K93" s="53">
        <f t="shared" si="17"/>
        <v>-812.01882886846056</v>
      </c>
      <c r="L93" s="53">
        <f t="shared" si="18"/>
        <v>8655.042028866088</v>
      </c>
    </row>
    <row r="94" spans="1:12" x14ac:dyDescent="0.2">
      <c r="A94" s="31">
        <f t="shared" si="12"/>
        <v>85</v>
      </c>
      <c r="B94" s="31"/>
      <c r="C94" s="49" t="str">
        <f t="shared" si="20"/>
        <v>54E</v>
      </c>
      <c r="D94" s="37" t="s">
        <v>33</v>
      </c>
      <c r="E94" s="404" t="s">
        <v>37</v>
      </c>
      <c r="F94" s="398">
        <v>10.56</v>
      </c>
      <c r="G94" s="52">
        <f t="shared" si="14"/>
        <v>0.26922593725783611</v>
      </c>
      <c r="H94" s="52">
        <f t="shared" si="15"/>
        <v>-2.3092333888876708E-2</v>
      </c>
      <c r="I94" s="399">
        <v>12553</v>
      </c>
      <c r="J94" s="53">
        <f t="shared" si="16"/>
        <v>3379.5931903976166</v>
      </c>
      <c r="K94" s="53">
        <f t="shared" si="17"/>
        <v>-289.87806730706933</v>
      </c>
      <c r="L94" s="53">
        <f t="shared" si="18"/>
        <v>3089.7151230905474</v>
      </c>
    </row>
    <row r="95" spans="1:12" x14ac:dyDescent="0.2">
      <c r="A95" s="31">
        <f t="shared" si="12"/>
        <v>86</v>
      </c>
      <c r="B95" s="31"/>
      <c r="C95" s="49" t="str">
        <f t="shared" si="20"/>
        <v>54E</v>
      </c>
      <c r="D95" s="37" t="s">
        <v>33</v>
      </c>
      <c r="E95" s="404" t="s">
        <v>38</v>
      </c>
      <c r="F95" s="398">
        <v>18.5</v>
      </c>
      <c r="G95" s="52">
        <f t="shared" si="14"/>
        <v>0.47165528780965599</v>
      </c>
      <c r="H95" s="52">
        <f t="shared" si="15"/>
        <v>-4.0455319786384385E-2</v>
      </c>
      <c r="I95" s="399">
        <v>5036</v>
      </c>
      <c r="J95" s="53">
        <f t="shared" si="16"/>
        <v>2375.2560294094274</v>
      </c>
      <c r="K95" s="53">
        <f t="shared" si="17"/>
        <v>-203.73299044423177</v>
      </c>
      <c r="L95" s="53">
        <f t="shared" si="18"/>
        <v>2171.5230389651956</v>
      </c>
    </row>
    <row r="96" spans="1:12" x14ac:dyDescent="0.2">
      <c r="A96" s="31">
        <f t="shared" si="12"/>
        <v>87</v>
      </c>
      <c r="B96" s="31"/>
      <c r="C96" s="49" t="str">
        <f t="shared" si="20"/>
        <v>54E</v>
      </c>
      <c r="D96" s="37" t="s">
        <v>33</v>
      </c>
      <c r="E96" s="404" t="s">
        <v>39</v>
      </c>
      <c r="F96" s="398">
        <v>18.5</v>
      </c>
      <c r="G96" s="52">
        <f t="shared" si="14"/>
        <v>0.47165528780965599</v>
      </c>
      <c r="H96" s="52">
        <f t="shared" si="15"/>
        <v>-4.0455319786384385E-2</v>
      </c>
      <c r="I96" s="399">
        <v>2165</v>
      </c>
      <c r="J96" s="53">
        <f t="shared" si="16"/>
        <v>1021.1336981079052</v>
      </c>
      <c r="K96" s="53">
        <f t="shared" si="17"/>
        <v>-87.585767337522199</v>
      </c>
      <c r="L96" s="53">
        <f t="shared" si="18"/>
        <v>933.547930770383</v>
      </c>
    </row>
    <row r="97" spans="1:12" x14ac:dyDescent="0.2">
      <c r="A97" s="31">
        <f t="shared" si="12"/>
        <v>88</v>
      </c>
      <c r="B97" s="31"/>
      <c r="C97" s="49" t="str">
        <f t="shared" si="20"/>
        <v>54E</v>
      </c>
      <c r="D97" s="37" t="s">
        <v>33</v>
      </c>
      <c r="E97" s="404" t="s">
        <v>40</v>
      </c>
      <c r="F97" s="398">
        <v>18.5</v>
      </c>
      <c r="G97" s="52">
        <f t="shared" si="14"/>
        <v>0.47165528780965599</v>
      </c>
      <c r="H97" s="52">
        <f t="shared" si="15"/>
        <v>-4.0455319786384385E-2</v>
      </c>
      <c r="I97" s="399">
        <v>468</v>
      </c>
      <c r="J97" s="53">
        <f t="shared" si="16"/>
        <v>220.73467469491899</v>
      </c>
      <c r="K97" s="53">
        <f t="shared" si="17"/>
        <v>-18.933089660027893</v>
      </c>
      <c r="L97" s="53">
        <f t="shared" si="18"/>
        <v>201.8015850348911</v>
      </c>
    </row>
    <row r="98" spans="1:12" x14ac:dyDescent="0.2">
      <c r="A98" s="31">
        <f t="shared" si="12"/>
        <v>89</v>
      </c>
      <c r="B98" s="31"/>
      <c r="C98" s="49" t="str">
        <f t="shared" si="20"/>
        <v>54E</v>
      </c>
      <c r="D98" s="37" t="s">
        <v>33</v>
      </c>
      <c r="E98" s="404" t="s">
        <v>41</v>
      </c>
      <c r="F98" s="398">
        <v>24.5</v>
      </c>
      <c r="G98" s="52">
        <f t="shared" si="14"/>
        <v>0.62462457034251739</v>
      </c>
      <c r="H98" s="52">
        <f t="shared" si="15"/>
        <v>-5.3575964041427969E-2</v>
      </c>
      <c r="I98" s="399">
        <v>48</v>
      </c>
      <c r="J98" s="53">
        <f t="shared" si="16"/>
        <v>29.981979376440833</v>
      </c>
      <c r="K98" s="53">
        <f t="shared" si="17"/>
        <v>-2.5716462739885424</v>
      </c>
      <c r="L98" s="53">
        <f t="shared" si="18"/>
        <v>27.410333102452292</v>
      </c>
    </row>
    <row r="99" spans="1:12" x14ac:dyDescent="0.2">
      <c r="A99" s="31">
        <f t="shared" si="12"/>
        <v>90</v>
      </c>
      <c r="B99" s="31"/>
      <c r="C99" s="49" t="str">
        <f t="shared" si="20"/>
        <v>54E</v>
      </c>
      <c r="D99" s="37" t="s">
        <v>33</v>
      </c>
      <c r="E99" s="404" t="s">
        <v>42</v>
      </c>
      <c r="F99" s="398">
        <v>24.5</v>
      </c>
      <c r="G99" s="52">
        <f t="shared" si="14"/>
        <v>0.62462457034251739</v>
      </c>
      <c r="H99" s="52">
        <f t="shared" si="15"/>
        <v>-5.3575964041427969E-2</v>
      </c>
      <c r="I99" s="399">
        <v>0</v>
      </c>
      <c r="J99" s="53">
        <f t="shared" si="16"/>
        <v>0</v>
      </c>
      <c r="K99" s="53">
        <f t="shared" si="17"/>
        <v>0</v>
      </c>
      <c r="L99" s="53">
        <f t="shared" si="18"/>
        <v>0</v>
      </c>
    </row>
    <row r="100" spans="1:12" x14ac:dyDescent="0.2">
      <c r="A100" s="31">
        <f t="shared" si="12"/>
        <v>91</v>
      </c>
      <c r="B100" s="31"/>
      <c r="C100" s="57"/>
      <c r="D100" s="37"/>
      <c r="E100" s="404"/>
      <c r="F100" s="156"/>
      <c r="G100" s="52"/>
      <c r="H100" s="52"/>
      <c r="I100" s="158"/>
      <c r="J100" s="53"/>
      <c r="K100" s="53"/>
      <c r="L100" s="53"/>
    </row>
    <row r="101" spans="1:12" ht="13.5" x14ac:dyDescent="0.35">
      <c r="A101" s="31">
        <f t="shared" si="12"/>
        <v>92</v>
      </c>
      <c r="B101" s="31"/>
      <c r="C101" s="255" t="s">
        <v>46</v>
      </c>
      <c r="D101" s="37"/>
      <c r="E101" s="404"/>
      <c r="F101" s="156"/>
      <c r="G101" s="52"/>
      <c r="H101" s="52"/>
      <c r="I101" s="158"/>
      <c r="J101" s="53"/>
      <c r="K101" s="53"/>
      <c r="L101" s="53"/>
    </row>
    <row r="102" spans="1:12" x14ac:dyDescent="0.2">
      <c r="A102" s="31">
        <f t="shared" si="12"/>
        <v>93</v>
      </c>
      <c r="B102" s="31"/>
      <c r="C102" s="49" t="s">
        <v>47</v>
      </c>
      <c r="D102" s="37" t="s">
        <v>26</v>
      </c>
      <c r="E102" s="404">
        <v>70</v>
      </c>
      <c r="F102" s="398">
        <v>14.06</v>
      </c>
      <c r="G102" s="52">
        <f t="shared" si="14"/>
        <v>0.35845801873533856</v>
      </c>
      <c r="H102" s="52">
        <f t="shared" si="15"/>
        <v>-3.0746043037652132E-2</v>
      </c>
      <c r="I102" s="399">
        <v>170</v>
      </c>
      <c r="J102" s="53">
        <f t="shared" si="16"/>
        <v>60.937863185007558</v>
      </c>
      <c r="K102" s="53">
        <f t="shared" si="17"/>
        <v>-5.2268273164008621</v>
      </c>
      <c r="L102" s="53">
        <f t="shared" si="18"/>
        <v>55.711035868606693</v>
      </c>
    </row>
    <row r="103" spans="1:12" x14ac:dyDescent="0.2">
      <c r="A103" s="31">
        <f t="shared" si="12"/>
        <v>94</v>
      </c>
      <c r="B103" s="31"/>
      <c r="C103" s="57" t="str">
        <f>+C102</f>
        <v>55E &amp; 56E</v>
      </c>
      <c r="D103" s="37" t="s">
        <v>26</v>
      </c>
      <c r="E103" s="404">
        <v>100</v>
      </c>
      <c r="F103" s="398">
        <v>17.170000000000002</v>
      </c>
      <c r="G103" s="52">
        <f t="shared" si="14"/>
        <v>0.43774709684820512</v>
      </c>
      <c r="H103" s="52">
        <f t="shared" si="15"/>
        <v>-3.7546910309849725E-2</v>
      </c>
      <c r="I103" s="399">
        <v>42182</v>
      </c>
      <c r="J103" s="53">
        <f t="shared" si="16"/>
        <v>18465.048039250989</v>
      </c>
      <c r="K103" s="53">
        <f t="shared" si="17"/>
        <v>-1583.8037706900811</v>
      </c>
      <c r="L103" s="53">
        <f t="shared" si="18"/>
        <v>16881.244268560909</v>
      </c>
    </row>
    <row r="104" spans="1:12" x14ac:dyDescent="0.2">
      <c r="A104" s="31">
        <f t="shared" si="12"/>
        <v>95</v>
      </c>
      <c r="B104" s="31"/>
      <c r="C104" s="57" t="str">
        <f>+C103</f>
        <v>55E &amp; 56E</v>
      </c>
      <c r="D104" s="37" t="s">
        <v>26</v>
      </c>
      <c r="E104" s="404">
        <v>150</v>
      </c>
      <c r="F104" s="398">
        <v>17.170000000000002</v>
      </c>
      <c r="G104" s="52">
        <f t="shared" si="14"/>
        <v>0.43774709684820512</v>
      </c>
      <c r="H104" s="52">
        <f t="shared" si="15"/>
        <v>-3.7546910309849725E-2</v>
      </c>
      <c r="I104" s="399">
        <v>5620</v>
      </c>
      <c r="J104" s="53">
        <f t="shared" si="16"/>
        <v>2460.1386842869128</v>
      </c>
      <c r="K104" s="53">
        <f t="shared" si="17"/>
        <v>-211.01363594135546</v>
      </c>
      <c r="L104" s="53">
        <f t="shared" si="18"/>
        <v>2249.1250483455574</v>
      </c>
    </row>
    <row r="105" spans="1:12" x14ac:dyDescent="0.2">
      <c r="A105" s="31">
        <f t="shared" si="12"/>
        <v>96</v>
      </c>
      <c r="B105" s="31"/>
      <c r="C105" s="57" t="str">
        <f>+C104</f>
        <v>55E &amp; 56E</v>
      </c>
      <c r="D105" s="37" t="s">
        <v>26</v>
      </c>
      <c r="E105" s="404">
        <v>200</v>
      </c>
      <c r="F105" s="398">
        <v>25.65</v>
      </c>
      <c r="G105" s="52">
        <f t="shared" si="14"/>
        <v>0.65394368282798243</v>
      </c>
      <c r="H105" s="52">
        <f t="shared" si="15"/>
        <v>-5.6090754190311322E-2</v>
      </c>
      <c r="I105" s="399">
        <v>11814</v>
      </c>
      <c r="J105" s="53">
        <f t="shared" si="16"/>
        <v>7725.6906689297848</v>
      </c>
      <c r="K105" s="53">
        <f t="shared" si="17"/>
        <v>-662.65617000433792</v>
      </c>
      <c r="L105" s="53">
        <f t="shared" si="18"/>
        <v>7063.0344989254472</v>
      </c>
    </row>
    <row r="106" spans="1:12" x14ac:dyDescent="0.2">
      <c r="A106" s="31">
        <f t="shared" si="12"/>
        <v>97</v>
      </c>
      <c r="B106" s="31"/>
      <c r="C106" s="57" t="str">
        <f>+C105</f>
        <v>55E &amp; 56E</v>
      </c>
      <c r="D106" s="37" t="s">
        <v>26</v>
      </c>
      <c r="E106" s="404">
        <v>250</v>
      </c>
      <c r="F106" s="398">
        <v>31.78</v>
      </c>
      <c r="G106" s="52">
        <f t="shared" si="14"/>
        <v>0.81022729981572261</v>
      </c>
      <c r="H106" s="52">
        <f t="shared" si="15"/>
        <v>-6.9495679070880848E-2</v>
      </c>
      <c r="I106" s="399">
        <v>1249</v>
      </c>
      <c r="J106" s="53">
        <f t="shared" si="16"/>
        <v>1011.9738974698375</v>
      </c>
      <c r="K106" s="53">
        <f t="shared" si="17"/>
        <v>-86.800103159530181</v>
      </c>
      <c r="L106" s="53">
        <f t="shared" si="18"/>
        <v>925.17379431030736</v>
      </c>
    </row>
    <row r="107" spans="1:12" x14ac:dyDescent="0.2">
      <c r="A107" s="31">
        <f t="shared" si="12"/>
        <v>98</v>
      </c>
      <c r="B107" s="31"/>
      <c r="C107" s="57" t="str">
        <f>+C106</f>
        <v>55E &amp; 56E</v>
      </c>
      <c r="D107" s="37" t="s">
        <v>26</v>
      </c>
      <c r="E107" s="404">
        <v>400</v>
      </c>
      <c r="F107" s="398">
        <v>44.71</v>
      </c>
      <c r="G107" s="52">
        <f t="shared" si="14"/>
        <v>1.139876103674039</v>
      </c>
      <c r="H107" s="52">
        <f t="shared" si="15"/>
        <v>-9.7770667440499781E-2</v>
      </c>
      <c r="I107" s="399">
        <v>468</v>
      </c>
      <c r="J107" s="53">
        <f t="shared" si="16"/>
        <v>533.46201651945023</v>
      </c>
      <c r="K107" s="53">
        <f t="shared" si="17"/>
        <v>-45.7566723621539</v>
      </c>
      <c r="L107" s="53">
        <f t="shared" si="18"/>
        <v>487.70534415729634</v>
      </c>
    </row>
    <row r="108" spans="1:12" x14ac:dyDescent="0.2">
      <c r="A108" s="31">
        <f t="shared" si="12"/>
        <v>99</v>
      </c>
      <c r="B108" s="226"/>
      <c r="C108" s="57"/>
      <c r="D108" s="37"/>
      <c r="E108" s="404"/>
      <c r="F108" s="398"/>
      <c r="G108" s="52"/>
      <c r="H108" s="52"/>
      <c r="I108" s="399"/>
      <c r="J108" s="53"/>
      <c r="K108" s="53"/>
      <c r="L108" s="53"/>
    </row>
    <row r="109" spans="1:12" x14ac:dyDescent="0.2">
      <c r="A109" s="31">
        <f t="shared" si="12"/>
        <v>100</v>
      </c>
      <c r="B109" s="31"/>
      <c r="C109" s="57" t="str">
        <f>+C107</f>
        <v>55E &amp; 56E</v>
      </c>
      <c r="D109" s="37" t="s">
        <v>44</v>
      </c>
      <c r="E109" s="404">
        <v>250</v>
      </c>
      <c r="F109" s="398">
        <v>31.78</v>
      </c>
      <c r="G109" s="52">
        <f t="shared" si="14"/>
        <v>0.81022729981572261</v>
      </c>
      <c r="H109" s="52">
        <f t="shared" si="15"/>
        <v>-6.9495679070880848E-2</v>
      </c>
      <c r="I109" s="399">
        <v>80</v>
      </c>
      <c r="J109" s="53">
        <f t="shared" si="16"/>
        <v>64.818183985257804</v>
      </c>
      <c r="K109" s="53">
        <f t="shared" si="17"/>
        <v>-5.5596543256704676</v>
      </c>
      <c r="L109" s="53">
        <f t="shared" si="18"/>
        <v>59.258529659587339</v>
      </c>
    </row>
    <row r="110" spans="1:12" x14ac:dyDescent="0.2">
      <c r="A110" s="31">
        <f t="shared" si="12"/>
        <v>101</v>
      </c>
      <c r="B110" s="31"/>
      <c r="C110" s="57"/>
      <c r="D110" s="37"/>
      <c r="E110" s="404"/>
      <c r="F110" s="398"/>
      <c r="G110" s="52"/>
      <c r="H110" s="52"/>
      <c r="I110" s="399"/>
      <c r="J110" s="53"/>
      <c r="K110" s="53"/>
      <c r="L110" s="53"/>
    </row>
    <row r="111" spans="1:12" x14ac:dyDescent="0.2">
      <c r="A111" s="31">
        <f t="shared" si="12"/>
        <v>102</v>
      </c>
      <c r="B111" s="31"/>
      <c r="C111" s="57" t="s">
        <v>47</v>
      </c>
      <c r="D111" s="37" t="s">
        <v>33</v>
      </c>
      <c r="E111" s="261" t="s">
        <v>260</v>
      </c>
      <c r="F111" s="398">
        <v>8.4499999999999993</v>
      </c>
      <c r="G111" s="52">
        <f t="shared" si="14"/>
        <v>0.21543173956711312</v>
      </c>
      <c r="H111" s="52">
        <f t="shared" si="15"/>
        <v>-1.8478240659186379E-2</v>
      </c>
      <c r="I111" s="399">
        <v>0</v>
      </c>
      <c r="J111" s="53">
        <f t="shared" si="16"/>
        <v>0</v>
      </c>
      <c r="K111" s="53">
        <f t="shared" si="17"/>
        <v>0</v>
      </c>
      <c r="L111" s="53">
        <f t="shared" si="18"/>
        <v>0</v>
      </c>
    </row>
    <row r="112" spans="1:12" x14ac:dyDescent="0.2">
      <c r="A112" s="31">
        <f t="shared" si="12"/>
        <v>103</v>
      </c>
      <c r="B112" s="31"/>
      <c r="C112" s="57" t="s">
        <v>47</v>
      </c>
      <c r="D112" s="37" t="s">
        <v>33</v>
      </c>
      <c r="E112" s="411" t="s">
        <v>34</v>
      </c>
      <c r="F112" s="398">
        <v>10.68</v>
      </c>
      <c r="G112" s="52">
        <f t="shared" si="14"/>
        <v>0.27228532290849328</v>
      </c>
      <c r="H112" s="52">
        <f t="shared" si="15"/>
        <v>-2.3354746773977579E-2</v>
      </c>
      <c r="I112" s="399">
        <v>9435</v>
      </c>
      <c r="J112" s="53">
        <f t="shared" si="16"/>
        <v>2569.012021641634</v>
      </c>
      <c r="K112" s="53">
        <f t="shared" si="17"/>
        <v>-220.35203581247845</v>
      </c>
      <c r="L112" s="53">
        <f t="shared" si="18"/>
        <v>2348.6599858291556</v>
      </c>
    </row>
    <row r="113" spans="1:12" x14ac:dyDescent="0.2">
      <c r="A113" s="31">
        <f t="shared" si="12"/>
        <v>104</v>
      </c>
      <c r="B113" s="31"/>
      <c r="C113" s="57" t="s">
        <v>47</v>
      </c>
      <c r="D113" s="37" t="s">
        <v>33</v>
      </c>
      <c r="E113" s="404" t="s">
        <v>35</v>
      </c>
      <c r="F113" s="398">
        <v>14.06</v>
      </c>
      <c r="G113" s="52">
        <f t="shared" si="14"/>
        <v>0.35845801873533856</v>
      </c>
      <c r="H113" s="52">
        <f t="shared" si="15"/>
        <v>-3.0746043037652132E-2</v>
      </c>
      <c r="I113" s="399">
        <v>330</v>
      </c>
      <c r="J113" s="53">
        <f t="shared" si="16"/>
        <v>118.29114618266172</v>
      </c>
      <c r="K113" s="53">
        <f t="shared" si="17"/>
        <v>-10.146194202425203</v>
      </c>
      <c r="L113" s="53">
        <f t="shared" si="18"/>
        <v>108.14495198023651</v>
      </c>
    </row>
    <row r="114" spans="1:12" x14ac:dyDescent="0.2">
      <c r="A114" s="31">
        <f t="shared" si="12"/>
        <v>105</v>
      </c>
      <c r="B114" s="31"/>
      <c r="C114" s="57" t="s">
        <v>47</v>
      </c>
      <c r="D114" s="37" t="s">
        <v>33</v>
      </c>
      <c r="E114" s="404" t="s">
        <v>36</v>
      </c>
      <c r="F114" s="398">
        <v>17.170000000000002</v>
      </c>
      <c r="G114" s="52">
        <f t="shared" si="14"/>
        <v>0.43774709684820512</v>
      </c>
      <c r="H114" s="52">
        <f t="shared" si="15"/>
        <v>-3.7546910309849725E-2</v>
      </c>
      <c r="I114" s="399">
        <v>1968</v>
      </c>
      <c r="J114" s="53">
        <f t="shared" si="16"/>
        <v>861.48628659726762</v>
      </c>
      <c r="K114" s="53">
        <f t="shared" si="17"/>
        <v>-73.892319489784256</v>
      </c>
      <c r="L114" s="53">
        <f t="shared" si="18"/>
        <v>787.59396710748342</v>
      </c>
    </row>
    <row r="115" spans="1:12" x14ac:dyDescent="0.2">
      <c r="A115" s="31">
        <f t="shared" si="12"/>
        <v>106</v>
      </c>
      <c r="B115" s="31"/>
      <c r="C115" s="57" t="s">
        <v>47</v>
      </c>
      <c r="D115" s="37" t="s">
        <v>33</v>
      </c>
      <c r="E115" s="404" t="s">
        <v>37</v>
      </c>
      <c r="F115" s="398">
        <v>17.170000000000002</v>
      </c>
      <c r="G115" s="52">
        <f t="shared" si="14"/>
        <v>0.43774709684820512</v>
      </c>
      <c r="H115" s="52">
        <f t="shared" si="15"/>
        <v>-3.7546910309849725E-2</v>
      </c>
      <c r="I115" s="399">
        <v>0</v>
      </c>
      <c r="J115" s="53">
        <f t="shared" si="16"/>
        <v>0</v>
      </c>
      <c r="K115" s="53">
        <f t="shared" si="17"/>
        <v>0</v>
      </c>
      <c r="L115" s="53">
        <f t="shared" si="18"/>
        <v>0</v>
      </c>
    </row>
    <row r="116" spans="1:12" x14ac:dyDescent="0.2">
      <c r="A116" s="31">
        <f t="shared" si="12"/>
        <v>107</v>
      </c>
      <c r="B116" s="31"/>
      <c r="C116" s="57" t="s">
        <v>47</v>
      </c>
      <c r="D116" s="37" t="s">
        <v>33</v>
      </c>
      <c r="E116" s="404" t="s">
        <v>38</v>
      </c>
      <c r="F116" s="398">
        <v>25.65</v>
      </c>
      <c r="G116" s="52">
        <f t="shared" si="14"/>
        <v>0.65394368282798243</v>
      </c>
      <c r="H116" s="52">
        <f t="shared" si="15"/>
        <v>-5.6090754190311322E-2</v>
      </c>
      <c r="I116" s="399">
        <v>0</v>
      </c>
      <c r="J116" s="53">
        <f t="shared" si="16"/>
        <v>0</v>
      </c>
      <c r="K116" s="53">
        <f t="shared" si="17"/>
        <v>0</v>
      </c>
      <c r="L116" s="53">
        <f t="shared" si="18"/>
        <v>0</v>
      </c>
    </row>
    <row r="117" spans="1:12" x14ac:dyDescent="0.2">
      <c r="A117" s="31">
        <f t="shared" si="12"/>
        <v>108</v>
      </c>
      <c r="B117" s="31"/>
      <c r="C117" s="57" t="s">
        <v>47</v>
      </c>
      <c r="D117" s="37" t="s">
        <v>33</v>
      </c>
      <c r="E117" s="404" t="s">
        <v>39</v>
      </c>
      <c r="F117" s="398">
        <v>25.65</v>
      </c>
      <c r="G117" s="52">
        <f t="shared" si="14"/>
        <v>0.65394368282798243</v>
      </c>
      <c r="H117" s="52">
        <f t="shared" si="15"/>
        <v>-5.6090754190311322E-2</v>
      </c>
      <c r="I117" s="399">
        <v>0</v>
      </c>
      <c r="J117" s="53">
        <f t="shared" si="16"/>
        <v>0</v>
      </c>
      <c r="K117" s="53">
        <f t="shared" si="17"/>
        <v>0</v>
      </c>
      <c r="L117" s="53">
        <f t="shared" si="18"/>
        <v>0</v>
      </c>
    </row>
    <row r="118" spans="1:12" x14ac:dyDescent="0.2">
      <c r="A118" s="31">
        <f t="shared" si="12"/>
        <v>109</v>
      </c>
      <c r="B118" s="31"/>
      <c r="C118" s="57" t="s">
        <v>47</v>
      </c>
      <c r="D118" s="37" t="s">
        <v>33</v>
      </c>
      <c r="E118" s="404" t="s">
        <v>40</v>
      </c>
      <c r="F118" s="398">
        <v>25.65</v>
      </c>
      <c r="G118" s="52">
        <f t="shared" si="14"/>
        <v>0.65394368282798243</v>
      </c>
      <c r="H118" s="52">
        <f t="shared" si="15"/>
        <v>-5.6090754190311322E-2</v>
      </c>
      <c r="I118" s="399">
        <v>0</v>
      </c>
      <c r="J118" s="53">
        <f t="shared" si="16"/>
        <v>0</v>
      </c>
      <c r="K118" s="53">
        <f t="shared" si="17"/>
        <v>0</v>
      </c>
      <c r="L118" s="53">
        <f t="shared" si="18"/>
        <v>0</v>
      </c>
    </row>
    <row r="119" spans="1:12" x14ac:dyDescent="0.2">
      <c r="A119" s="31">
        <f t="shared" si="12"/>
        <v>110</v>
      </c>
      <c r="B119" s="31"/>
      <c r="C119" s="57" t="s">
        <v>47</v>
      </c>
      <c r="D119" s="37" t="s">
        <v>33</v>
      </c>
      <c r="E119" s="404" t="s">
        <v>41</v>
      </c>
      <c r="F119" s="398">
        <v>31.78</v>
      </c>
      <c r="G119" s="52">
        <f t="shared" si="14"/>
        <v>0.81022729981572261</v>
      </c>
      <c r="H119" s="52">
        <f t="shared" si="15"/>
        <v>-6.9495679070880848E-2</v>
      </c>
      <c r="I119" s="399">
        <v>0</v>
      </c>
      <c r="J119" s="53">
        <f t="shared" si="16"/>
        <v>0</v>
      </c>
      <c r="K119" s="53">
        <f t="shared" si="17"/>
        <v>0</v>
      </c>
      <c r="L119" s="53">
        <f t="shared" si="18"/>
        <v>0</v>
      </c>
    </row>
    <row r="120" spans="1:12" x14ac:dyDescent="0.2">
      <c r="A120" s="31">
        <f t="shared" si="12"/>
        <v>111</v>
      </c>
      <c r="B120" s="31"/>
      <c r="C120" s="57" t="s">
        <v>47</v>
      </c>
      <c r="D120" s="37" t="s">
        <v>33</v>
      </c>
      <c r="E120" s="404" t="s">
        <v>42</v>
      </c>
      <c r="F120" s="398">
        <v>31.78</v>
      </c>
      <c r="G120" s="52">
        <f t="shared" si="14"/>
        <v>0.81022729981572261</v>
      </c>
      <c r="H120" s="52">
        <f t="shared" si="15"/>
        <v>-6.9495679070880848E-2</v>
      </c>
      <c r="I120" s="399">
        <v>0</v>
      </c>
      <c r="J120" s="53">
        <f t="shared" si="16"/>
        <v>0</v>
      </c>
      <c r="K120" s="53">
        <f t="shared" si="17"/>
        <v>0</v>
      </c>
      <c r="L120" s="53">
        <f t="shared" si="18"/>
        <v>0</v>
      </c>
    </row>
    <row r="121" spans="1:12" x14ac:dyDescent="0.2">
      <c r="A121" s="31">
        <f t="shared" si="12"/>
        <v>112</v>
      </c>
      <c r="B121" s="31"/>
      <c r="C121" s="57"/>
      <c r="D121" s="37"/>
      <c r="E121" s="404"/>
      <c r="F121" s="156"/>
      <c r="G121" s="52"/>
      <c r="H121" s="52"/>
      <c r="I121" s="158"/>
      <c r="J121" s="53"/>
      <c r="K121" s="53"/>
      <c r="L121" s="53"/>
    </row>
    <row r="122" spans="1:12" ht="13.5" x14ac:dyDescent="0.35">
      <c r="A122" s="31">
        <f t="shared" ref="A122:A176" si="21">A121+1</f>
        <v>113</v>
      </c>
      <c r="B122" s="31"/>
      <c r="C122" s="255" t="s">
        <v>58</v>
      </c>
      <c r="D122" s="37"/>
      <c r="E122" s="404"/>
      <c r="F122" s="156"/>
      <c r="G122" s="52"/>
      <c r="H122" s="52"/>
      <c r="I122" s="158"/>
      <c r="J122" s="53"/>
      <c r="K122" s="53"/>
      <c r="L122" s="53"/>
    </row>
    <row r="123" spans="1:12" x14ac:dyDescent="0.2">
      <c r="A123" s="31">
        <f t="shared" si="21"/>
        <v>114</v>
      </c>
      <c r="B123" s="31"/>
      <c r="C123" s="57" t="s">
        <v>59</v>
      </c>
      <c r="D123" s="37" t="s">
        <v>60</v>
      </c>
      <c r="E123" s="413"/>
      <c r="F123" s="401">
        <v>6.8820000000000006E-2</v>
      </c>
      <c r="G123" s="58">
        <f t="shared" si="14"/>
        <v>1.7545576706519204E-3</v>
      </c>
      <c r="H123" s="58">
        <f t="shared" si="15"/>
        <v>-1.5049378960534993E-4</v>
      </c>
      <c r="I123" s="400">
        <v>5488824.0099999998</v>
      </c>
      <c r="J123" s="53">
        <f t="shared" si="16"/>
        <v>9630.4582696039324</v>
      </c>
      <c r="K123" s="53">
        <f t="shared" si="17"/>
        <v>-826.03392574173313</v>
      </c>
      <c r="L123" s="53">
        <f t="shared" si="18"/>
        <v>8804.4243438621997</v>
      </c>
    </row>
    <row r="124" spans="1:12" x14ac:dyDescent="0.2">
      <c r="A124" s="31">
        <f t="shared" si="21"/>
        <v>115</v>
      </c>
      <c r="B124" s="31"/>
      <c r="C124" s="57"/>
      <c r="D124" s="37"/>
      <c r="E124" s="404"/>
      <c r="F124" s="156"/>
      <c r="G124" s="52"/>
      <c r="H124" s="52"/>
      <c r="I124" s="158"/>
      <c r="J124" s="53"/>
      <c r="K124" s="53"/>
      <c r="L124" s="53"/>
    </row>
    <row r="125" spans="1:12" ht="13.5" x14ac:dyDescent="0.35">
      <c r="A125" s="31">
        <f t="shared" si="21"/>
        <v>116</v>
      </c>
      <c r="B125" s="31"/>
      <c r="C125" s="255" t="s">
        <v>48</v>
      </c>
      <c r="D125" s="37"/>
      <c r="E125" s="404"/>
      <c r="F125" s="156"/>
      <c r="G125" s="52"/>
      <c r="H125" s="52"/>
      <c r="I125" s="158"/>
      <c r="J125" s="53"/>
      <c r="K125" s="53"/>
      <c r="L125" s="53"/>
    </row>
    <row r="126" spans="1:12" x14ac:dyDescent="0.2">
      <c r="A126" s="31">
        <f t="shared" si="21"/>
        <v>117</v>
      </c>
      <c r="B126" s="31"/>
      <c r="C126" s="49" t="s">
        <v>49</v>
      </c>
      <c r="D126" s="37" t="s">
        <v>26</v>
      </c>
      <c r="E126" s="404">
        <v>70</v>
      </c>
      <c r="F126" s="398">
        <v>14.06</v>
      </c>
      <c r="G126" s="52">
        <f t="shared" si="14"/>
        <v>0.35845801873533856</v>
      </c>
      <c r="H126" s="52">
        <f t="shared" si="15"/>
        <v>-3.0746043037652132E-2</v>
      </c>
      <c r="I126" s="399">
        <v>614</v>
      </c>
      <c r="J126" s="53">
        <f t="shared" si="16"/>
        <v>220.09322350349788</v>
      </c>
      <c r="K126" s="53">
        <f t="shared" si="17"/>
        <v>-18.878070425118409</v>
      </c>
      <c r="L126" s="53">
        <f t="shared" si="18"/>
        <v>201.21515307837947</v>
      </c>
    </row>
    <row r="127" spans="1:12" x14ac:dyDescent="0.2">
      <c r="A127" s="31">
        <f t="shared" si="21"/>
        <v>118</v>
      </c>
      <c r="B127" s="31"/>
      <c r="C127" s="57" t="str">
        <f>+C126</f>
        <v>58E &amp; 59E - Directional</v>
      </c>
      <c r="D127" s="37" t="s">
        <v>26</v>
      </c>
      <c r="E127" s="404">
        <v>100</v>
      </c>
      <c r="F127" s="398">
        <v>17.170000000000002</v>
      </c>
      <c r="G127" s="52">
        <f t="shared" si="14"/>
        <v>0.43774709684820512</v>
      </c>
      <c r="H127" s="52">
        <f t="shared" si="15"/>
        <v>-3.7546910309849725E-2</v>
      </c>
      <c r="I127" s="399">
        <v>121</v>
      </c>
      <c r="J127" s="53">
        <f t="shared" si="16"/>
        <v>52.967398718632822</v>
      </c>
      <c r="K127" s="53">
        <f t="shared" si="17"/>
        <v>-4.5431761474918169</v>
      </c>
      <c r="L127" s="53">
        <f t="shared" si="18"/>
        <v>48.424222571141001</v>
      </c>
    </row>
    <row r="128" spans="1:12" x14ac:dyDescent="0.2">
      <c r="A128" s="31">
        <f t="shared" si="21"/>
        <v>119</v>
      </c>
      <c r="B128" s="31"/>
      <c r="C128" s="57" t="str">
        <f>+C127</f>
        <v>58E &amp; 59E - Directional</v>
      </c>
      <c r="D128" s="37" t="s">
        <v>26</v>
      </c>
      <c r="E128" s="404">
        <v>150</v>
      </c>
      <c r="F128" s="398">
        <v>17.170000000000002</v>
      </c>
      <c r="G128" s="52">
        <f t="shared" si="14"/>
        <v>0.43774709684820512</v>
      </c>
      <c r="H128" s="52">
        <f t="shared" si="15"/>
        <v>-3.7546910309849725E-2</v>
      </c>
      <c r="I128" s="399">
        <v>1701</v>
      </c>
      <c r="J128" s="53">
        <f t="shared" si="16"/>
        <v>744.60781173879695</v>
      </c>
      <c r="K128" s="53">
        <f t="shared" si="17"/>
        <v>-63.867294437054383</v>
      </c>
      <c r="L128" s="53">
        <f t="shared" si="18"/>
        <v>680.74051730174256</v>
      </c>
    </row>
    <row r="129" spans="1:12" x14ac:dyDescent="0.2">
      <c r="A129" s="31">
        <f t="shared" si="21"/>
        <v>120</v>
      </c>
      <c r="B129" s="226"/>
      <c r="C129" s="57" t="str">
        <f>+C128</f>
        <v>58E &amp; 59E - Directional</v>
      </c>
      <c r="D129" s="37" t="s">
        <v>26</v>
      </c>
      <c r="E129" s="404">
        <v>200</v>
      </c>
      <c r="F129" s="398">
        <v>25.65</v>
      </c>
      <c r="G129" s="52">
        <f t="shared" si="14"/>
        <v>0.65394368282798243</v>
      </c>
      <c r="H129" s="52">
        <f t="shared" si="15"/>
        <v>-5.6090754190311322E-2</v>
      </c>
      <c r="I129" s="399">
        <v>3072</v>
      </c>
      <c r="J129" s="53">
        <f t="shared" si="16"/>
        <v>2008.9149936475619</v>
      </c>
      <c r="K129" s="53">
        <f t="shared" si="17"/>
        <v>-172.31079687263639</v>
      </c>
      <c r="L129" s="53">
        <f t="shared" si="18"/>
        <v>1836.6041967749256</v>
      </c>
    </row>
    <row r="130" spans="1:12" x14ac:dyDescent="0.2">
      <c r="A130" s="31">
        <f t="shared" si="21"/>
        <v>121</v>
      </c>
      <c r="B130" s="31"/>
      <c r="C130" s="57" t="str">
        <f>+C129</f>
        <v>58E &amp; 59E - Directional</v>
      </c>
      <c r="D130" s="37" t="s">
        <v>26</v>
      </c>
      <c r="E130" s="404">
        <v>250</v>
      </c>
      <c r="F130" s="398">
        <v>31.78</v>
      </c>
      <c r="G130" s="52">
        <f t="shared" si="14"/>
        <v>0.81022729981572261</v>
      </c>
      <c r="H130" s="52">
        <f t="shared" si="15"/>
        <v>-6.9495679070880848E-2</v>
      </c>
      <c r="I130" s="399">
        <v>459</v>
      </c>
      <c r="J130" s="53">
        <f t="shared" si="16"/>
        <v>371.89433061541666</v>
      </c>
      <c r="K130" s="53">
        <f t="shared" si="17"/>
        <v>-31.898516693534308</v>
      </c>
      <c r="L130" s="53">
        <f t="shared" si="18"/>
        <v>339.99581392188236</v>
      </c>
    </row>
    <row r="131" spans="1:12" x14ac:dyDescent="0.2">
      <c r="A131" s="31">
        <f t="shared" si="21"/>
        <v>122</v>
      </c>
      <c r="B131" s="31"/>
      <c r="C131" s="57" t="str">
        <f>+C130</f>
        <v>58E &amp; 59E - Directional</v>
      </c>
      <c r="D131" s="37" t="s">
        <v>26</v>
      </c>
      <c r="E131" s="404">
        <v>400</v>
      </c>
      <c r="F131" s="398">
        <v>44.71</v>
      </c>
      <c r="G131" s="52">
        <f t="shared" si="14"/>
        <v>1.139876103674039</v>
      </c>
      <c r="H131" s="52">
        <f t="shared" si="15"/>
        <v>-9.7770667440499781E-2</v>
      </c>
      <c r="I131" s="399">
        <v>4009</v>
      </c>
      <c r="J131" s="53">
        <f t="shared" si="16"/>
        <v>4569.7632996292223</v>
      </c>
      <c r="K131" s="53">
        <f t="shared" si="17"/>
        <v>-391.96260576896361</v>
      </c>
      <c r="L131" s="53">
        <f t="shared" si="18"/>
        <v>4177.8006938602584</v>
      </c>
    </row>
    <row r="132" spans="1:12" x14ac:dyDescent="0.2">
      <c r="A132" s="31">
        <f t="shared" si="21"/>
        <v>123</v>
      </c>
      <c r="B132" s="31"/>
      <c r="C132" s="57"/>
      <c r="D132" s="37"/>
      <c r="E132" s="404"/>
      <c r="F132" s="398"/>
      <c r="G132" s="52"/>
      <c r="H132" s="52"/>
      <c r="I132" s="399"/>
      <c r="J132" s="53"/>
      <c r="K132" s="53"/>
      <c r="L132" s="53"/>
    </row>
    <row r="133" spans="1:12" x14ac:dyDescent="0.2">
      <c r="A133" s="31">
        <f t="shared" si="21"/>
        <v>124</v>
      </c>
      <c r="B133" s="31"/>
      <c r="C133" s="49" t="s">
        <v>50</v>
      </c>
      <c r="D133" s="37" t="s">
        <v>26</v>
      </c>
      <c r="E133" s="404">
        <v>100</v>
      </c>
      <c r="F133" s="398">
        <v>17.170000000000002</v>
      </c>
      <c r="G133" s="52">
        <f t="shared" si="14"/>
        <v>0.43774709684820512</v>
      </c>
      <c r="H133" s="52">
        <f t="shared" si="15"/>
        <v>-3.7546910309849725E-2</v>
      </c>
      <c r="I133" s="399">
        <v>0</v>
      </c>
      <c r="J133" s="53">
        <f t="shared" si="16"/>
        <v>0</v>
      </c>
      <c r="K133" s="53">
        <f t="shared" si="17"/>
        <v>0</v>
      </c>
      <c r="L133" s="53">
        <f t="shared" si="18"/>
        <v>0</v>
      </c>
    </row>
    <row r="134" spans="1:12" x14ac:dyDescent="0.2">
      <c r="A134" s="31">
        <f t="shared" si="21"/>
        <v>125</v>
      </c>
      <c r="B134" s="31"/>
      <c r="C134" s="57" t="str">
        <f>C133</f>
        <v>58E &amp; 59E - Horizontal</v>
      </c>
      <c r="D134" s="37" t="s">
        <v>26</v>
      </c>
      <c r="E134" s="404">
        <v>150</v>
      </c>
      <c r="F134" s="398">
        <v>17.170000000000002</v>
      </c>
      <c r="G134" s="52">
        <f t="shared" si="14"/>
        <v>0.43774709684820512</v>
      </c>
      <c r="H134" s="52">
        <f t="shared" si="15"/>
        <v>-3.7546910309849725E-2</v>
      </c>
      <c r="I134" s="399">
        <v>166</v>
      </c>
      <c r="J134" s="53">
        <f t="shared" si="16"/>
        <v>72.666018076802047</v>
      </c>
      <c r="K134" s="53">
        <f t="shared" si="17"/>
        <v>-6.2327871114350542</v>
      </c>
      <c r="L134" s="53">
        <f t="shared" si="18"/>
        <v>66.433230965366988</v>
      </c>
    </row>
    <row r="135" spans="1:12" x14ac:dyDescent="0.2">
      <c r="A135" s="31">
        <f t="shared" si="21"/>
        <v>126</v>
      </c>
      <c r="B135" s="31"/>
      <c r="C135" s="57" t="str">
        <f>C134</f>
        <v>58E &amp; 59E - Horizontal</v>
      </c>
      <c r="D135" s="37" t="s">
        <v>26</v>
      </c>
      <c r="E135" s="404">
        <v>200</v>
      </c>
      <c r="F135" s="398">
        <v>25.65</v>
      </c>
      <c r="G135" s="52">
        <f t="shared" si="14"/>
        <v>0.65394368282798243</v>
      </c>
      <c r="H135" s="52">
        <f t="shared" si="15"/>
        <v>-5.6090754190311322E-2</v>
      </c>
      <c r="I135" s="399">
        <v>99</v>
      </c>
      <c r="J135" s="53">
        <f t="shared" si="16"/>
        <v>64.740424599970254</v>
      </c>
      <c r="K135" s="53">
        <f t="shared" si="17"/>
        <v>-5.552984664840821</v>
      </c>
      <c r="L135" s="53">
        <f t="shared" si="18"/>
        <v>59.187439935129433</v>
      </c>
    </row>
    <row r="136" spans="1:12" x14ac:dyDescent="0.2">
      <c r="A136" s="31">
        <f t="shared" si="21"/>
        <v>127</v>
      </c>
      <c r="B136" s="31"/>
      <c r="C136" s="57" t="str">
        <f>C135</f>
        <v>58E &amp; 59E - Horizontal</v>
      </c>
      <c r="D136" s="37" t="s">
        <v>26</v>
      </c>
      <c r="E136" s="404">
        <v>250</v>
      </c>
      <c r="F136" s="398">
        <v>31.78</v>
      </c>
      <c r="G136" s="52">
        <f t="shared" si="14"/>
        <v>0.81022729981572261</v>
      </c>
      <c r="H136" s="52">
        <f t="shared" si="15"/>
        <v>-6.9495679070880848E-2</v>
      </c>
      <c r="I136" s="399">
        <v>381</v>
      </c>
      <c r="J136" s="53">
        <f t="shared" si="16"/>
        <v>308.6966012297903</v>
      </c>
      <c r="K136" s="53">
        <f t="shared" si="17"/>
        <v>-26.477853726005602</v>
      </c>
      <c r="L136" s="53">
        <f t="shared" si="18"/>
        <v>282.2187475037847</v>
      </c>
    </row>
    <row r="137" spans="1:12" x14ac:dyDescent="0.2">
      <c r="A137" s="31">
        <f t="shared" si="21"/>
        <v>128</v>
      </c>
      <c r="B137" s="31"/>
      <c r="C137" s="57" t="str">
        <f>C136</f>
        <v>58E &amp; 59E - Horizontal</v>
      </c>
      <c r="D137" s="37" t="s">
        <v>26</v>
      </c>
      <c r="E137" s="404">
        <v>400</v>
      </c>
      <c r="F137" s="398">
        <v>44.71</v>
      </c>
      <c r="G137" s="52">
        <f t="shared" si="14"/>
        <v>1.139876103674039</v>
      </c>
      <c r="H137" s="52">
        <f t="shared" si="15"/>
        <v>-9.7770667440499781E-2</v>
      </c>
      <c r="I137" s="399">
        <v>510</v>
      </c>
      <c r="J137" s="53">
        <f t="shared" si="16"/>
        <v>581.33681287375987</v>
      </c>
      <c r="K137" s="53">
        <f t="shared" si="17"/>
        <v>-49.863040394654888</v>
      </c>
      <c r="L137" s="53">
        <f t="shared" si="18"/>
        <v>531.47377247910504</v>
      </c>
    </row>
    <row r="138" spans="1:12" x14ac:dyDescent="0.2">
      <c r="A138" s="31">
        <f t="shared" si="21"/>
        <v>129</v>
      </c>
      <c r="B138" s="31"/>
      <c r="C138" s="57"/>
      <c r="D138" s="37"/>
      <c r="E138" s="404"/>
      <c r="F138" s="398"/>
      <c r="G138" s="52"/>
      <c r="H138" s="52"/>
      <c r="I138" s="399"/>
      <c r="J138" s="53"/>
      <c r="K138" s="53"/>
      <c r="L138" s="53"/>
    </row>
    <row r="139" spans="1:12" x14ac:dyDescent="0.2">
      <c r="A139" s="31">
        <f t="shared" si="21"/>
        <v>130</v>
      </c>
      <c r="B139" s="31"/>
      <c r="C139" s="57" t="str">
        <f>C127</f>
        <v>58E &amp; 59E - Directional</v>
      </c>
      <c r="D139" s="37" t="s">
        <v>44</v>
      </c>
      <c r="E139" s="404">
        <v>175</v>
      </c>
      <c r="F139" s="398">
        <v>25.65</v>
      </c>
      <c r="G139" s="52">
        <f t="shared" si="14"/>
        <v>0.65394368282798243</v>
      </c>
      <c r="H139" s="52">
        <f t="shared" si="15"/>
        <v>-5.6090754190311322E-2</v>
      </c>
      <c r="I139" s="399">
        <v>36</v>
      </c>
      <c r="J139" s="53">
        <f t="shared" si="16"/>
        <v>23.541972581807368</v>
      </c>
      <c r="K139" s="53">
        <f t="shared" si="17"/>
        <v>-2.0192671508512077</v>
      </c>
      <c r="L139" s="53">
        <f t="shared" si="18"/>
        <v>21.522705430956162</v>
      </c>
    </row>
    <row r="140" spans="1:12" x14ac:dyDescent="0.2">
      <c r="A140" s="31">
        <f t="shared" si="21"/>
        <v>131</v>
      </c>
      <c r="B140" s="31"/>
      <c r="C140" s="57" t="str">
        <f>C139</f>
        <v>58E &amp; 59E - Directional</v>
      </c>
      <c r="D140" s="37" t="s">
        <v>44</v>
      </c>
      <c r="E140" s="404">
        <v>250</v>
      </c>
      <c r="F140" s="398">
        <v>31.78</v>
      </c>
      <c r="G140" s="52">
        <f t="shared" ref="G140:G162" si="22">F140*$J$173</f>
        <v>0.81022729981572261</v>
      </c>
      <c r="H140" s="52">
        <f t="shared" ref="H140:H162" si="23">F140*$K$173</f>
        <v>-6.9495679070880848E-2</v>
      </c>
      <c r="I140" s="399">
        <v>200</v>
      </c>
      <c r="J140" s="53">
        <f t="shared" si="16"/>
        <v>162.04545996314451</v>
      </c>
      <c r="K140" s="53">
        <f t="shared" si="17"/>
        <v>-13.899135814176169</v>
      </c>
      <c r="L140" s="53">
        <f t="shared" si="18"/>
        <v>148.14632414896835</v>
      </c>
    </row>
    <row r="141" spans="1:12" x14ac:dyDescent="0.2">
      <c r="A141" s="31">
        <f t="shared" si="21"/>
        <v>132</v>
      </c>
      <c r="B141" s="31"/>
      <c r="C141" s="57" t="str">
        <f>C140</f>
        <v>58E &amp; 59E - Directional</v>
      </c>
      <c r="D141" s="37" t="s">
        <v>44</v>
      </c>
      <c r="E141" s="404">
        <v>400</v>
      </c>
      <c r="F141" s="398">
        <v>44.71</v>
      </c>
      <c r="G141" s="52">
        <f t="shared" si="22"/>
        <v>1.139876103674039</v>
      </c>
      <c r="H141" s="52">
        <f t="shared" si="23"/>
        <v>-9.7770667440499781E-2</v>
      </c>
      <c r="I141" s="399">
        <v>924</v>
      </c>
      <c r="J141" s="53">
        <f t="shared" si="16"/>
        <v>1053.245519794812</v>
      </c>
      <c r="K141" s="53">
        <f t="shared" si="17"/>
        <v>-90.340096715021801</v>
      </c>
      <c r="L141" s="53">
        <f t="shared" si="18"/>
        <v>962.90542307979024</v>
      </c>
    </row>
    <row r="142" spans="1:12" x14ac:dyDescent="0.2">
      <c r="A142" s="31">
        <f t="shared" si="21"/>
        <v>133</v>
      </c>
      <c r="B142" s="31"/>
      <c r="C142" s="57" t="str">
        <f>C141</f>
        <v>58E &amp; 59E - Directional</v>
      </c>
      <c r="D142" s="37" t="s">
        <v>44</v>
      </c>
      <c r="E142" s="404">
        <v>1000</v>
      </c>
      <c r="F142" s="398">
        <v>104.12</v>
      </c>
      <c r="G142" s="52">
        <f t="shared" si="22"/>
        <v>2.6545269495535884</v>
      </c>
      <c r="H142" s="52">
        <f t="shared" si="23"/>
        <v>-0.22768691330585633</v>
      </c>
      <c r="I142" s="399">
        <v>1383</v>
      </c>
      <c r="J142" s="53">
        <f t="shared" si="16"/>
        <v>3671.2107712326128</v>
      </c>
      <c r="K142" s="53">
        <f t="shared" si="17"/>
        <v>-314.89100110199928</v>
      </c>
      <c r="L142" s="53">
        <f t="shared" si="18"/>
        <v>3356.3197701306135</v>
      </c>
    </row>
    <row r="143" spans="1:12" x14ac:dyDescent="0.2">
      <c r="A143" s="31">
        <f t="shared" si="21"/>
        <v>134</v>
      </c>
      <c r="B143" s="31"/>
      <c r="C143" s="57"/>
      <c r="D143" s="37"/>
      <c r="E143" s="404"/>
      <c r="F143" s="398"/>
      <c r="G143" s="52"/>
      <c r="H143" s="52"/>
      <c r="I143" s="399"/>
      <c r="J143" s="53"/>
      <c r="K143" s="53"/>
      <c r="L143" s="53"/>
    </row>
    <row r="144" spans="1:12" x14ac:dyDescent="0.2">
      <c r="A144" s="31">
        <f t="shared" si="21"/>
        <v>135</v>
      </c>
      <c r="B144" s="31"/>
      <c r="C144" s="57" t="str">
        <f>C133</f>
        <v>58E &amp; 59E - Horizontal</v>
      </c>
      <c r="D144" s="37" t="s">
        <v>44</v>
      </c>
      <c r="E144" s="404">
        <v>250</v>
      </c>
      <c r="F144" s="398">
        <v>31.78</v>
      </c>
      <c r="G144" s="52">
        <f t="shared" si="22"/>
        <v>0.81022729981572261</v>
      </c>
      <c r="H144" s="52">
        <f t="shared" si="23"/>
        <v>-6.9495679070880848E-2</v>
      </c>
      <c r="I144" s="399">
        <v>100</v>
      </c>
      <c r="J144" s="53">
        <f t="shared" ref="J144:J162" si="24">I144*G144</f>
        <v>81.022729981572255</v>
      </c>
      <c r="K144" s="53">
        <f t="shared" ref="K144:K162" si="25">I144*H144</f>
        <v>-6.9495679070880847</v>
      </c>
      <c r="L144" s="53">
        <f t="shared" ref="L144:L162" si="26">SUM(J144:K144)</f>
        <v>74.073162074484173</v>
      </c>
    </row>
    <row r="145" spans="1:12" x14ac:dyDescent="0.2">
      <c r="A145" s="31">
        <f t="shared" si="21"/>
        <v>136</v>
      </c>
      <c r="B145" s="31"/>
      <c r="C145" s="57" t="str">
        <f>C144</f>
        <v>58E &amp; 59E - Horizontal</v>
      </c>
      <c r="D145" s="37" t="s">
        <v>44</v>
      </c>
      <c r="E145" s="404">
        <v>400</v>
      </c>
      <c r="F145" s="398">
        <v>44.71</v>
      </c>
      <c r="G145" s="52">
        <f t="shared" si="22"/>
        <v>1.139876103674039</v>
      </c>
      <c r="H145" s="52">
        <f t="shared" si="23"/>
        <v>-9.7770667440499781E-2</v>
      </c>
      <c r="I145" s="399">
        <v>468</v>
      </c>
      <c r="J145" s="53">
        <f t="shared" si="24"/>
        <v>533.46201651945023</v>
      </c>
      <c r="K145" s="53">
        <f t="shared" si="25"/>
        <v>-45.7566723621539</v>
      </c>
      <c r="L145" s="53">
        <f t="shared" si="26"/>
        <v>487.70534415729634</v>
      </c>
    </row>
    <row r="146" spans="1:12" x14ac:dyDescent="0.2">
      <c r="A146" s="31">
        <f t="shared" si="21"/>
        <v>137</v>
      </c>
      <c r="B146" s="31"/>
      <c r="C146" s="57"/>
      <c r="D146" s="37"/>
      <c r="E146" s="404"/>
      <c r="F146" s="398"/>
      <c r="G146" s="52"/>
      <c r="H146" s="52"/>
      <c r="I146" s="399"/>
      <c r="J146" s="53"/>
      <c r="K146" s="53"/>
      <c r="L146" s="53"/>
    </row>
    <row r="147" spans="1:12" x14ac:dyDescent="0.2">
      <c r="A147" s="31">
        <f t="shared" si="21"/>
        <v>138</v>
      </c>
      <c r="B147" s="31"/>
      <c r="C147" s="57" t="s">
        <v>51</v>
      </c>
      <c r="D147" s="37" t="s">
        <v>33</v>
      </c>
      <c r="E147" s="261" t="s">
        <v>260</v>
      </c>
      <c r="F147" s="398">
        <v>8.4499999999999993</v>
      </c>
      <c r="G147" s="52">
        <f t="shared" si="22"/>
        <v>0.21543173956711312</v>
      </c>
      <c r="H147" s="52">
        <f t="shared" si="23"/>
        <v>-1.8478240659186379E-2</v>
      </c>
      <c r="I147" s="399">
        <v>0</v>
      </c>
      <c r="J147" s="53">
        <f t="shared" si="24"/>
        <v>0</v>
      </c>
      <c r="K147" s="53">
        <f t="shared" si="25"/>
        <v>0</v>
      </c>
      <c r="L147" s="53">
        <f t="shared" si="26"/>
        <v>0</v>
      </c>
    </row>
    <row r="148" spans="1:12" x14ac:dyDescent="0.2">
      <c r="A148" s="31">
        <f t="shared" si="21"/>
        <v>139</v>
      </c>
      <c r="B148" s="31"/>
      <c r="C148" s="57" t="s">
        <v>51</v>
      </c>
      <c r="D148" s="37" t="s">
        <v>33</v>
      </c>
      <c r="E148" s="411" t="s">
        <v>270</v>
      </c>
      <c r="F148" s="398">
        <v>10.68</v>
      </c>
      <c r="G148" s="52">
        <f t="shared" si="22"/>
        <v>0.27228532290849328</v>
      </c>
      <c r="H148" s="52">
        <f t="shared" si="23"/>
        <v>-2.3354746773977579E-2</v>
      </c>
      <c r="I148" s="399">
        <v>50</v>
      </c>
      <c r="J148" s="53">
        <f t="shared" si="24"/>
        <v>13.614266145424663</v>
      </c>
      <c r="K148" s="53">
        <f t="shared" si="25"/>
        <v>-1.167737338698879</v>
      </c>
      <c r="L148" s="53">
        <f t="shared" si="26"/>
        <v>12.446528806725784</v>
      </c>
    </row>
    <row r="149" spans="1:12" x14ac:dyDescent="0.2">
      <c r="A149" s="31">
        <f t="shared" si="21"/>
        <v>140</v>
      </c>
      <c r="B149" s="226"/>
      <c r="C149" s="57" t="str">
        <f t="shared" ref="C149:C162" si="27">C148</f>
        <v>58E &amp; 59E</v>
      </c>
      <c r="D149" s="37" t="s">
        <v>33</v>
      </c>
      <c r="E149" s="404" t="s">
        <v>35</v>
      </c>
      <c r="F149" s="398">
        <v>14.06</v>
      </c>
      <c r="G149" s="52">
        <f t="shared" si="22"/>
        <v>0.35845801873533856</v>
      </c>
      <c r="H149" s="52">
        <f t="shared" si="23"/>
        <v>-3.0746043037652132E-2</v>
      </c>
      <c r="I149" s="399">
        <v>837</v>
      </c>
      <c r="J149" s="53">
        <f t="shared" si="24"/>
        <v>300.02936168147835</v>
      </c>
      <c r="K149" s="53">
        <f t="shared" si="25"/>
        <v>-25.734438022514833</v>
      </c>
      <c r="L149" s="53">
        <f t="shared" si="26"/>
        <v>274.29492365896351</v>
      </c>
    </row>
    <row r="150" spans="1:12" x14ac:dyDescent="0.2">
      <c r="A150" s="31">
        <f t="shared" si="21"/>
        <v>141</v>
      </c>
      <c r="B150" s="31"/>
      <c r="C150" s="57" t="str">
        <f t="shared" si="27"/>
        <v>58E &amp; 59E</v>
      </c>
      <c r="D150" s="37" t="s">
        <v>33</v>
      </c>
      <c r="E150" s="404" t="s">
        <v>36</v>
      </c>
      <c r="F150" s="398">
        <v>17.170000000000002</v>
      </c>
      <c r="G150" s="52">
        <f t="shared" si="22"/>
        <v>0.43774709684820512</v>
      </c>
      <c r="H150" s="52">
        <f t="shared" si="23"/>
        <v>-3.7546910309849725E-2</v>
      </c>
      <c r="I150" s="399">
        <v>194</v>
      </c>
      <c r="J150" s="53">
        <f t="shared" si="24"/>
        <v>84.922936788551795</v>
      </c>
      <c r="K150" s="53">
        <f t="shared" si="25"/>
        <v>-7.2841006001108468</v>
      </c>
      <c r="L150" s="53">
        <f t="shared" si="26"/>
        <v>77.638836188440948</v>
      </c>
    </row>
    <row r="151" spans="1:12" x14ac:dyDescent="0.2">
      <c r="A151" s="31">
        <f t="shared" si="21"/>
        <v>142</v>
      </c>
      <c r="B151" s="31"/>
      <c r="C151" s="57" t="str">
        <f t="shared" si="27"/>
        <v>58E &amp; 59E</v>
      </c>
      <c r="D151" s="37" t="s">
        <v>33</v>
      </c>
      <c r="E151" s="404" t="s">
        <v>37</v>
      </c>
      <c r="F151" s="398">
        <v>17.170000000000002</v>
      </c>
      <c r="G151" s="52">
        <f t="shared" si="22"/>
        <v>0.43774709684820512</v>
      </c>
      <c r="H151" s="52">
        <f t="shared" si="23"/>
        <v>-3.7546910309849725E-2</v>
      </c>
      <c r="I151" s="399">
        <v>1675</v>
      </c>
      <c r="J151" s="53">
        <f t="shared" si="24"/>
        <v>733.22638722074362</v>
      </c>
      <c r="K151" s="53">
        <f t="shared" si="25"/>
        <v>-62.891074768998287</v>
      </c>
      <c r="L151" s="53">
        <f t="shared" si="26"/>
        <v>670.33531245174538</v>
      </c>
    </row>
    <row r="152" spans="1:12" x14ac:dyDescent="0.2">
      <c r="A152" s="31">
        <f t="shared" si="21"/>
        <v>143</v>
      </c>
      <c r="B152" s="31"/>
      <c r="C152" s="57" t="str">
        <f t="shared" si="27"/>
        <v>58E &amp; 59E</v>
      </c>
      <c r="D152" s="37" t="s">
        <v>33</v>
      </c>
      <c r="E152" s="404" t="s">
        <v>38</v>
      </c>
      <c r="F152" s="398">
        <v>25.65</v>
      </c>
      <c r="G152" s="52">
        <f t="shared" si="22"/>
        <v>0.65394368282798243</v>
      </c>
      <c r="H152" s="52">
        <f t="shared" si="23"/>
        <v>-5.6090754190311322E-2</v>
      </c>
      <c r="I152" s="399">
        <v>320</v>
      </c>
      <c r="J152" s="53">
        <f t="shared" si="24"/>
        <v>209.26197850495439</v>
      </c>
      <c r="K152" s="53">
        <f t="shared" si="25"/>
        <v>-17.949041340899623</v>
      </c>
      <c r="L152" s="53">
        <f t="shared" si="26"/>
        <v>191.31293716405477</v>
      </c>
    </row>
    <row r="153" spans="1:12" x14ac:dyDescent="0.2">
      <c r="A153" s="31">
        <f t="shared" si="21"/>
        <v>144</v>
      </c>
      <c r="B153" s="31"/>
      <c r="C153" s="57" t="str">
        <f t="shared" si="27"/>
        <v>58E &amp; 59E</v>
      </c>
      <c r="D153" s="37" t="s">
        <v>33</v>
      </c>
      <c r="E153" s="404" t="s">
        <v>39</v>
      </c>
      <c r="F153" s="398">
        <v>25.65</v>
      </c>
      <c r="G153" s="52">
        <f t="shared" si="22"/>
        <v>0.65394368282798243</v>
      </c>
      <c r="H153" s="52">
        <f t="shared" si="23"/>
        <v>-5.6090754190311322E-2</v>
      </c>
      <c r="I153" s="399">
        <v>0</v>
      </c>
      <c r="J153" s="53">
        <f t="shared" si="24"/>
        <v>0</v>
      </c>
      <c r="K153" s="53">
        <f t="shared" si="25"/>
        <v>0</v>
      </c>
      <c r="L153" s="53">
        <f t="shared" si="26"/>
        <v>0</v>
      </c>
    </row>
    <row r="154" spans="1:12" x14ac:dyDescent="0.2">
      <c r="A154" s="31">
        <f t="shared" si="21"/>
        <v>145</v>
      </c>
      <c r="B154" s="31"/>
      <c r="C154" s="57" t="str">
        <f t="shared" si="27"/>
        <v>58E &amp; 59E</v>
      </c>
      <c r="D154" s="37" t="s">
        <v>33</v>
      </c>
      <c r="E154" s="404" t="s">
        <v>40</v>
      </c>
      <c r="F154" s="398">
        <v>25.65</v>
      </c>
      <c r="G154" s="52">
        <f t="shared" si="22"/>
        <v>0.65394368282798243</v>
      </c>
      <c r="H154" s="52">
        <f t="shared" si="23"/>
        <v>-5.6090754190311322E-2</v>
      </c>
      <c r="I154" s="399">
        <v>180</v>
      </c>
      <c r="J154" s="53">
        <f t="shared" si="24"/>
        <v>117.70986290903684</v>
      </c>
      <c r="K154" s="53">
        <f t="shared" si="25"/>
        <v>-10.096335754256039</v>
      </c>
      <c r="L154" s="53">
        <f t="shared" si="26"/>
        <v>107.6135271547808</v>
      </c>
    </row>
    <row r="155" spans="1:12" x14ac:dyDescent="0.2">
      <c r="A155" s="31">
        <f t="shared" si="21"/>
        <v>146</v>
      </c>
      <c r="B155" s="31"/>
      <c r="C155" s="57" t="str">
        <f t="shared" si="27"/>
        <v>58E &amp; 59E</v>
      </c>
      <c r="D155" s="37" t="s">
        <v>33</v>
      </c>
      <c r="E155" s="404" t="s">
        <v>41</v>
      </c>
      <c r="F155" s="398">
        <v>31.78</v>
      </c>
      <c r="G155" s="52">
        <f t="shared" si="22"/>
        <v>0.81022729981572261</v>
      </c>
      <c r="H155" s="52">
        <f t="shared" si="23"/>
        <v>-6.9495679070880848E-2</v>
      </c>
      <c r="I155" s="399">
        <v>263</v>
      </c>
      <c r="J155" s="53">
        <f t="shared" si="24"/>
        <v>213.08977985153504</v>
      </c>
      <c r="K155" s="53">
        <f t="shared" si="25"/>
        <v>-18.277363595641663</v>
      </c>
      <c r="L155" s="53">
        <f t="shared" si="26"/>
        <v>194.81241625589337</v>
      </c>
    </row>
    <row r="156" spans="1:12" x14ac:dyDescent="0.2">
      <c r="A156" s="31">
        <f t="shared" si="21"/>
        <v>147</v>
      </c>
      <c r="B156" s="31"/>
      <c r="C156" s="57" t="str">
        <f t="shared" si="27"/>
        <v>58E &amp; 59E</v>
      </c>
      <c r="D156" s="37" t="s">
        <v>33</v>
      </c>
      <c r="E156" s="404" t="s">
        <v>42</v>
      </c>
      <c r="F156" s="398">
        <v>31.78</v>
      </c>
      <c r="G156" s="52">
        <f t="shared" si="22"/>
        <v>0.81022729981572261</v>
      </c>
      <c r="H156" s="52">
        <f t="shared" si="23"/>
        <v>-6.9495679070880848E-2</v>
      </c>
      <c r="I156" s="399">
        <v>0</v>
      </c>
      <c r="J156" s="53">
        <f t="shared" si="24"/>
        <v>0</v>
      </c>
      <c r="K156" s="53">
        <f t="shared" si="25"/>
        <v>0</v>
      </c>
      <c r="L156" s="53">
        <f t="shared" si="26"/>
        <v>0</v>
      </c>
    </row>
    <row r="157" spans="1:12" x14ac:dyDescent="0.2">
      <c r="A157" s="31">
        <f t="shared" si="21"/>
        <v>148</v>
      </c>
      <c r="B157" s="31"/>
      <c r="C157" s="57" t="str">
        <f t="shared" si="27"/>
        <v>58E &amp; 59E</v>
      </c>
      <c r="D157" s="37" t="s">
        <v>33</v>
      </c>
      <c r="E157" s="404" t="s">
        <v>52</v>
      </c>
      <c r="F157" s="398">
        <v>44.71</v>
      </c>
      <c r="G157" s="52">
        <f t="shared" si="22"/>
        <v>1.139876103674039</v>
      </c>
      <c r="H157" s="52">
        <f t="shared" si="23"/>
        <v>-9.7770667440499781E-2</v>
      </c>
      <c r="I157" s="399">
        <v>0</v>
      </c>
      <c r="J157" s="53">
        <f t="shared" si="24"/>
        <v>0</v>
      </c>
      <c r="K157" s="53">
        <f t="shared" si="25"/>
        <v>0</v>
      </c>
      <c r="L157" s="53">
        <f t="shared" si="26"/>
        <v>0</v>
      </c>
    </row>
    <row r="158" spans="1:12" x14ac:dyDescent="0.2">
      <c r="A158" s="31">
        <f t="shared" si="21"/>
        <v>149</v>
      </c>
      <c r="B158" s="31"/>
      <c r="C158" s="57" t="str">
        <f t="shared" si="27"/>
        <v>58E &amp; 59E</v>
      </c>
      <c r="D158" s="37" t="s">
        <v>33</v>
      </c>
      <c r="E158" s="404" t="s">
        <v>53</v>
      </c>
      <c r="F158" s="398">
        <v>44.71</v>
      </c>
      <c r="G158" s="52">
        <f t="shared" si="22"/>
        <v>1.139876103674039</v>
      </c>
      <c r="H158" s="52">
        <f t="shared" si="23"/>
        <v>-9.7770667440499781E-2</v>
      </c>
      <c r="I158" s="399">
        <v>0</v>
      </c>
      <c r="J158" s="53">
        <f t="shared" si="24"/>
        <v>0</v>
      </c>
      <c r="K158" s="53">
        <f t="shared" si="25"/>
        <v>0</v>
      </c>
      <c r="L158" s="53">
        <f t="shared" si="26"/>
        <v>0</v>
      </c>
    </row>
    <row r="159" spans="1:12" x14ac:dyDescent="0.2">
      <c r="A159" s="31">
        <f t="shared" si="21"/>
        <v>150</v>
      </c>
      <c r="B159" s="31"/>
      <c r="C159" s="57" t="str">
        <f t="shared" si="27"/>
        <v>58E &amp; 59E</v>
      </c>
      <c r="D159" s="37" t="s">
        <v>33</v>
      </c>
      <c r="E159" s="404" t="s">
        <v>54</v>
      </c>
      <c r="F159" s="398">
        <v>44.71</v>
      </c>
      <c r="G159" s="52">
        <f t="shared" si="22"/>
        <v>1.139876103674039</v>
      </c>
      <c r="H159" s="52">
        <f t="shared" si="23"/>
        <v>-9.7770667440499781E-2</v>
      </c>
      <c r="I159" s="399">
        <v>0</v>
      </c>
      <c r="J159" s="53">
        <f t="shared" si="24"/>
        <v>0</v>
      </c>
      <c r="K159" s="53">
        <f t="shared" si="25"/>
        <v>0</v>
      </c>
      <c r="L159" s="53">
        <f t="shared" si="26"/>
        <v>0</v>
      </c>
    </row>
    <row r="160" spans="1:12" x14ac:dyDescent="0.2">
      <c r="A160" s="31">
        <f t="shared" si="21"/>
        <v>151</v>
      </c>
      <c r="B160" s="31"/>
      <c r="C160" s="57" t="str">
        <f t="shared" si="27"/>
        <v>58E &amp; 59E</v>
      </c>
      <c r="D160" s="37" t="s">
        <v>33</v>
      </c>
      <c r="E160" s="404" t="s">
        <v>55</v>
      </c>
      <c r="F160" s="398">
        <v>104.12</v>
      </c>
      <c r="G160" s="52">
        <f t="shared" si="22"/>
        <v>2.6545269495535884</v>
      </c>
      <c r="H160" s="52">
        <f t="shared" si="23"/>
        <v>-0.22768691330585633</v>
      </c>
      <c r="I160" s="399">
        <v>0</v>
      </c>
      <c r="J160" s="53">
        <f t="shared" si="24"/>
        <v>0</v>
      </c>
      <c r="K160" s="53">
        <f t="shared" si="25"/>
        <v>0</v>
      </c>
      <c r="L160" s="53">
        <f t="shared" si="26"/>
        <v>0</v>
      </c>
    </row>
    <row r="161" spans="1:13" x14ac:dyDescent="0.2">
      <c r="A161" s="31">
        <f t="shared" si="21"/>
        <v>152</v>
      </c>
      <c r="B161" s="31"/>
      <c r="C161" s="57" t="str">
        <f t="shared" si="27"/>
        <v>58E &amp; 59E</v>
      </c>
      <c r="D161" s="37" t="s">
        <v>33</v>
      </c>
      <c r="E161" s="404" t="s">
        <v>56</v>
      </c>
      <c r="F161" s="398">
        <v>104.12</v>
      </c>
      <c r="G161" s="52">
        <f t="shared" si="22"/>
        <v>2.6545269495535884</v>
      </c>
      <c r="H161" s="52">
        <f t="shared" si="23"/>
        <v>-0.22768691330585633</v>
      </c>
      <c r="I161" s="399">
        <v>0</v>
      </c>
      <c r="J161" s="53">
        <f t="shared" si="24"/>
        <v>0</v>
      </c>
      <c r="K161" s="53">
        <f t="shared" si="25"/>
        <v>0</v>
      </c>
      <c r="L161" s="53">
        <f t="shared" si="26"/>
        <v>0</v>
      </c>
    </row>
    <row r="162" spans="1:13" x14ac:dyDescent="0.2">
      <c r="A162" s="31">
        <f t="shared" si="21"/>
        <v>153</v>
      </c>
      <c r="B162" s="31"/>
      <c r="C162" s="57" t="str">
        <f t="shared" si="27"/>
        <v>58E &amp; 59E</v>
      </c>
      <c r="D162" s="37" t="s">
        <v>33</v>
      </c>
      <c r="E162" s="404" t="s">
        <v>57</v>
      </c>
      <c r="F162" s="398">
        <v>104.12</v>
      </c>
      <c r="G162" s="52">
        <f t="shared" si="22"/>
        <v>2.6545269495535884</v>
      </c>
      <c r="H162" s="52">
        <f t="shared" si="23"/>
        <v>-0.22768691330585633</v>
      </c>
      <c r="I162" s="399">
        <v>0</v>
      </c>
      <c r="J162" s="53">
        <f t="shared" si="24"/>
        <v>0</v>
      </c>
      <c r="K162" s="53">
        <f t="shared" si="25"/>
        <v>0</v>
      </c>
      <c r="L162" s="53">
        <f t="shared" si="26"/>
        <v>0</v>
      </c>
    </row>
    <row r="163" spans="1:13" s="30" customFormat="1" x14ac:dyDescent="0.2">
      <c r="A163" s="31">
        <f t="shared" si="21"/>
        <v>154</v>
      </c>
      <c r="B163" s="31"/>
      <c r="C163" s="57"/>
      <c r="D163" s="37"/>
      <c r="E163" s="404"/>
      <c r="F163" s="156"/>
      <c r="G163" s="52"/>
      <c r="H163" s="52"/>
      <c r="I163" s="158"/>
      <c r="J163" s="53"/>
      <c r="K163" s="53"/>
      <c r="L163" s="53"/>
    </row>
    <row r="164" spans="1:13" s="30" customFormat="1" ht="13.5" x14ac:dyDescent="0.35">
      <c r="A164" s="31">
        <f t="shared" si="21"/>
        <v>155</v>
      </c>
      <c r="B164" s="31"/>
      <c r="C164" s="255" t="s">
        <v>61</v>
      </c>
      <c r="D164" s="37"/>
      <c r="E164" s="404"/>
      <c r="F164" s="156"/>
      <c r="G164" s="52"/>
      <c r="H164" s="52"/>
      <c r="I164" s="158"/>
      <c r="J164" s="53"/>
      <c r="K164" s="53"/>
      <c r="L164" s="53"/>
    </row>
    <row r="165" spans="1:13" s="30" customFormat="1" x14ac:dyDescent="0.2">
      <c r="A165" s="31">
        <f t="shared" si="21"/>
        <v>156</v>
      </c>
      <c r="B165" s="31"/>
      <c r="C165" s="57" t="s">
        <v>286</v>
      </c>
      <c r="D165" s="37" t="s">
        <v>62</v>
      </c>
      <c r="E165" s="9" t="s">
        <v>287</v>
      </c>
      <c r="F165" s="252">
        <v>5.12</v>
      </c>
      <c r="G165" s="52">
        <f>F165*$J$173</f>
        <v>0.13053378776137506</v>
      </c>
      <c r="H165" s="52">
        <f>F165*$K$173</f>
        <v>-1.1196283097637191E-2</v>
      </c>
      <c r="I165" s="405">
        <v>6953</v>
      </c>
      <c r="J165" s="53">
        <f>I165*G165</f>
        <v>907.60142630484074</v>
      </c>
      <c r="K165" s="53">
        <f>I165*H165</f>
        <v>-77.847756377871391</v>
      </c>
      <c r="L165" s="53">
        <f>SUM(J165:K165)</f>
        <v>829.75366992696934</v>
      </c>
    </row>
    <row r="166" spans="1:13" s="30" customFormat="1" x14ac:dyDescent="0.2">
      <c r="A166" s="31">
        <f t="shared" si="21"/>
        <v>157</v>
      </c>
      <c r="B166" s="31"/>
      <c r="C166" s="57" t="s">
        <v>286</v>
      </c>
      <c r="D166" s="37" t="s">
        <v>62</v>
      </c>
      <c r="E166" s="9" t="s">
        <v>288</v>
      </c>
      <c r="F166" s="252">
        <v>5.12</v>
      </c>
      <c r="G166" s="52">
        <f>F166*$J$173</f>
        <v>0.13053378776137506</v>
      </c>
      <c r="H166" s="52">
        <f>F166*$K$173</f>
        <v>-1.1196283097637191E-2</v>
      </c>
      <c r="I166" s="405">
        <v>4012</v>
      </c>
      <c r="J166" s="53">
        <f>I166*G166</f>
        <v>523.70155649863671</v>
      </c>
      <c r="K166" s="53">
        <f>I166*H166</f>
        <v>-44.919487787720414</v>
      </c>
      <c r="L166" s="53">
        <f>SUM(J166:K166)</f>
        <v>478.78206871091629</v>
      </c>
    </row>
    <row r="167" spans="1:13" s="30" customFormat="1" x14ac:dyDescent="0.2">
      <c r="A167" s="31">
        <f t="shared" si="21"/>
        <v>158</v>
      </c>
      <c r="B167" s="31"/>
      <c r="C167" s="57"/>
      <c r="D167" s="37"/>
      <c r="E167" s="9"/>
      <c r="I167" s="406"/>
      <c r="J167" s="53"/>
      <c r="K167" s="53"/>
      <c r="L167" s="53"/>
    </row>
    <row r="168" spans="1:13" s="30" customFormat="1" x14ac:dyDescent="0.2">
      <c r="A168" s="31">
        <f t="shared" si="21"/>
        <v>159</v>
      </c>
      <c r="B168" s="31"/>
      <c r="C168" s="57" t="s">
        <v>289</v>
      </c>
      <c r="D168" s="37" t="s">
        <v>62</v>
      </c>
      <c r="E168" s="9" t="s">
        <v>288</v>
      </c>
      <c r="F168" s="252">
        <v>5.12</v>
      </c>
      <c r="G168" s="52">
        <f>F168*$J$173</f>
        <v>0.13053378776137506</v>
      </c>
      <c r="H168" s="52">
        <f>F168*$K$173</f>
        <v>-1.1196283097637191E-2</v>
      </c>
      <c r="I168" s="406">
        <v>1836</v>
      </c>
      <c r="J168" s="53">
        <f>I168*G168</f>
        <v>239.66003432988461</v>
      </c>
      <c r="K168" s="53">
        <f>I168*H168</f>
        <v>-20.556375767261883</v>
      </c>
      <c r="L168" s="53">
        <f>SUM(J168:K168)</f>
        <v>219.10365856262274</v>
      </c>
    </row>
    <row r="169" spans="1:13" x14ac:dyDescent="0.2">
      <c r="A169" s="31">
        <f t="shared" si="21"/>
        <v>160</v>
      </c>
      <c r="B169" s="31"/>
      <c r="C169" s="226"/>
      <c r="D169" s="226"/>
      <c r="E169" s="226"/>
      <c r="F169" s="4"/>
      <c r="G169" s="4"/>
      <c r="H169" s="4"/>
      <c r="L169" s="30"/>
    </row>
    <row r="170" spans="1:13" x14ac:dyDescent="0.2">
      <c r="A170" s="31">
        <f t="shared" si="21"/>
        <v>161</v>
      </c>
      <c r="B170" s="31"/>
      <c r="C170" s="33"/>
      <c r="D170" s="226"/>
      <c r="E170" s="226"/>
      <c r="I170" s="259" t="s">
        <v>190</v>
      </c>
      <c r="J170" s="53">
        <f>SUM(J11:J162)</f>
        <v>438094.07470727572</v>
      </c>
      <c r="K170" s="53">
        <f>SUM(K11:K162)</f>
        <v>-37576.671664403126</v>
      </c>
      <c r="L170" s="53"/>
    </row>
    <row r="171" spans="1:13" ht="13.5" x14ac:dyDescent="0.35">
      <c r="A171" s="31">
        <f t="shared" si="21"/>
        <v>162</v>
      </c>
      <c r="B171" s="31"/>
      <c r="C171" s="32"/>
      <c r="D171" s="226"/>
      <c r="E171" s="226"/>
      <c r="I171" s="260" t="s">
        <v>191</v>
      </c>
      <c r="J171" s="257">
        <f>+'Rate Spread &amp; Design'!G28</f>
        <v>438094.07470727933</v>
      </c>
      <c r="K171" s="257">
        <f>+'Rate Spread &amp; Design'!H28</f>
        <v>-37576.671664403468</v>
      </c>
      <c r="L171" s="53"/>
    </row>
    <row r="172" spans="1:13" x14ac:dyDescent="0.2">
      <c r="A172" s="31">
        <f t="shared" si="21"/>
        <v>163</v>
      </c>
      <c r="B172" s="31"/>
      <c r="C172" s="226"/>
      <c r="D172" s="226"/>
      <c r="E172" s="226"/>
      <c r="I172" s="402" t="s">
        <v>189</v>
      </c>
      <c r="J172" s="403">
        <f>+J170-J171</f>
        <v>-3.6088749766349792E-9</v>
      </c>
      <c r="K172" s="403">
        <f>+K170-K171</f>
        <v>3.4197000786662102E-10</v>
      </c>
      <c r="L172" s="53"/>
    </row>
    <row r="173" spans="1:13" ht="13.5" x14ac:dyDescent="0.35">
      <c r="A173" s="31">
        <f t="shared" si="21"/>
        <v>164</v>
      </c>
      <c r="B173" s="31"/>
      <c r="C173" s="226"/>
      <c r="D173" s="226"/>
      <c r="E173" s="226"/>
      <c r="F173" s="4"/>
      <c r="G173" s="4"/>
      <c r="H173" s="4"/>
      <c r="I173" s="261" t="s">
        <v>192</v>
      </c>
      <c r="J173" s="258">
        <v>2.5494880422143568E-2</v>
      </c>
      <c r="K173" s="258">
        <v>-2.186774042507264E-3</v>
      </c>
      <c r="L173" s="30"/>
    </row>
    <row r="174" spans="1:13" ht="13.5" x14ac:dyDescent="0.35">
      <c r="A174" s="31">
        <f t="shared" si="21"/>
        <v>165</v>
      </c>
      <c r="B174" s="31"/>
      <c r="C174" s="226"/>
      <c r="D174" s="226"/>
      <c r="E174" s="226"/>
      <c r="F174" s="226"/>
      <c r="G174" s="226"/>
      <c r="H174" s="226"/>
      <c r="I174" s="261"/>
      <c r="J174" s="258"/>
      <c r="K174" s="258"/>
      <c r="L174" s="30"/>
    </row>
    <row r="175" spans="1:13" ht="13.5" x14ac:dyDescent="0.35">
      <c r="A175" s="31">
        <f t="shared" si="21"/>
        <v>166</v>
      </c>
      <c r="B175" s="31"/>
      <c r="C175" s="335" t="s">
        <v>275</v>
      </c>
      <c r="D175" s="226"/>
      <c r="E175" s="226"/>
      <c r="F175" s="226"/>
      <c r="G175" s="226"/>
      <c r="H175" s="226"/>
      <c r="I175" s="261"/>
      <c r="J175" s="258"/>
      <c r="K175" s="258"/>
      <c r="L175" s="30"/>
    </row>
    <row r="176" spans="1:13" x14ac:dyDescent="0.2">
      <c r="A176" s="31">
        <f t="shared" si="21"/>
        <v>167</v>
      </c>
      <c r="F176" s="340"/>
      <c r="G176" s="340"/>
      <c r="H176" s="340"/>
      <c r="I176" s="340"/>
      <c r="J176" s="340"/>
      <c r="K176" s="340"/>
      <c r="L176" s="340"/>
      <c r="M176" s="148"/>
    </row>
    <row r="177" spans="1:12" x14ac:dyDescent="0.2">
      <c r="A177" s="31"/>
      <c r="B177" s="31"/>
      <c r="C177" s="33"/>
      <c r="D177" s="226"/>
      <c r="E177" s="226"/>
      <c r="F177" s="4"/>
      <c r="G177" s="4"/>
      <c r="H177" s="4"/>
      <c r="I177" s="30"/>
      <c r="J177" s="30"/>
      <c r="K177" s="30"/>
      <c r="L177" s="30"/>
    </row>
    <row r="178" spans="1:12" x14ac:dyDescent="0.2">
      <c r="A178" s="31"/>
      <c r="B178" s="31"/>
      <c r="C178" s="226"/>
      <c r="D178" s="226"/>
      <c r="E178" s="226"/>
      <c r="F178" s="4"/>
      <c r="G178" s="4"/>
      <c r="H178" s="4"/>
      <c r="I178" s="30"/>
      <c r="J178" s="30"/>
      <c r="K178" s="30"/>
      <c r="L178" s="30"/>
    </row>
    <row r="179" spans="1:12" x14ac:dyDescent="0.2">
      <c r="A179" s="31"/>
      <c r="B179" s="31"/>
      <c r="C179" s="50"/>
      <c r="D179" s="226"/>
      <c r="E179" s="226"/>
      <c r="F179" s="4"/>
      <c r="G179" s="4"/>
      <c r="H179" s="4"/>
      <c r="I179" s="59"/>
      <c r="J179" s="59"/>
      <c r="K179" s="59"/>
      <c r="L179" s="53"/>
    </row>
    <row r="180" spans="1:12" x14ac:dyDescent="0.2">
      <c r="A180" s="31"/>
      <c r="B180" s="31"/>
      <c r="C180" s="226"/>
      <c r="D180" s="226"/>
      <c r="E180" s="226"/>
      <c r="F180" s="4"/>
      <c r="G180" s="4"/>
      <c r="H180" s="4"/>
      <c r="I180" s="59"/>
      <c r="J180" s="59"/>
      <c r="K180" s="59"/>
      <c r="L180" s="53"/>
    </row>
  </sheetData>
  <mergeCells count="2">
    <mergeCell ref="O7:P7"/>
    <mergeCell ref="N6:V6"/>
  </mergeCells>
  <printOptions horizontalCentered="1"/>
  <pageMargins left="0.7" right="0.7" top="0.75" bottom="0.75" header="0.3" footer="0.3"/>
  <pageSetup scale="66" fitToHeight="0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4" tint="0.79998168889431442"/>
    <pageSetUpPr fitToPage="1"/>
  </sheetPr>
  <dimension ref="A1:S46"/>
  <sheetViews>
    <sheetView workbookViewId="0">
      <pane xSplit="3" ySplit="8" topLeftCell="I9" activePane="bottomRight" state="frozen"/>
      <selection activeCell="E34" sqref="E34"/>
      <selection pane="topRight" activeCell="E34" sqref="E34"/>
      <selection pane="bottomLeft" activeCell="E34" sqref="E34"/>
      <selection pane="bottomRight" activeCell="R16" sqref="R16"/>
    </sheetView>
  </sheetViews>
  <sheetFormatPr defaultColWidth="9.140625" defaultRowHeight="11.25" x14ac:dyDescent="0.2"/>
  <cols>
    <col min="1" max="1" width="7.28515625" style="7" customWidth="1"/>
    <col min="2" max="2" width="39.42578125" style="7" bestFit="1" customWidth="1"/>
    <col min="3" max="3" width="12.7109375" style="7" customWidth="1"/>
    <col min="4" max="4" width="14.7109375" style="7" customWidth="1"/>
    <col min="5" max="5" width="8.42578125" style="7" customWidth="1"/>
    <col min="6" max="6" width="0.28515625" style="7" customWidth="1"/>
    <col min="7" max="7" width="13.7109375" style="7" customWidth="1"/>
    <col min="8" max="8" width="17.7109375" style="7" customWidth="1"/>
    <col min="9" max="9" width="11.5703125" style="7" customWidth="1"/>
    <col min="10" max="10" width="0.28515625" style="7" customWidth="1"/>
    <col min="11" max="11" width="15.7109375" style="7" bestFit="1" customWidth="1"/>
    <col min="12" max="12" width="14.7109375" style="7" customWidth="1"/>
    <col min="13" max="13" width="0.28515625" style="7" customWidth="1"/>
    <col min="14" max="15" width="9.42578125" style="7" bestFit="1" customWidth="1"/>
    <col min="16" max="17" width="10" style="7" bestFit="1" customWidth="1"/>
    <col min="18" max="19" width="9.42578125" style="7" bestFit="1" customWidth="1"/>
    <col min="20" max="16384" width="9.140625" style="7"/>
  </cols>
  <sheetData>
    <row r="1" spans="1:19" s="62" customFormat="1" x14ac:dyDescent="0.2">
      <c r="A1" s="113" t="s">
        <v>112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s="62" customFormat="1" x14ac:dyDescent="0.2">
      <c r="A2" s="113" t="s">
        <v>23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s="62" customFormat="1" x14ac:dyDescent="0.2">
      <c r="A3" s="114" t="str">
        <f>Inputs!B2&amp;" Forecasted Rate-Year Ended "&amp;TEXT(Inputs!B4,"mmmm d, yyyy")</f>
        <v>F2024 Forecasted Rate-Year Ended April 30, 2026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s="62" customFormat="1" x14ac:dyDescent="0.2">
      <c r="A4" s="114" t="str">
        <f>"Proposed Rate Effective "&amp;TEXT(Inputs!B1,"mmmm d, yyyy")</f>
        <v>Proposed Rate Effective May 1, 2025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s="62" customFormat="1" x14ac:dyDescent="0.2">
      <c r="A5" s="113" t="s">
        <v>196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1:19" s="64" customFormat="1" x14ac:dyDescent="0.2">
      <c r="A6" s="200" t="s">
        <v>113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</row>
    <row r="7" spans="1:19" s="68" customFormat="1" ht="56.25" x14ac:dyDescent="0.2">
      <c r="A7" s="66" t="s">
        <v>0</v>
      </c>
      <c r="B7" s="66" t="s">
        <v>1</v>
      </c>
      <c r="C7" s="66" t="s">
        <v>2</v>
      </c>
      <c r="D7" s="67" t="s">
        <v>97</v>
      </c>
      <c r="E7" s="66" t="s">
        <v>3</v>
      </c>
      <c r="F7" s="66"/>
      <c r="G7" s="66" t="s">
        <v>93</v>
      </c>
      <c r="H7" s="66" t="s">
        <v>92</v>
      </c>
      <c r="I7" s="66" t="s">
        <v>91</v>
      </c>
      <c r="J7" s="142"/>
      <c r="K7" s="66" t="str">
        <f>Inputs!B2&amp;" Forecasted Rate-Year Energy (kWh)"</f>
        <v>F2024 Forecasted Rate-Year Energy (kWh)</v>
      </c>
      <c r="L7" s="66" t="str">
        <f>Inputs!B2&amp;" Forecasted Rate-Year Demand (kVA)"</f>
        <v>F2024 Forecasted Rate-Year Demand (kVA)</v>
      </c>
      <c r="M7" s="142"/>
      <c r="N7" s="70" t="s">
        <v>94</v>
      </c>
      <c r="O7" s="70"/>
      <c r="P7" s="70" t="s">
        <v>95</v>
      </c>
      <c r="Q7" s="70"/>
      <c r="R7" s="70" t="s">
        <v>96</v>
      </c>
      <c r="S7" s="70"/>
    </row>
    <row r="8" spans="1:19" s="8" customFormat="1" ht="22.5" x14ac:dyDescent="0.2">
      <c r="A8" s="12"/>
      <c r="B8" s="12"/>
      <c r="C8" s="13"/>
      <c r="D8" s="139" t="s">
        <v>19</v>
      </c>
      <c r="E8" s="139" t="s">
        <v>27</v>
      </c>
      <c r="F8" s="141"/>
      <c r="G8" s="140" t="s">
        <v>64</v>
      </c>
      <c r="H8" s="140" t="s">
        <v>65</v>
      </c>
      <c r="I8" s="139" t="s">
        <v>66</v>
      </c>
      <c r="J8" s="143"/>
      <c r="K8" s="139" t="s">
        <v>16</v>
      </c>
      <c r="L8" s="139" t="s">
        <v>28</v>
      </c>
      <c r="M8" s="139"/>
      <c r="N8" s="140" t="s">
        <v>134</v>
      </c>
      <c r="O8" s="140" t="s">
        <v>137</v>
      </c>
      <c r="P8" s="140" t="s">
        <v>135</v>
      </c>
      <c r="Q8" s="140" t="s">
        <v>138</v>
      </c>
      <c r="R8" s="140" t="s">
        <v>136</v>
      </c>
      <c r="S8" s="140" t="s">
        <v>139</v>
      </c>
    </row>
    <row r="9" spans="1:19" s="8" customFormat="1" x14ac:dyDescent="0.2">
      <c r="A9" s="8">
        <v>1</v>
      </c>
      <c r="C9" s="11"/>
      <c r="D9" s="7"/>
      <c r="F9" s="7"/>
      <c r="J9" s="11"/>
      <c r="K9" s="11"/>
      <c r="L9" s="11"/>
      <c r="M9" s="11"/>
    </row>
    <row r="10" spans="1:19" x14ac:dyDescent="0.2">
      <c r="A10" s="8">
        <f>+A9+1</f>
        <v>2</v>
      </c>
      <c r="B10" s="34" t="s">
        <v>4</v>
      </c>
      <c r="C10" s="123" t="str">
        <f>'Sch 140 Rates'!$C$11</f>
        <v>7 (307) (317) (327)</v>
      </c>
      <c r="D10" s="387">
        <f>'Plant-In-Service Trans Adj'!E40</f>
        <v>6720253610.3311548</v>
      </c>
      <c r="E10" s="35">
        <f>+D10/$D$38</f>
        <v>0.59539350193568574</v>
      </c>
      <c r="G10" s="15">
        <f>+E10*$G$40</f>
        <v>26123683.85614682</v>
      </c>
      <c r="H10" s="15">
        <f>+E10*$H$40</f>
        <v>-2240708.4404942207</v>
      </c>
      <c r="I10" s="15">
        <f>SUM(G10:H10)</f>
        <v>23882975.415652599</v>
      </c>
      <c r="J10" s="133"/>
      <c r="K10" s="231">
        <f>'Rate Impacts'!G10</f>
        <v>11360099583.257719</v>
      </c>
      <c r="L10" s="136" t="s">
        <v>145</v>
      </c>
      <c r="M10" s="144"/>
      <c r="N10" s="6">
        <f>G10/$K10</f>
        <v>2.2995998991635043E-3</v>
      </c>
      <c r="O10" s="198" t="s">
        <v>145</v>
      </c>
      <c r="P10" s="6">
        <f>H10/$K10</f>
        <v>-1.972437322465492E-4</v>
      </c>
      <c r="Q10" s="198" t="s">
        <v>145</v>
      </c>
      <c r="R10" s="6">
        <f>SUM(N10:P10)</f>
        <v>2.1023561669169552E-3</v>
      </c>
      <c r="S10" s="198" t="s">
        <v>145</v>
      </c>
    </row>
    <row r="11" spans="1:19" x14ac:dyDescent="0.2">
      <c r="A11" s="8">
        <f>+A10+1</f>
        <v>3</v>
      </c>
      <c r="B11" s="16"/>
      <c r="C11" s="123" t="s">
        <v>113</v>
      </c>
      <c r="D11" s="18">
        <f>SUM(D10:D10)</f>
        <v>6720253610.3311548</v>
      </c>
      <c r="E11" s="36">
        <f>+D11/$D$38</f>
        <v>0.59539350193568574</v>
      </c>
      <c r="G11" s="18">
        <f>SUM(G10:G10)</f>
        <v>26123683.85614682</v>
      </c>
      <c r="H11" s="18">
        <f>SUM(H10:H10)</f>
        <v>-2240708.4404942207</v>
      </c>
      <c r="I11" s="18">
        <f>SUM(I10:I10)</f>
        <v>23882975.415652599</v>
      </c>
      <c r="J11" s="20"/>
      <c r="K11" s="150">
        <f>SUM(K10:K10)</f>
        <v>11360099583.257719</v>
      </c>
      <c r="L11" s="137"/>
      <c r="M11" s="37"/>
      <c r="N11" s="19"/>
      <c r="O11" s="194"/>
      <c r="P11" s="19"/>
      <c r="Q11" s="194"/>
      <c r="R11" s="19"/>
      <c r="S11" s="194"/>
    </row>
    <row r="12" spans="1:19" x14ac:dyDescent="0.2">
      <c r="A12" s="8">
        <f>+A11+1</f>
        <v>4</v>
      </c>
      <c r="C12" s="123" t="s">
        <v>113</v>
      </c>
      <c r="D12" s="20"/>
      <c r="E12" s="38"/>
      <c r="G12" s="20"/>
      <c r="H12" s="20"/>
      <c r="I12" s="20"/>
      <c r="J12" s="20"/>
      <c r="K12" s="152"/>
      <c r="L12" s="54"/>
      <c r="M12" s="37"/>
      <c r="N12" s="21"/>
      <c r="O12" s="193"/>
      <c r="P12" s="21"/>
      <c r="Q12" s="193"/>
      <c r="R12" s="21"/>
      <c r="S12" s="193"/>
    </row>
    <row r="13" spans="1:19" x14ac:dyDescent="0.2">
      <c r="A13" s="8">
        <f>+A12+1</f>
        <v>5</v>
      </c>
      <c r="B13" s="7" t="s">
        <v>5</v>
      </c>
      <c r="D13" s="20"/>
      <c r="E13" s="38"/>
      <c r="G13" s="20"/>
      <c r="H13" s="20"/>
      <c r="I13" s="20"/>
      <c r="J13" s="20"/>
      <c r="K13" s="152"/>
      <c r="L13" s="54"/>
      <c r="M13" s="37"/>
      <c r="N13" s="21"/>
      <c r="O13" s="193"/>
      <c r="P13" s="21"/>
      <c r="Q13" s="193"/>
      <c r="R13" s="21"/>
      <c r="S13" s="193"/>
    </row>
    <row r="14" spans="1:19" x14ac:dyDescent="0.2">
      <c r="A14" s="8">
        <f t="shared" ref="A14:A46" si="0">+A13+1</f>
        <v>6</v>
      </c>
      <c r="B14" s="203" t="s">
        <v>197</v>
      </c>
      <c r="C14" s="123" t="str">
        <f>'Sch 140 Rates'!$C$14</f>
        <v>08 (24) (324)</v>
      </c>
      <c r="D14" s="387">
        <f>'Plant-In-Service Trans Adj'!F40</f>
        <v>1405871447.7040446</v>
      </c>
      <c r="E14" s="35">
        <f>+D14/$D$38</f>
        <v>0.12455582379109888</v>
      </c>
      <c r="G14" s="15">
        <f>+E14*$G$40</f>
        <v>5465052.8643358937</v>
      </c>
      <c r="H14" s="15">
        <f>+E14*$H$40</f>
        <v>-468754.33603837632</v>
      </c>
      <c r="I14" s="15">
        <f>SUM(G14:H14)</f>
        <v>4996298.5282975174</v>
      </c>
      <c r="J14" s="133"/>
      <c r="K14" s="232">
        <f>'Rate Impacts'!G13</f>
        <v>2693017787.7097392</v>
      </c>
      <c r="L14" s="138" t="s">
        <v>145</v>
      </c>
      <c r="M14" s="144"/>
      <c r="N14" s="6">
        <f>G14/$K14</f>
        <v>2.0293415399174229E-3</v>
      </c>
      <c r="O14" s="198" t="s">
        <v>145</v>
      </c>
      <c r="P14" s="6">
        <f>H14/$K14</f>
        <v>-1.7406284435908818E-4</v>
      </c>
      <c r="Q14" s="198" t="s">
        <v>145</v>
      </c>
      <c r="R14" s="6">
        <f>SUM(N14:P14)</f>
        <v>1.8552786955583346E-3</v>
      </c>
      <c r="S14" s="198" t="s">
        <v>145</v>
      </c>
    </row>
    <row r="15" spans="1:19" x14ac:dyDescent="0.2">
      <c r="A15" s="8">
        <f t="shared" si="0"/>
        <v>7</v>
      </c>
      <c r="B15" s="203" t="s">
        <v>198</v>
      </c>
      <c r="C15" s="123" t="str">
        <f>'Sch 140 Rates'!$C$15&amp;", "&amp;'Sch 140 Rates'!$C$16&amp;", "&amp;'Sch 140 Rates'!$C$18</f>
        <v>7A, 11 / 25, 29</v>
      </c>
      <c r="D15" s="387">
        <f>'Plant-In-Service Trans Adj'!G40</f>
        <v>1434100041.2974298</v>
      </c>
      <c r="E15" s="35">
        <f>+D15/$D$38</f>
        <v>0.12705678910711715</v>
      </c>
      <c r="G15" s="15">
        <f>+E15*$G$40</f>
        <v>5574786.052619677</v>
      </c>
      <c r="H15" s="15">
        <f>+E15*$H$40</f>
        <v>-478166.48795936047</v>
      </c>
      <c r="I15" s="15">
        <f>SUM(G15:H15)</f>
        <v>5096619.5646603163</v>
      </c>
      <c r="J15" s="133"/>
      <c r="K15" s="232">
        <f>SUM('Rate Impacts'!G14,'Rate Impacts'!G16)</f>
        <v>2983513844.1578517</v>
      </c>
      <c r="L15" s="149" t="s">
        <v>145</v>
      </c>
      <c r="M15" s="144"/>
      <c r="N15" s="6">
        <f>G15/$K15</f>
        <v>1.8685303115103381E-3</v>
      </c>
      <c r="O15" s="198" t="s">
        <v>145</v>
      </c>
      <c r="P15" s="6">
        <f>H15/$K15</f>
        <v>-1.6026957236872861E-4</v>
      </c>
      <c r="Q15" s="198" t="s">
        <v>145</v>
      </c>
      <c r="R15" s="6">
        <f>SUM(N15:P15)</f>
        <v>1.7082607391416095E-3</v>
      </c>
      <c r="S15" s="198" t="s">
        <v>145</v>
      </c>
    </row>
    <row r="16" spans="1:19" x14ac:dyDescent="0.2">
      <c r="A16" s="8">
        <f t="shared" si="0"/>
        <v>8</v>
      </c>
      <c r="B16" s="22" t="s">
        <v>203</v>
      </c>
      <c r="C16" s="123" t="str">
        <f>'Sch 140 Rates'!$C$17</f>
        <v>12 (26) (26P)</v>
      </c>
      <c r="D16" s="388">
        <f>'Plant-In-Service Trans Adj'!H40</f>
        <v>773464215.43872714</v>
      </c>
      <c r="E16" s="38">
        <f>+D16/$D$38</f>
        <v>6.8526516193383444E-2</v>
      </c>
      <c r="G16" s="20">
        <f>+E16*$G$40</f>
        <v>3006692.2782648169</v>
      </c>
      <c r="H16" s="20">
        <f>+E16*$H$40</f>
        <v>-257893.21303134473</v>
      </c>
      <c r="I16" s="20">
        <f>SUM(G16:H16)</f>
        <v>2748799.0652334723</v>
      </c>
      <c r="J16" s="20"/>
      <c r="K16" s="232">
        <f>'Rate Impacts'!G15</f>
        <v>2065352001.3623114</v>
      </c>
      <c r="L16" s="149" t="s">
        <v>145</v>
      </c>
      <c r="M16" s="37"/>
      <c r="N16" s="21">
        <f>G16/$K16</f>
        <v>1.4557771635448074E-3</v>
      </c>
      <c r="O16" s="193" t="s">
        <v>145</v>
      </c>
      <c r="P16" s="6">
        <f>H16/$K16</f>
        <v>-1.248664696677553E-4</v>
      </c>
      <c r="Q16" s="198" t="s">
        <v>145</v>
      </c>
      <c r="R16" s="21">
        <f>SUM(N16:P16)</f>
        <v>1.330910693877052E-3</v>
      </c>
      <c r="S16" s="198" t="s">
        <v>145</v>
      </c>
    </row>
    <row r="17" spans="1:19" x14ac:dyDescent="0.2">
      <c r="A17" s="8">
        <f t="shared" si="0"/>
        <v>9</v>
      </c>
      <c r="B17" s="23" t="s">
        <v>9</v>
      </c>
      <c r="C17" s="123"/>
      <c r="D17" s="18">
        <f>SUM(D14:D16)</f>
        <v>3613435704.4402018</v>
      </c>
      <c r="E17" s="36">
        <f>+D17/$D$38</f>
        <v>0.32013912909159953</v>
      </c>
      <c r="G17" s="18">
        <f>SUM(G14:G16)</f>
        <v>14046531.195220388</v>
      </c>
      <c r="H17" s="18">
        <f>SUM(H14:H16)</f>
        <v>-1204814.0370290815</v>
      </c>
      <c r="I17" s="18">
        <f>SUM(I14:I16)</f>
        <v>12841717.158191307</v>
      </c>
      <c r="J17" s="20"/>
      <c r="K17" s="150">
        <f>SUM(K14:K16)</f>
        <v>7741883633.2299023</v>
      </c>
      <c r="L17" s="150"/>
      <c r="M17" s="37"/>
      <c r="N17" s="19"/>
      <c r="O17" s="194"/>
      <c r="P17" s="19"/>
      <c r="Q17" s="194"/>
      <c r="R17" s="19"/>
      <c r="S17" s="194"/>
    </row>
    <row r="18" spans="1:19" x14ac:dyDescent="0.2">
      <c r="A18" s="8">
        <f t="shared" si="0"/>
        <v>10</v>
      </c>
      <c r="C18" s="123" t="s">
        <v>113</v>
      </c>
      <c r="D18" s="20"/>
      <c r="E18" s="38"/>
      <c r="G18" s="20"/>
      <c r="H18" s="20"/>
      <c r="I18" s="20"/>
      <c r="J18" s="20"/>
      <c r="K18" s="152"/>
      <c r="L18" s="152"/>
      <c r="M18" s="37"/>
      <c r="N18" s="21"/>
      <c r="O18" s="193"/>
      <c r="P18" s="21"/>
      <c r="Q18" s="193"/>
      <c r="R18" s="21"/>
      <c r="S18" s="193"/>
    </row>
    <row r="19" spans="1:19" x14ac:dyDescent="0.2">
      <c r="A19" s="8">
        <f t="shared" si="0"/>
        <v>11</v>
      </c>
      <c r="B19" s="7" t="s">
        <v>10</v>
      </c>
      <c r="C19" s="123" t="s">
        <v>113</v>
      </c>
      <c r="D19" s="20"/>
      <c r="E19" s="38"/>
      <c r="G19" s="20"/>
      <c r="H19" s="20"/>
      <c r="I19" s="20"/>
      <c r="J19" s="20"/>
      <c r="K19" s="152"/>
      <c r="L19" s="152"/>
      <c r="M19" s="37"/>
      <c r="N19" s="21"/>
      <c r="O19" s="193"/>
      <c r="P19" s="21"/>
      <c r="Q19" s="193"/>
      <c r="R19" s="21"/>
      <c r="S19" s="193"/>
    </row>
    <row r="20" spans="1:19" x14ac:dyDescent="0.2">
      <c r="A20" s="8">
        <f t="shared" si="0"/>
        <v>12</v>
      </c>
      <c r="B20" s="203" t="s">
        <v>14</v>
      </c>
      <c r="C20" s="123" t="str">
        <f>'Sch 140 Rates'!$C$22&amp;" ("&amp;'Sch 140 Rates'!$C$23&amp;")"</f>
        <v>10 (31) (35)</v>
      </c>
      <c r="D20" s="387">
        <f>SUM('Plant-In-Service Trans Adj'!I40:J40)</f>
        <v>568564552.78983569</v>
      </c>
      <c r="E20" s="35">
        <f>+D20/$D$38</f>
        <v>5.0373045392457454E-2</v>
      </c>
      <c r="G20" s="15">
        <f>+E20*$G$40</f>
        <v>2210184.5391756361</v>
      </c>
      <c r="H20" s="15">
        <f>+E20*$H$40</f>
        <v>-189574.3027381415</v>
      </c>
      <c r="I20" s="15">
        <f>SUM(G20:H20)</f>
        <v>2020610.2364374946</v>
      </c>
      <c r="J20" s="133"/>
      <c r="K20" s="232">
        <f>SUM('Rate Impacts'!G20:G21)</f>
        <v>1384534942.0199084</v>
      </c>
      <c r="L20" s="149" t="s">
        <v>145</v>
      </c>
      <c r="M20" s="144"/>
      <c r="N20" s="6">
        <f>G20/$K20</f>
        <v>1.596337132489543E-3</v>
      </c>
      <c r="O20" s="198" t="s">
        <v>145</v>
      </c>
      <c r="P20" s="6">
        <f>H20/$K20</f>
        <v>-1.3692272905844479E-4</v>
      </c>
      <c r="Q20" s="198" t="s">
        <v>145</v>
      </c>
      <c r="R20" s="6">
        <f>SUM(N20:P20)</f>
        <v>1.4594144034310982E-3</v>
      </c>
      <c r="S20" s="198" t="s">
        <v>145</v>
      </c>
    </row>
    <row r="21" spans="1:19" x14ac:dyDescent="0.2">
      <c r="A21" s="8">
        <f t="shared" si="0"/>
        <v>13</v>
      </c>
      <c r="B21" s="203" t="s">
        <v>200</v>
      </c>
      <c r="C21" s="123">
        <f>'Sch 140 Rates'!$C$24</f>
        <v>43</v>
      </c>
      <c r="D21" s="387">
        <f>'Plant-In-Service Trans Adj'!K40</f>
        <v>50927015.002084188</v>
      </c>
      <c r="E21" s="35">
        <f>+D21/$D$38</f>
        <v>4.5119746312264463E-3</v>
      </c>
      <c r="G21" s="15">
        <f>+E21*$G$40</f>
        <v>197968.90367447532</v>
      </c>
      <c r="H21" s="15">
        <f>+E21*$H$40</f>
        <v>-16980.399696362452</v>
      </c>
      <c r="I21" s="15">
        <f>SUM(G21:H21)</f>
        <v>180988.50397811289</v>
      </c>
      <c r="J21" s="133"/>
      <c r="K21" s="232">
        <f>'Rate Impacts'!G22</f>
        <v>108844561.70565043</v>
      </c>
      <c r="L21" s="149" t="s">
        <v>145</v>
      </c>
      <c r="M21" s="144"/>
      <c r="N21" s="6">
        <f>G21/$K21</f>
        <v>1.8188221861726527E-3</v>
      </c>
      <c r="O21" s="198" t="s">
        <v>145</v>
      </c>
      <c r="P21" s="6">
        <f>H21/$K21</f>
        <v>-1.5600595408967456E-4</v>
      </c>
      <c r="Q21" s="198" t="s">
        <v>145</v>
      </c>
      <c r="R21" s="6">
        <f>SUM(N21:P21)</f>
        <v>1.6628162320829782E-3</v>
      </c>
      <c r="S21" s="198" t="s">
        <v>145</v>
      </c>
    </row>
    <row r="22" spans="1:19" x14ac:dyDescent="0.2">
      <c r="A22" s="8">
        <f t="shared" si="0"/>
        <v>14</v>
      </c>
      <c r="B22" s="16" t="s">
        <v>11</v>
      </c>
      <c r="D22" s="18">
        <f>SUM(D20:D21)</f>
        <v>619491567.79191983</v>
      </c>
      <c r="E22" s="36">
        <f>+D22/$D$38</f>
        <v>5.4885020023683895E-2</v>
      </c>
      <c r="G22" s="18">
        <f>SUM(G20:G21)</f>
        <v>2408153.4428501115</v>
      </c>
      <c r="H22" s="18">
        <f>SUM(H20:H21)</f>
        <v>-206554.70243450394</v>
      </c>
      <c r="I22" s="18">
        <f>SUM(I20:I21)</f>
        <v>2201598.7404156076</v>
      </c>
      <c r="J22" s="20"/>
      <c r="K22" s="150">
        <f>SUM(K20:K21)</f>
        <v>1493379503.7255588</v>
      </c>
      <c r="L22" s="150"/>
      <c r="M22" s="37"/>
      <c r="N22" s="19"/>
      <c r="O22" s="194"/>
      <c r="P22" s="19"/>
      <c r="Q22" s="194"/>
      <c r="R22" s="19"/>
      <c r="S22" s="194"/>
    </row>
    <row r="23" spans="1:19" x14ac:dyDescent="0.2">
      <c r="A23" s="8">
        <f t="shared" si="0"/>
        <v>15</v>
      </c>
      <c r="C23" s="123" t="s">
        <v>113</v>
      </c>
      <c r="D23" s="24"/>
      <c r="E23" s="39"/>
      <c r="G23" s="24"/>
      <c r="H23" s="24"/>
      <c r="I23" s="24"/>
      <c r="J23" s="20"/>
      <c r="K23" s="153"/>
      <c r="L23" s="153"/>
      <c r="M23" s="37"/>
      <c r="N23" s="25"/>
      <c r="O23" s="195"/>
      <c r="P23" s="25"/>
      <c r="Q23" s="195"/>
      <c r="R23" s="25"/>
      <c r="S23" s="195"/>
    </row>
    <row r="24" spans="1:19" x14ac:dyDescent="0.2">
      <c r="A24" s="8">
        <f t="shared" si="0"/>
        <v>16</v>
      </c>
      <c r="B24" s="23" t="s">
        <v>151</v>
      </c>
      <c r="C24" s="277" t="str">
        <f>'Sch 140 Rates'!$C$33</f>
        <v>Special Contract</v>
      </c>
      <c r="D24" s="389">
        <f>'Plant-In-Service Trans Adj'!L40</f>
        <v>71491057.161067963</v>
      </c>
      <c r="E24" s="36">
        <f>+D24/$D$38</f>
        <v>6.3338846044107911E-3</v>
      </c>
      <c r="G24" s="18">
        <f>+E24*$G$40</f>
        <v>277907.63326942804</v>
      </c>
      <c r="H24" s="18">
        <f>+E24*$H$40</f>
        <v>-23836.989567535984</v>
      </c>
      <c r="I24" s="18">
        <f>SUM(G24:H24)</f>
        <v>254070.64370189206</v>
      </c>
      <c r="J24" s="20"/>
      <c r="K24" s="233">
        <f>'Rate Impacts'!G25</f>
        <v>319873933.30400002</v>
      </c>
      <c r="L24" s="150" t="s">
        <v>145</v>
      </c>
      <c r="M24" s="37"/>
      <c r="N24" s="19">
        <f>G24/$K24</f>
        <v>8.6880362647528302E-4</v>
      </c>
      <c r="O24" s="194" t="s">
        <v>145</v>
      </c>
      <c r="P24" s="19">
        <f>H24/$K24</f>
        <v>-7.4519950160746356E-5</v>
      </c>
      <c r="Q24" s="194" t="s">
        <v>145</v>
      </c>
      <c r="R24" s="19">
        <f>SUM(N24:P24)</f>
        <v>7.9428367631453672E-4</v>
      </c>
      <c r="S24" s="194" t="s">
        <v>145</v>
      </c>
    </row>
    <row r="25" spans="1:19" x14ac:dyDescent="0.2">
      <c r="A25" s="8">
        <f t="shared" si="0"/>
        <v>17</v>
      </c>
      <c r="D25" s="24"/>
      <c r="E25" s="39"/>
      <c r="G25" s="24"/>
      <c r="H25" s="24"/>
      <c r="I25" s="24"/>
      <c r="J25" s="20"/>
      <c r="K25" s="153"/>
      <c r="L25" s="153"/>
      <c r="M25" s="37"/>
      <c r="N25" s="25"/>
      <c r="O25" s="195"/>
      <c r="P25" s="25"/>
      <c r="Q25" s="195"/>
      <c r="R25" s="25"/>
      <c r="S25" s="195"/>
    </row>
    <row r="26" spans="1:19" x14ac:dyDescent="0.2">
      <c r="A26" s="8">
        <f t="shared" si="0"/>
        <v>18</v>
      </c>
      <c r="B26" s="7" t="s">
        <v>15</v>
      </c>
      <c r="C26" s="123" t="str">
        <f>'Sch 140 Rates'!$C$28&amp;" &amp; "&amp;'Sch 140 Rates'!$C$29</f>
        <v>46 &amp; 49</v>
      </c>
      <c r="D26" s="389">
        <f>'Plant-In-Service Trans Adj'!M40</f>
        <v>137325289.99260256</v>
      </c>
      <c r="E26" s="36">
        <f>+D26/$D$38</f>
        <v>1.2166592223146797E-2</v>
      </c>
      <c r="G26" s="18">
        <f>+E26*$G$40</f>
        <v>533825.45797161548</v>
      </c>
      <c r="H26" s="18">
        <f>+E26*$H$40</f>
        <v>-45787.845849552417</v>
      </c>
      <c r="I26" s="18">
        <f>SUM(G26:H26)</f>
        <v>488037.61212206306</v>
      </c>
      <c r="J26" s="20"/>
      <c r="K26" s="233">
        <f>SUM('Rate Impacts'!G28:G29)</f>
        <v>624345638.30721414</v>
      </c>
      <c r="L26" s="150" t="s">
        <v>145</v>
      </c>
      <c r="M26" s="37"/>
      <c r="N26" s="19">
        <f>G26/$K26</f>
        <v>8.5501591621425332E-4</v>
      </c>
      <c r="O26" s="194" t="s">
        <v>145</v>
      </c>
      <c r="P26" s="19">
        <f>H26/$K26</f>
        <v>-7.3337335988598915E-5</v>
      </c>
      <c r="Q26" s="194" t="s">
        <v>145</v>
      </c>
      <c r="R26" s="19">
        <f>SUM(N26:P26)</f>
        <v>7.8167858022565437E-4</v>
      </c>
      <c r="S26" s="194" t="s">
        <v>145</v>
      </c>
    </row>
    <row r="27" spans="1:19" x14ac:dyDescent="0.2">
      <c r="A27" s="8">
        <f t="shared" si="0"/>
        <v>19</v>
      </c>
      <c r="C27" s="123" t="s">
        <v>113</v>
      </c>
      <c r="D27" s="24"/>
      <c r="E27" s="39"/>
      <c r="G27" s="24"/>
      <c r="H27" s="24"/>
      <c r="I27" s="24"/>
      <c r="J27" s="20"/>
      <c r="K27" s="153"/>
      <c r="L27" s="153"/>
      <c r="M27" s="37"/>
      <c r="N27" s="25"/>
      <c r="O27" s="195"/>
      <c r="P27" s="25"/>
      <c r="Q27" s="195"/>
      <c r="R27" s="25"/>
      <c r="S27" s="195"/>
    </row>
    <row r="28" spans="1:19" ht="10.15" customHeight="1" x14ac:dyDescent="0.2">
      <c r="A28" s="8">
        <f t="shared" si="0"/>
        <v>20</v>
      </c>
      <c r="B28" s="7" t="s">
        <v>13</v>
      </c>
      <c r="C28" s="123" t="str">
        <f>'Sch 140 Rates'!$C$34</f>
        <v>50 - 59</v>
      </c>
      <c r="D28" s="389">
        <f>'Plant-In-Service Trans Adj'!O40</f>
        <v>112698626.40461951</v>
      </c>
      <c r="E28" s="36">
        <f>+D28/$D$38</f>
        <v>9.9847466671844042E-3</v>
      </c>
      <c r="G28" s="18">
        <f>+E28*$G$40</f>
        <v>438094.07470727933</v>
      </c>
      <c r="H28" s="18">
        <f>+E28*$H$40</f>
        <v>-37576.671664403468</v>
      </c>
      <c r="I28" s="18">
        <f>SUM(G28:H28)</f>
        <v>400517.40304287587</v>
      </c>
      <c r="J28" s="20"/>
      <c r="K28" s="233">
        <f>'Rate Impacts'!G32</f>
        <v>64341676.6170213</v>
      </c>
      <c r="L28" s="150" t="s">
        <v>145</v>
      </c>
      <c r="M28" s="37"/>
      <c r="N28" s="19">
        <f>G28/$K28</f>
        <v>6.8088694255658165E-3</v>
      </c>
      <c r="O28" s="194" t="s">
        <v>145</v>
      </c>
      <c r="P28" s="19">
        <f>H28/$K28</f>
        <v>-5.8401760165607385E-4</v>
      </c>
      <c r="Q28" s="194" t="s">
        <v>145</v>
      </c>
      <c r="R28" s="19">
        <f>SUM(N28:P28)</f>
        <v>6.2248518239097425E-3</v>
      </c>
      <c r="S28" s="194" t="s">
        <v>145</v>
      </c>
    </row>
    <row r="29" spans="1:19" x14ac:dyDescent="0.2">
      <c r="A29" s="8">
        <f t="shared" si="0"/>
        <v>21</v>
      </c>
      <c r="C29" s="123"/>
      <c r="D29" s="24"/>
      <c r="E29" s="39"/>
      <c r="G29" s="24"/>
      <c r="H29" s="24"/>
      <c r="I29" s="24"/>
      <c r="J29" s="20"/>
      <c r="K29" s="153"/>
      <c r="L29" s="153"/>
      <c r="M29" s="37"/>
      <c r="N29" s="25"/>
      <c r="O29" s="25"/>
      <c r="P29" s="25"/>
      <c r="Q29" s="25"/>
      <c r="R29" s="25"/>
    </row>
    <row r="30" spans="1:19" ht="10.15" customHeight="1" x14ac:dyDescent="0.2">
      <c r="A30" s="8">
        <f t="shared" si="0"/>
        <v>22</v>
      </c>
      <c r="B30" s="16" t="s">
        <v>150</v>
      </c>
      <c r="C30" s="123" t="str">
        <f>'Sch 140 Rates'!$C$32</f>
        <v>448 - 459</v>
      </c>
      <c r="D30" s="389">
        <f>'Plant-In-Service Trans Adj'!N40</f>
        <v>9410300.9649595208</v>
      </c>
      <c r="E30" s="36">
        <f>+D30/$D$38</f>
        <v>8.3372330430843964E-4</v>
      </c>
      <c r="G30" s="18">
        <f>+E30*$G$40</f>
        <v>36580.721748636803</v>
      </c>
      <c r="H30" s="18">
        <f>+E30*$H$40</f>
        <v>-3137.640634180867</v>
      </c>
      <c r="I30" s="18">
        <f>SUM(G30:H30)</f>
        <v>33443.081114455934</v>
      </c>
      <c r="J30" s="20"/>
      <c r="K30" s="150" t="s">
        <v>145</v>
      </c>
      <c r="L30" s="230">
        <f>'Rate Impacts'!H34</f>
        <v>3388391.6175520504</v>
      </c>
      <c r="M30" s="37"/>
      <c r="N30" s="194" t="s">
        <v>145</v>
      </c>
      <c r="O30" s="19">
        <f>G30/$L30</f>
        <v>1.0795895480069866E-2</v>
      </c>
      <c r="P30" s="194" t="s">
        <v>145</v>
      </c>
      <c r="Q30" s="19">
        <f>H30/$L30</f>
        <v>-9.2599704766347551E-4</v>
      </c>
      <c r="R30" s="194" t="s">
        <v>145</v>
      </c>
      <c r="S30" s="19">
        <f>O30+Q30</f>
        <v>9.8698984324063904E-3</v>
      </c>
    </row>
    <row r="31" spans="1:19" x14ac:dyDescent="0.2">
      <c r="A31" s="8">
        <f t="shared" si="0"/>
        <v>23</v>
      </c>
      <c r="C31" s="123" t="s">
        <v>113</v>
      </c>
      <c r="D31" s="24"/>
      <c r="E31" s="39"/>
      <c r="G31" s="24"/>
      <c r="H31" s="24"/>
      <c r="I31" s="24"/>
      <c r="J31" s="20"/>
      <c r="K31" s="154"/>
      <c r="L31" s="154">
        <v>0</v>
      </c>
      <c r="M31" s="37"/>
      <c r="N31" s="25"/>
      <c r="O31" s="25"/>
      <c r="P31" s="25"/>
      <c r="Q31" s="25"/>
      <c r="R31" s="25"/>
    </row>
    <row r="32" spans="1:19" x14ac:dyDescent="0.2">
      <c r="A32" s="8">
        <f t="shared" si="0"/>
        <v>24</v>
      </c>
      <c r="B32" s="342" t="s">
        <v>252</v>
      </c>
      <c r="C32" s="390">
        <f>'Sch 140 Rates'!$C$35</f>
        <v>558</v>
      </c>
      <c r="D32" s="391">
        <v>0</v>
      </c>
      <c r="E32" s="391" t="s">
        <v>145</v>
      </c>
      <c r="F32" s="392"/>
      <c r="G32" s="391">
        <v>0</v>
      </c>
      <c r="H32" s="391">
        <v>0</v>
      </c>
      <c r="I32" s="391">
        <v>0</v>
      </c>
      <c r="J32" s="393"/>
      <c r="K32" s="391">
        <v>0</v>
      </c>
      <c r="L32" s="391" t="s">
        <v>145</v>
      </c>
      <c r="M32" s="394"/>
      <c r="N32" s="395">
        <f>G17/$K$17</f>
        <v>1.8143557641359428E-3</v>
      </c>
      <c r="O32" s="396" t="s">
        <v>145</v>
      </c>
      <c r="P32" s="395">
        <f>H17/$K$17</f>
        <v>-1.5562285538079509E-4</v>
      </c>
      <c r="Q32" s="396" t="s">
        <v>145</v>
      </c>
      <c r="R32" s="395">
        <f>SUM(N32:P32)</f>
        <v>1.6587329087551477E-3</v>
      </c>
      <c r="S32" s="396" t="s">
        <v>145</v>
      </c>
    </row>
    <row r="33" spans="1:19" x14ac:dyDescent="0.2">
      <c r="A33" s="8">
        <f t="shared" si="0"/>
        <v>25</v>
      </c>
      <c r="C33" s="123"/>
      <c r="D33" s="60"/>
      <c r="E33" s="39"/>
      <c r="G33" s="60"/>
      <c r="H33" s="60"/>
      <c r="I33" s="60"/>
      <c r="J33" s="130"/>
      <c r="K33" s="154"/>
      <c r="L33" s="154"/>
      <c r="M33" s="37"/>
      <c r="N33" s="25"/>
      <c r="O33" s="25"/>
      <c r="P33" s="25"/>
      <c r="Q33" s="25"/>
      <c r="R33" s="25"/>
    </row>
    <row r="34" spans="1:19" ht="12" thickBot="1" x14ac:dyDescent="0.25">
      <c r="A34" s="8">
        <f t="shared" si="0"/>
        <v>26</v>
      </c>
      <c r="B34" s="23" t="s">
        <v>199</v>
      </c>
      <c r="D34" s="27">
        <f>SUM(D11,D17,D22,D24,D26,D28,D30)</f>
        <v>11284106157.086527</v>
      </c>
      <c r="E34" s="40">
        <f>+D34/$D$38</f>
        <v>0.99973659785001967</v>
      </c>
      <c r="G34" s="27">
        <f>SUM(G11,G17,G22,G24,G26,G28,G30)</f>
        <v>43864776.38191428</v>
      </c>
      <c r="H34" s="27">
        <f>SUM(H11,H17,H22,H24,H26,H28,H30)</f>
        <v>-3762416.3276734785</v>
      </c>
      <c r="I34" s="27">
        <f>SUM(I11,I17,I22,I24,I26,I28,I30)</f>
        <v>40102360.0542408</v>
      </c>
      <c r="J34" s="20"/>
      <c r="K34" s="155">
        <f>SUM(K11,K17,K22,K24,K26,K28,K30)</f>
        <v>21603923968.441414</v>
      </c>
      <c r="L34" s="155"/>
      <c r="M34" s="37"/>
      <c r="N34" s="28"/>
      <c r="O34" s="28"/>
      <c r="P34" s="28"/>
      <c r="Q34" s="28"/>
      <c r="R34" s="28"/>
      <c r="S34" s="28"/>
    </row>
    <row r="35" spans="1:19" ht="12" thickTop="1" x14ac:dyDescent="0.2">
      <c r="A35" s="8">
        <f t="shared" si="0"/>
        <v>27</v>
      </c>
      <c r="D35" s="41"/>
      <c r="E35" s="42"/>
      <c r="G35" s="41"/>
      <c r="H35" s="41"/>
      <c r="I35" s="41"/>
      <c r="J35" s="20"/>
      <c r="K35" s="152"/>
      <c r="L35" s="152"/>
      <c r="M35" s="37"/>
      <c r="N35" s="43"/>
      <c r="O35" s="43"/>
      <c r="P35" s="43"/>
      <c r="Q35" s="43"/>
      <c r="R35" s="43"/>
    </row>
    <row r="36" spans="1:19" x14ac:dyDescent="0.2">
      <c r="A36" s="8">
        <f t="shared" si="0"/>
        <v>28</v>
      </c>
      <c r="B36" s="23" t="s">
        <v>201</v>
      </c>
      <c r="C36" s="10">
        <f>'Sch 140 Rates'!$C$39</f>
        <v>5</v>
      </c>
      <c r="D36" s="389">
        <f>'Plant-In-Service Trans Adj'!P40</f>
        <v>2973040.9277549349</v>
      </c>
      <c r="E36" s="36">
        <f>+D36/$D$38</f>
        <v>2.6340214998030469E-4</v>
      </c>
      <c r="G36" s="18">
        <f>+E36*$G$40</f>
        <v>11557.12057780929</v>
      </c>
      <c r="H36" s="18">
        <f>+E36*$H$40</f>
        <v>-991.28965765727708</v>
      </c>
      <c r="I36" s="18">
        <f>SUM(G36:H36)</f>
        <v>10565.830920152013</v>
      </c>
      <c r="J36" s="20"/>
      <c r="K36" s="233">
        <v>0</v>
      </c>
      <c r="L36" s="151"/>
      <c r="M36" s="37"/>
      <c r="N36" s="21"/>
      <c r="O36" s="21"/>
      <c r="P36" s="21"/>
      <c r="Q36" s="21"/>
      <c r="R36" s="21"/>
    </row>
    <row r="37" spans="1:19" x14ac:dyDescent="0.2">
      <c r="A37" s="8">
        <f t="shared" si="0"/>
        <v>29</v>
      </c>
      <c r="D37" s="24"/>
      <c r="E37" s="39"/>
      <c r="G37" s="24"/>
      <c r="H37" s="24"/>
      <c r="I37" s="24"/>
      <c r="J37" s="20"/>
      <c r="K37" s="153"/>
      <c r="L37" s="153"/>
      <c r="M37" s="37"/>
      <c r="N37" s="21"/>
      <c r="O37" s="21"/>
      <c r="P37" s="21"/>
      <c r="Q37" s="21"/>
      <c r="R37" s="21"/>
    </row>
    <row r="38" spans="1:19" ht="12" thickBot="1" x14ac:dyDescent="0.25">
      <c r="A38" s="8">
        <f t="shared" si="0"/>
        <v>30</v>
      </c>
      <c r="B38" s="23" t="s">
        <v>202</v>
      </c>
      <c r="D38" s="27">
        <f>SUM(D34,D36)</f>
        <v>11287079198.014282</v>
      </c>
      <c r="E38" s="40">
        <f>SUM(E34,E36)</f>
        <v>1</v>
      </c>
      <c r="G38" s="27">
        <f>SUM(G34,G36)</f>
        <v>43876333.502492093</v>
      </c>
      <c r="H38" s="27">
        <f>SUM(H34,H36)</f>
        <v>-3763407.617331136</v>
      </c>
      <c r="I38" s="27">
        <f>SUM(I34,I36)</f>
        <v>40112925.885160953</v>
      </c>
      <c r="J38" s="20"/>
      <c r="K38" s="155">
        <f>SUM(K34,K36)</f>
        <v>21603923968.441414</v>
      </c>
      <c r="L38" s="151"/>
      <c r="M38" s="37"/>
      <c r="N38" s="21"/>
      <c r="O38" s="21"/>
      <c r="P38" s="21"/>
      <c r="Q38" s="21"/>
      <c r="R38" s="21"/>
    </row>
    <row r="39" spans="1:19" ht="12" thickTop="1" x14ac:dyDescent="0.2">
      <c r="A39" s="8">
        <f t="shared" si="0"/>
        <v>31</v>
      </c>
      <c r="J39" s="4"/>
      <c r="K39" s="145">
        <v>0</v>
      </c>
      <c r="L39" s="145"/>
      <c r="M39" s="4"/>
    </row>
    <row r="40" spans="1:19" ht="12" thickBot="1" x14ac:dyDescent="0.25">
      <c r="A40" s="8">
        <f t="shared" si="0"/>
        <v>32</v>
      </c>
      <c r="B40" s="7" t="s">
        <v>22</v>
      </c>
      <c r="D40" s="24"/>
      <c r="G40" s="372">
        <v>43876333.502492093</v>
      </c>
      <c r="H40" s="372">
        <v>-3763407.6173311365</v>
      </c>
      <c r="I40" s="61">
        <f>SUM(G40:H40)</f>
        <v>40112925.885160953</v>
      </c>
      <c r="J40" s="4"/>
      <c r="M40" s="4"/>
    </row>
    <row r="41" spans="1:19" ht="12" thickTop="1" x14ac:dyDescent="0.2">
      <c r="A41" s="8">
        <f t="shared" si="0"/>
        <v>33</v>
      </c>
      <c r="G41" s="10" t="s">
        <v>101</v>
      </c>
      <c r="H41" s="10" t="s">
        <v>102</v>
      </c>
      <c r="I41" s="145">
        <f>I38-I40</f>
        <v>0</v>
      </c>
      <c r="J41" s="4"/>
      <c r="M41" s="4"/>
    </row>
    <row r="42" spans="1:19" x14ac:dyDescent="0.2">
      <c r="A42" s="8">
        <f t="shared" si="0"/>
        <v>34</v>
      </c>
      <c r="J42" s="4"/>
    </row>
    <row r="43" spans="1:19" ht="15" x14ac:dyDescent="0.25">
      <c r="A43" s="8">
        <f t="shared" si="0"/>
        <v>35</v>
      </c>
      <c r="B43" s="446" t="s">
        <v>290</v>
      </c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</row>
    <row r="44" spans="1:19" x14ac:dyDescent="0.2">
      <c r="A44" s="8">
        <f t="shared" si="0"/>
        <v>36</v>
      </c>
      <c r="B44" s="335" t="s">
        <v>128</v>
      </c>
      <c r="D44" s="335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99"/>
    </row>
    <row r="45" spans="1:19" x14ac:dyDescent="0.2">
      <c r="A45" s="8">
        <f t="shared" si="0"/>
        <v>37</v>
      </c>
      <c r="B45" s="335" t="s">
        <v>129</v>
      </c>
      <c r="D45" s="335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99"/>
    </row>
    <row r="46" spans="1:19" x14ac:dyDescent="0.2">
      <c r="A46" s="8">
        <f t="shared" si="0"/>
        <v>38</v>
      </c>
      <c r="B46" s="397" t="s">
        <v>253</v>
      </c>
      <c r="D46" s="397"/>
    </row>
  </sheetData>
  <mergeCells count="1">
    <mergeCell ref="B43:S43"/>
  </mergeCells>
  <printOptions horizontalCentered="1"/>
  <pageMargins left="0.7" right="0.7" top="0.75" bottom="0.75" header="0.3" footer="0.3"/>
  <pageSetup scale="55" fitToHeight="0" orientation="landscape" r:id="rId1"/>
  <headerFooter alignWithMargins="0">
    <oddFooter xml:space="preserve">&amp;L&amp;F
&amp;A&amp;RPage &amp;P of &amp;N
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  <pageSetUpPr fitToPage="1"/>
  </sheetPr>
  <dimension ref="A1:T43"/>
  <sheetViews>
    <sheetView showGridLines="0" zoomScaleNormal="100" workbookViewId="0">
      <pane xSplit="3" ySplit="6" topLeftCell="D13" activePane="bottomRight" state="frozen"/>
      <selection activeCell="D6" sqref="D6"/>
      <selection pane="topRight" activeCell="D6" sqref="D6"/>
      <selection pane="bottomLeft" activeCell="D6" sqref="D6"/>
      <selection pane="bottomRight" activeCell="E40" sqref="E40"/>
    </sheetView>
  </sheetViews>
  <sheetFormatPr defaultColWidth="4.5703125" defaultRowHeight="11.25" x14ac:dyDescent="0.2"/>
  <cols>
    <col min="1" max="1" width="4.42578125" style="290" bestFit="1" customWidth="1"/>
    <col min="2" max="2" width="5.7109375" style="290" bestFit="1" customWidth="1"/>
    <col min="3" max="3" width="56.42578125" style="290" bestFit="1" customWidth="1"/>
    <col min="4" max="4" width="13.85546875" style="289" bestFit="1" customWidth="1"/>
    <col min="5" max="6" width="12.85546875" style="289" bestFit="1" customWidth="1"/>
    <col min="7" max="7" width="14" style="289" bestFit="1" customWidth="1"/>
    <col min="8" max="9" width="11.5703125" style="289" bestFit="1" customWidth="1"/>
    <col min="10" max="10" width="9.85546875" style="289" bestFit="1" customWidth="1"/>
    <col min="11" max="11" width="10.7109375" style="289" bestFit="1" customWidth="1"/>
    <col min="12" max="12" width="13.85546875" style="289" bestFit="1" customWidth="1"/>
    <col min="13" max="13" width="11.5703125" style="289" bestFit="1" customWidth="1"/>
    <col min="14" max="14" width="13.140625" style="289" bestFit="1" customWidth="1"/>
    <col min="15" max="15" width="11.5703125" style="289" bestFit="1" customWidth="1"/>
    <col min="16" max="16" width="10.28515625" style="289" bestFit="1" customWidth="1"/>
    <col min="17" max="17" width="5.28515625" style="288" bestFit="1" customWidth="1"/>
    <col min="18" max="20" width="4.5703125" style="288"/>
    <col min="21" max="16384" width="4.5703125" style="287"/>
  </cols>
  <sheetData>
    <row r="1" spans="1:20" x14ac:dyDescent="0.2">
      <c r="A1" s="456" t="s">
        <v>244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</row>
    <row r="2" spans="1:20" x14ac:dyDescent="0.2">
      <c r="A2" s="457" t="s">
        <v>245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20" x14ac:dyDescent="0.2">
      <c r="A3" s="458" t="s">
        <v>246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20" s="290" customFormat="1" x14ac:dyDescent="0.2"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</row>
    <row r="5" spans="1:20" s="312" customFormat="1" ht="33.75" x14ac:dyDescent="0.2">
      <c r="A5" s="313" t="s">
        <v>0</v>
      </c>
      <c r="B5" s="313" t="s">
        <v>243</v>
      </c>
      <c r="C5" s="314" t="s">
        <v>242</v>
      </c>
      <c r="D5" s="313" t="s">
        <v>241</v>
      </c>
      <c r="E5" s="376" t="s">
        <v>247</v>
      </c>
      <c r="F5" s="376" t="s">
        <v>248</v>
      </c>
      <c r="G5" s="376" t="s">
        <v>249</v>
      </c>
      <c r="H5" s="376" t="s">
        <v>250</v>
      </c>
      <c r="I5" s="313" t="s">
        <v>240</v>
      </c>
      <c r="J5" s="313" t="s">
        <v>239</v>
      </c>
      <c r="K5" s="313" t="s">
        <v>238</v>
      </c>
      <c r="L5" s="313" t="s">
        <v>67</v>
      </c>
      <c r="M5" s="313" t="s">
        <v>237</v>
      </c>
      <c r="N5" s="313" t="s">
        <v>236</v>
      </c>
      <c r="O5" s="313" t="s">
        <v>235</v>
      </c>
      <c r="P5" s="313" t="s">
        <v>234</v>
      </c>
    </row>
    <row r="6" spans="1:20" s="312" customFormat="1" x14ac:dyDescent="0.25"/>
    <row r="7" spans="1:20" x14ac:dyDescent="0.2">
      <c r="C7" s="299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</row>
    <row r="8" spans="1:20" x14ac:dyDescent="0.2"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</row>
    <row r="9" spans="1:20" x14ac:dyDescent="0.2">
      <c r="C9" s="299" t="s">
        <v>233</v>
      </c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</row>
    <row r="10" spans="1:20" s="290" customFormat="1" x14ac:dyDescent="0.2">
      <c r="C10" s="299" t="s">
        <v>232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</row>
    <row r="11" spans="1:20" s="299" customFormat="1" x14ac:dyDescent="0.2">
      <c r="A11" s="295"/>
      <c r="B11" s="296"/>
      <c r="C11" s="295" t="s">
        <v>216</v>
      </c>
      <c r="D11" s="294"/>
      <c r="E11" s="294"/>
      <c r="F11" s="294"/>
      <c r="G11" s="294"/>
      <c r="H11" s="294"/>
      <c r="I11" s="294"/>
      <c r="J11" s="294"/>
      <c r="K11" s="294"/>
      <c r="L11" s="378">
        <v>4106090.8562534796</v>
      </c>
      <c r="M11" s="379"/>
      <c r="N11" s="378">
        <v>2158936.5172589864</v>
      </c>
      <c r="O11" s="294"/>
      <c r="P11" s="294"/>
      <c r="Q11" s="311"/>
      <c r="R11" s="311"/>
      <c r="S11" s="311"/>
      <c r="T11" s="311"/>
    </row>
    <row r="12" spans="1:20" s="290" customFormat="1" x14ac:dyDescent="0.2">
      <c r="B12" s="298"/>
      <c r="D12" s="297"/>
      <c r="E12" s="297"/>
      <c r="F12" s="297"/>
      <c r="G12" s="297"/>
      <c r="H12" s="297"/>
      <c r="I12" s="297"/>
      <c r="J12" s="297"/>
      <c r="K12" s="297"/>
      <c r="L12" s="380"/>
      <c r="M12" s="380"/>
      <c r="N12" s="380"/>
      <c r="O12" s="297"/>
      <c r="P12" s="297"/>
      <c r="Q12" s="289"/>
      <c r="R12" s="289"/>
      <c r="S12" s="289"/>
      <c r="T12" s="289"/>
    </row>
    <row r="13" spans="1:20" s="290" customFormat="1" x14ac:dyDescent="0.2">
      <c r="B13" s="298"/>
      <c r="C13" s="299" t="s">
        <v>231</v>
      </c>
      <c r="D13" s="297"/>
      <c r="E13" s="297"/>
      <c r="F13" s="297"/>
      <c r="G13" s="297"/>
      <c r="H13" s="297"/>
      <c r="I13" s="297"/>
      <c r="J13" s="297"/>
      <c r="K13" s="297"/>
      <c r="L13" s="380"/>
      <c r="M13" s="380"/>
      <c r="N13" s="380"/>
      <c r="O13" s="297"/>
      <c r="P13" s="297"/>
      <c r="Q13" s="289"/>
      <c r="R13" s="289"/>
      <c r="S13" s="289"/>
      <c r="T13" s="289"/>
    </row>
    <row r="14" spans="1:20" s="290" customFormat="1" x14ac:dyDescent="0.2">
      <c r="A14" s="295"/>
      <c r="B14" s="296"/>
      <c r="C14" s="295" t="s">
        <v>216</v>
      </c>
      <c r="D14" s="294"/>
      <c r="E14" s="294"/>
      <c r="F14" s="294"/>
      <c r="G14" s="294"/>
      <c r="H14" s="294"/>
      <c r="I14" s="294"/>
      <c r="J14" s="294"/>
      <c r="K14" s="294"/>
      <c r="L14" s="378">
        <v>0</v>
      </c>
      <c r="M14" s="379"/>
      <c r="N14" s="378">
        <v>0</v>
      </c>
      <c r="O14" s="294"/>
      <c r="P14" s="294"/>
      <c r="Q14" s="289"/>
      <c r="R14" s="289"/>
      <c r="S14" s="289"/>
      <c r="T14" s="289"/>
    </row>
    <row r="15" spans="1:20" s="290" customFormat="1" x14ac:dyDescent="0.2">
      <c r="B15" s="298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89"/>
      <c r="R15" s="289"/>
      <c r="S15" s="289"/>
      <c r="T15" s="289"/>
    </row>
    <row r="16" spans="1:20" s="290" customFormat="1" ht="12" x14ac:dyDescent="0.2">
      <c r="B16" s="298"/>
      <c r="C16" s="310" t="s">
        <v>230</v>
      </c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89"/>
      <c r="R16" s="289"/>
      <c r="S16" s="289"/>
      <c r="T16" s="289"/>
    </row>
    <row r="17" spans="1:20" s="290" customFormat="1" x14ac:dyDescent="0.2">
      <c r="A17" s="309">
        <v>40</v>
      </c>
      <c r="B17" s="308">
        <v>350</v>
      </c>
      <c r="C17" s="307" t="s">
        <v>229</v>
      </c>
      <c r="D17" s="306"/>
      <c r="E17" s="306"/>
      <c r="F17" s="306"/>
      <c r="G17" s="306"/>
      <c r="H17" s="306"/>
      <c r="I17" s="306"/>
      <c r="J17" s="306"/>
      <c r="K17" s="306"/>
      <c r="L17" s="377">
        <v>804265.2884297471</v>
      </c>
      <c r="M17" s="306"/>
      <c r="N17" s="377">
        <v>3666744.4646554706</v>
      </c>
      <c r="O17" s="306"/>
      <c r="P17" s="306"/>
      <c r="Q17" s="289"/>
      <c r="R17" s="289"/>
      <c r="S17" s="289"/>
      <c r="T17" s="289"/>
    </row>
    <row r="18" spans="1:20" s="290" customFormat="1" x14ac:dyDescent="0.2">
      <c r="A18" s="305">
        <v>43</v>
      </c>
      <c r="B18" s="298">
        <v>352</v>
      </c>
      <c r="C18" s="304" t="s">
        <v>228</v>
      </c>
      <c r="D18" s="303"/>
      <c r="E18" s="303"/>
      <c r="F18" s="303"/>
      <c r="G18" s="303"/>
      <c r="H18" s="303"/>
      <c r="I18" s="303"/>
      <c r="J18" s="303"/>
      <c r="K18" s="303"/>
      <c r="L18" s="377">
        <v>128027.83853975931</v>
      </c>
      <c r="M18" s="303"/>
      <c r="N18" s="377">
        <v>583694.67766539461</v>
      </c>
      <c r="O18" s="303"/>
      <c r="P18" s="303"/>
      <c r="Q18" s="289"/>
      <c r="R18" s="289"/>
      <c r="S18" s="289"/>
      <c r="T18" s="289"/>
    </row>
    <row r="19" spans="1:20" s="290" customFormat="1" x14ac:dyDescent="0.2">
      <c r="A19" s="305">
        <v>46</v>
      </c>
      <c r="B19" s="298">
        <v>353</v>
      </c>
      <c r="C19" s="304" t="s">
        <v>227</v>
      </c>
      <c r="D19" s="303"/>
      <c r="E19" s="303"/>
      <c r="F19" s="303"/>
      <c r="G19" s="303"/>
      <c r="H19" s="303"/>
      <c r="I19" s="303"/>
      <c r="J19" s="303"/>
      <c r="K19" s="303"/>
      <c r="L19" s="377">
        <v>8422994.1989125423</v>
      </c>
      <c r="M19" s="303"/>
      <c r="N19" s="377">
        <v>38401467.524462879</v>
      </c>
      <c r="O19" s="303"/>
      <c r="P19" s="303"/>
      <c r="Q19" s="289"/>
      <c r="R19" s="289"/>
      <c r="S19" s="289"/>
      <c r="T19" s="289"/>
    </row>
    <row r="20" spans="1:20" s="290" customFormat="1" x14ac:dyDescent="0.2">
      <c r="A20" s="305">
        <v>49</v>
      </c>
      <c r="B20" s="298">
        <v>353.03</v>
      </c>
      <c r="C20" s="304" t="s">
        <v>226</v>
      </c>
      <c r="D20" s="303"/>
      <c r="E20" s="303"/>
      <c r="F20" s="303"/>
      <c r="G20" s="303"/>
      <c r="H20" s="303"/>
      <c r="I20" s="303"/>
      <c r="J20" s="303"/>
      <c r="K20" s="303"/>
      <c r="L20" s="377">
        <v>0</v>
      </c>
      <c r="M20" s="303"/>
      <c r="N20" s="377">
        <v>405246.35999999993</v>
      </c>
      <c r="O20" s="303"/>
      <c r="P20" s="303"/>
      <c r="Q20" s="289"/>
      <c r="R20" s="289"/>
      <c r="S20" s="289"/>
      <c r="T20" s="289"/>
    </row>
    <row r="21" spans="1:20" s="290" customFormat="1" x14ac:dyDescent="0.2">
      <c r="A21" s="305">
        <v>50</v>
      </c>
      <c r="B21" s="298">
        <v>354</v>
      </c>
      <c r="C21" s="304" t="s">
        <v>225</v>
      </c>
      <c r="D21" s="303"/>
      <c r="E21" s="303"/>
      <c r="F21" s="303"/>
      <c r="G21" s="303"/>
      <c r="H21" s="303"/>
      <c r="I21" s="303"/>
      <c r="J21" s="303"/>
      <c r="K21" s="303"/>
      <c r="L21" s="377">
        <v>440048.97085382004</v>
      </c>
      <c r="M21" s="303"/>
      <c r="N21" s="377">
        <v>2006237.4334293122</v>
      </c>
      <c r="O21" s="303"/>
      <c r="P21" s="303"/>
      <c r="Q21" s="289"/>
      <c r="R21" s="289"/>
      <c r="S21" s="289"/>
      <c r="T21" s="289"/>
    </row>
    <row r="22" spans="1:20" s="290" customFormat="1" x14ac:dyDescent="0.2">
      <c r="A22" s="305">
        <v>53</v>
      </c>
      <c r="B22" s="298">
        <v>355</v>
      </c>
      <c r="C22" s="304" t="s">
        <v>224</v>
      </c>
      <c r="D22" s="303"/>
      <c r="E22" s="303"/>
      <c r="F22" s="303"/>
      <c r="G22" s="303"/>
      <c r="H22" s="303"/>
      <c r="I22" s="303"/>
      <c r="J22" s="303"/>
      <c r="K22" s="303"/>
      <c r="L22" s="377">
        <v>7452298.1152548119</v>
      </c>
      <c r="M22" s="303"/>
      <c r="N22" s="377">
        <v>33975944.574735783</v>
      </c>
      <c r="O22" s="303"/>
      <c r="P22" s="303"/>
      <c r="Q22" s="289"/>
      <c r="R22" s="289"/>
      <c r="S22" s="289"/>
      <c r="T22" s="289"/>
    </row>
    <row r="23" spans="1:20" s="290" customFormat="1" x14ac:dyDescent="0.2">
      <c r="A23" s="305">
        <v>56</v>
      </c>
      <c r="B23" s="298">
        <v>356</v>
      </c>
      <c r="C23" s="304" t="s">
        <v>223</v>
      </c>
      <c r="D23" s="303"/>
      <c r="E23" s="303"/>
      <c r="F23" s="303"/>
      <c r="G23" s="303"/>
      <c r="H23" s="303"/>
      <c r="I23" s="303"/>
      <c r="J23" s="303"/>
      <c r="K23" s="303"/>
      <c r="L23" s="377">
        <v>3788866.6082573431</v>
      </c>
      <c r="M23" s="303"/>
      <c r="N23" s="377">
        <v>17273909.321972564</v>
      </c>
      <c r="O23" s="303"/>
      <c r="P23" s="303"/>
      <c r="Q23" s="289"/>
      <c r="R23" s="289"/>
      <c r="S23" s="289"/>
      <c r="T23" s="289"/>
    </row>
    <row r="24" spans="1:20" s="290" customFormat="1" x14ac:dyDescent="0.2">
      <c r="A24" s="305">
        <v>59</v>
      </c>
      <c r="B24" s="298">
        <v>357</v>
      </c>
      <c r="C24" s="304" t="s">
        <v>222</v>
      </c>
      <c r="D24" s="303"/>
      <c r="E24" s="303"/>
      <c r="F24" s="303"/>
      <c r="G24" s="303"/>
      <c r="H24" s="303"/>
      <c r="I24" s="303"/>
      <c r="J24" s="303"/>
      <c r="K24" s="303"/>
      <c r="L24" s="377">
        <v>9013.2720546516975</v>
      </c>
      <c r="M24" s="303"/>
      <c r="N24" s="377">
        <v>41092.61693906218</v>
      </c>
      <c r="O24" s="303"/>
      <c r="P24" s="303"/>
      <c r="Q24" s="289"/>
      <c r="R24" s="289"/>
      <c r="S24" s="289"/>
      <c r="T24" s="289"/>
    </row>
    <row r="25" spans="1:20" s="290" customFormat="1" x14ac:dyDescent="0.2">
      <c r="A25" s="305">
        <v>62</v>
      </c>
      <c r="B25" s="298">
        <v>358</v>
      </c>
      <c r="C25" s="304" t="s">
        <v>221</v>
      </c>
      <c r="D25" s="303"/>
      <c r="E25" s="303"/>
      <c r="F25" s="303"/>
      <c r="G25" s="303"/>
      <c r="H25" s="303"/>
      <c r="I25" s="303"/>
      <c r="J25" s="303"/>
      <c r="K25" s="303"/>
      <c r="L25" s="377">
        <v>37749.359300529773</v>
      </c>
      <c r="M25" s="303"/>
      <c r="N25" s="377">
        <v>172103.97645005272</v>
      </c>
      <c r="O25" s="303"/>
      <c r="P25" s="303"/>
      <c r="Q25" s="289"/>
      <c r="R25" s="289"/>
      <c r="S25" s="289"/>
      <c r="T25" s="289"/>
    </row>
    <row r="26" spans="1:20" s="290" customFormat="1" x14ac:dyDescent="0.2">
      <c r="A26" s="305">
        <v>65</v>
      </c>
      <c r="B26" s="298">
        <v>359</v>
      </c>
      <c r="C26" s="304" t="s">
        <v>220</v>
      </c>
      <c r="D26" s="303"/>
      <c r="E26" s="303"/>
      <c r="F26" s="303"/>
      <c r="G26" s="303"/>
      <c r="H26" s="303"/>
      <c r="I26" s="303"/>
      <c r="J26" s="303"/>
      <c r="K26" s="303"/>
      <c r="L26" s="377">
        <v>17856.713995793751</v>
      </c>
      <c r="M26" s="303"/>
      <c r="N26" s="377">
        <v>81410.957482509795</v>
      </c>
      <c r="O26" s="303"/>
      <c r="P26" s="303"/>
      <c r="Q26" s="289"/>
      <c r="R26" s="289"/>
      <c r="S26" s="289"/>
      <c r="T26" s="289"/>
    </row>
    <row r="27" spans="1:20" s="290" customFormat="1" x14ac:dyDescent="0.2">
      <c r="A27" s="305">
        <v>68</v>
      </c>
      <c r="B27" s="298">
        <v>359.1</v>
      </c>
      <c r="C27" s="304" t="s">
        <v>219</v>
      </c>
      <c r="D27" s="303"/>
      <c r="E27" s="303"/>
      <c r="F27" s="303"/>
      <c r="G27" s="303"/>
      <c r="H27" s="303"/>
      <c r="I27" s="303"/>
      <c r="J27" s="303"/>
      <c r="K27" s="303"/>
      <c r="L27" s="377">
        <v>41714.190809590247</v>
      </c>
      <c r="M27" s="303"/>
      <c r="N27" s="377">
        <v>190180.13141817678</v>
      </c>
      <c r="O27" s="303"/>
      <c r="P27" s="303"/>
      <c r="Q27" s="289"/>
      <c r="R27" s="289"/>
      <c r="S27" s="289"/>
      <c r="T27" s="289"/>
    </row>
    <row r="28" spans="1:20" s="290" customFormat="1" x14ac:dyDescent="0.2">
      <c r="A28" s="295"/>
      <c r="B28" s="296"/>
      <c r="C28" s="295" t="s">
        <v>216</v>
      </c>
      <c r="D28" s="294"/>
      <c r="E28" s="294"/>
      <c r="F28" s="294"/>
      <c r="G28" s="294"/>
      <c r="H28" s="294"/>
      <c r="I28" s="294"/>
      <c r="J28" s="294"/>
      <c r="K28" s="302"/>
      <c r="L28" s="302">
        <f>SUM(L17:L27)</f>
        <v>21142834.556408584</v>
      </c>
      <c r="M28" s="302"/>
      <c r="N28" s="383">
        <f>SUM(N17:N27)</f>
        <v>96798032.039211228</v>
      </c>
      <c r="O28" s="294"/>
      <c r="P28" s="294"/>
      <c r="Q28" s="289"/>
      <c r="R28" s="289"/>
      <c r="S28" s="289"/>
      <c r="T28" s="289"/>
    </row>
    <row r="29" spans="1:20" s="290" customFormat="1" x14ac:dyDescent="0.2">
      <c r="B29" s="298"/>
      <c r="D29" s="297"/>
      <c r="E29" s="297"/>
      <c r="F29" s="297"/>
      <c r="G29" s="297"/>
      <c r="H29" s="297"/>
      <c r="I29" s="297"/>
      <c r="J29" s="297"/>
      <c r="K29" s="301" t="s">
        <v>211</v>
      </c>
      <c r="L29" s="381">
        <v>0</v>
      </c>
      <c r="M29" s="300"/>
      <c r="N29" s="384">
        <v>0</v>
      </c>
      <c r="O29" s="297"/>
      <c r="P29" s="297"/>
      <c r="Q29" s="289"/>
      <c r="R29" s="289"/>
      <c r="S29" s="289"/>
      <c r="T29" s="289"/>
    </row>
    <row r="30" spans="1:20" s="290" customFormat="1" x14ac:dyDescent="0.2">
      <c r="B30" s="298"/>
      <c r="C30" s="299" t="s">
        <v>218</v>
      </c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89"/>
      <c r="R30" s="289"/>
      <c r="S30" s="289"/>
      <c r="T30" s="289"/>
    </row>
    <row r="31" spans="1:20" s="290" customFormat="1" x14ac:dyDescent="0.2">
      <c r="A31" s="295"/>
      <c r="B31" s="296"/>
      <c r="C31" s="295" t="s">
        <v>216</v>
      </c>
      <c r="D31" s="294"/>
      <c r="E31" s="294"/>
      <c r="F31" s="294"/>
      <c r="G31" s="294"/>
      <c r="H31" s="294"/>
      <c r="I31" s="294"/>
      <c r="J31" s="294"/>
      <c r="K31" s="294"/>
      <c r="L31" s="378">
        <v>65853777.085743703</v>
      </c>
      <c r="M31" s="294"/>
      <c r="N31" s="382">
        <v>8396549.0546567161</v>
      </c>
      <c r="O31" s="294"/>
      <c r="P31" s="294"/>
      <c r="Q31" s="289"/>
      <c r="R31" s="289"/>
      <c r="S31" s="289"/>
      <c r="T31" s="289"/>
    </row>
    <row r="32" spans="1:20" s="290" customFormat="1" x14ac:dyDescent="0.2">
      <c r="B32" s="298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89"/>
      <c r="R32" s="289"/>
      <c r="S32" s="289"/>
      <c r="T32" s="289"/>
    </row>
    <row r="33" spans="1:20" s="290" customFormat="1" x14ac:dyDescent="0.2">
      <c r="B33" s="298"/>
      <c r="C33" s="299" t="s">
        <v>217</v>
      </c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89"/>
      <c r="R33" s="289"/>
      <c r="S33" s="289"/>
      <c r="T33" s="289"/>
    </row>
    <row r="34" spans="1:20" s="290" customFormat="1" x14ac:dyDescent="0.2">
      <c r="A34" s="295"/>
      <c r="B34" s="296"/>
      <c r="C34" s="295" t="s">
        <v>216</v>
      </c>
      <c r="D34" s="294"/>
      <c r="E34" s="294"/>
      <c r="F34" s="294"/>
      <c r="G34" s="294"/>
      <c r="H34" s="294"/>
      <c r="I34" s="294"/>
      <c r="J34" s="294"/>
      <c r="K34" s="294"/>
      <c r="L34" s="378">
        <v>3341079.0272974637</v>
      </c>
      <c r="M34" s="294"/>
      <c r="N34" s="382">
        <v>5113612.2573700706</v>
      </c>
      <c r="O34" s="294"/>
      <c r="P34" s="294"/>
      <c r="Q34" s="289"/>
      <c r="R34" s="289"/>
      <c r="S34" s="289"/>
      <c r="T34" s="289"/>
    </row>
    <row r="35" spans="1:20" s="290" customFormat="1" x14ac:dyDescent="0.2">
      <c r="B35" s="298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301" t="s">
        <v>211</v>
      </c>
      <c r="R35" s="289"/>
      <c r="S35" s="289"/>
      <c r="T35" s="289"/>
    </row>
    <row r="36" spans="1:20" s="290" customFormat="1" x14ac:dyDescent="0.2">
      <c r="A36" s="295"/>
      <c r="B36" s="296"/>
      <c r="C36" s="295" t="s">
        <v>215</v>
      </c>
      <c r="D36" s="378">
        <v>11413088751.282448</v>
      </c>
      <c r="E36" s="378">
        <v>6720253610.3311548</v>
      </c>
      <c r="F36" s="378">
        <v>1405871447.7040446</v>
      </c>
      <c r="G36" s="378">
        <v>1434100041.2974298</v>
      </c>
      <c r="H36" s="378">
        <v>773464215.43872714</v>
      </c>
      <c r="I36" s="378">
        <v>562852604.61381102</v>
      </c>
      <c r="J36" s="378">
        <v>5711948.1760246512</v>
      </c>
      <c r="K36" s="378">
        <v>50927015.002084188</v>
      </c>
      <c r="L36" s="379">
        <f>SUM(L11,L14,L28,L31,L34)</f>
        <v>94443781.525703236</v>
      </c>
      <c r="M36" s="378">
        <v>137325289.99260256</v>
      </c>
      <c r="N36" s="379">
        <f>SUM(N11,N14,N28,N31,N34)</f>
        <v>112467129.868497</v>
      </c>
      <c r="O36" s="378">
        <v>112698626.40461951</v>
      </c>
      <c r="P36" s="378">
        <v>2973040.9277549349</v>
      </c>
      <c r="Q36" s="385">
        <f>SUM(E36:P36)-D36</f>
        <v>0</v>
      </c>
      <c r="R36" s="289"/>
      <c r="S36" s="289"/>
      <c r="T36" s="289"/>
    </row>
    <row r="38" spans="1:20" s="290" customFormat="1" x14ac:dyDescent="0.2">
      <c r="B38" s="298"/>
      <c r="C38" s="290" t="s">
        <v>214</v>
      </c>
      <c r="D38" s="297"/>
      <c r="E38" s="297"/>
      <c r="F38" s="297"/>
      <c r="G38" s="297"/>
      <c r="H38" s="297"/>
      <c r="I38" s="297"/>
      <c r="J38" s="297"/>
      <c r="K38" s="297"/>
      <c r="L38" s="297">
        <f>-L28</f>
        <v>-21142834.556408584</v>
      </c>
      <c r="M38" s="297"/>
      <c r="N38" s="297">
        <f>-SUM(N17:N19,N21:N27)</f>
        <v>-96392785.679211229</v>
      </c>
      <c r="O38" s="297"/>
      <c r="P38" s="297"/>
      <c r="Q38" s="289"/>
      <c r="R38" s="289"/>
      <c r="S38" s="289"/>
      <c r="T38" s="289"/>
    </row>
    <row r="39" spans="1:20" s="290" customFormat="1" x14ac:dyDescent="0.2">
      <c r="B39" s="298"/>
      <c r="C39" s="290" t="s">
        <v>213</v>
      </c>
      <c r="D39" s="297"/>
      <c r="E39" s="297"/>
      <c r="F39" s="297"/>
      <c r="G39" s="297"/>
      <c r="H39" s="297"/>
      <c r="I39" s="297"/>
      <c r="J39" s="297"/>
      <c r="K39" s="297"/>
      <c r="L39" s="297">
        <f>+L38/SUM(L28,L31)*SUM(L11,L34)</f>
        <v>-1809889.8082266829</v>
      </c>
      <c r="M39" s="297"/>
      <c r="N39" s="297">
        <f>+N38/SUM(N28,N31)*SUM(N11,N34)</f>
        <v>-6664043.2243262492</v>
      </c>
      <c r="O39" s="297"/>
      <c r="P39" s="297"/>
      <c r="Q39" s="289"/>
      <c r="R39" s="289"/>
      <c r="S39" s="289"/>
      <c r="T39" s="289"/>
    </row>
    <row r="40" spans="1:20" s="290" customFormat="1" x14ac:dyDescent="0.2">
      <c r="A40" s="295"/>
      <c r="B40" s="296"/>
      <c r="C40" s="295" t="s">
        <v>212</v>
      </c>
      <c r="D40" s="294">
        <f t="shared" ref="D40:P40" si="0">SUM(D36,D38:D39)</f>
        <v>11413088751.282448</v>
      </c>
      <c r="E40" s="294">
        <f t="shared" si="0"/>
        <v>6720253610.3311548</v>
      </c>
      <c r="F40" s="294">
        <f t="shared" si="0"/>
        <v>1405871447.7040446</v>
      </c>
      <c r="G40" s="294">
        <f t="shared" si="0"/>
        <v>1434100041.2974298</v>
      </c>
      <c r="H40" s="294">
        <f t="shared" si="0"/>
        <v>773464215.43872714</v>
      </c>
      <c r="I40" s="294">
        <f t="shared" si="0"/>
        <v>562852604.61381102</v>
      </c>
      <c r="J40" s="294">
        <f t="shared" si="0"/>
        <v>5711948.1760246512</v>
      </c>
      <c r="K40" s="294">
        <f t="shared" si="0"/>
        <v>50927015.002084188</v>
      </c>
      <c r="L40" s="294">
        <f t="shared" si="0"/>
        <v>71491057.161067963</v>
      </c>
      <c r="M40" s="294">
        <f t="shared" si="0"/>
        <v>137325289.99260256</v>
      </c>
      <c r="N40" s="294">
        <f t="shared" si="0"/>
        <v>9410300.9649595208</v>
      </c>
      <c r="O40" s="294">
        <f t="shared" si="0"/>
        <v>112698626.40461951</v>
      </c>
      <c r="P40" s="294">
        <f t="shared" si="0"/>
        <v>2973040.9277549349</v>
      </c>
      <c r="Q40" s="289"/>
      <c r="R40" s="289"/>
      <c r="S40" s="289"/>
      <c r="T40" s="289"/>
    </row>
    <row r="42" spans="1:20" x14ac:dyDescent="0.2">
      <c r="K42" s="293" t="s">
        <v>211</v>
      </c>
      <c r="L42" s="386">
        <v>0</v>
      </c>
      <c r="M42" s="292"/>
      <c r="N42" s="291">
        <v>0</v>
      </c>
    </row>
    <row r="43" spans="1:20" x14ac:dyDescent="0.2">
      <c r="N43" s="287"/>
    </row>
  </sheetData>
  <mergeCells count="3">
    <mergeCell ref="A1:P1"/>
    <mergeCell ref="A2:P2"/>
    <mergeCell ref="A3:P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>
    <oddHeader>&amp;RDocket No. UE-19xxxx
ECOS Model
Page &amp;P of &amp;N</oddHeader>
    <oddFooter>&amp;L&amp;F
&amp;A&amp;RExhibit No.___BDJ-4
Pages 12 to 14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4" tint="0.79998168889431442"/>
  </sheetPr>
  <dimension ref="A1:B7"/>
  <sheetViews>
    <sheetView workbookViewId="0">
      <selection activeCell="B1" sqref="B1:B4"/>
    </sheetView>
  </sheetViews>
  <sheetFormatPr defaultColWidth="8.85546875" defaultRowHeight="12.75" x14ac:dyDescent="0.2"/>
  <cols>
    <col min="1" max="1" width="27.28515625" style="119" bestFit="1" customWidth="1"/>
    <col min="2" max="2" width="7.85546875" style="119" bestFit="1" customWidth="1"/>
    <col min="3" max="16384" width="8.85546875" style="119"/>
  </cols>
  <sheetData>
    <row r="1" spans="1:2" ht="15" x14ac:dyDescent="0.35">
      <c r="A1" s="118" t="s">
        <v>124</v>
      </c>
      <c r="B1" s="373">
        <v>45778</v>
      </c>
    </row>
    <row r="2" spans="1:2" ht="15" x14ac:dyDescent="0.35">
      <c r="A2" s="120" t="s">
        <v>125</v>
      </c>
      <c r="B2" s="374" t="s">
        <v>210</v>
      </c>
    </row>
    <row r="3" spans="1:2" ht="15" x14ac:dyDescent="0.35">
      <c r="A3" s="120" t="s">
        <v>126</v>
      </c>
      <c r="B3" s="375">
        <v>45778</v>
      </c>
    </row>
    <row r="4" spans="1:2" ht="15" x14ac:dyDescent="0.35">
      <c r="A4" s="120" t="s">
        <v>127</v>
      </c>
      <c r="B4" s="375">
        <f>B3+364</f>
        <v>46142</v>
      </c>
    </row>
    <row r="5" spans="1:2" ht="15" x14ac:dyDescent="0.35">
      <c r="A5" s="120"/>
      <c r="B5" s="121"/>
    </row>
    <row r="6" spans="1:2" ht="15" x14ac:dyDescent="0.35">
      <c r="A6" s="118"/>
      <c r="B6" s="122"/>
    </row>
    <row r="7" spans="1:2" ht="15" x14ac:dyDescent="0.35">
      <c r="A7" s="120"/>
      <c r="B7" s="12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647E2C045A2A04A8B68EBD76FA58EFB" ma:contentTypeVersion="19" ma:contentTypeDescription="" ma:contentTypeScope="" ma:versionID="6e6fbe75bd2e64e31f66157386f6e4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2025-03-28T07:00:00+00:00</OpenedDate>
    <SignificantOrder xmlns="dc463f71-b30c-4ab2-9473-d307f9d35888">false</SignificantOrder>
    <Date1 xmlns="dc463f71-b30c-4ab2-9473-d307f9d35888">2025-03-28T07:00:00+00:00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7F16A8-8706-4048-8BD3-633DD2023F7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7C69074-4A32-41DA-A827-B4B267C70B36}"/>
</file>

<file path=customXml/itemProps3.xml><?xml version="1.0" encoding="utf-8"?>
<ds:datastoreItem xmlns:ds="http://schemas.openxmlformats.org/officeDocument/2006/customXml" ds:itemID="{C7D75405-0291-4E07-9DB4-17DE6508D73D}"/>
</file>

<file path=customXml/itemProps4.xml><?xml version="1.0" encoding="utf-8"?>
<ds:datastoreItem xmlns:ds="http://schemas.openxmlformats.org/officeDocument/2006/customXml" ds:itemID="{53DF2C7F-8C85-4514-91B6-1FEB6BD6943B}"/>
</file>

<file path=customXml/itemProps5.xml><?xml version="1.0" encoding="utf-8"?>
<ds:datastoreItem xmlns:ds="http://schemas.openxmlformats.org/officeDocument/2006/customXml" ds:itemID="{319EDC88-CD08-4F92-9485-975BA3301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Tariff Use&gt;</vt:lpstr>
      <vt:lpstr>Sch 140 Rates</vt:lpstr>
      <vt:lpstr>Lighting Rates</vt:lpstr>
      <vt:lpstr>Rate Impacts</vt:lpstr>
      <vt:lpstr>Workpapers&gt;</vt:lpstr>
      <vt:lpstr>Lighting RD</vt:lpstr>
      <vt:lpstr>Rate Spread &amp; Design</vt:lpstr>
      <vt:lpstr>Plant-In-Service Trans Adj</vt:lpstr>
      <vt:lpstr>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Zakharova, Elena</cp:lastModifiedBy>
  <cp:lastPrinted>2021-03-15T17:22:18Z</cp:lastPrinted>
  <dcterms:created xsi:type="dcterms:W3CDTF">2014-04-04T17:25:38Z</dcterms:created>
  <dcterms:modified xsi:type="dcterms:W3CDTF">2025-03-27T16:04:43Z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2025-03-04T18:43:31Z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fe35a07a-0e4f-44ed-aee0-8aa96e095de7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0x0101006E56B4D1795A2E4DB2F0B01679ED314A006647E2C045A2A04A8B68EBD76FA58EFB</vt:lpwstr>
  </property>
</Properties>
</file>