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showInkAnnotation="0" codeName="ThisWorkbook" defaultThemeVersion="124226"/>
  <xr:revisionPtr revIDLastSave="0" documentId="8_{EBEEC1FD-62BC-4401-8AAC-31EAA3925C59}" xr6:coauthVersionLast="47" xr6:coauthVersionMax="47" xr10:uidLastSave="{00000000-0000-0000-0000-000000000000}"/>
  <bookViews>
    <workbookView xWindow="5730" yWindow="1755" windowWidth="21600" windowHeight="11325" tabRatio="932" xr2:uid="{00000000-000D-0000-FFFF-FFFF00000000}"/>
  </bookViews>
  <sheets>
    <sheet name="Inputs" sheetId="2" r:id="rId1"/>
    <sheet name="Output" sheetId="3" r:id="rId2"/>
    <sheet name="PFIS" sheetId="5" r:id="rId3"/>
    <sheet name="Capital Structure" sheetId="12" r:id="rId4"/>
    <sheet name="Int Sync, NTG, Rev Req" sheetId="13" r:id="rId5"/>
    <sheet name="Rate Design" sheetId="8" r:id="rId6"/>
    <sheet name="Rate Data Calculations" sheetId="18" r:id="rId7"/>
    <sheet name="Revenue Requirement Proof" sheetId="24" r:id="rId8"/>
    <sheet name="Resources" sheetId="21" r:id="rId9"/>
  </sheets>
  <externalReferences>
    <externalReference r:id="rId10"/>
  </externalReferences>
  <definedNames>
    <definedName name="Annual_Average">'Rate Design'!#REF!</definedName>
    <definedName name="Bad_Debt_Percent">'Int Sync, NTG, Rev Req'!$D$43</definedName>
    <definedName name="BaseRate_Percent">'Rate Design'!#REF!</definedName>
    <definedName name="Block1_Percent">'Rate Design'!#REF!</definedName>
    <definedName name="Block2_Percent">'Rate Design'!#REF!</definedName>
    <definedName name="Block3_Percent">'Rate Design'!#REF!</definedName>
    <definedName name="BO_Tax_Rate">'Int Sync, NTG, Rev Req'!$D$44</definedName>
    <definedName name="Cost_of_Debt">'Capital Structure'!$I$54</definedName>
    <definedName name="Current_Allowance">'Rate Design'!#REF!</definedName>
    <definedName name="Current_Base_Rate">'Rate Design'!#REF!</definedName>
    <definedName name="Current_Block1_Rate">'Rate Design'!#REF!</definedName>
    <definedName name="Current_Block1_UsageMax">'Rate Design'!#REF!</definedName>
    <definedName name="Current_Block2_Rate">'Rate Design'!#REF!</definedName>
    <definedName name="Current_Block2_UsageMax">'Rate Design'!#REF!</definedName>
    <definedName name="Current_Block3_Rate">'Rate Design'!#REF!</definedName>
    <definedName name="Current_Block3_UsageMin">'Rate Design'!#REF!</definedName>
    <definedName name="CustomerCount_Total">'Rate Design'!#REF!</definedName>
    <definedName name="Endof_TestYear">Inputs!$AF$2</definedName>
    <definedName name="FIT_Rate">'Int Sync, NTG, Rev Req'!$D$50</definedName>
    <definedName name="Most_Common_Meter_Size">'Rate Design'!#REF!</definedName>
    <definedName name="_xlnm.Print_Area" localSheetId="3">'Capital Structure'!$A$2:$K$50</definedName>
    <definedName name="_xlnm.Print_Area" localSheetId="4">'Int Sync, NTG, Rev Req'!$B$2:$I$33</definedName>
    <definedName name="_xlnm.Print_Area" localSheetId="1">Output!$A$1:$N$36</definedName>
    <definedName name="_xlnm.Print_Area" localSheetId="2">PFIS!$A$1:$L$64</definedName>
    <definedName name="_xlnm.Print_Area" localSheetId="5">'Rate Design'!#REF!</definedName>
    <definedName name="Prof_Int_Exp_Adj">'Int Sync, NTG, Rev Req'!$D$13</definedName>
    <definedName name="Proforma_Interest_Expense">'Int Sync, NTG, Rev Req'!$D$11</definedName>
    <definedName name="Proposed_Allowance">'Rate Design'!#REF!</definedName>
    <definedName name="Proposed_Base_Rate">'Rate Design'!#REF!</definedName>
    <definedName name="Proposed_Block1_Rate">'Rate Design'!#REF!</definedName>
    <definedName name="Proposed_Block1_UsageMax">'Rate Design'!#REF!</definedName>
    <definedName name="Proposed_Block2_Rate">'Rate Design'!#REF!</definedName>
    <definedName name="Proposed_Block2_UsageMax">'Rate Design'!#REF!</definedName>
    <definedName name="Proposed_Block3_Rate">'Rate Design'!#REF!</definedName>
    <definedName name="Proposed_Block3_UsageMin">'Rate Design'!#REF!</definedName>
    <definedName name="RateDesign_RTS">'Rate Design'!#REF!</definedName>
    <definedName name="RateDesign_Unmetered">'Rate Design'!#REF!</definedName>
    <definedName name="RevenueGenerated_10.1">'Rate Design'!#REF!</definedName>
    <definedName name="RevenueRequirement_10.1">'Rate Design'!#REF!</definedName>
    <definedName name="Revised_Allowance">'Rate Design'!#REF!</definedName>
    <definedName name="Revised_Base_Rate">'Rate Design'!#REF!</definedName>
    <definedName name="Revised_Block1_Rate">'Rate Design'!#REF!</definedName>
    <definedName name="Revised_Block1_UsageMax">'Rate Design'!#REF!</definedName>
    <definedName name="Revised_Block2_Rate">'Rate Design'!#REF!</definedName>
    <definedName name="Revised_Block2_UsageMax">'Rate Design'!#REF!</definedName>
    <definedName name="Revised_Block3_Rate">'Rate Design'!#REF!</definedName>
    <definedName name="Revised_Block3_UsageMin">'Rate Design'!#REF!</definedName>
    <definedName name="RTS_Count">'Rate Design'!#REF!</definedName>
    <definedName name="solver_adj" localSheetId="6" hidden="1">#REF!,#REF!,#REF!,#REF!</definedName>
    <definedName name="solver_cvg" localSheetId="6" hidden="1">0.01</definedName>
    <definedName name="solver_drv" localSheetId="6" hidden="1">1</definedName>
    <definedName name="solver_est" localSheetId="6" hidden="1">1</definedName>
    <definedName name="solver_itr" localSheetId="6" hidden="1">1000</definedName>
    <definedName name="solver_lhs1" localSheetId="6" hidden="1">'Rate Data Calculations'!#REF!</definedName>
    <definedName name="solver_lhs2" localSheetId="6" hidden="1">#REF!</definedName>
    <definedName name="solver_lhs3" localSheetId="6" hidden="1">'Rate Data Calculations'!#REF!</definedName>
    <definedName name="solver_lhs4" localSheetId="6" hidden="1">'Rate Data Calculations'!#REF!</definedName>
    <definedName name="solver_lhs5" localSheetId="6" hidden="1">#REF!</definedName>
    <definedName name="solver_lhs6" localSheetId="6" hidden="1">#REF!</definedName>
    <definedName name="solver_lhs7" localSheetId="6" hidden="1">#REF!</definedName>
    <definedName name="solver_lhs8" localSheetId="6" hidden="1">#REF!</definedName>
    <definedName name="solver_lhs9" localSheetId="6" hidden="1">'Rate Data Calculations'!#REF!</definedName>
    <definedName name="solver_lin" localSheetId="6" hidden="1">2</definedName>
    <definedName name="solver_neg" localSheetId="6" hidden="1">1</definedName>
    <definedName name="solver_num" localSheetId="6" hidden="1">9</definedName>
    <definedName name="solver_nwt" localSheetId="6" hidden="1">1</definedName>
    <definedName name="solver_opt" localSheetId="6" hidden="1">#REF!</definedName>
    <definedName name="solver_pre" localSheetId="6" hidden="1">0.01</definedName>
    <definedName name="solver_rel1" localSheetId="6" hidden="1">1</definedName>
    <definedName name="solver_rel2" localSheetId="6" hidden="1">1</definedName>
    <definedName name="solver_rel3" localSheetId="6" hidden="1">1</definedName>
    <definedName name="solver_rel4" localSheetId="6" hidden="1">1</definedName>
    <definedName name="solver_rel5" localSheetId="6" hidden="1">1</definedName>
    <definedName name="solver_rel6" localSheetId="6" hidden="1">3</definedName>
    <definedName name="solver_rel7" localSheetId="6" hidden="1">1</definedName>
    <definedName name="solver_rel8" localSheetId="6" hidden="1">3</definedName>
    <definedName name="solver_rel9" localSheetId="6" hidden="1">1</definedName>
    <definedName name="solver_rhs1" localSheetId="6" hidden="1">'Rate Data Calculations'!#REF!</definedName>
    <definedName name="solver_rhs2" localSheetId="6" hidden="1">#REF!</definedName>
    <definedName name="solver_rhs3" localSheetId="6" hidden="1">'Rate Data Calculations'!#REF!</definedName>
    <definedName name="solver_rhs4" localSheetId="6" hidden="1">'Rate Data Calculations'!#REF!</definedName>
    <definedName name="solver_rhs5" localSheetId="6" hidden="1">#REF!</definedName>
    <definedName name="solver_rhs6" localSheetId="6" hidden="1">#REF!</definedName>
    <definedName name="solver_rhs7" localSheetId="6" hidden="1">#REF!</definedName>
    <definedName name="solver_rhs8" localSheetId="6" hidden="1">#REF!</definedName>
    <definedName name="solver_rhs9" localSheetId="6" hidden="1">'Rate Data Calculations'!#REF!</definedName>
    <definedName name="solver_scl" localSheetId="6" hidden="1">2</definedName>
    <definedName name="solver_sho" localSheetId="6" hidden="1">2</definedName>
    <definedName name="solver_tim" localSheetId="6" hidden="1">1000</definedName>
    <definedName name="solver_tol" localSheetId="6" hidden="1">0.02</definedName>
    <definedName name="solver_typ" localSheetId="6" hidden="1">3</definedName>
    <definedName name="solver_val" localSheetId="6" hidden="1">360000</definedName>
    <definedName name="TestEOY">Inputs!$AF$2</definedName>
    <definedName name="Unmetered_Count">'Rate Design'!#REF!</definedName>
    <definedName name="Unmetered_Rate_10.1">'Rate Design'!#REF!</definedName>
    <definedName name="Usage_Unit_10.1">'Rate Design'!#REF!</definedName>
    <definedName name="UTC_Reg_Fee_Tier1">'Int Sync, NTG, Rev Req'!#REF!</definedName>
    <definedName name="UTC_Reg_Fee_Tier2">'Int Sync, NTG, Rev Req'!#REF!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" i="8" l="1"/>
  <c r="L44" i="8" s="1"/>
  <c r="L45" i="8" s="1"/>
  <c r="L46" i="8" s="1"/>
  <c r="L47" i="8" s="1"/>
  <c r="L48" i="8" s="1"/>
  <c r="K44" i="8"/>
  <c r="K45" i="8" s="1"/>
  <c r="K46" i="8" s="1"/>
  <c r="K47" i="8" s="1"/>
  <c r="K48" i="8" s="1"/>
  <c r="K43" i="8"/>
  <c r="J44" i="8"/>
  <c r="J45" i="8" s="1"/>
  <c r="J46" i="8" s="1"/>
  <c r="J47" i="8" s="1"/>
  <c r="J48" i="8" s="1"/>
  <c r="J43" i="8"/>
  <c r="L13" i="8"/>
  <c r="J18" i="24"/>
  <c r="L68" i="5"/>
  <c r="I68" i="5"/>
  <c r="C68" i="5"/>
  <c r="F68" i="5"/>
  <c r="C67" i="5"/>
  <c r="C69" i="5" l="1"/>
  <c r="A60" i="5" l="1"/>
  <c r="K17" i="24"/>
  <c r="H24" i="2"/>
  <c r="F37" i="24"/>
  <c r="G37" i="24"/>
  <c r="H37" i="24"/>
  <c r="I37" i="24"/>
  <c r="J37" i="24"/>
  <c r="E32" i="24"/>
  <c r="G32" i="24"/>
  <c r="E28" i="24"/>
  <c r="F28" i="24"/>
  <c r="G28" i="24"/>
  <c r="H10" i="24"/>
  <c r="I10" i="24"/>
  <c r="G43" i="8"/>
  <c r="Q45" i="8"/>
  <c r="Q44" i="8"/>
  <c r="Q42" i="8"/>
  <c r="O42" i="8"/>
  <c r="Q32" i="8"/>
  <c r="Q31" i="8"/>
  <c r="Q30" i="8"/>
  <c r="G34" i="8"/>
  <c r="G33" i="8"/>
  <c r="P31" i="8"/>
  <c r="P30" i="8"/>
  <c r="P29" i="8"/>
  <c r="O30" i="8"/>
  <c r="O29" i="8"/>
  <c r="O28" i="8"/>
  <c r="N19" i="8"/>
  <c r="N18" i="8"/>
  <c r="N17" i="8"/>
  <c r="N16" i="8"/>
  <c r="N15" i="8"/>
  <c r="N14" i="8"/>
  <c r="N13" i="8"/>
  <c r="M19" i="8"/>
  <c r="M18" i="8"/>
  <c r="M17" i="8"/>
  <c r="M16" i="8"/>
  <c r="M15" i="8"/>
  <c r="M14" i="8"/>
  <c r="F13" i="8"/>
  <c r="C34" i="8"/>
  <c r="C48" i="8" s="1"/>
  <c r="L18" i="8"/>
  <c r="L17" i="8"/>
  <c r="C31" i="8"/>
  <c r="C45" i="8" s="1"/>
  <c r="L15" i="8"/>
  <c r="L14" i="8"/>
  <c r="F2" i="24"/>
  <c r="G2" i="24" s="1"/>
  <c r="H2" i="24" s="1"/>
  <c r="I2" i="24" s="1"/>
  <c r="J2" i="24" s="1"/>
  <c r="E2" i="24"/>
  <c r="Q33" i="8" l="1"/>
  <c r="O31" i="8"/>
  <c r="G42" i="8"/>
  <c r="P32" i="8"/>
  <c r="O47" i="8"/>
  <c r="P48" i="8"/>
  <c r="F17" i="8"/>
  <c r="O48" i="8"/>
  <c r="F18" i="8"/>
  <c r="G44" i="8"/>
  <c r="G45" i="8"/>
  <c r="Q46" i="8"/>
  <c r="P42" i="8"/>
  <c r="O45" i="8"/>
  <c r="G46" i="8"/>
  <c r="Q47" i="8"/>
  <c r="G48" i="8"/>
  <c r="O46" i="8"/>
  <c r="P47" i="8"/>
  <c r="Q48" i="8"/>
  <c r="P45" i="8"/>
  <c r="G32" i="8"/>
  <c r="G47" i="8"/>
  <c r="Q34" i="8"/>
  <c r="O33" i="8"/>
  <c r="P34" i="8"/>
  <c r="F14" i="8"/>
  <c r="G29" i="8"/>
  <c r="F19" i="8"/>
  <c r="O32" i="8"/>
  <c r="O43" i="8"/>
  <c r="Q43" i="8"/>
  <c r="F15" i="8"/>
  <c r="G30" i="8"/>
  <c r="P33" i="8"/>
  <c r="G28" i="8"/>
  <c r="P46" i="8"/>
  <c r="O44" i="8"/>
  <c r="E50" i="8"/>
  <c r="F16" i="8"/>
  <c r="G31" i="8"/>
  <c r="P43" i="8"/>
  <c r="D50" i="8"/>
  <c r="P44" i="8"/>
  <c r="F50" i="8"/>
  <c r="O34" i="8"/>
  <c r="Q28" i="8"/>
  <c r="P28" i="8"/>
  <c r="Q29" i="8"/>
  <c r="L16" i="8"/>
  <c r="O16" i="8" s="1"/>
  <c r="N34" i="8"/>
  <c r="D21" i="8"/>
  <c r="C29" i="8"/>
  <c r="C43" i="8" s="1"/>
  <c r="C30" i="8"/>
  <c r="C44" i="8" s="1"/>
  <c r="C21" i="8"/>
  <c r="C32" i="8"/>
  <c r="C46" i="8" s="1"/>
  <c r="N46" i="8" s="1"/>
  <c r="O15" i="8"/>
  <c r="C33" i="8"/>
  <c r="C47" i="8" s="1"/>
  <c r="L19" i="8"/>
  <c r="O19" i="8" s="1"/>
  <c r="O18" i="8"/>
  <c r="C28" i="8"/>
  <c r="C42" i="8" s="1"/>
  <c r="N42" i="8" s="1"/>
  <c r="F36" i="8"/>
  <c r="E21" i="8"/>
  <c r="N31" i="8"/>
  <c r="R31" i="8" s="1"/>
  <c r="O17" i="8"/>
  <c r="N21" i="8"/>
  <c r="O14" i="8"/>
  <c r="M13" i="8"/>
  <c r="M21" i="8" s="1"/>
  <c r="D36" i="8"/>
  <c r="E36" i="8"/>
  <c r="G50" i="8" l="1"/>
  <c r="F21" i="8"/>
  <c r="P36" i="8"/>
  <c r="Q50" i="8"/>
  <c r="R46" i="8"/>
  <c r="O50" i="8"/>
  <c r="R34" i="8"/>
  <c r="G36" i="8"/>
  <c r="Q36" i="8"/>
  <c r="P50" i="8"/>
  <c r="N33" i="8"/>
  <c r="R33" i="8" s="1"/>
  <c r="N48" i="8"/>
  <c r="R48" i="8" s="1"/>
  <c r="N32" i="8"/>
  <c r="R32" i="8" s="1"/>
  <c r="N47" i="8"/>
  <c r="R47" i="8" s="1"/>
  <c r="N28" i="8"/>
  <c r="R28" i="8" s="1"/>
  <c r="N30" i="8"/>
  <c r="R30" i="8" s="1"/>
  <c r="N45" i="8"/>
  <c r="R45" i="8" s="1"/>
  <c r="N29" i="8"/>
  <c r="R29" i="8" s="1"/>
  <c r="N44" i="8"/>
  <c r="R44" i="8" s="1"/>
  <c r="R42" i="8"/>
  <c r="O36" i="8"/>
  <c r="C36" i="8"/>
  <c r="O13" i="8"/>
  <c r="O21" i="8" s="1"/>
  <c r="L21" i="8"/>
  <c r="N36" i="8" l="1"/>
  <c r="N43" i="8"/>
  <c r="C50" i="8"/>
  <c r="R36" i="8"/>
  <c r="R43" i="8" l="1"/>
  <c r="R50" i="8" s="1"/>
  <c r="N50" i="8"/>
  <c r="C118" i="24" l="1"/>
  <c r="V456" i="2"/>
  <c r="V445" i="2"/>
  <c r="V442" i="2"/>
  <c r="AC428" i="2"/>
  <c r="AB428" i="2"/>
  <c r="AC285" i="2"/>
  <c r="AB285" i="2"/>
  <c r="AC284" i="2"/>
  <c r="AB284" i="2"/>
  <c r="AC283" i="2"/>
  <c r="AB283" i="2"/>
  <c r="AC282" i="2"/>
  <c r="AB282" i="2"/>
  <c r="AC281" i="2"/>
  <c r="AB281" i="2"/>
  <c r="AC280" i="2"/>
  <c r="AB280" i="2"/>
  <c r="AC279" i="2"/>
  <c r="AB279" i="2"/>
  <c r="AC278" i="2"/>
  <c r="AB278" i="2"/>
  <c r="AC277" i="2"/>
  <c r="AB277" i="2"/>
  <c r="AC276" i="2"/>
  <c r="AB276" i="2"/>
  <c r="AC275" i="2"/>
  <c r="AB275" i="2"/>
  <c r="AC274" i="2"/>
  <c r="AB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I22" i="24" l="1"/>
  <c r="I28" i="24" l="1"/>
  <c r="I32" i="24" s="1"/>
  <c r="I41" i="24" s="1"/>
  <c r="F60" i="5"/>
  <c r="I60" i="5" s="1"/>
  <c r="L60" i="5" s="1"/>
  <c r="E45" i="13" l="1"/>
  <c r="E44" i="13"/>
  <c r="E43" i="13"/>
  <c r="C61" i="24" s="1"/>
  <c r="E42" i="13"/>
  <c r="E41" i="13"/>
  <c r="C62" i="24"/>
  <c r="C60" i="24"/>
  <c r="M37" i="24"/>
  <c r="D37" i="24"/>
  <c r="M28" i="24"/>
  <c r="M32" i="24" s="1"/>
  <c r="E10" i="24"/>
  <c r="F10" i="24"/>
  <c r="J10" i="24"/>
  <c r="L16" i="24"/>
  <c r="F74" i="5"/>
  <c r="N60" i="2"/>
  <c r="K60" i="2"/>
  <c r="C63" i="24" l="1"/>
  <c r="C64" i="24" s="1"/>
  <c r="I47" i="24"/>
  <c r="I48" i="24" s="1"/>
  <c r="O28" i="24" l="1"/>
  <c r="O32" i="24" s="1"/>
  <c r="E47" i="5" l="1"/>
  <c r="C40" i="13" l="1"/>
  <c r="D50" i="13"/>
  <c r="B3" i="18" l="1"/>
  <c r="B2" i="18"/>
  <c r="B2" i="8"/>
  <c r="B3" i="8"/>
  <c r="B3" i="12"/>
  <c r="B2" i="12"/>
  <c r="B3" i="5"/>
  <c r="B4" i="8" s="1"/>
  <c r="B2" i="5"/>
  <c r="B1" i="5"/>
  <c r="C4" i="13" l="1"/>
  <c r="B4" i="18"/>
  <c r="B4" i="12"/>
  <c r="B9" i="13"/>
  <c r="C3" i="13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605" i="2"/>
  <c r="AA606" i="2"/>
  <c r="AA607" i="2"/>
  <c r="AA608" i="2"/>
  <c r="AA609" i="2"/>
  <c r="AA610" i="2"/>
  <c r="AA611" i="2"/>
  <c r="AA612" i="2"/>
  <c r="AA613" i="2"/>
  <c r="AA614" i="2"/>
  <c r="AA615" i="2"/>
  <c r="AA616" i="2"/>
  <c r="AA617" i="2"/>
  <c r="AA618" i="2"/>
  <c r="AA619" i="2"/>
  <c r="AA620" i="2"/>
  <c r="AA621" i="2"/>
  <c r="AA622" i="2"/>
  <c r="AA623" i="2"/>
  <c r="AA624" i="2"/>
  <c r="AA625" i="2"/>
  <c r="AA626" i="2"/>
  <c r="AA627" i="2"/>
  <c r="AA628" i="2"/>
  <c r="AA629" i="2"/>
  <c r="AA630" i="2"/>
  <c r="AA631" i="2"/>
  <c r="AA632" i="2"/>
  <c r="AA633" i="2"/>
  <c r="AA634" i="2"/>
  <c r="AA635" i="2"/>
  <c r="AA636" i="2"/>
  <c r="AA637" i="2"/>
  <c r="AA638" i="2"/>
  <c r="AA639" i="2"/>
  <c r="AA640" i="2"/>
  <c r="AA641" i="2"/>
  <c r="AA642" i="2"/>
  <c r="AA643" i="2"/>
  <c r="AA644" i="2"/>
  <c r="AA645" i="2"/>
  <c r="AA646" i="2"/>
  <c r="AA647" i="2"/>
  <c r="AA648" i="2"/>
  <c r="AA649" i="2"/>
  <c r="AA650" i="2"/>
  <c r="AA651" i="2"/>
  <c r="AA652" i="2"/>
  <c r="AA653" i="2"/>
  <c r="AA654" i="2"/>
  <c r="AA655" i="2"/>
  <c r="AA656" i="2"/>
  <c r="AA657" i="2"/>
  <c r="AA658" i="2"/>
  <c r="AA659" i="2"/>
  <c r="AA660" i="2"/>
  <c r="AA661" i="2"/>
  <c r="AA662" i="2"/>
  <c r="AA663" i="2"/>
  <c r="AA664" i="2"/>
  <c r="AA665" i="2"/>
  <c r="AA666" i="2"/>
  <c r="AA667" i="2"/>
  <c r="AA668" i="2"/>
  <c r="AA669" i="2"/>
  <c r="AA670" i="2"/>
  <c r="AA671" i="2"/>
  <c r="AA672" i="2"/>
  <c r="AA673" i="2"/>
  <c r="AA674" i="2"/>
  <c r="AA675" i="2"/>
  <c r="AA676" i="2"/>
  <c r="AA677" i="2"/>
  <c r="AA678" i="2"/>
  <c r="AA679" i="2"/>
  <c r="AA680" i="2"/>
  <c r="AA681" i="2"/>
  <c r="AA682" i="2"/>
  <c r="AA683" i="2"/>
  <c r="AA684" i="2"/>
  <c r="AA685" i="2"/>
  <c r="AA686" i="2"/>
  <c r="AA687" i="2"/>
  <c r="AA688" i="2"/>
  <c r="AA689" i="2"/>
  <c r="AA690" i="2"/>
  <c r="AA691" i="2"/>
  <c r="AA692" i="2"/>
  <c r="AA693" i="2"/>
  <c r="AA694" i="2"/>
  <c r="AA695" i="2"/>
  <c r="AA696" i="2"/>
  <c r="AA697" i="2"/>
  <c r="AA698" i="2"/>
  <c r="AA699" i="2"/>
  <c r="AA700" i="2"/>
  <c r="AA701" i="2"/>
  <c r="AA702" i="2"/>
  <c r="AA703" i="2"/>
  <c r="AA704" i="2"/>
  <c r="AA705" i="2"/>
  <c r="AA706" i="2"/>
  <c r="AA707" i="2"/>
  <c r="AA708" i="2"/>
  <c r="AA709" i="2"/>
  <c r="AA710" i="2"/>
  <c r="AA711" i="2"/>
  <c r="AA712" i="2"/>
  <c r="AA713" i="2"/>
  <c r="AA714" i="2"/>
  <c r="AA715" i="2"/>
  <c r="AA716" i="2"/>
  <c r="AA717" i="2"/>
  <c r="AA718" i="2"/>
  <c r="AA719" i="2"/>
  <c r="AA720" i="2"/>
  <c r="AA721" i="2"/>
  <c r="AA722" i="2"/>
  <c r="AA723" i="2"/>
  <c r="AA724" i="2"/>
  <c r="AA725" i="2"/>
  <c r="AA726" i="2"/>
  <c r="AA727" i="2"/>
  <c r="AA728" i="2"/>
  <c r="AA729" i="2"/>
  <c r="AA730" i="2"/>
  <c r="AA731" i="2"/>
  <c r="AA732" i="2"/>
  <c r="AA733" i="2"/>
  <c r="AA734" i="2"/>
  <c r="AA735" i="2"/>
  <c r="AA736" i="2"/>
  <c r="AA737" i="2"/>
  <c r="AA738" i="2"/>
  <c r="AA739" i="2"/>
  <c r="AA740" i="2"/>
  <c r="AA741" i="2"/>
  <c r="AA742" i="2"/>
  <c r="AA743" i="2"/>
  <c r="AA744" i="2"/>
  <c r="AA745" i="2"/>
  <c r="AA746" i="2"/>
  <c r="AA747" i="2"/>
  <c r="AA748" i="2"/>
  <c r="AA749" i="2"/>
  <c r="AA750" i="2"/>
  <c r="AA751" i="2"/>
  <c r="AA752" i="2"/>
  <c r="AA753" i="2"/>
  <c r="AA754" i="2"/>
  <c r="AA755" i="2"/>
  <c r="AA756" i="2"/>
  <c r="AA757" i="2"/>
  <c r="AA758" i="2"/>
  <c r="AA759" i="2"/>
  <c r="AA760" i="2"/>
  <c r="AA761" i="2"/>
  <c r="AA762" i="2"/>
  <c r="AA763" i="2"/>
  <c r="AA764" i="2"/>
  <c r="AA765" i="2"/>
  <c r="AA766" i="2"/>
  <c r="AA767" i="2"/>
  <c r="AA768" i="2"/>
  <c r="AA769" i="2"/>
  <c r="AA770" i="2"/>
  <c r="AA771" i="2"/>
  <c r="AA772" i="2"/>
  <c r="AA773" i="2"/>
  <c r="AA774" i="2"/>
  <c r="AA775" i="2"/>
  <c r="AA776" i="2"/>
  <c r="AA777" i="2"/>
  <c r="AA778" i="2"/>
  <c r="AA779" i="2"/>
  <c r="AA780" i="2"/>
  <c r="AA781" i="2"/>
  <c r="AA782" i="2"/>
  <c r="AA783" i="2"/>
  <c r="AA784" i="2"/>
  <c r="AA785" i="2"/>
  <c r="AA786" i="2"/>
  <c r="AA787" i="2"/>
  <c r="AA788" i="2"/>
  <c r="AA789" i="2"/>
  <c r="AA790" i="2"/>
  <c r="AA791" i="2"/>
  <c r="AA792" i="2"/>
  <c r="AA793" i="2"/>
  <c r="AA794" i="2"/>
  <c r="AA795" i="2"/>
  <c r="AA796" i="2"/>
  <c r="AA797" i="2"/>
  <c r="AA798" i="2"/>
  <c r="AA799" i="2"/>
  <c r="AA800" i="2"/>
  <c r="AA801" i="2"/>
  <c r="AA802" i="2"/>
  <c r="AA803" i="2"/>
  <c r="AA804" i="2"/>
  <c r="AA805" i="2"/>
  <c r="AA806" i="2"/>
  <c r="AA807" i="2"/>
  <c r="AA808" i="2"/>
  <c r="AA809" i="2"/>
  <c r="AA810" i="2"/>
  <c r="AA811" i="2"/>
  <c r="AA812" i="2"/>
  <c r="AA813" i="2"/>
  <c r="AA814" i="2"/>
  <c r="AA815" i="2"/>
  <c r="AA816" i="2"/>
  <c r="AA817" i="2"/>
  <c r="AA818" i="2"/>
  <c r="AA819" i="2"/>
  <c r="AA820" i="2"/>
  <c r="AA821" i="2"/>
  <c r="AA822" i="2"/>
  <c r="AA823" i="2"/>
  <c r="AA824" i="2"/>
  <c r="AA825" i="2"/>
  <c r="AA826" i="2"/>
  <c r="AA827" i="2"/>
  <c r="AA828" i="2"/>
  <c r="AA829" i="2"/>
  <c r="AA830" i="2"/>
  <c r="AA831" i="2"/>
  <c r="AA832" i="2"/>
  <c r="AA833" i="2"/>
  <c r="AA834" i="2"/>
  <c r="AA835" i="2"/>
  <c r="AA836" i="2"/>
  <c r="AA837" i="2"/>
  <c r="AA838" i="2"/>
  <c r="AA839" i="2"/>
  <c r="AA840" i="2"/>
  <c r="AA841" i="2"/>
  <c r="AA842" i="2"/>
  <c r="AA843" i="2"/>
  <c r="AA844" i="2"/>
  <c r="AA845" i="2"/>
  <c r="AA846" i="2"/>
  <c r="AA847" i="2"/>
  <c r="AA848" i="2"/>
  <c r="AA849" i="2"/>
  <c r="AA850" i="2"/>
  <c r="AA851" i="2"/>
  <c r="AA852" i="2"/>
  <c r="AA853" i="2"/>
  <c r="AA854" i="2"/>
  <c r="AA855" i="2"/>
  <c r="AA856" i="2"/>
  <c r="AA857" i="2"/>
  <c r="AA858" i="2"/>
  <c r="AA859" i="2"/>
  <c r="AA860" i="2"/>
  <c r="AA861" i="2"/>
  <c r="AA862" i="2"/>
  <c r="AA863" i="2"/>
  <c r="AA864" i="2"/>
  <c r="AA865" i="2"/>
  <c r="AA866" i="2"/>
  <c r="AA867" i="2"/>
  <c r="AA868" i="2"/>
  <c r="AA869" i="2"/>
  <c r="AA870" i="2"/>
  <c r="AA871" i="2"/>
  <c r="AA872" i="2"/>
  <c r="AA873" i="2"/>
  <c r="AA874" i="2"/>
  <c r="AA875" i="2"/>
  <c r="AA876" i="2"/>
  <c r="AA877" i="2"/>
  <c r="AA878" i="2"/>
  <c r="AA879" i="2"/>
  <c r="AA880" i="2"/>
  <c r="AA881" i="2"/>
  <c r="AA882" i="2"/>
  <c r="AA883" i="2"/>
  <c r="AA884" i="2"/>
  <c r="AA885" i="2"/>
  <c r="AA886" i="2"/>
  <c r="AA887" i="2"/>
  <c r="AA888" i="2"/>
  <c r="AA889" i="2"/>
  <c r="AA890" i="2"/>
  <c r="AA891" i="2"/>
  <c r="AA892" i="2"/>
  <c r="AA893" i="2"/>
  <c r="AA894" i="2"/>
  <c r="AA895" i="2"/>
  <c r="AA896" i="2"/>
  <c r="AA897" i="2"/>
  <c r="AA898" i="2"/>
  <c r="AA899" i="2"/>
  <c r="AA900" i="2"/>
  <c r="AA901" i="2"/>
  <c r="AA902" i="2"/>
  <c r="AA903" i="2"/>
  <c r="AA904" i="2"/>
  <c r="AA905" i="2"/>
  <c r="AA906" i="2"/>
  <c r="AA907" i="2"/>
  <c r="AA908" i="2"/>
  <c r="AA909" i="2"/>
  <c r="AA910" i="2"/>
  <c r="AA911" i="2"/>
  <c r="AA912" i="2"/>
  <c r="AA913" i="2"/>
  <c r="AA914" i="2"/>
  <c r="AA915" i="2"/>
  <c r="AA916" i="2"/>
  <c r="AA917" i="2"/>
  <c r="AA918" i="2"/>
  <c r="AA919" i="2"/>
  <c r="AA920" i="2"/>
  <c r="AA921" i="2"/>
  <c r="AA922" i="2"/>
  <c r="AA923" i="2"/>
  <c r="AA924" i="2"/>
  <c r="AA925" i="2"/>
  <c r="AA926" i="2"/>
  <c r="AA927" i="2"/>
  <c r="AA928" i="2"/>
  <c r="AA929" i="2"/>
  <c r="AA930" i="2"/>
  <c r="AA931" i="2"/>
  <c r="AA932" i="2"/>
  <c r="AA933" i="2"/>
  <c r="AA934" i="2"/>
  <c r="AA935" i="2"/>
  <c r="AA936" i="2"/>
  <c r="AA937" i="2"/>
  <c r="AA938" i="2"/>
  <c r="AA939" i="2"/>
  <c r="AA940" i="2"/>
  <c r="AA941" i="2"/>
  <c r="AA942" i="2"/>
  <c r="AA943" i="2"/>
  <c r="AA944" i="2"/>
  <c r="AA945" i="2"/>
  <c r="AA946" i="2"/>
  <c r="AA947" i="2"/>
  <c r="AA948" i="2"/>
  <c r="AA949" i="2"/>
  <c r="AA950" i="2"/>
  <c r="AA951" i="2"/>
  <c r="AA952" i="2"/>
  <c r="AA953" i="2"/>
  <c r="AA954" i="2"/>
  <c r="AA955" i="2"/>
  <c r="AA956" i="2"/>
  <c r="AA957" i="2"/>
  <c r="AA958" i="2"/>
  <c r="AA959" i="2"/>
  <c r="AA960" i="2"/>
  <c r="AA961" i="2"/>
  <c r="AA962" i="2"/>
  <c r="AA963" i="2"/>
  <c r="AA964" i="2"/>
  <c r="AA965" i="2"/>
  <c r="AA966" i="2"/>
  <c r="AA967" i="2"/>
  <c r="AA968" i="2"/>
  <c r="AA969" i="2"/>
  <c r="AA970" i="2"/>
  <c r="AA971" i="2"/>
  <c r="AA972" i="2"/>
  <c r="AA973" i="2"/>
  <c r="AA974" i="2"/>
  <c r="AA975" i="2"/>
  <c r="AA976" i="2"/>
  <c r="AA977" i="2"/>
  <c r="AA978" i="2"/>
  <c r="AA979" i="2"/>
  <c r="AA980" i="2"/>
  <c r="AA981" i="2"/>
  <c r="AA982" i="2"/>
  <c r="AA983" i="2"/>
  <c r="AA984" i="2"/>
  <c r="AA985" i="2"/>
  <c r="AA986" i="2"/>
  <c r="AA987" i="2"/>
  <c r="AA988" i="2"/>
  <c r="AA989" i="2"/>
  <c r="AA990" i="2"/>
  <c r="AA991" i="2"/>
  <c r="AA992" i="2"/>
  <c r="AA993" i="2"/>
  <c r="AA994" i="2"/>
  <c r="AA995" i="2"/>
  <c r="AA996" i="2"/>
  <c r="AA997" i="2"/>
  <c r="AA998" i="2"/>
  <c r="AA999" i="2"/>
  <c r="AA1000" i="2"/>
  <c r="AA1001" i="2"/>
  <c r="AA1002" i="2"/>
  <c r="AA1003" i="2"/>
  <c r="AA1004" i="2"/>
  <c r="AA1005" i="2"/>
  <c r="AA1006" i="2"/>
  <c r="AA1007" i="2"/>
  <c r="AA1008" i="2"/>
  <c r="I52" i="13" l="1"/>
  <c r="BP6" i="2" s="1"/>
  <c r="D18" i="13"/>
  <c r="B10" i="13"/>
  <c r="B11" i="13" s="1"/>
  <c r="C2" i="13"/>
  <c r="B12" i="13" l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E48" i="5"/>
  <c r="E30" i="12" l="1"/>
  <c r="D30" i="12"/>
  <c r="C30" i="12"/>
  <c r="B30" i="12"/>
  <c r="E29" i="12"/>
  <c r="D29" i="12"/>
  <c r="C29" i="12"/>
  <c r="B29" i="12"/>
  <c r="E28" i="12"/>
  <c r="D28" i="12"/>
  <c r="C28" i="12"/>
  <c r="B28" i="12"/>
  <c r="E27" i="12"/>
  <c r="D27" i="12"/>
  <c r="C27" i="12"/>
  <c r="B27" i="12"/>
  <c r="E26" i="12"/>
  <c r="D26" i="12"/>
  <c r="C26" i="12"/>
  <c r="B26" i="12"/>
  <c r="E25" i="12"/>
  <c r="D25" i="12"/>
  <c r="C25" i="12"/>
  <c r="B25" i="12"/>
  <c r="E24" i="12"/>
  <c r="D24" i="12"/>
  <c r="C24" i="12"/>
  <c r="B24" i="12"/>
  <c r="F24" i="12" s="1"/>
  <c r="E23" i="12"/>
  <c r="D23" i="12"/>
  <c r="C23" i="12"/>
  <c r="B23" i="12"/>
  <c r="F23" i="12" s="1"/>
  <c r="E22" i="12"/>
  <c r="D22" i="12"/>
  <c r="C22" i="12"/>
  <c r="B22" i="12"/>
  <c r="E21" i="12"/>
  <c r="H21" i="12" s="1"/>
  <c r="D21" i="12"/>
  <c r="C21" i="12"/>
  <c r="B21" i="12"/>
  <c r="E20" i="12"/>
  <c r="H20" i="12" s="1"/>
  <c r="D20" i="12"/>
  <c r="C20" i="12"/>
  <c r="B20" i="12"/>
  <c r="E19" i="12"/>
  <c r="H19" i="12" s="1"/>
  <c r="D19" i="12"/>
  <c r="C19" i="12"/>
  <c r="B19" i="12"/>
  <c r="E18" i="12"/>
  <c r="D18" i="12"/>
  <c r="C18" i="12"/>
  <c r="B18" i="12"/>
  <c r="E17" i="12"/>
  <c r="D17" i="12"/>
  <c r="C17" i="12"/>
  <c r="B17" i="12"/>
  <c r="E16" i="12"/>
  <c r="D16" i="12"/>
  <c r="C16" i="12"/>
  <c r="B16" i="12"/>
  <c r="E15" i="12"/>
  <c r="D15" i="12"/>
  <c r="C15" i="12"/>
  <c r="B15" i="12"/>
  <c r="E14" i="12"/>
  <c r="D14" i="12"/>
  <c r="C14" i="12"/>
  <c r="B14" i="12"/>
  <c r="E13" i="12"/>
  <c r="D13" i="12"/>
  <c r="C13" i="12"/>
  <c r="B13" i="12"/>
  <c r="F13" i="12" l="1"/>
  <c r="F21" i="12"/>
  <c r="F20" i="12"/>
  <c r="F14" i="12"/>
  <c r="H17" i="12"/>
  <c r="H22" i="12"/>
  <c r="H16" i="12"/>
  <c r="H26" i="12"/>
  <c r="H27" i="12"/>
  <c r="H29" i="12"/>
  <c r="H30" i="12"/>
  <c r="F15" i="12"/>
  <c r="H28" i="12"/>
  <c r="H25" i="12"/>
  <c r="F16" i="12"/>
  <c r="F17" i="12"/>
  <c r="F18" i="12"/>
  <c r="F19" i="12"/>
  <c r="F22" i="12"/>
  <c r="F25" i="12"/>
  <c r="F26" i="12"/>
  <c r="F27" i="12"/>
  <c r="F28" i="12"/>
  <c r="F29" i="12"/>
  <c r="F30" i="12"/>
  <c r="H13" i="12"/>
  <c r="H14" i="12"/>
  <c r="H15" i="12"/>
  <c r="H23" i="12"/>
  <c r="H24" i="12"/>
  <c r="K43" i="12"/>
  <c r="L43" i="12"/>
  <c r="K61" i="5" l="1"/>
  <c r="AM552" i="2" l="1"/>
  <c r="AQ552" i="2" s="1"/>
  <c r="AN552" i="2"/>
  <c r="AM553" i="2"/>
  <c r="AQ553" i="2" s="1"/>
  <c r="AR553" i="2" s="1"/>
  <c r="AN553" i="2"/>
  <c r="AM554" i="2"/>
  <c r="AQ554" i="2" s="1"/>
  <c r="AN554" i="2"/>
  <c r="AM555" i="2"/>
  <c r="AQ555" i="2" s="1"/>
  <c r="AR555" i="2" s="1"/>
  <c r="AN555" i="2"/>
  <c r="AM556" i="2"/>
  <c r="AQ556" i="2" s="1"/>
  <c r="AN556" i="2"/>
  <c r="AM557" i="2"/>
  <c r="AQ557" i="2" s="1"/>
  <c r="AR557" i="2" s="1"/>
  <c r="AN557" i="2"/>
  <c r="AM558" i="2"/>
  <c r="AQ558" i="2" s="1"/>
  <c r="AN558" i="2"/>
  <c r="AM559" i="2"/>
  <c r="AQ559" i="2" s="1"/>
  <c r="AR559" i="2" s="1"/>
  <c r="AN559" i="2"/>
  <c r="AM560" i="2"/>
  <c r="AQ560" i="2" s="1"/>
  <c r="AN560" i="2"/>
  <c r="AM561" i="2"/>
  <c r="AQ561" i="2" s="1"/>
  <c r="AR561" i="2" s="1"/>
  <c r="AN561" i="2"/>
  <c r="AM562" i="2"/>
  <c r="AQ562" i="2" s="1"/>
  <c r="AN562" i="2"/>
  <c r="AM563" i="2"/>
  <c r="AQ563" i="2" s="1"/>
  <c r="AR563" i="2" s="1"/>
  <c r="AN563" i="2"/>
  <c r="AM564" i="2"/>
  <c r="AQ564" i="2" s="1"/>
  <c r="AN564" i="2"/>
  <c r="AM565" i="2"/>
  <c r="AQ565" i="2" s="1"/>
  <c r="AR565" i="2" s="1"/>
  <c r="AN565" i="2"/>
  <c r="AM566" i="2"/>
  <c r="AQ566" i="2" s="1"/>
  <c r="AN566" i="2"/>
  <c r="AM567" i="2"/>
  <c r="AQ567" i="2" s="1"/>
  <c r="AR567" i="2" s="1"/>
  <c r="AN567" i="2"/>
  <c r="AM568" i="2"/>
  <c r="AQ568" i="2" s="1"/>
  <c r="AN568" i="2"/>
  <c r="AM569" i="2"/>
  <c r="AQ569" i="2" s="1"/>
  <c r="AR569" i="2" s="1"/>
  <c r="AN569" i="2"/>
  <c r="AM570" i="2"/>
  <c r="AQ570" i="2" s="1"/>
  <c r="AN570" i="2"/>
  <c r="AM571" i="2"/>
  <c r="AQ571" i="2" s="1"/>
  <c r="AR571" i="2" s="1"/>
  <c r="AN571" i="2"/>
  <c r="AM572" i="2"/>
  <c r="AQ572" i="2" s="1"/>
  <c r="AN572" i="2"/>
  <c r="AM573" i="2"/>
  <c r="AQ573" i="2" s="1"/>
  <c r="AR573" i="2" s="1"/>
  <c r="AN573" i="2"/>
  <c r="AM574" i="2"/>
  <c r="AQ574" i="2" s="1"/>
  <c r="AN574" i="2"/>
  <c r="AM575" i="2"/>
  <c r="AQ575" i="2" s="1"/>
  <c r="AR575" i="2" s="1"/>
  <c r="AN575" i="2"/>
  <c r="AM576" i="2"/>
  <c r="AQ576" i="2" s="1"/>
  <c r="AN576" i="2"/>
  <c r="AM577" i="2"/>
  <c r="AQ577" i="2" s="1"/>
  <c r="AR577" i="2" s="1"/>
  <c r="AN577" i="2"/>
  <c r="AM578" i="2"/>
  <c r="AQ578" i="2" s="1"/>
  <c r="AN578" i="2"/>
  <c r="AM579" i="2"/>
  <c r="AN579" i="2"/>
  <c r="AM580" i="2"/>
  <c r="AQ580" i="2" s="1"/>
  <c r="AN580" i="2"/>
  <c r="AM581" i="2"/>
  <c r="AQ581" i="2" s="1"/>
  <c r="AR581" i="2" s="1"/>
  <c r="AN581" i="2"/>
  <c r="AM582" i="2"/>
  <c r="AQ582" i="2" s="1"/>
  <c r="AN582" i="2"/>
  <c r="AM583" i="2"/>
  <c r="AQ583" i="2" s="1"/>
  <c r="AR583" i="2" s="1"/>
  <c r="AN583" i="2"/>
  <c r="AM584" i="2"/>
  <c r="AQ584" i="2" s="1"/>
  <c r="AN584" i="2"/>
  <c r="AM585" i="2"/>
  <c r="AN585" i="2"/>
  <c r="AM586" i="2"/>
  <c r="AQ586" i="2" s="1"/>
  <c r="AN586" i="2"/>
  <c r="AM587" i="2"/>
  <c r="AQ587" i="2" s="1"/>
  <c r="AR587" i="2" s="1"/>
  <c r="AN587" i="2"/>
  <c r="AM588" i="2"/>
  <c r="AQ588" i="2" s="1"/>
  <c r="AN588" i="2"/>
  <c r="AM589" i="2"/>
  <c r="AQ589" i="2" s="1"/>
  <c r="AR589" i="2" s="1"/>
  <c r="AN589" i="2"/>
  <c r="AM590" i="2"/>
  <c r="AQ590" i="2" s="1"/>
  <c r="AN590" i="2"/>
  <c r="AM591" i="2"/>
  <c r="AN591" i="2"/>
  <c r="AM592" i="2"/>
  <c r="AQ592" i="2" s="1"/>
  <c r="AN592" i="2"/>
  <c r="AM593" i="2"/>
  <c r="AQ593" i="2" s="1"/>
  <c r="AR593" i="2" s="1"/>
  <c r="AN593" i="2"/>
  <c r="AM594" i="2"/>
  <c r="AQ594" i="2" s="1"/>
  <c r="AN594" i="2"/>
  <c r="AM595" i="2"/>
  <c r="AQ595" i="2" s="1"/>
  <c r="AR595" i="2" s="1"/>
  <c r="AN595" i="2"/>
  <c r="AM596" i="2"/>
  <c r="AQ596" i="2" s="1"/>
  <c r="AN596" i="2"/>
  <c r="AM597" i="2"/>
  <c r="AQ597" i="2" s="1"/>
  <c r="AR597" i="2" s="1"/>
  <c r="AN597" i="2"/>
  <c r="AM598" i="2"/>
  <c r="AQ598" i="2" s="1"/>
  <c r="AN598" i="2"/>
  <c r="AM599" i="2"/>
  <c r="AQ599" i="2" s="1"/>
  <c r="AR599" i="2" s="1"/>
  <c r="AN599" i="2"/>
  <c r="AM600" i="2"/>
  <c r="AQ600" i="2" s="1"/>
  <c r="AN600" i="2"/>
  <c r="AM601" i="2"/>
  <c r="AN601" i="2"/>
  <c r="AM602" i="2"/>
  <c r="AQ602" i="2" s="1"/>
  <c r="AN602" i="2"/>
  <c r="AM603" i="2"/>
  <c r="AQ603" i="2" s="1"/>
  <c r="AN603" i="2"/>
  <c r="AM604" i="2"/>
  <c r="AQ604" i="2" s="1"/>
  <c r="AN604" i="2"/>
  <c r="AM605" i="2"/>
  <c r="AQ605" i="2" s="1"/>
  <c r="AN605" i="2"/>
  <c r="AM606" i="2"/>
  <c r="AN606" i="2"/>
  <c r="AM607" i="2"/>
  <c r="AQ607" i="2" s="1"/>
  <c r="AN607" i="2"/>
  <c r="AM608" i="2"/>
  <c r="AN608" i="2"/>
  <c r="AM609" i="2"/>
  <c r="AQ609" i="2" s="1"/>
  <c r="AN609" i="2"/>
  <c r="AM610" i="2"/>
  <c r="AQ610" i="2" s="1"/>
  <c r="AN610" i="2"/>
  <c r="AM611" i="2"/>
  <c r="AQ611" i="2" s="1"/>
  <c r="AN611" i="2"/>
  <c r="AM612" i="2"/>
  <c r="AQ612" i="2" s="1"/>
  <c r="AN612" i="2"/>
  <c r="AM613" i="2"/>
  <c r="AQ613" i="2" s="1"/>
  <c r="AN613" i="2"/>
  <c r="AM614" i="2"/>
  <c r="AN614" i="2"/>
  <c r="AM615" i="2"/>
  <c r="AQ615" i="2" s="1"/>
  <c r="AN615" i="2"/>
  <c r="AM616" i="2"/>
  <c r="AN616" i="2"/>
  <c r="AM617" i="2"/>
  <c r="AQ617" i="2" s="1"/>
  <c r="AN617" i="2"/>
  <c r="AM618" i="2"/>
  <c r="AQ618" i="2" s="1"/>
  <c r="AN618" i="2"/>
  <c r="AM619" i="2"/>
  <c r="AQ619" i="2" s="1"/>
  <c r="AN619" i="2"/>
  <c r="AM620" i="2"/>
  <c r="AQ620" i="2" s="1"/>
  <c r="AN620" i="2"/>
  <c r="AM621" i="2"/>
  <c r="AQ621" i="2" s="1"/>
  <c r="AN621" i="2"/>
  <c r="AM622" i="2"/>
  <c r="AN622" i="2"/>
  <c r="AM623" i="2"/>
  <c r="AQ623" i="2" s="1"/>
  <c r="AN623" i="2"/>
  <c r="AM624" i="2"/>
  <c r="AN624" i="2"/>
  <c r="AM625" i="2"/>
  <c r="AQ625" i="2" s="1"/>
  <c r="AN625" i="2"/>
  <c r="AM626" i="2"/>
  <c r="AQ626" i="2" s="1"/>
  <c r="AN626" i="2"/>
  <c r="AM627" i="2"/>
  <c r="AQ627" i="2" s="1"/>
  <c r="AN627" i="2"/>
  <c r="AM628" i="2"/>
  <c r="AQ628" i="2" s="1"/>
  <c r="AN628" i="2"/>
  <c r="AM629" i="2"/>
  <c r="AQ629" i="2" s="1"/>
  <c r="AN629" i="2"/>
  <c r="AM630" i="2"/>
  <c r="AN630" i="2"/>
  <c r="AM631" i="2"/>
  <c r="AQ631" i="2" s="1"/>
  <c r="AN631" i="2"/>
  <c r="AM632" i="2"/>
  <c r="AN632" i="2"/>
  <c r="AM633" i="2"/>
  <c r="AQ633" i="2" s="1"/>
  <c r="AN633" i="2"/>
  <c r="AM634" i="2"/>
  <c r="AQ634" i="2" s="1"/>
  <c r="AN634" i="2"/>
  <c r="AM635" i="2"/>
  <c r="AQ635" i="2" s="1"/>
  <c r="AN635" i="2"/>
  <c r="AM636" i="2"/>
  <c r="AQ636" i="2" s="1"/>
  <c r="AN636" i="2"/>
  <c r="AM637" i="2"/>
  <c r="AQ637" i="2" s="1"/>
  <c r="AN637" i="2"/>
  <c r="AM638" i="2"/>
  <c r="AN638" i="2"/>
  <c r="AM639" i="2"/>
  <c r="AQ639" i="2" s="1"/>
  <c r="AN639" i="2"/>
  <c r="AM640" i="2"/>
  <c r="AN640" i="2"/>
  <c r="AM641" i="2"/>
  <c r="AQ641" i="2" s="1"/>
  <c r="AN641" i="2"/>
  <c r="AM642" i="2"/>
  <c r="AQ642" i="2" s="1"/>
  <c r="AN642" i="2"/>
  <c r="AM643" i="2"/>
  <c r="AQ643" i="2" s="1"/>
  <c r="AN643" i="2"/>
  <c r="AM644" i="2"/>
  <c r="AQ644" i="2" s="1"/>
  <c r="AN644" i="2"/>
  <c r="AM645" i="2"/>
  <c r="AQ645" i="2" s="1"/>
  <c r="AN645" i="2"/>
  <c r="AM646" i="2"/>
  <c r="AQ646" i="2" s="1"/>
  <c r="AN646" i="2"/>
  <c r="AM647" i="2"/>
  <c r="AQ647" i="2" s="1"/>
  <c r="AN647" i="2"/>
  <c r="AM648" i="2"/>
  <c r="AQ648" i="2" s="1"/>
  <c r="AN648" i="2"/>
  <c r="AM649" i="2"/>
  <c r="AQ649" i="2" s="1"/>
  <c r="AN649" i="2"/>
  <c r="AM650" i="2"/>
  <c r="AQ650" i="2" s="1"/>
  <c r="AN650" i="2"/>
  <c r="AM651" i="2"/>
  <c r="AQ651" i="2" s="1"/>
  <c r="AN651" i="2"/>
  <c r="AM652" i="2"/>
  <c r="AQ652" i="2" s="1"/>
  <c r="AN652" i="2"/>
  <c r="AM653" i="2"/>
  <c r="AQ653" i="2" s="1"/>
  <c r="AN653" i="2"/>
  <c r="AM654" i="2"/>
  <c r="AQ654" i="2" s="1"/>
  <c r="AN654" i="2"/>
  <c r="AM655" i="2"/>
  <c r="AQ655" i="2" s="1"/>
  <c r="AN655" i="2"/>
  <c r="AM656" i="2"/>
  <c r="AQ656" i="2" s="1"/>
  <c r="AN656" i="2"/>
  <c r="AM657" i="2"/>
  <c r="AQ657" i="2" s="1"/>
  <c r="AN657" i="2"/>
  <c r="AM658" i="2"/>
  <c r="AQ658" i="2" s="1"/>
  <c r="AN658" i="2"/>
  <c r="AM659" i="2"/>
  <c r="AQ659" i="2" s="1"/>
  <c r="AN659" i="2"/>
  <c r="AM660" i="2"/>
  <c r="AQ660" i="2" s="1"/>
  <c r="AN660" i="2"/>
  <c r="AM661" i="2"/>
  <c r="AQ661" i="2" s="1"/>
  <c r="AN661" i="2"/>
  <c r="AM662" i="2"/>
  <c r="AQ662" i="2" s="1"/>
  <c r="AN662" i="2"/>
  <c r="AM663" i="2"/>
  <c r="AQ663" i="2" s="1"/>
  <c r="AN663" i="2"/>
  <c r="AM664" i="2"/>
  <c r="AQ664" i="2" s="1"/>
  <c r="AN664" i="2"/>
  <c r="AM665" i="2"/>
  <c r="AQ665" i="2" s="1"/>
  <c r="AN665" i="2"/>
  <c r="AM666" i="2"/>
  <c r="AQ666" i="2" s="1"/>
  <c r="AN666" i="2"/>
  <c r="AM667" i="2"/>
  <c r="AQ667" i="2" s="1"/>
  <c r="AN667" i="2"/>
  <c r="AM668" i="2"/>
  <c r="AQ668" i="2" s="1"/>
  <c r="AN668" i="2"/>
  <c r="AM669" i="2"/>
  <c r="AQ669" i="2" s="1"/>
  <c r="AN669" i="2"/>
  <c r="AM670" i="2"/>
  <c r="AQ670" i="2" s="1"/>
  <c r="AN670" i="2"/>
  <c r="AM671" i="2"/>
  <c r="AQ671" i="2" s="1"/>
  <c r="AN671" i="2"/>
  <c r="AM672" i="2"/>
  <c r="AQ672" i="2" s="1"/>
  <c r="AN672" i="2"/>
  <c r="AM673" i="2"/>
  <c r="AQ673" i="2" s="1"/>
  <c r="AN673" i="2"/>
  <c r="AM674" i="2"/>
  <c r="AQ674" i="2" s="1"/>
  <c r="AN674" i="2"/>
  <c r="AM675" i="2"/>
  <c r="AQ675" i="2" s="1"/>
  <c r="AN675" i="2"/>
  <c r="AM676" i="2"/>
  <c r="AQ676" i="2" s="1"/>
  <c r="AN676" i="2"/>
  <c r="AM677" i="2"/>
  <c r="AQ677" i="2" s="1"/>
  <c r="AN677" i="2"/>
  <c r="AM678" i="2"/>
  <c r="AQ678" i="2" s="1"/>
  <c r="AN678" i="2"/>
  <c r="AM679" i="2"/>
  <c r="AQ679" i="2" s="1"/>
  <c r="AN679" i="2"/>
  <c r="AM680" i="2"/>
  <c r="AQ680" i="2" s="1"/>
  <c r="AN680" i="2"/>
  <c r="AM681" i="2"/>
  <c r="AQ681" i="2" s="1"/>
  <c r="AN681" i="2"/>
  <c r="AM682" i="2"/>
  <c r="AQ682" i="2" s="1"/>
  <c r="AN682" i="2"/>
  <c r="AM683" i="2"/>
  <c r="AQ683" i="2" s="1"/>
  <c r="AN683" i="2"/>
  <c r="AM684" i="2"/>
  <c r="AQ684" i="2" s="1"/>
  <c r="AN684" i="2"/>
  <c r="AM685" i="2"/>
  <c r="AQ685" i="2" s="1"/>
  <c r="AN685" i="2"/>
  <c r="AM686" i="2"/>
  <c r="AQ686" i="2" s="1"/>
  <c r="AN686" i="2"/>
  <c r="AM687" i="2"/>
  <c r="AQ687" i="2" s="1"/>
  <c r="AN687" i="2"/>
  <c r="AM688" i="2"/>
  <c r="AQ688" i="2" s="1"/>
  <c r="AN688" i="2"/>
  <c r="AM689" i="2"/>
  <c r="AQ689" i="2" s="1"/>
  <c r="AN689" i="2"/>
  <c r="AM690" i="2"/>
  <c r="AQ690" i="2" s="1"/>
  <c r="AN690" i="2"/>
  <c r="AM691" i="2"/>
  <c r="AQ691" i="2" s="1"/>
  <c r="AN691" i="2"/>
  <c r="AM692" i="2"/>
  <c r="AQ692" i="2" s="1"/>
  <c r="AN692" i="2"/>
  <c r="AM693" i="2"/>
  <c r="AQ693" i="2" s="1"/>
  <c r="AN693" i="2"/>
  <c r="AM694" i="2"/>
  <c r="AN694" i="2"/>
  <c r="AM695" i="2"/>
  <c r="AN695" i="2"/>
  <c r="AM696" i="2"/>
  <c r="AN696" i="2"/>
  <c r="AM697" i="2"/>
  <c r="AN697" i="2"/>
  <c r="AM698" i="2"/>
  <c r="AN698" i="2"/>
  <c r="AM699" i="2"/>
  <c r="AN699" i="2"/>
  <c r="AM700" i="2"/>
  <c r="AN700" i="2"/>
  <c r="AM701" i="2"/>
  <c r="AN701" i="2"/>
  <c r="AM702" i="2"/>
  <c r="AN702" i="2"/>
  <c r="AM703" i="2"/>
  <c r="AN703" i="2"/>
  <c r="AM704" i="2"/>
  <c r="AN704" i="2"/>
  <c r="AM705" i="2"/>
  <c r="AN705" i="2"/>
  <c r="AM706" i="2"/>
  <c r="AN706" i="2"/>
  <c r="AM707" i="2"/>
  <c r="AN707" i="2"/>
  <c r="AM708" i="2"/>
  <c r="AN708" i="2"/>
  <c r="AM709" i="2"/>
  <c r="AN709" i="2"/>
  <c r="AM710" i="2"/>
  <c r="AN710" i="2"/>
  <c r="AM711" i="2"/>
  <c r="AN711" i="2"/>
  <c r="AM712" i="2"/>
  <c r="AN712" i="2"/>
  <c r="AM713" i="2"/>
  <c r="AN713" i="2"/>
  <c r="AM714" i="2"/>
  <c r="AN714" i="2"/>
  <c r="AM715" i="2"/>
  <c r="AN715" i="2"/>
  <c r="AM716" i="2"/>
  <c r="AN716" i="2"/>
  <c r="AM717" i="2"/>
  <c r="AN717" i="2"/>
  <c r="AM718" i="2"/>
  <c r="AN718" i="2"/>
  <c r="AM719" i="2"/>
  <c r="AN719" i="2"/>
  <c r="AM720" i="2"/>
  <c r="AN720" i="2"/>
  <c r="AM721" i="2"/>
  <c r="AN721" i="2"/>
  <c r="AM722" i="2"/>
  <c r="AN722" i="2"/>
  <c r="AM723" i="2"/>
  <c r="AN723" i="2"/>
  <c r="AM724" i="2"/>
  <c r="AN724" i="2"/>
  <c r="AM725" i="2"/>
  <c r="AN725" i="2"/>
  <c r="AM726" i="2"/>
  <c r="AN726" i="2"/>
  <c r="AM727" i="2"/>
  <c r="AN727" i="2"/>
  <c r="AM728" i="2"/>
  <c r="AN728" i="2"/>
  <c r="AM729" i="2"/>
  <c r="AN729" i="2"/>
  <c r="AM730" i="2"/>
  <c r="AN730" i="2"/>
  <c r="AM731" i="2"/>
  <c r="AN731" i="2"/>
  <c r="AM732" i="2"/>
  <c r="AN732" i="2"/>
  <c r="AM733" i="2"/>
  <c r="AN733" i="2"/>
  <c r="AM734" i="2"/>
  <c r="AN734" i="2"/>
  <c r="AM735" i="2"/>
  <c r="AN735" i="2"/>
  <c r="AM736" i="2"/>
  <c r="AN736" i="2"/>
  <c r="AM737" i="2"/>
  <c r="AN737" i="2"/>
  <c r="AM738" i="2"/>
  <c r="AN738" i="2"/>
  <c r="AM739" i="2"/>
  <c r="AN739" i="2"/>
  <c r="AM740" i="2"/>
  <c r="AN740" i="2"/>
  <c r="AM741" i="2"/>
  <c r="AN741" i="2"/>
  <c r="AM742" i="2"/>
  <c r="AN742" i="2"/>
  <c r="AM743" i="2"/>
  <c r="AN743" i="2"/>
  <c r="AM744" i="2"/>
  <c r="AN744" i="2"/>
  <c r="AM745" i="2"/>
  <c r="AN745" i="2"/>
  <c r="AM746" i="2"/>
  <c r="AN746" i="2"/>
  <c r="AM747" i="2"/>
  <c r="AN747" i="2"/>
  <c r="AM748" i="2"/>
  <c r="AN748" i="2"/>
  <c r="AM749" i="2"/>
  <c r="AN749" i="2"/>
  <c r="AM750" i="2"/>
  <c r="AN750" i="2"/>
  <c r="AM751" i="2"/>
  <c r="AN751" i="2"/>
  <c r="AM752" i="2"/>
  <c r="AN752" i="2"/>
  <c r="AM753" i="2"/>
  <c r="AN753" i="2"/>
  <c r="AM754" i="2"/>
  <c r="AN754" i="2"/>
  <c r="AM755" i="2"/>
  <c r="AN755" i="2"/>
  <c r="AM756" i="2"/>
  <c r="AN756" i="2"/>
  <c r="AM757" i="2"/>
  <c r="AN757" i="2"/>
  <c r="AM758" i="2"/>
  <c r="AN758" i="2"/>
  <c r="AM759" i="2"/>
  <c r="AN759" i="2"/>
  <c r="AM760" i="2"/>
  <c r="AN760" i="2"/>
  <c r="AM761" i="2"/>
  <c r="AN761" i="2"/>
  <c r="AM762" i="2"/>
  <c r="AN762" i="2"/>
  <c r="AM763" i="2"/>
  <c r="AN763" i="2"/>
  <c r="AM764" i="2"/>
  <c r="AN764" i="2"/>
  <c r="AM765" i="2"/>
  <c r="AN765" i="2"/>
  <c r="AM766" i="2"/>
  <c r="AN766" i="2"/>
  <c r="AM767" i="2"/>
  <c r="AN767" i="2"/>
  <c r="AM768" i="2"/>
  <c r="AN768" i="2"/>
  <c r="AM769" i="2"/>
  <c r="AN769" i="2"/>
  <c r="AM770" i="2"/>
  <c r="AN770" i="2"/>
  <c r="AM771" i="2"/>
  <c r="AN771" i="2"/>
  <c r="AM772" i="2"/>
  <c r="AN772" i="2"/>
  <c r="AM773" i="2"/>
  <c r="AN773" i="2"/>
  <c r="AM774" i="2"/>
  <c r="AN774" i="2"/>
  <c r="AM775" i="2"/>
  <c r="AN775" i="2"/>
  <c r="AM776" i="2"/>
  <c r="AN776" i="2"/>
  <c r="AM777" i="2"/>
  <c r="AN777" i="2"/>
  <c r="AM778" i="2"/>
  <c r="AN778" i="2"/>
  <c r="AM779" i="2"/>
  <c r="AN779" i="2"/>
  <c r="AM780" i="2"/>
  <c r="AN780" i="2"/>
  <c r="AM781" i="2"/>
  <c r="AN781" i="2"/>
  <c r="AM782" i="2"/>
  <c r="AN782" i="2"/>
  <c r="AM783" i="2"/>
  <c r="AN783" i="2"/>
  <c r="AM784" i="2"/>
  <c r="AN784" i="2"/>
  <c r="AM785" i="2"/>
  <c r="AN785" i="2"/>
  <c r="AM786" i="2"/>
  <c r="AN786" i="2"/>
  <c r="AM787" i="2"/>
  <c r="AN787" i="2"/>
  <c r="AM788" i="2"/>
  <c r="AN788" i="2"/>
  <c r="AM789" i="2"/>
  <c r="AN789" i="2"/>
  <c r="AM790" i="2"/>
  <c r="AN790" i="2"/>
  <c r="AM791" i="2"/>
  <c r="AN791" i="2"/>
  <c r="AM792" i="2"/>
  <c r="AN792" i="2"/>
  <c r="AM793" i="2"/>
  <c r="AN793" i="2"/>
  <c r="AM794" i="2"/>
  <c r="AN794" i="2"/>
  <c r="AM795" i="2"/>
  <c r="AN795" i="2"/>
  <c r="AM796" i="2"/>
  <c r="AN796" i="2"/>
  <c r="AM797" i="2"/>
  <c r="AN797" i="2"/>
  <c r="AM798" i="2"/>
  <c r="AN798" i="2"/>
  <c r="AM799" i="2"/>
  <c r="AN799" i="2"/>
  <c r="AM800" i="2"/>
  <c r="AN800" i="2"/>
  <c r="AM801" i="2"/>
  <c r="AN801" i="2"/>
  <c r="AM802" i="2"/>
  <c r="AN802" i="2"/>
  <c r="AM803" i="2"/>
  <c r="AN803" i="2"/>
  <c r="AM804" i="2"/>
  <c r="AN804" i="2"/>
  <c r="AM805" i="2"/>
  <c r="AN805" i="2"/>
  <c r="AM806" i="2"/>
  <c r="AN806" i="2"/>
  <c r="AM807" i="2"/>
  <c r="AN807" i="2"/>
  <c r="AM808" i="2"/>
  <c r="AN808" i="2"/>
  <c r="AM809" i="2"/>
  <c r="AN809" i="2"/>
  <c r="AM810" i="2"/>
  <c r="AN810" i="2"/>
  <c r="AM811" i="2"/>
  <c r="AN811" i="2"/>
  <c r="AM812" i="2"/>
  <c r="AN812" i="2"/>
  <c r="AM813" i="2"/>
  <c r="AN813" i="2"/>
  <c r="AM814" i="2"/>
  <c r="AN814" i="2"/>
  <c r="AM815" i="2"/>
  <c r="AN815" i="2"/>
  <c r="AM816" i="2"/>
  <c r="AN816" i="2"/>
  <c r="AM817" i="2"/>
  <c r="AN817" i="2"/>
  <c r="AM818" i="2"/>
  <c r="AN818" i="2"/>
  <c r="AM819" i="2"/>
  <c r="AN819" i="2"/>
  <c r="AM820" i="2"/>
  <c r="AN820" i="2"/>
  <c r="AM821" i="2"/>
  <c r="AN821" i="2"/>
  <c r="AM822" i="2"/>
  <c r="AN822" i="2"/>
  <c r="AM823" i="2"/>
  <c r="AN823" i="2"/>
  <c r="AM824" i="2"/>
  <c r="AN824" i="2"/>
  <c r="AM825" i="2"/>
  <c r="AN825" i="2"/>
  <c r="AM826" i="2"/>
  <c r="AN826" i="2"/>
  <c r="AM827" i="2"/>
  <c r="AN827" i="2"/>
  <c r="AM828" i="2"/>
  <c r="AN828" i="2"/>
  <c r="AM829" i="2"/>
  <c r="AN829" i="2"/>
  <c r="AM830" i="2"/>
  <c r="AN830" i="2"/>
  <c r="AM831" i="2"/>
  <c r="AN831" i="2"/>
  <c r="AM832" i="2"/>
  <c r="AN832" i="2"/>
  <c r="AM833" i="2"/>
  <c r="AN833" i="2"/>
  <c r="AM834" i="2"/>
  <c r="AN834" i="2"/>
  <c r="AM835" i="2"/>
  <c r="AN835" i="2"/>
  <c r="AM836" i="2"/>
  <c r="AN836" i="2"/>
  <c r="AM837" i="2"/>
  <c r="AN837" i="2"/>
  <c r="AM838" i="2"/>
  <c r="AN838" i="2"/>
  <c r="AM839" i="2"/>
  <c r="AN839" i="2"/>
  <c r="AM840" i="2"/>
  <c r="AN840" i="2"/>
  <c r="AM841" i="2"/>
  <c r="AN841" i="2"/>
  <c r="AM842" i="2"/>
  <c r="AN842" i="2"/>
  <c r="AM843" i="2"/>
  <c r="AN843" i="2"/>
  <c r="AM844" i="2"/>
  <c r="AN844" i="2"/>
  <c r="AM845" i="2"/>
  <c r="AN845" i="2"/>
  <c r="AM846" i="2"/>
  <c r="AN846" i="2"/>
  <c r="AM847" i="2"/>
  <c r="AN847" i="2"/>
  <c r="AM848" i="2"/>
  <c r="AN848" i="2"/>
  <c r="AM849" i="2"/>
  <c r="AN849" i="2"/>
  <c r="AM850" i="2"/>
  <c r="AN850" i="2"/>
  <c r="AM851" i="2"/>
  <c r="AN851" i="2"/>
  <c r="AM852" i="2"/>
  <c r="AN852" i="2"/>
  <c r="AM853" i="2"/>
  <c r="AN853" i="2"/>
  <c r="AM854" i="2"/>
  <c r="AN854" i="2"/>
  <c r="AM855" i="2"/>
  <c r="AN855" i="2"/>
  <c r="AM856" i="2"/>
  <c r="AN856" i="2"/>
  <c r="AM857" i="2"/>
  <c r="AN857" i="2"/>
  <c r="AM858" i="2"/>
  <c r="AN858" i="2"/>
  <c r="AM859" i="2"/>
  <c r="AN859" i="2"/>
  <c r="AM860" i="2"/>
  <c r="AN860" i="2"/>
  <c r="AM861" i="2"/>
  <c r="AN861" i="2"/>
  <c r="AM862" i="2"/>
  <c r="AN862" i="2"/>
  <c r="AM863" i="2"/>
  <c r="AN863" i="2"/>
  <c r="AM864" i="2"/>
  <c r="AN864" i="2"/>
  <c r="AM865" i="2"/>
  <c r="AN865" i="2"/>
  <c r="AM866" i="2"/>
  <c r="AN866" i="2"/>
  <c r="AM867" i="2"/>
  <c r="AN867" i="2"/>
  <c r="AM868" i="2"/>
  <c r="AN868" i="2"/>
  <c r="AM869" i="2"/>
  <c r="AN869" i="2"/>
  <c r="AM870" i="2"/>
  <c r="AN870" i="2"/>
  <c r="AM871" i="2"/>
  <c r="AN871" i="2"/>
  <c r="AM872" i="2"/>
  <c r="AN872" i="2"/>
  <c r="AM873" i="2"/>
  <c r="AN873" i="2"/>
  <c r="AM874" i="2"/>
  <c r="AN874" i="2"/>
  <c r="AM875" i="2"/>
  <c r="AN875" i="2"/>
  <c r="AM876" i="2"/>
  <c r="AN876" i="2"/>
  <c r="AM877" i="2"/>
  <c r="AN877" i="2"/>
  <c r="AM878" i="2"/>
  <c r="AN878" i="2"/>
  <c r="AM879" i="2"/>
  <c r="AN879" i="2"/>
  <c r="AM880" i="2"/>
  <c r="AN880" i="2"/>
  <c r="AM881" i="2"/>
  <c r="AN881" i="2"/>
  <c r="AM882" i="2"/>
  <c r="AN882" i="2"/>
  <c r="AM883" i="2"/>
  <c r="AN883" i="2"/>
  <c r="AM884" i="2"/>
  <c r="AN884" i="2"/>
  <c r="AM885" i="2"/>
  <c r="AN885" i="2"/>
  <c r="AM886" i="2"/>
  <c r="AN886" i="2"/>
  <c r="AM887" i="2"/>
  <c r="AN887" i="2"/>
  <c r="AM888" i="2"/>
  <c r="AN888" i="2"/>
  <c r="AM889" i="2"/>
  <c r="AN889" i="2"/>
  <c r="AM890" i="2"/>
  <c r="AN890" i="2"/>
  <c r="AM891" i="2"/>
  <c r="AN891" i="2"/>
  <c r="AM892" i="2"/>
  <c r="AN892" i="2"/>
  <c r="AM893" i="2"/>
  <c r="AN893" i="2"/>
  <c r="AM894" i="2"/>
  <c r="AN894" i="2"/>
  <c r="AM895" i="2"/>
  <c r="AN895" i="2"/>
  <c r="AM896" i="2"/>
  <c r="AN896" i="2"/>
  <c r="AM897" i="2"/>
  <c r="AN897" i="2"/>
  <c r="AM898" i="2"/>
  <c r="AN898" i="2"/>
  <c r="AM899" i="2"/>
  <c r="AN899" i="2"/>
  <c r="AM900" i="2"/>
  <c r="AN900" i="2"/>
  <c r="AM901" i="2"/>
  <c r="AN901" i="2"/>
  <c r="AM902" i="2"/>
  <c r="AN902" i="2"/>
  <c r="AM903" i="2"/>
  <c r="AN903" i="2"/>
  <c r="AM904" i="2"/>
  <c r="AN904" i="2"/>
  <c r="AM905" i="2"/>
  <c r="AN905" i="2"/>
  <c r="AM906" i="2"/>
  <c r="AN906" i="2"/>
  <c r="AM907" i="2"/>
  <c r="AN907" i="2"/>
  <c r="AM908" i="2"/>
  <c r="AN908" i="2"/>
  <c r="AM909" i="2"/>
  <c r="AN909" i="2"/>
  <c r="AM910" i="2"/>
  <c r="AN910" i="2"/>
  <c r="AM911" i="2"/>
  <c r="AN911" i="2"/>
  <c r="AM912" i="2"/>
  <c r="AN912" i="2"/>
  <c r="AM913" i="2"/>
  <c r="AN913" i="2"/>
  <c r="AM914" i="2"/>
  <c r="AN914" i="2"/>
  <c r="AM915" i="2"/>
  <c r="AN915" i="2"/>
  <c r="AM916" i="2"/>
  <c r="AN916" i="2"/>
  <c r="AM917" i="2"/>
  <c r="AN917" i="2"/>
  <c r="AM918" i="2"/>
  <c r="AN918" i="2"/>
  <c r="AM919" i="2"/>
  <c r="AN919" i="2"/>
  <c r="AM920" i="2"/>
  <c r="AN920" i="2"/>
  <c r="AM921" i="2"/>
  <c r="AQ921" i="2" s="1"/>
  <c r="AN921" i="2"/>
  <c r="AM922" i="2"/>
  <c r="AQ922" i="2" s="1"/>
  <c r="AN922" i="2"/>
  <c r="AM923" i="2"/>
  <c r="AQ923" i="2" s="1"/>
  <c r="AR923" i="2" s="1"/>
  <c r="AN923" i="2"/>
  <c r="AM924" i="2"/>
  <c r="AN924" i="2"/>
  <c r="AM925" i="2"/>
  <c r="AQ925" i="2" s="1"/>
  <c r="AN925" i="2"/>
  <c r="AM926" i="2"/>
  <c r="AQ926" i="2" s="1"/>
  <c r="AN926" i="2"/>
  <c r="AM927" i="2"/>
  <c r="AQ927" i="2" s="1"/>
  <c r="AR927" i="2" s="1"/>
  <c r="AN927" i="2"/>
  <c r="AM928" i="2"/>
  <c r="AN928" i="2"/>
  <c r="AM929" i="2"/>
  <c r="AQ929" i="2" s="1"/>
  <c r="AN929" i="2"/>
  <c r="AM930" i="2"/>
  <c r="AQ930" i="2" s="1"/>
  <c r="AN930" i="2"/>
  <c r="AM931" i="2"/>
  <c r="AQ931" i="2" s="1"/>
  <c r="AR931" i="2" s="1"/>
  <c r="AN931" i="2"/>
  <c r="AM932" i="2"/>
  <c r="AN932" i="2"/>
  <c r="AM933" i="2"/>
  <c r="AQ933" i="2" s="1"/>
  <c r="AR933" i="2" s="1"/>
  <c r="AN933" i="2"/>
  <c r="AM934" i="2"/>
  <c r="AQ934" i="2" s="1"/>
  <c r="AN934" i="2"/>
  <c r="AM935" i="2"/>
  <c r="AQ935" i="2" s="1"/>
  <c r="AR935" i="2" s="1"/>
  <c r="AN935" i="2"/>
  <c r="AM936" i="2"/>
  <c r="AN936" i="2"/>
  <c r="AM937" i="2"/>
  <c r="AQ937" i="2" s="1"/>
  <c r="AN937" i="2"/>
  <c r="AM938" i="2"/>
  <c r="AQ938" i="2" s="1"/>
  <c r="AN938" i="2"/>
  <c r="AM939" i="2"/>
  <c r="AQ939" i="2" s="1"/>
  <c r="AR939" i="2" s="1"/>
  <c r="AN939" i="2"/>
  <c r="AM940" i="2"/>
  <c r="AN940" i="2"/>
  <c r="AM941" i="2"/>
  <c r="AQ941" i="2" s="1"/>
  <c r="AR941" i="2" s="1"/>
  <c r="AN941" i="2"/>
  <c r="AM942" i="2"/>
  <c r="AQ942" i="2" s="1"/>
  <c r="AN942" i="2"/>
  <c r="AM943" i="2"/>
  <c r="AQ943" i="2" s="1"/>
  <c r="AR943" i="2" s="1"/>
  <c r="AN943" i="2"/>
  <c r="AM944" i="2"/>
  <c r="AN944" i="2"/>
  <c r="AM945" i="2"/>
  <c r="AQ945" i="2" s="1"/>
  <c r="AN945" i="2"/>
  <c r="AM946" i="2"/>
  <c r="AQ946" i="2" s="1"/>
  <c r="AN946" i="2"/>
  <c r="AM947" i="2"/>
  <c r="AQ947" i="2" s="1"/>
  <c r="AR947" i="2" s="1"/>
  <c r="AN947" i="2"/>
  <c r="AM948" i="2"/>
  <c r="AN948" i="2"/>
  <c r="AM949" i="2"/>
  <c r="AQ949" i="2" s="1"/>
  <c r="AR949" i="2" s="1"/>
  <c r="AN949" i="2"/>
  <c r="AM950" i="2"/>
  <c r="AQ950" i="2" s="1"/>
  <c r="AN950" i="2"/>
  <c r="AM951" i="2"/>
  <c r="AQ951" i="2" s="1"/>
  <c r="AR951" i="2" s="1"/>
  <c r="AN951" i="2"/>
  <c r="AM952" i="2"/>
  <c r="AN952" i="2"/>
  <c r="AM953" i="2"/>
  <c r="AQ953" i="2" s="1"/>
  <c r="AN953" i="2"/>
  <c r="AM954" i="2"/>
  <c r="AQ954" i="2" s="1"/>
  <c r="AN954" i="2"/>
  <c r="AM955" i="2"/>
  <c r="AQ955" i="2" s="1"/>
  <c r="AR955" i="2" s="1"/>
  <c r="AN955" i="2"/>
  <c r="AM956" i="2"/>
  <c r="AN956" i="2"/>
  <c r="AM957" i="2"/>
  <c r="AQ957" i="2" s="1"/>
  <c r="AN957" i="2"/>
  <c r="AM958" i="2"/>
  <c r="AQ958" i="2" s="1"/>
  <c r="AN958" i="2"/>
  <c r="AM959" i="2"/>
  <c r="AQ959" i="2" s="1"/>
  <c r="AR959" i="2" s="1"/>
  <c r="AN959" i="2"/>
  <c r="AM960" i="2"/>
  <c r="AN960" i="2"/>
  <c r="AM961" i="2"/>
  <c r="AQ961" i="2" s="1"/>
  <c r="AN961" i="2"/>
  <c r="AM962" i="2"/>
  <c r="AQ962" i="2" s="1"/>
  <c r="AN962" i="2"/>
  <c r="AM963" i="2"/>
  <c r="AQ963" i="2" s="1"/>
  <c r="AR963" i="2" s="1"/>
  <c r="AN963" i="2"/>
  <c r="AM964" i="2"/>
  <c r="AN964" i="2"/>
  <c r="AM965" i="2"/>
  <c r="AQ965" i="2" s="1"/>
  <c r="AR965" i="2" s="1"/>
  <c r="AN965" i="2"/>
  <c r="AM966" i="2"/>
  <c r="AQ966" i="2" s="1"/>
  <c r="AN966" i="2"/>
  <c r="AM967" i="2"/>
  <c r="AQ967" i="2" s="1"/>
  <c r="AR967" i="2" s="1"/>
  <c r="AN967" i="2"/>
  <c r="AM968" i="2"/>
  <c r="AN968" i="2"/>
  <c r="AM969" i="2"/>
  <c r="AQ969" i="2" s="1"/>
  <c r="AN969" i="2"/>
  <c r="AM970" i="2"/>
  <c r="AQ970" i="2" s="1"/>
  <c r="AN970" i="2"/>
  <c r="AM971" i="2"/>
  <c r="AQ971" i="2" s="1"/>
  <c r="AR971" i="2" s="1"/>
  <c r="AN971" i="2"/>
  <c r="AM972" i="2"/>
  <c r="AN972" i="2"/>
  <c r="AM973" i="2"/>
  <c r="AQ973" i="2" s="1"/>
  <c r="AN973" i="2"/>
  <c r="AM974" i="2"/>
  <c r="AN974" i="2"/>
  <c r="AM975" i="2"/>
  <c r="AQ975" i="2" s="1"/>
  <c r="AR975" i="2" s="1"/>
  <c r="AN975" i="2"/>
  <c r="AM976" i="2"/>
  <c r="AN976" i="2"/>
  <c r="AM977" i="2"/>
  <c r="AQ977" i="2" s="1"/>
  <c r="AN977" i="2"/>
  <c r="AM978" i="2"/>
  <c r="AQ978" i="2" s="1"/>
  <c r="AN978" i="2"/>
  <c r="AM979" i="2"/>
  <c r="AQ979" i="2" s="1"/>
  <c r="AR979" i="2" s="1"/>
  <c r="AN979" i="2"/>
  <c r="AM980" i="2"/>
  <c r="AN980" i="2"/>
  <c r="AM981" i="2"/>
  <c r="AQ981" i="2" s="1"/>
  <c r="AN981" i="2"/>
  <c r="AM982" i="2"/>
  <c r="AQ982" i="2" s="1"/>
  <c r="AN982" i="2"/>
  <c r="AM983" i="2"/>
  <c r="AQ983" i="2" s="1"/>
  <c r="AR983" i="2" s="1"/>
  <c r="AN983" i="2"/>
  <c r="AM984" i="2"/>
  <c r="AQ984" i="2" s="1"/>
  <c r="AN984" i="2"/>
  <c r="AM985" i="2"/>
  <c r="AQ985" i="2" s="1"/>
  <c r="AN985" i="2"/>
  <c r="AM986" i="2"/>
  <c r="AN986" i="2"/>
  <c r="AM987" i="2"/>
  <c r="AQ987" i="2" s="1"/>
  <c r="AR987" i="2" s="1"/>
  <c r="AN987" i="2"/>
  <c r="AM988" i="2"/>
  <c r="AN988" i="2"/>
  <c r="AM989" i="2"/>
  <c r="AQ989" i="2" s="1"/>
  <c r="AN989" i="2"/>
  <c r="AM990" i="2"/>
  <c r="AQ990" i="2" s="1"/>
  <c r="AN990" i="2"/>
  <c r="AM991" i="2"/>
  <c r="AQ991" i="2" s="1"/>
  <c r="AR991" i="2" s="1"/>
  <c r="AN991" i="2"/>
  <c r="AM992" i="2"/>
  <c r="AN992" i="2"/>
  <c r="AM993" i="2"/>
  <c r="AQ993" i="2" s="1"/>
  <c r="AN993" i="2"/>
  <c r="AM994" i="2"/>
  <c r="AQ994" i="2" s="1"/>
  <c r="AN994" i="2"/>
  <c r="AM995" i="2"/>
  <c r="AQ995" i="2" s="1"/>
  <c r="AR995" i="2" s="1"/>
  <c r="AN995" i="2"/>
  <c r="AM996" i="2"/>
  <c r="AQ996" i="2" s="1"/>
  <c r="AN996" i="2"/>
  <c r="AM997" i="2"/>
  <c r="AQ997" i="2" s="1"/>
  <c r="AN997" i="2"/>
  <c r="AM998" i="2"/>
  <c r="AN998" i="2"/>
  <c r="AM999" i="2"/>
  <c r="AQ999" i="2" s="1"/>
  <c r="AN999" i="2"/>
  <c r="AM1000" i="2"/>
  <c r="AN1000" i="2"/>
  <c r="AM1001" i="2"/>
  <c r="AQ1001" i="2" s="1"/>
  <c r="AN1001" i="2"/>
  <c r="AM1002" i="2"/>
  <c r="AN1002" i="2"/>
  <c r="AM1003" i="2"/>
  <c r="AQ1003" i="2" s="1"/>
  <c r="AN1003" i="2"/>
  <c r="AM1004" i="2"/>
  <c r="AN1004" i="2"/>
  <c r="AM1005" i="2"/>
  <c r="AQ1005" i="2" s="1"/>
  <c r="AN1005" i="2"/>
  <c r="AM1006" i="2"/>
  <c r="AQ1006" i="2" s="1"/>
  <c r="AN1006" i="2"/>
  <c r="AM1007" i="2"/>
  <c r="AQ1007" i="2" s="1"/>
  <c r="AN1007" i="2"/>
  <c r="AM1008" i="2"/>
  <c r="AN1008" i="2"/>
  <c r="AE490" i="2"/>
  <c r="AF490" i="2" s="1"/>
  <c r="AE491" i="2"/>
  <c r="AF491" i="2" s="1"/>
  <c r="AE492" i="2"/>
  <c r="AF492" i="2" s="1"/>
  <c r="AE493" i="2"/>
  <c r="AF493" i="2" s="1"/>
  <c r="AE494" i="2"/>
  <c r="AF494" i="2" s="1"/>
  <c r="AE495" i="2"/>
  <c r="AF495" i="2" s="1"/>
  <c r="AE496" i="2"/>
  <c r="AF496" i="2" s="1"/>
  <c r="AE497" i="2"/>
  <c r="AF497" i="2" s="1"/>
  <c r="AE498" i="2"/>
  <c r="AF498" i="2" s="1"/>
  <c r="AE499" i="2"/>
  <c r="AF499" i="2" s="1"/>
  <c r="AE500" i="2"/>
  <c r="AF500" i="2" s="1"/>
  <c r="AE501" i="2"/>
  <c r="AF501" i="2" s="1"/>
  <c r="AE502" i="2"/>
  <c r="AF502" i="2" s="1"/>
  <c r="AE503" i="2"/>
  <c r="AF503" i="2" s="1"/>
  <c r="AE504" i="2"/>
  <c r="AF504" i="2" s="1"/>
  <c r="AE505" i="2"/>
  <c r="AF505" i="2" s="1"/>
  <c r="AE506" i="2"/>
  <c r="AF506" i="2" s="1"/>
  <c r="AE507" i="2"/>
  <c r="AF507" i="2" s="1"/>
  <c r="AE508" i="2"/>
  <c r="AF508" i="2" s="1"/>
  <c r="AE509" i="2"/>
  <c r="AF509" i="2" s="1"/>
  <c r="AE510" i="2"/>
  <c r="AF510" i="2" s="1"/>
  <c r="AE511" i="2"/>
  <c r="AF511" i="2" s="1"/>
  <c r="AE512" i="2"/>
  <c r="AF512" i="2" s="1"/>
  <c r="AE513" i="2"/>
  <c r="AF513" i="2" s="1"/>
  <c r="AE514" i="2"/>
  <c r="AF514" i="2" s="1"/>
  <c r="AE515" i="2"/>
  <c r="AF515" i="2" s="1"/>
  <c r="AE516" i="2"/>
  <c r="AF516" i="2" s="1"/>
  <c r="AE517" i="2"/>
  <c r="AF517" i="2" s="1"/>
  <c r="AE518" i="2"/>
  <c r="AF518" i="2" s="1"/>
  <c r="AE519" i="2"/>
  <c r="AF519" i="2" s="1"/>
  <c r="AE520" i="2"/>
  <c r="AF520" i="2" s="1"/>
  <c r="AE521" i="2"/>
  <c r="AF521" i="2" s="1"/>
  <c r="AE522" i="2"/>
  <c r="AF522" i="2" s="1"/>
  <c r="AE523" i="2"/>
  <c r="AF523" i="2" s="1"/>
  <c r="AE524" i="2"/>
  <c r="AF524" i="2" s="1"/>
  <c r="AE525" i="2"/>
  <c r="AF525" i="2" s="1"/>
  <c r="AE526" i="2"/>
  <c r="AF526" i="2" s="1"/>
  <c r="AE527" i="2"/>
  <c r="AF527" i="2" s="1"/>
  <c r="AE528" i="2"/>
  <c r="AF528" i="2" s="1"/>
  <c r="AE529" i="2"/>
  <c r="AF529" i="2" s="1"/>
  <c r="AE530" i="2"/>
  <c r="AF530" i="2" s="1"/>
  <c r="AE531" i="2"/>
  <c r="AF531" i="2" s="1"/>
  <c r="AE532" i="2"/>
  <c r="AF532" i="2" s="1"/>
  <c r="AE533" i="2"/>
  <c r="AF533" i="2" s="1"/>
  <c r="AE534" i="2"/>
  <c r="AF534" i="2" s="1"/>
  <c r="AE535" i="2"/>
  <c r="AF535" i="2" s="1"/>
  <c r="AE536" i="2"/>
  <c r="AF536" i="2" s="1"/>
  <c r="AE537" i="2"/>
  <c r="AF537" i="2" s="1"/>
  <c r="AE538" i="2"/>
  <c r="AF538" i="2" s="1"/>
  <c r="AE539" i="2"/>
  <c r="AF539" i="2" s="1"/>
  <c r="AE540" i="2"/>
  <c r="AF540" i="2" s="1"/>
  <c r="AE541" i="2"/>
  <c r="AF541" i="2" s="1"/>
  <c r="AE542" i="2"/>
  <c r="AF542" i="2" s="1"/>
  <c r="AE543" i="2"/>
  <c r="AF543" i="2" s="1"/>
  <c r="AE544" i="2"/>
  <c r="AF544" i="2" s="1"/>
  <c r="AE545" i="2"/>
  <c r="AF545" i="2" s="1"/>
  <c r="AE546" i="2"/>
  <c r="AF546" i="2" s="1"/>
  <c r="AE547" i="2"/>
  <c r="AF547" i="2" s="1"/>
  <c r="AE548" i="2"/>
  <c r="AF548" i="2" s="1"/>
  <c r="AE549" i="2"/>
  <c r="AF549" i="2" s="1"/>
  <c r="AE550" i="2"/>
  <c r="AF550" i="2" s="1"/>
  <c r="AE551" i="2"/>
  <c r="AF551" i="2" s="1"/>
  <c r="AE552" i="2"/>
  <c r="AF552" i="2" s="1"/>
  <c r="AE553" i="2"/>
  <c r="AF553" i="2" s="1"/>
  <c r="AE554" i="2"/>
  <c r="AF554" i="2" s="1"/>
  <c r="AE555" i="2"/>
  <c r="AF555" i="2" s="1"/>
  <c r="AE556" i="2"/>
  <c r="AE557" i="2"/>
  <c r="AF557" i="2" s="1"/>
  <c r="AE558" i="2"/>
  <c r="AF558" i="2" s="1"/>
  <c r="AE559" i="2"/>
  <c r="AF559" i="2" s="1"/>
  <c r="AE560" i="2"/>
  <c r="AF560" i="2" s="1"/>
  <c r="AE561" i="2"/>
  <c r="AF561" i="2" s="1"/>
  <c r="AE562" i="2"/>
  <c r="AE563" i="2"/>
  <c r="AF563" i="2" s="1"/>
  <c r="AE564" i="2"/>
  <c r="AF564" i="2" s="1"/>
  <c r="AE565" i="2"/>
  <c r="AF565" i="2" s="1"/>
  <c r="AE566" i="2"/>
  <c r="AF566" i="2" s="1"/>
  <c r="AE567" i="2"/>
  <c r="AF567" i="2" s="1"/>
  <c r="AE568" i="2"/>
  <c r="AF568" i="2" s="1"/>
  <c r="AE569" i="2"/>
  <c r="AF569" i="2" s="1"/>
  <c r="AE570" i="2"/>
  <c r="AF570" i="2" s="1"/>
  <c r="AE571" i="2"/>
  <c r="AF571" i="2" s="1"/>
  <c r="AE572" i="2"/>
  <c r="AE573" i="2"/>
  <c r="AF573" i="2" s="1"/>
  <c r="AE574" i="2"/>
  <c r="AF574" i="2" s="1"/>
  <c r="AE575" i="2"/>
  <c r="AF575" i="2" s="1"/>
  <c r="AE576" i="2"/>
  <c r="AF576" i="2" s="1"/>
  <c r="AE577" i="2"/>
  <c r="AF577" i="2" s="1"/>
  <c r="AE578" i="2"/>
  <c r="AE579" i="2"/>
  <c r="AF579" i="2" s="1"/>
  <c r="AE580" i="2"/>
  <c r="AF580" i="2" s="1"/>
  <c r="AE581" i="2"/>
  <c r="AF581" i="2" s="1"/>
  <c r="AE582" i="2"/>
  <c r="AF582" i="2" s="1"/>
  <c r="AE583" i="2"/>
  <c r="AF583" i="2" s="1"/>
  <c r="AE584" i="2"/>
  <c r="AF584" i="2" s="1"/>
  <c r="AE585" i="2"/>
  <c r="AF585" i="2" s="1"/>
  <c r="AE586" i="2"/>
  <c r="AF586" i="2" s="1"/>
  <c r="AE587" i="2"/>
  <c r="AF587" i="2" s="1"/>
  <c r="AE588" i="2"/>
  <c r="AE589" i="2"/>
  <c r="AF589" i="2" s="1"/>
  <c r="AE590" i="2"/>
  <c r="AF590" i="2" s="1"/>
  <c r="AE591" i="2"/>
  <c r="AF591" i="2" s="1"/>
  <c r="AE592" i="2"/>
  <c r="AF592" i="2" s="1"/>
  <c r="AE593" i="2"/>
  <c r="AF593" i="2" s="1"/>
  <c r="AE594" i="2"/>
  <c r="AE595" i="2"/>
  <c r="AF595" i="2" s="1"/>
  <c r="AE596" i="2"/>
  <c r="AF596" i="2" s="1"/>
  <c r="AE597" i="2"/>
  <c r="AF597" i="2" s="1"/>
  <c r="AE598" i="2"/>
  <c r="AF598" i="2" s="1"/>
  <c r="AE599" i="2"/>
  <c r="AF599" i="2" s="1"/>
  <c r="AE600" i="2"/>
  <c r="AF600" i="2" s="1"/>
  <c r="AE601" i="2"/>
  <c r="AF601" i="2" s="1"/>
  <c r="AE602" i="2"/>
  <c r="AF602" i="2" s="1"/>
  <c r="AE603" i="2"/>
  <c r="AF603" i="2" s="1"/>
  <c r="AE604" i="2"/>
  <c r="AE605" i="2"/>
  <c r="AF605" i="2" s="1"/>
  <c r="AE606" i="2"/>
  <c r="AF606" i="2" s="1"/>
  <c r="AE607" i="2"/>
  <c r="AF607" i="2" s="1"/>
  <c r="AE608" i="2"/>
  <c r="AF608" i="2" s="1"/>
  <c r="AE609" i="2"/>
  <c r="AF609" i="2" s="1"/>
  <c r="AE610" i="2"/>
  <c r="AE611" i="2"/>
  <c r="AF611" i="2" s="1"/>
  <c r="AE612" i="2"/>
  <c r="AF612" i="2" s="1"/>
  <c r="AE613" i="2"/>
  <c r="AF613" i="2" s="1"/>
  <c r="AE614" i="2"/>
  <c r="AF614" i="2" s="1"/>
  <c r="AE615" i="2"/>
  <c r="AF615" i="2" s="1"/>
  <c r="AE616" i="2"/>
  <c r="AF616" i="2" s="1"/>
  <c r="AE617" i="2"/>
  <c r="AF617" i="2" s="1"/>
  <c r="AE618" i="2"/>
  <c r="AF618" i="2" s="1"/>
  <c r="AE619" i="2"/>
  <c r="AF619" i="2" s="1"/>
  <c r="AE620" i="2"/>
  <c r="AE621" i="2"/>
  <c r="AF621" i="2" s="1"/>
  <c r="AE622" i="2"/>
  <c r="AF622" i="2" s="1"/>
  <c r="AE623" i="2"/>
  <c r="AF623" i="2" s="1"/>
  <c r="AE624" i="2"/>
  <c r="AF624" i="2" s="1"/>
  <c r="AE625" i="2"/>
  <c r="AF625" i="2" s="1"/>
  <c r="AE626" i="2"/>
  <c r="AE627" i="2"/>
  <c r="AF627" i="2" s="1"/>
  <c r="AE628" i="2"/>
  <c r="AF628" i="2" s="1"/>
  <c r="AE629" i="2"/>
  <c r="AF629" i="2" s="1"/>
  <c r="AE630" i="2"/>
  <c r="AF630" i="2" s="1"/>
  <c r="AE631" i="2"/>
  <c r="AF631" i="2" s="1"/>
  <c r="AE632" i="2"/>
  <c r="AF632" i="2" s="1"/>
  <c r="AE633" i="2"/>
  <c r="AF633" i="2" s="1"/>
  <c r="AE634" i="2"/>
  <c r="AF634" i="2" s="1"/>
  <c r="AE635" i="2"/>
  <c r="AF635" i="2" s="1"/>
  <c r="AE636" i="2"/>
  <c r="AE637" i="2"/>
  <c r="AF637" i="2" s="1"/>
  <c r="AE638" i="2"/>
  <c r="AF638" i="2" s="1"/>
  <c r="AE639" i="2"/>
  <c r="AF639" i="2" s="1"/>
  <c r="AE640" i="2"/>
  <c r="AF640" i="2" s="1"/>
  <c r="AE641" i="2"/>
  <c r="AF641" i="2" s="1"/>
  <c r="AE642" i="2"/>
  <c r="AE643" i="2"/>
  <c r="AF643" i="2" s="1"/>
  <c r="AE644" i="2"/>
  <c r="AF644" i="2" s="1"/>
  <c r="AE645" i="2"/>
  <c r="AF645" i="2" s="1"/>
  <c r="AE646" i="2"/>
  <c r="AF646" i="2" s="1"/>
  <c r="AE647" i="2"/>
  <c r="AF647" i="2" s="1"/>
  <c r="AE648" i="2"/>
  <c r="AF648" i="2" s="1"/>
  <c r="AE649" i="2"/>
  <c r="AF649" i="2" s="1"/>
  <c r="AE650" i="2"/>
  <c r="AF650" i="2" s="1"/>
  <c r="AE651" i="2"/>
  <c r="AF651" i="2" s="1"/>
  <c r="AE652" i="2"/>
  <c r="AE653" i="2"/>
  <c r="AF653" i="2" s="1"/>
  <c r="AE654" i="2"/>
  <c r="AF654" i="2" s="1"/>
  <c r="AE655" i="2"/>
  <c r="AF655" i="2" s="1"/>
  <c r="AE656" i="2"/>
  <c r="AF656" i="2" s="1"/>
  <c r="AE657" i="2"/>
  <c r="AF657" i="2" s="1"/>
  <c r="AE658" i="2"/>
  <c r="AE659" i="2"/>
  <c r="AF659" i="2" s="1"/>
  <c r="AE660" i="2"/>
  <c r="AF660" i="2" s="1"/>
  <c r="AE661" i="2"/>
  <c r="AF661" i="2" s="1"/>
  <c r="AE662" i="2"/>
  <c r="AF662" i="2" s="1"/>
  <c r="AE663" i="2"/>
  <c r="AF663" i="2" s="1"/>
  <c r="AE664" i="2"/>
  <c r="AF664" i="2" s="1"/>
  <c r="AE665" i="2"/>
  <c r="AF665" i="2" s="1"/>
  <c r="AE666" i="2"/>
  <c r="AF666" i="2" s="1"/>
  <c r="AE667" i="2"/>
  <c r="AF667" i="2" s="1"/>
  <c r="AE668" i="2"/>
  <c r="AE669" i="2"/>
  <c r="AF669" i="2" s="1"/>
  <c r="AE670" i="2"/>
  <c r="AF670" i="2" s="1"/>
  <c r="AE671" i="2"/>
  <c r="AF671" i="2" s="1"/>
  <c r="AE672" i="2"/>
  <c r="AF672" i="2" s="1"/>
  <c r="AE673" i="2"/>
  <c r="AF673" i="2" s="1"/>
  <c r="AE674" i="2"/>
  <c r="AE675" i="2"/>
  <c r="AF675" i="2" s="1"/>
  <c r="AE676" i="2"/>
  <c r="AF676" i="2" s="1"/>
  <c r="AE677" i="2"/>
  <c r="AF677" i="2" s="1"/>
  <c r="AE678" i="2"/>
  <c r="AE679" i="2"/>
  <c r="AF679" i="2" s="1"/>
  <c r="AE680" i="2"/>
  <c r="AF680" i="2" s="1"/>
  <c r="AE681" i="2"/>
  <c r="AF681" i="2" s="1"/>
  <c r="AE682" i="2"/>
  <c r="AE683" i="2"/>
  <c r="AF683" i="2" s="1"/>
  <c r="AE684" i="2"/>
  <c r="AF684" i="2" s="1"/>
  <c r="AE685" i="2"/>
  <c r="AF685" i="2" s="1"/>
  <c r="AE686" i="2"/>
  <c r="AE687" i="2"/>
  <c r="AF687" i="2" s="1"/>
  <c r="AE688" i="2"/>
  <c r="AF688" i="2" s="1"/>
  <c r="AE689" i="2"/>
  <c r="AF689" i="2" s="1"/>
  <c r="AE690" i="2"/>
  <c r="AE691" i="2"/>
  <c r="AF691" i="2" s="1"/>
  <c r="AE692" i="2"/>
  <c r="AF692" i="2" s="1"/>
  <c r="AE693" i="2"/>
  <c r="AF693" i="2" s="1"/>
  <c r="AE694" i="2"/>
  <c r="AE695" i="2"/>
  <c r="AF695" i="2" s="1"/>
  <c r="AE696" i="2"/>
  <c r="AF696" i="2" s="1"/>
  <c r="AE697" i="2"/>
  <c r="AF697" i="2" s="1"/>
  <c r="AE698" i="2"/>
  <c r="AE699" i="2"/>
  <c r="AF699" i="2" s="1"/>
  <c r="AE700" i="2"/>
  <c r="AF700" i="2" s="1"/>
  <c r="AE701" i="2"/>
  <c r="AF701" i="2" s="1"/>
  <c r="AE702" i="2"/>
  <c r="AE703" i="2"/>
  <c r="AF703" i="2" s="1"/>
  <c r="AE704" i="2"/>
  <c r="AF704" i="2" s="1"/>
  <c r="AE705" i="2"/>
  <c r="AF705" i="2" s="1"/>
  <c r="AE706" i="2"/>
  <c r="AE707" i="2"/>
  <c r="AF707" i="2" s="1"/>
  <c r="AE708" i="2"/>
  <c r="AF708" i="2" s="1"/>
  <c r="AE709" i="2"/>
  <c r="AF709" i="2" s="1"/>
  <c r="AE710" i="2"/>
  <c r="AE711" i="2"/>
  <c r="AF711" i="2" s="1"/>
  <c r="AE712" i="2"/>
  <c r="AF712" i="2" s="1"/>
  <c r="AE713" i="2"/>
  <c r="AF713" i="2" s="1"/>
  <c r="AE714" i="2"/>
  <c r="AE715" i="2"/>
  <c r="AF715" i="2" s="1"/>
  <c r="AE716" i="2"/>
  <c r="AF716" i="2" s="1"/>
  <c r="AE717" i="2"/>
  <c r="AF717" i="2" s="1"/>
  <c r="AE718" i="2"/>
  <c r="AE719" i="2"/>
  <c r="AF719" i="2" s="1"/>
  <c r="AE720" i="2"/>
  <c r="AF720" i="2" s="1"/>
  <c r="AE721" i="2"/>
  <c r="AF721" i="2" s="1"/>
  <c r="AE722" i="2"/>
  <c r="AE723" i="2"/>
  <c r="AF723" i="2" s="1"/>
  <c r="AE724" i="2"/>
  <c r="AF724" i="2" s="1"/>
  <c r="AE725" i="2"/>
  <c r="AF725" i="2" s="1"/>
  <c r="AE726" i="2"/>
  <c r="AE727" i="2"/>
  <c r="AF727" i="2" s="1"/>
  <c r="AE728" i="2"/>
  <c r="AF728" i="2" s="1"/>
  <c r="AE729" i="2"/>
  <c r="AF729" i="2" s="1"/>
  <c r="AE730" i="2"/>
  <c r="AE731" i="2"/>
  <c r="AF731" i="2" s="1"/>
  <c r="AE732" i="2"/>
  <c r="AF732" i="2" s="1"/>
  <c r="AE733" i="2"/>
  <c r="AF733" i="2" s="1"/>
  <c r="AE734" i="2"/>
  <c r="AE735" i="2"/>
  <c r="AF735" i="2" s="1"/>
  <c r="AE736" i="2"/>
  <c r="AF736" i="2" s="1"/>
  <c r="AE737" i="2"/>
  <c r="AF737" i="2" s="1"/>
  <c r="AE738" i="2"/>
  <c r="AE739" i="2"/>
  <c r="AF739" i="2" s="1"/>
  <c r="AE740" i="2"/>
  <c r="AF740" i="2" s="1"/>
  <c r="AE741" i="2"/>
  <c r="AF741" i="2" s="1"/>
  <c r="AE742" i="2"/>
  <c r="AE743" i="2"/>
  <c r="AF743" i="2" s="1"/>
  <c r="AE744" i="2"/>
  <c r="AF744" i="2" s="1"/>
  <c r="AE745" i="2"/>
  <c r="AF745" i="2" s="1"/>
  <c r="AE746" i="2"/>
  <c r="AE747" i="2"/>
  <c r="AF747" i="2" s="1"/>
  <c r="AE748" i="2"/>
  <c r="AF748" i="2" s="1"/>
  <c r="AE749" i="2"/>
  <c r="AF749" i="2" s="1"/>
  <c r="AE750" i="2"/>
  <c r="AE751" i="2"/>
  <c r="AF751" i="2" s="1"/>
  <c r="AE752" i="2"/>
  <c r="AF752" i="2" s="1"/>
  <c r="AE753" i="2"/>
  <c r="AF753" i="2" s="1"/>
  <c r="AE754" i="2"/>
  <c r="AE755" i="2"/>
  <c r="AF755" i="2" s="1"/>
  <c r="AE756" i="2"/>
  <c r="AF756" i="2" s="1"/>
  <c r="AE757" i="2"/>
  <c r="AF757" i="2" s="1"/>
  <c r="AE758" i="2"/>
  <c r="AE759" i="2"/>
  <c r="AF759" i="2" s="1"/>
  <c r="AE760" i="2"/>
  <c r="AF760" i="2" s="1"/>
  <c r="AE761" i="2"/>
  <c r="AF761" i="2" s="1"/>
  <c r="AE762" i="2"/>
  <c r="AE763" i="2"/>
  <c r="AF763" i="2" s="1"/>
  <c r="AE764" i="2"/>
  <c r="AF764" i="2" s="1"/>
  <c r="AE765" i="2"/>
  <c r="AF765" i="2" s="1"/>
  <c r="AE766" i="2"/>
  <c r="AE767" i="2"/>
  <c r="AF767" i="2" s="1"/>
  <c r="AE768" i="2"/>
  <c r="AF768" i="2" s="1"/>
  <c r="AE769" i="2"/>
  <c r="AF769" i="2" s="1"/>
  <c r="AE770" i="2"/>
  <c r="AE771" i="2"/>
  <c r="AF771" i="2" s="1"/>
  <c r="AE772" i="2"/>
  <c r="AF772" i="2" s="1"/>
  <c r="AE773" i="2"/>
  <c r="AF773" i="2" s="1"/>
  <c r="AE774" i="2"/>
  <c r="AE775" i="2"/>
  <c r="AF775" i="2" s="1"/>
  <c r="AE776" i="2"/>
  <c r="AF776" i="2" s="1"/>
  <c r="AE777" i="2"/>
  <c r="AF777" i="2" s="1"/>
  <c r="AE778" i="2"/>
  <c r="AE779" i="2"/>
  <c r="AF779" i="2" s="1"/>
  <c r="AE780" i="2"/>
  <c r="AF780" i="2" s="1"/>
  <c r="AE781" i="2"/>
  <c r="AF781" i="2" s="1"/>
  <c r="AE782" i="2"/>
  <c r="AE783" i="2"/>
  <c r="AF783" i="2" s="1"/>
  <c r="AE784" i="2"/>
  <c r="AF784" i="2" s="1"/>
  <c r="AE785" i="2"/>
  <c r="AF785" i="2" s="1"/>
  <c r="AE786" i="2"/>
  <c r="AE787" i="2"/>
  <c r="AF787" i="2" s="1"/>
  <c r="AE788" i="2"/>
  <c r="AF788" i="2" s="1"/>
  <c r="AE789" i="2"/>
  <c r="AF789" i="2" s="1"/>
  <c r="AE790" i="2"/>
  <c r="AE791" i="2"/>
  <c r="AF791" i="2" s="1"/>
  <c r="AE792" i="2"/>
  <c r="AF792" i="2" s="1"/>
  <c r="AE793" i="2"/>
  <c r="AF793" i="2" s="1"/>
  <c r="AE794" i="2"/>
  <c r="AE795" i="2"/>
  <c r="AF795" i="2" s="1"/>
  <c r="AE796" i="2"/>
  <c r="AF796" i="2" s="1"/>
  <c r="AE797" i="2"/>
  <c r="AF797" i="2" s="1"/>
  <c r="AE798" i="2"/>
  <c r="AE799" i="2"/>
  <c r="AF799" i="2" s="1"/>
  <c r="AE800" i="2"/>
  <c r="AF800" i="2" s="1"/>
  <c r="AE801" i="2"/>
  <c r="AF801" i="2" s="1"/>
  <c r="AE802" i="2"/>
  <c r="AE803" i="2"/>
  <c r="AF803" i="2" s="1"/>
  <c r="AE804" i="2"/>
  <c r="AF804" i="2" s="1"/>
  <c r="AE805" i="2"/>
  <c r="AF805" i="2" s="1"/>
  <c r="AE806" i="2"/>
  <c r="AE807" i="2"/>
  <c r="AF807" i="2" s="1"/>
  <c r="AE808" i="2"/>
  <c r="AF808" i="2" s="1"/>
  <c r="AE809" i="2"/>
  <c r="AF809" i="2" s="1"/>
  <c r="AE810" i="2"/>
  <c r="AE811" i="2"/>
  <c r="AF811" i="2" s="1"/>
  <c r="AE812" i="2"/>
  <c r="AF812" i="2" s="1"/>
  <c r="AE813" i="2"/>
  <c r="AF813" i="2" s="1"/>
  <c r="AE814" i="2"/>
  <c r="AE815" i="2"/>
  <c r="AF815" i="2" s="1"/>
  <c r="AE816" i="2"/>
  <c r="AF816" i="2" s="1"/>
  <c r="AE817" i="2"/>
  <c r="AF817" i="2" s="1"/>
  <c r="AE818" i="2"/>
  <c r="AE819" i="2"/>
  <c r="AF819" i="2" s="1"/>
  <c r="AE820" i="2"/>
  <c r="AF820" i="2" s="1"/>
  <c r="AE821" i="2"/>
  <c r="AF821" i="2" s="1"/>
  <c r="AE822" i="2"/>
  <c r="AE823" i="2"/>
  <c r="AF823" i="2" s="1"/>
  <c r="AE824" i="2"/>
  <c r="AF824" i="2" s="1"/>
  <c r="AE825" i="2"/>
  <c r="AF825" i="2" s="1"/>
  <c r="AE826" i="2"/>
  <c r="AE827" i="2"/>
  <c r="AF827" i="2" s="1"/>
  <c r="AE828" i="2"/>
  <c r="AF828" i="2" s="1"/>
  <c r="AE829" i="2"/>
  <c r="AF829" i="2" s="1"/>
  <c r="AE830" i="2"/>
  <c r="AE831" i="2"/>
  <c r="AF831" i="2" s="1"/>
  <c r="AE832" i="2"/>
  <c r="AF832" i="2" s="1"/>
  <c r="AE833" i="2"/>
  <c r="AF833" i="2" s="1"/>
  <c r="AE834" i="2"/>
  <c r="AE835" i="2"/>
  <c r="AF835" i="2" s="1"/>
  <c r="AE836" i="2"/>
  <c r="AF836" i="2" s="1"/>
  <c r="AE837" i="2"/>
  <c r="AF837" i="2" s="1"/>
  <c r="AE838" i="2"/>
  <c r="AE839" i="2"/>
  <c r="AF839" i="2" s="1"/>
  <c r="AE840" i="2"/>
  <c r="AF840" i="2" s="1"/>
  <c r="AE841" i="2"/>
  <c r="AF841" i="2" s="1"/>
  <c r="AE842" i="2"/>
  <c r="AE843" i="2"/>
  <c r="AF843" i="2" s="1"/>
  <c r="AE844" i="2"/>
  <c r="AF844" i="2" s="1"/>
  <c r="AE845" i="2"/>
  <c r="AF845" i="2" s="1"/>
  <c r="AE846" i="2"/>
  <c r="AE847" i="2"/>
  <c r="AF847" i="2" s="1"/>
  <c r="AE848" i="2"/>
  <c r="AF848" i="2" s="1"/>
  <c r="AE849" i="2"/>
  <c r="AF849" i="2" s="1"/>
  <c r="AE850" i="2"/>
  <c r="AE851" i="2"/>
  <c r="AF851" i="2" s="1"/>
  <c r="AE852" i="2"/>
  <c r="AF852" i="2" s="1"/>
  <c r="AE853" i="2"/>
  <c r="AF853" i="2" s="1"/>
  <c r="AE854" i="2"/>
  <c r="AE855" i="2"/>
  <c r="AF855" i="2" s="1"/>
  <c r="AE856" i="2"/>
  <c r="AF856" i="2" s="1"/>
  <c r="AE857" i="2"/>
  <c r="AF857" i="2" s="1"/>
  <c r="AE858" i="2"/>
  <c r="AE859" i="2"/>
  <c r="AF859" i="2" s="1"/>
  <c r="AE860" i="2"/>
  <c r="AF860" i="2" s="1"/>
  <c r="AE861" i="2"/>
  <c r="AF861" i="2" s="1"/>
  <c r="AE862" i="2"/>
  <c r="AE863" i="2"/>
  <c r="AF863" i="2" s="1"/>
  <c r="AE864" i="2"/>
  <c r="AF864" i="2" s="1"/>
  <c r="AE865" i="2"/>
  <c r="AF865" i="2" s="1"/>
  <c r="AE866" i="2"/>
  <c r="AE867" i="2"/>
  <c r="AF867" i="2" s="1"/>
  <c r="AE868" i="2"/>
  <c r="AF868" i="2" s="1"/>
  <c r="AE869" i="2"/>
  <c r="AF869" i="2" s="1"/>
  <c r="AE870" i="2"/>
  <c r="AE871" i="2"/>
  <c r="AF871" i="2" s="1"/>
  <c r="AE872" i="2"/>
  <c r="AF872" i="2" s="1"/>
  <c r="AE873" i="2"/>
  <c r="AF873" i="2" s="1"/>
  <c r="AE874" i="2"/>
  <c r="AE875" i="2"/>
  <c r="AF875" i="2" s="1"/>
  <c r="AE876" i="2"/>
  <c r="AE877" i="2"/>
  <c r="AF877" i="2" s="1"/>
  <c r="AE878" i="2"/>
  <c r="AE879" i="2"/>
  <c r="AF879" i="2" s="1"/>
  <c r="AE880" i="2"/>
  <c r="AF880" i="2" s="1"/>
  <c r="AE881" i="2"/>
  <c r="AF881" i="2" s="1"/>
  <c r="AE882" i="2"/>
  <c r="AE883" i="2"/>
  <c r="AF883" i="2" s="1"/>
  <c r="AE884" i="2"/>
  <c r="AF884" i="2" s="1"/>
  <c r="AE885" i="2"/>
  <c r="AF885" i="2" s="1"/>
  <c r="AE886" i="2"/>
  <c r="AE887" i="2"/>
  <c r="AF887" i="2" s="1"/>
  <c r="AE888" i="2"/>
  <c r="AF888" i="2" s="1"/>
  <c r="AE889" i="2"/>
  <c r="AF889" i="2" s="1"/>
  <c r="AE890" i="2"/>
  <c r="AE891" i="2"/>
  <c r="AF891" i="2" s="1"/>
  <c r="AE892" i="2"/>
  <c r="AE893" i="2"/>
  <c r="AF893" i="2" s="1"/>
  <c r="AE894" i="2"/>
  <c r="AE895" i="2"/>
  <c r="AF895" i="2" s="1"/>
  <c r="AE896" i="2"/>
  <c r="AF896" i="2" s="1"/>
  <c r="AE897" i="2"/>
  <c r="AF897" i="2" s="1"/>
  <c r="AE898" i="2"/>
  <c r="AE899" i="2"/>
  <c r="AF899" i="2" s="1"/>
  <c r="AE900" i="2"/>
  <c r="AF900" i="2" s="1"/>
  <c r="AE901" i="2"/>
  <c r="AF901" i="2" s="1"/>
  <c r="AE902" i="2"/>
  <c r="AE903" i="2"/>
  <c r="AF903" i="2" s="1"/>
  <c r="AE904" i="2"/>
  <c r="AF904" i="2" s="1"/>
  <c r="AE905" i="2"/>
  <c r="AF905" i="2" s="1"/>
  <c r="AE906" i="2"/>
  <c r="AE907" i="2"/>
  <c r="AF907" i="2" s="1"/>
  <c r="AE908" i="2"/>
  <c r="AE909" i="2"/>
  <c r="AF909" i="2" s="1"/>
  <c r="AE910" i="2"/>
  <c r="AE911" i="2"/>
  <c r="AF911" i="2" s="1"/>
  <c r="AE912" i="2"/>
  <c r="AF912" i="2" s="1"/>
  <c r="AE913" i="2"/>
  <c r="AF913" i="2" s="1"/>
  <c r="AE914" i="2"/>
  <c r="AE915" i="2"/>
  <c r="AF915" i="2" s="1"/>
  <c r="AE916" i="2"/>
  <c r="AF916" i="2" s="1"/>
  <c r="AE917" i="2"/>
  <c r="AF917" i="2" s="1"/>
  <c r="AE918" i="2"/>
  <c r="AE919" i="2"/>
  <c r="AF919" i="2" s="1"/>
  <c r="AE920" i="2"/>
  <c r="AF920" i="2" s="1"/>
  <c r="AE921" i="2"/>
  <c r="AF921" i="2" s="1"/>
  <c r="AE922" i="2"/>
  <c r="AE923" i="2"/>
  <c r="AF923" i="2" s="1"/>
  <c r="AE924" i="2"/>
  <c r="AE925" i="2"/>
  <c r="AF925" i="2" s="1"/>
  <c r="AE926" i="2"/>
  <c r="AE927" i="2"/>
  <c r="AF927" i="2" s="1"/>
  <c r="AE928" i="2"/>
  <c r="AF928" i="2" s="1"/>
  <c r="AE929" i="2"/>
  <c r="AF929" i="2" s="1"/>
  <c r="AE930" i="2"/>
  <c r="AE931" i="2"/>
  <c r="AF931" i="2" s="1"/>
  <c r="AE932" i="2"/>
  <c r="AF932" i="2" s="1"/>
  <c r="AE933" i="2"/>
  <c r="AF933" i="2" s="1"/>
  <c r="AE934" i="2"/>
  <c r="AE935" i="2"/>
  <c r="AF935" i="2" s="1"/>
  <c r="AE936" i="2"/>
  <c r="AF936" i="2" s="1"/>
  <c r="AE937" i="2"/>
  <c r="AF937" i="2" s="1"/>
  <c r="AE938" i="2"/>
  <c r="AE939" i="2"/>
  <c r="AF939" i="2" s="1"/>
  <c r="AE940" i="2"/>
  <c r="AE941" i="2"/>
  <c r="AF941" i="2" s="1"/>
  <c r="AE942" i="2"/>
  <c r="AE943" i="2"/>
  <c r="AF943" i="2" s="1"/>
  <c r="AE944" i="2"/>
  <c r="AF944" i="2" s="1"/>
  <c r="AE945" i="2"/>
  <c r="AF945" i="2" s="1"/>
  <c r="AE946" i="2"/>
  <c r="AE947" i="2"/>
  <c r="AF947" i="2" s="1"/>
  <c r="AE948" i="2"/>
  <c r="AF948" i="2" s="1"/>
  <c r="AE949" i="2"/>
  <c r="AF949" i="2" s="1"/>
  <c r="AE950" i="2"/>
  <c r="AE951" i="2"/>
  <c r="AF951" i="2" s="1"/>
  <c r="AE952" i="2"/>
  <c r="AF952" i="2" s="1"/>
  <c r="AE953" i="2"/>
  <c r="AF953" i="2" s="1"/>
  <c r="AE954" i="2"/>
  <c r="AE955" i="2"/>
  <c r="AF955" i="2" s="1"/>
  <c r="AE956" i="2"/>
  <c r="AE957" i="2"/>
  <c r="AF957" i="2" s="1"/>
  <c r="AE958" i="2"/>
  <c r="AE959" i="2"/>
  <c r="AF959" i="2" s="1"/>
  <c r="AE960" i="2"/>
  <c r="AF960" i="2" s="1"/>
  <c r="AE961" i="2"/>
  <c r="AF961" i="2" s="1"/>
  <c r="AE962" i="2"/>
  <c r="AE963" i="2"/>
  <c r="AF963" i="2" s="1"/>
  <c r="AE964" i="2"/>
  <c r="AF964" i="2" s="1"/>
  <c r="AE965" i="2"/>
  <c r="AF965" i="2" s="1"/>
  <c r="AE966" i="2"/>
  <c r="AE967" i="2"/>
  <c r="AF967" i="2" s="1"/>
  <c r="AE968" i="2"/>
  <c r="AF968" i="2" s="1"/>
  <c r="AE969" i="2"/>
  <c r="AF969" i="2" s="1"/>
  <c r="AE970" i="2"/>
  <c r="AE971" i="2"/>
  <c r="AF971" i="2" s="1"/>
  <c r="AE972" i="2"/>
  <c r="AE973" i="2"/>
  <c r="AF973" i="2" s="1"/>
  <c r="AE974" i="2"/>
  <c r="AE975" i="2"/>
  <c r="AF975" i="2" s="1"/>
  <c r="AE976" i="2"/>
  <c r="AF976" i="2" s="1"/>
  <c r="AE977" i="2"/>
  <c r="AF977" i="2" s="1"/>
  <c r="AE978" i="2"/>
  <c r="AE979" i="2"/>
  <c r="AF979" i="2" s="1"/>
  <c r="AE980" i="2"/>
  <c r="AF980" i="2" s="1"/>
  <c r="AE981" i="2"/>
  <c r="AF981" i="2" s="1"/>
  <c r="AE982" i="2"/>
  <c r="AE983" i="2"/>
  <c r="AF983" i="2" s="1"/>
  <c r="AE984" i="2"/>
  <c r="AF984" i="2" s="1"/>
  <c r="AE985" i="2"/>
  <c r="AF985" i="2" s="1"/>
  <c r="AE986" i="2"/>
  <c r="AE987" i="2"/>
  <c r="AF987" i="2" s="1"/>
  <c r="AE988" i="2"/>
  <c r="AE989" i="2"/>
  <c r="AF989" i="2" s="1"/>
  <c r="AE990" i="2"/>
  <c r="AE991" i="2"/>
  <c r="AF991" i="2" s="1"/>
  <c r="AE992" i="2"/>
  <c r="AF992" i="2" s="1"/>
  <c r="AE993" i="2"/>
  <c r="AF993" i="2" s="1"/>
  <c r="AE994" i="2"/>
  <c r="AE995" i="2"/>
  <c r="AF995" i="2" s="1"/>
  <c r="AE996" i="2"/>
  <c r="AF996" i="2" s="1"/>
  <c r="AE997" i="2"/>
  <c r="AF997" i="2" s="1"/>
  <c r="AE998" i="2"/>
  <c r="AE999" i="2"/>
  <c r="AF999" i="2" s="1"/>
  <c r="AE1000" i="2"/>
  <c r="AF1000" i="2" s="1"/>
  <c r="AE1001" i="2"/>
  <c r="AF1001" i="2" s="1"/>
  <c r="AE1002" i="2"/>
  <c r="AE1003" i="2"/>
  <c r="AF1003" i="2" s="1"/>
  <c r="AE1004" i="2"/>
  <c r="AE1005" i="2"/>
  <c r="AF1005" i="2" s="1"/>
  <c r="AE1006" i="2"/>
  <c r="AE1007" i="2"/>
  <c r="AF1007" i="2" s="1"/>
  <c r="AE1008" i="2"/>
  <c r="AF1008" i="2" s="1"/>
  <c r="AO989" i="2" l="1"/>
  <c r="AP989" i="2" s="1"/>
  <c r="AO987" i="2"/>
  <c r="AP987" i="2" s="1"/>
  <c r="AO1003" i="2"/>
  <c r="AP1003" i="2" s="1"/>
  <c r="AO1001" i="2"/>
  <c r="AP1001" i="2" s="1"/>
  <c r="AO997" i="2"/>
  <c r="AP997" i="2" s="1"/>
  <c r="AO993" i="2"/>
  <c r="AP993" i="2" s="1"/>
  <c r="AO587" i="2"/>
  <c r="AP587" i="2" s="1"/>
  <c r="AO581" i="2"/>
  <c r="AP581" i="2" s="1"/>
  <c r="AO603" i="2"/>
  <c r="AP603" i="2" s="1"/>
  <c r="AO577" i="2"/>
  <c r="AP577" i="2" s="1"/>
  <c r="AO575" i="2"/>
  <c r="AP575" i="2" s="1"/>
  <c r="AO565" i="2"/>
  <c r="AP565" i="2" s="1"/>
  <c r="AO563" i="2"/>
  <c r="AP563" i="2" s="1"/>
  <c r="AO979" i="2"/>
  <c r="AP979" i="2" s="1"/>
  <c r="AO1007" i="2"/>
  <c r="AP1007" i="2" s="1"/>
  <c r="AO973" i="2"/>
  <c r="AP973" i="2" s="1"/>
  <c r="AO926" i="2"/>
  <c r="AP926" i="2" s="1"/>
  <c r="AO922" i="2"/>
  <c r="AP922" i="2" s="1"/>
  <c r="AO595" i="2"/>
  <c r="AP595" i="2" s="1"/>
  <c r="AO571" i="2"/>
  <c r="AP571" i="2" s="1"/>
  <c r="AO569" i="2"/>
  <c r="AP569" i="2" s="1"/>
  <c r="AO999" i="2"/>
  <c r="AP999" i="2" s="1"/>
  <c r="AO981" i="2"/>
  <c r="AP981" i="2" s="1"/>
  <c r="AO962" i="2"/>
  <c r="AP962" i="2" s="1"/>
  <c r="AO958" i="2"/>
  <c r="AP958" i="2" s="1"/>
  <c r="AO946" i="2"/>
  <c r="AP946" i="2" s="1"/>
  <c r="AO942" i="2"/>
  <c r="AP942" i="2" s="1"/>
  <c r="AO930" i="2"/>
  <c r="AP930" i="2" s="1"/>
  <c r="AO692" i="2"/>
  <c r="AP692" i="2" s="1"/>
  <c r="AO688" i="2"/>
  <c r="AP688" i="2" s="1"/>
  <c r="AO672" i="2"/>
  <c r="AP672" i="2" s="1"/>
  <c r="AO670" i="2"/>
  <c r="AP670" i="2" s="1"/>
  <c r="AO668" i="2"/>
  <c r="AP668" i="2" s="1"/>
  <c r="AO666" i="2"/>
  <c r="AP666" i="2" s="1"/>
  <c r="AO664" i="2"/>
  <c r="AP664" i="2" s="1"/>
  <c r="AO1005" i="2"/>
  <c r="AP1005" i="2" s="1"/>
  <c r="AO991" i="2"/>
  <c r="AP991" i="2" s="1"/>
  <c r="AO977" i="2"/>
  <c r="AP977" i="2" s="1"/>
  <c r="AO975" i="2"/>
  <c r="AP975" i="2" s="1"/>
  <c r="AO970" i="2"/>
  <c r="AP970" i="2" s="1"/>
  <c r="AO966" i="2"/>
  <c r="AP966" i="2" s="1"/>
  <c r="AO954" i="2"/>
  <c r="AP954" i="2" s="1"/>
  <c r="AO950" i="2"/>
  <c r="AP950" i="2" s="1"/>
  <c r="AO938" i="2"/>
  <c r="AP938" i="2" s="1"/>
  <c r="AO934" i="2"/>
  <c r="AP934" i="2" s="1"/>
  <c r="AO691" i="2"/>
  <c r="AP691" i="2" s="1"/>
  <c r="AO675" i="2"/>
  <c r="AP675" i="2" s="1"/>
  <c r="AO671" i="2"/>
  <c r="AP671" i="2" s="1"/>
  <c r="AO669" i="2"/>
  <c r="AP669" i="2" s="1"/>
  <c r="AO667" i="2"/>
  <c r="AP667" i="2" s="1"/>
  <c r="AO665" i="2"/>
  <c r="AP665" i="2" s="1"/>
  <c r="AO593" i="2"/>
  <c r="AP593" i="2" s="1"/>
  <c r="AO583" i="2"/>
  <c r="AP583" i="2" s="1"/>
  <c r="AO654" i="2"/>
  <c r="AP654" i="2" s="1"/>
  <c r="AO646" i="2"/>
  <c r="AP646" i="2" s="1"/>
  <c r="AO644" i="2"/>
  <c r="AP644" i="2" s="1"/>
  <c r="AO642" i="2"/>
  <c r="AP642" i="2" s="1"/>
  <c r="AO639" i="2"/>
  <c r="AP639" i="2" s="1"/>
  <c r="AO615" i="2"/>
  <c r="AP615" i="2" s="1"/>
  <c r="AO607" i="2"/>
  <c r="AP607" i="2" s="1"/>
  <c r="AO663" i="2"/>
  <c r="AP663" i="2" s="1"/>
  <c r="AO655" i="2"/>
  <c r="AP655" i="2" s="1"/>
  <c r="AO647" i="2"/>
  <c r="AP647" i="2" s="1"/>
  <c r="AO645" i="2"/>
  <c r="AP645" i="2" s="1"/>
  <c r="AO643" i="2"/>
  <c r="AP643" i="2" s="1"/>
  <c r="AO631" i="2"/>
  <c r="AP631" i="2" s="1"/>
  <c r="AO623" i="2"/>
  <c r="AP623" i="2" s="1"/>
  <c r="AO579" i="2"/>
  <c r="AO553" i="2"/>
  <c r="AP553" i="2" s="1"/>
  <c r="AO601" i="2"/>
  <c r="AO585" i="2"/>
  <c r="AO591" i="2"/>
  <c r="AO995" i="2"/>
  <c r="AP995" i="2" s="1"/>
  <c r="AO983" i="2"/>
  <c r="AP983" i="2" s="1"/>
  <c r="AO969" i="2"/>
  <c r="AP969" i="2" s="1"/>
  <c r="AO961" i="2"/>
  <c r="AP961" i="2" s="1"/>
  <c r="AO953" i="2"/>
  <c r="AP953" i="2" s="1"/>
  <c r="AO945" i="2"/>
  <c r="AP945" i="2" s="1"/>
  <c r="AO937" i="2"/>
  <c r="AP937" i="2" s="1"/>
  <c r="AO929" i="2"/>
  <c r="AP929" i="2" s="1"/>
  <c r="AO921" i="2"/>
  <c r="AP921" i="2" s="1"/>
  <c r="AO687" i="2"/>
  <c r="AP687" i="2" s="1"/>
  <c r="AO653" i="2"/>
  <c r="AP653" i="2" s="1"/>
  <c r="AO683" i="2"/>
  <c r="AP683" i="2" s="1"/>
  <c r="AO679" i="2"/>
  <c r="AP679" i="2" s="1"/>
  <c r="AO662" i="2"/>
  <c r="AP662" i="2" s="1"/>
  <c r="AO660" i="2"/>
  <c r="AP660" i="2" s="1"/>
  <c r="AO658" i="2"/>
  <c r="AP658" i="2" s="1"/>
  <c r="AO656" i="2"/>
  <c r="AP656" i="2" s="1"/>
  <c r="AO651" i="2"/>
  <c r="AP651" i="2" s="1"/>
  <c r="AO649" i="2"/>
  <c r="AP649" i="2" s="1"/>
  <c r="AO637" i="2"/>
  <c r="AP637" i="2" s="1"/>
  <c r="AO633" i="2"/>
  <c r="AP633" i="2" s="1"/>
  <c r="AO627" i="2"/>
  <c r="AP627" i="2" s="1"/>
  <c r="AO621" i="2"/>
  <c r="AP621" i="2" s="1"/>
  <c r="AO617" i="2"/>
  <c r="AP617" i="2" s="1"/>
  <c r="AO611" i="2"/>
  <c r="AP611" i="2" s="1"/>
  <c r="AO605" i="2"/>
  <c r="AP605" i="2" s="1"/>
  <c r="AQ601" i="2"/>
  <c r="AR601" i="2" s="1"/>
  <c r="AO599" i="2"/>
  <c r="AP599" i="2" s="1"/>
  <c r="AQ591" i="2"/>
  <c r="AR591" i="2" s="1"/>
  <c r="AO589" i="2"/>
  <c r="AP589" i="2" s="1"/>
  <c r="AQ585" i="2"/>
  <c r="AR585" i="2" s="1"/>
  <c r="AQ579" i="2"/>
  <c r="AR579" i="2" s="1"/>
  <c r="AO559" i="2"/>
  <c r="AP559" i="2" s="1"/>
  <c r="AO555" i="2"/>
  <c r="AP555" i="2" s="1"/>
  <c r="AO985" i="2"/>
  <c r="AP985" i="2" s="1"/>
  <c r="AO965" i="2"/>
  <c r="AP965" i="2" s="1"/>
  <c r="AO957" i="2"/>
  <c r="AP957" i="2" s="1"/>
  <c r="AO949" i="2"/>
  <c r="AP949" i="2" s="1"/>
  <c r="AO941" i="2"/>
  <c r="AP941" i="2" s="1"/>
  <c r="AO933" i="2"/>
  <c r="AP933" i="2" s="1"/>
  <c r="AO925" i="2"/>
  <c r="AP925" i="2" s="1"/>
  <c r="AO684" i="2"/>
  <c r="AP684" i="2" s="1"/>
  <c r="AO680" i="2"/>
  <c r="AP680" i="2" s="1"/>
  <c r="AO676" i="2"/>
  <c r="AP676" i="2" s="1"/>
  <c r="AO661" i="2"/>
  <c r="AP661" i="2" s="1"/>
  <c r="AO659" i="2"/>
  <c r="AP659" i="2" s="1"/>
  <c r="AO657" i="2"/>
  <c r="AP657" i="2" s="1"/>
  <c r="AO652" i="2"/>
  <c r="AP652" i="2" s="1"/>
  <c r="AO650" i="2"/>
  <c r="AP650" i="2" s="1"/>
  <c r="AO648" i="2"/>
  <c r="AP648" i="2" s="1"/>
  <c r="AO641" i="2"/>
  <c r="AP641" i="2" s="1"/>
  <c r="AO635" i="2"/>
  <c r="AP635" i="2" s="1"/>
  <c r="AO629" i="2"/>
  <c r="AP629" i="2" s="1"/>
  <c r="AO625" i="2"/>
  <c r="AP625" i="2" s="1"/>
  <c r="AO619" i="2"/>
  <c r="AP619" i="2" s="1"/>
  <c r="AO613" i="2"/>
  <c r="AP613" i="2" s="1"/>
  <c r="AO609" i="2"/>
  <c r="AP609" i="2" s="1"/>
  <c r="AO597" i="2"/>
  <c r="AP597" i="2" s="1"/>
  <c r="AO573" i="2"/>
  <c r="AP573" i="2" s="1"/>
  <c r="AO567" i="2"/>
  <c r="AP567" i="2" s="1"/>
  <c r="AO561" i="2"/>
  <c r="AP561" i="2" s="1"/>
  <c r="AO557" i="2"/>
  <c r="AP557" i="2" s="1"/>
  <c r="AO1000" i="2"/>
  <c r="AR925" i="2"/>
  <c r="AO931" i="2"/>
  <c r="AP931" i="2" s="1"/>
  <c r="AO928" i="2"/>
  <c r="AO919" i="2"/>
  <c r="AO917" i="2"/>
  <c r="AO915" i="2"/>
  <c r="AO913" i="2"/>
  <c r="AO911" i="2"/>
  <c r="AO909" i="2"/>
  <c r="AO907" i="2"/>
  <c r="AO905" i="2"/>
  <c r="AO903" i="2"/>
  <c r="AO901" i="2"/>
  <c r="AO899" i="2"/>
  <c r="AO897" i="2"/>
  <c r="AO895" i="2"/>
  <c r="AO893" i="2"/>
  <c r="AO891" i="2"/>
  <c r="AO889" i="2"/>
  <c r="AO887" i="2"/>
  <c r="AO885" i="2"/>
  <c r="AO883" i="2"/>
  <c r="AO881" i="2"/>
  <c r="AO879" i="2"/>
  <c r="AO877" i="2"/>
  <c r="AO875" i="2"/>
  <c r="AO873" i="2"/>
  <c r="AO871" i="2"/>
  <c r="AO869" i="2"/>
  <c r="AO867" i="2"/>
  <c r="AO865" i="2"/>
  <c r="AO863" i="2"/>
  <c r="AO861" i="2"/>
  <c r="AO859" i="2"/>
  <c r="AO857" i="2"/>
  <c r="AO855" i="2"/>
  <c r="AO853" i="2"/>
  <c r="AO851" i="2"/>
  <c r="AO849" i="2"/>
  <c r="AO847" i="2"/>
  <c r="AO845" i="2"/>
  <c r="AO843" i="2"/>
  <c r="AO841" i="2"/>
  <c r="AO839" i="2"/>
  <c r="AR957" i="2"/>
  <c r="AO612" i="2"/>
  <c r="AP612" i="2" s="1"/>
  <c r="AO952" i="2"/>
  <c r="AO636" i="2"/>
  <c r="AP636" i="2" s="1"/>
  <c r="AO955" i="2"/>
  <c r="AP955" i="2" s="1"/>
  <c r="AO902" i="2"/>
  <c r="AO900" i="2"/>
  <c r="AO898" i="2"/>
  <c r="AO896" i="2"/>
  <c r="AO894" i="2"/>
  <c r="AO892" i="2"/>
  <c r="AO890" i="2"/>
  <c r="AO888" i="2"/>
  <c r="AO886" i="2"/>
  <c r="AO884" i="2"/>
  <c r="AO882" i="2"/>
  <c r="AO963" i="2"/>
  <c r="AP963" i="2" s="1"/>
  <c r="AO960" i="2"/>
  <c r="AO604" i="2"/>
  <c r="AP604" i="2" s="1"/>
  <c r="AO1004" i="2"/>
  <c r="AO939" i="2"/>
  <c r="AP939" i="2" s="1"/>
  <c r="AO936" i="2"/>
  <c r="AO1008" i="2"/>
  <c r="AO837" i="2"/>
  <c r="AO835" i="2"/>
  <c r="AO833" i="2"/>
  <c r="AO831" i="2"/>
  <c r="AO829" i="2"/>
  <c r="AO827" i="2"/>
  <c r="AO825" i="2"/>
  <c r="AO823" i="2"/>
  <c r="AO821" i="2"/>
  <c r="AO819" i="2"/>
  <c r="AO817" i="2"/>
  <c r="AO815" i="2"/>
  <c r="AO813" i="2"/>
  <c r="AO811" i="2"/>
  <c r="AO809" i="2"/>
  <c r="AO807" i="2"/>
  <c r="AO805" i="2"/>
  <c r="AO803" i="2"/>
  <c r="AO801" i="2"/>
  <c r="AO799" i="2"/>
  <c r="AO797" i="2"/>
  <c r="AO795" i="2"/>
  <c r="AO793" i="2"/>
  <c r="AO791" i="2"/>
  <c r="AO789" i="2"/>
  <c r="AO787" i="2"/>
  <c r="AO785" i="2"/>
  <c r="AO783" i="2"/>
  <c r="AO781" i="2"/>
  <c r="AO779" i="2"/>
  <c r="AO777" i="2"/>
  <c r="AO775" i="2"/>
  <c r="AO773" i="2"/>
  <c r="AO771" i="2"/>
  <c r="AO769" i="2"/>
  <c r="AO767" i="2"/>
  <c r="AO765" i="2"/>
  <c r="AO763" i="2"/>
  <c r="AO761" i="2"/>
  <c r="AO759" i="2"/>
  <c r="AO757" i="2"/>
  <c r="AO755" i="2"/>
  <c r="AO753" i="2"/>
  <c r="AO751" i="2"/>
  <c r="AO749" i="2"/>
  <c r="AO747" i="2"/>
  <c r="AO745" i="2"/>
  <c r="AO743" i="2"/>
  <c r="AO741" i="2"/>
  <c r="AO739" i="2"/>
  <c r="AO737" i="2"/>
  <c r="AO735" i="2"/>
  <c r="AO733" i="2"/>
  <c r="AO731" i="2"/>
  <c r="AO729" i="2"/>
  <c r="AO727" i="2"/>
  <c r="AO725" i="2"/>
  <c r="AO723" i="2"/>
  <c r="AO721" i="2"/>
  <c r="AO719" i="2"/>
  <c r="AO717" i="2"/>
  <c r="AO715" i="2"/>
  <c r="AO713" i="2"/>
  <c r="AO711" i="2"/>
  <c r="AO709" i="2"/>
  <c r="AO707" i="2"/>
  <c r="AO705" i="2"/>
  <c r="AO703" i="2"/>
  <c r="AO701" i="2"/>
  <c r="AO699" i="2"/>
  <c r="AO697" i="2"/>
  <c r="AO695" i="2"/>
  <c r="AO620" i="2"/>
  <c r="AP620" i="2" s="1"/>
  <c r="AO1002" i="2"/>
  <c r="AO998" i="2"/>
  <c r="AO986" i="2"/>
  <c r="AO974" i="2"/>
  <c r="AO971" i="2"/>
  <c r="AP971" i="2" s="1"/>
  <c r="AO968" i="2"/>
  <c r="AO947" i="2"/>
  <c r="AP947" i="2" s="1"/>
  <c r="AO944" i="2"/>
  <c r="AO923" i="2"/>
  <c r="AP923" i="2" s="1"/>
  <c r="AO920" i="2"/>
  <c r="AO918" i="2"/>
  <c r="AO916" i="2"/>
  <c r="AO914" i="2"/>
  <c r="AO912" i="2"/>
  <c r="AO910" i="2"/>
  <c r="AO908" i="2"/>
  <c r="AO906" i="2"/>
  <c r="AO904" i="2"/>
  <c r="AO880" i="2"/>
  <c r="AO878" i="2"/>
  <c r="AO876" i="2"/>
  <c r="AO874" i="2"/>
  <c r="AO872" i="2"/>
  <c r="AO870" i="2"/>
  <c r="AO868" i="2"/>
  <c r="AO866" i="2"/>
  <c r="AO864" i="2"/>
  <c r="AO862" i="2"/>
  <c r="AO860" i="2"/>
  <c r="AO858" i="2"/>
  <c r="AO856" i="2"/>
  <c r="AO854" i="2"/>
  <c r="AO852" i="2"/>
  <c r="AO850" i="2"/>
  <c r="AO848" i="2"/>
  <c r="AO846" i="2"/>
  <c r="AO844" i="2"/>
  <c r="AO842" i="2"/>
  <c r="AO840" i="2"/>
  <c r="AO838" i="2"/>
  <c r="AO836" i="2"/>
  <c r="AO834" i="2"/>
  <c r="AO832" i="2"/>
  <c r="AO830" i="2"/>
  <c r="AO828" i="2"/>
  <c r="AO826" i="2"/>
  <c r="AO824" i="2"/>
  <c r="AO822" i="2"/>
  <c r="AO820" i="2"/>
  <c r="AO818" i="2"/>
  <c r="AO816" i="2"/>
  <c r="AO814" i="2"/>
  <c r="AO812" i="2"/>
  <c r="AO810" i="2"/>
  <c r="AO808" i="2"/>
  <c r="AO806" i="2"/>
  <c r="AO804" i="2"/>
  <c r="AO802" i="2"/>
  <c r="AO800" i="2"/>
  <c r="AO798" i="2"/>
  <c r="AO796" i="2"/>
  <c r="AO794" i="2"/>
  <c r="AO792" i="2"/>
  <c r="AO790" i="2"/>
  <c r="AO788" i="2"/>
  <c r="AO786" i="2"/>
  <c r="AO784" i="2"/>
  <c r="AO782" i="2"/>
  <c r="AO780" i="2"/>
  <c r="AO778" i="2"/>
  <c r="AO776" i="2"/>
  <c r="AO774" i="2"/>
  <c r="AO772" i="2"/>
  <c r="AO770" i="2"/>
  <c r="AO768" i="2"/>
  <c r="AO766" i="2"/>
  <c r="AO764" i="2"/>
  <c r="AO762" i="2"/>
  <c r="AO760" i="2"/>
  <c r="AO758" i="2"/>
  <c r="AO756" i="2"/>
  <c r="AO754" i="2"/>
  <c r="AO752" i="2"/>
  <c r="AO750" i="2"/>
  <c r="AO748" i="2"/>
  <c r="AO746" i="2"/>
  <c r="AO744" i="2"/>
  <c r="AO742" i="2"/>
  <c r="AO740" i="2"/>
  <c r="AO738" i="2"/>
  <c r="AO736" i="2"/>
  <c r="AO734" i="2"/>
  <c r="AO732" i="2"/>
  <c r="AO730" i="2"/>
  <c r="AO728" i="2"/>
  <c r="AO726" i="2"/>
  <c r="AO724" i="2"/>
  <c r="AO722" i="2"/>
  <c r="AO720" i="2"/>
  <c r="AO718" i="2"/>
  <c r="AO716" i="2"/>
  <c r="AO714" i="2"/>
  <c r="AO712" i="2"/>
  <c r="AO710" i="2"/>
  <c r="AO708" i="2"/>
  <c r="AO706" i="2"/>
  <c r="AO704" i="2"/>
  <c r="AO702" i="2"/>
  <c r="AO700" i="2"/>
  <c r="AO698" i="2"/>
  <c r="AO696" i="2"/>
  <c r="AO694" i="2"/>
  <c r="AO628" i="2"/>
  <c r="AP628" i="2" s="1"/>
  <c r="AF1004" i="2"/>
  <c r="AF988" i="2"/>
  <c r="AF972" i="2"/>
  <c r="AF956" i="2"/>
  <c r="AF940" i="2"/>
  <c r="AF924" i="2"/>
  <c r="AF908" i="2"/>
  <c r="AF892" i="2"/>
  <c r="AF876" i="2"/>
  <c r="AF668" i="2"/>
  <c r="AF652" i="2"/>
  <c r="AF636" i="2"/>
  <c r="AF620" i="2"/>
  <c r="AF604" i="2"/>
  <c r="AF588" i="2"/>
  <c r="AF572" i="2"/>
  <c r="AF556" i="2"/>
  <c r="AF1006" i="2"/>
  <c r="AF1002" i="2"/>
  <c r="AF998" i="2"/>
  <c r="AF994" i="2"/>
  <c r="AF990" i="2"/>
  <c r="AF986" i="2"/>
  <c r="AF982" i="2"/>
  <c r="AF978" i="2"/>
  <c r="AF974" i="2"/>
  <c r="AF970" i="2"/>
  <c r="AF966" i="2"/>
  <c r="AF962" i="2"/>
  <c r="AF958" i="2"/>
  <c r="AF954" i="2"/>
  <c r="AF950" i="2"/>
  <c r="AF946" i="2"/>
  <c r="AF942" i="2"/>
  <c r="AF938" i="2"/>
  <c r="AF934" i="2"/>
  <c r="AF930" i="2"/>
  <c r="AF926" i="2"/>
  <c r="AF922" i="2"/>
  <c r="AF918" i="2"/>
  <c r="AF914" i="2"/>
  <c r="AF910" i="2"/>
  <c r="AF906" i="2"/>
  <c r="AF902" i="2"/>
  <c r="AF898" i="2"/>
  <c r="AF894" i="2"/>
  <c r="AF890" i="2"/>
  <c r="AF886" i="2"/>
  <c r="AF882" i="2"/>
  <c r="AF878" i="2"/>
  <c r="AF874" i="2"/>
  <c r="AF870" i="2"/>
  <c r="AF866" i="2"/>
  <c r="AF862" i="2"/>
  <c r="AF858" i="2"/>
  <c r="AF854" i="2"/>
  <c r="AF850" i="2"/>
  <c r="AF846" i="2"/>
  <c r="AF842" i="2"/>
  <c r="AF838" i="2"/>
  <c r="AF834" i="2"/>
  <c r="AF830" i="2"/>
  <c r="AF826" i="2"/>
  <c r="AF822" i="2"/>
  <c r="AF818" i="2"/>
  <c r="AF814" i="2"/>
  <c r="AF810" i="2"/>
  <c r="AF806" i="2"/>
  <c r="AF802" i="2"/>
  <c r="AF798" i="2"/>
  <c r="AF794" i="2"/>
  <c r="AF790" i="2"/>
  <c r="AF786" i="2"/>
  <c r="AF782" i="2"/>
  <c r="AF778" i="2"/>
  <c r="AF774" i="2"/>
  <c r="AF770" i="2"/>
  <c r="AF766" i="2"/>
  <c r="AF762" i="2"/>
  <c r="AF758" i="2"/>
  <c r="AF754" i="2"/>
  <c r="AF750" i="2"/>
  <c r="AF746" i="2"/>
  <c r="AF742" i="2"/>
  <c r="AF738" i="2"/>
  <c r="AF734" i="2"/>
  <c r="AF730" i="2"/>
  <c r="AF726" i="2"/>
  <c r="AF722" i="2"/>
  <c r="AF718" i="2"/>
  <c r="AF714" i="2"/>
  <c r="AF710" i="2"/>
  <c r="AF706" i="2"/>
  <c r="AF702" i="2"/>
  <c r="AF698" i="2"/>
  <c r="AF694" i="2"/>
  <c r="AF690" i="2"/>
  <c r="AF686" i="2"/>
  <c r="AF682" i="2"/>
  <c r="AF678" i="2"/>
  <c r="AF674" i="2"/>
  <c r="AF658" i="2"/>
  <c r="AF642" i="2"/>
  <c r="AF626" i="2"/>
  <c r="AF610" i="2"/>
  <c r="AF594" i="2"/>
  <c r="AF578" i="2"/>
  <c r="AF562" i="2"/>
  <c r="AR961" i="2"/>
  <c r="AR969" i="2"/>
  <c r="AR937" i="2"/>
  <c r="AR945" i="2"/>
  <c r="AR997" i="2"/>
  <c r="AR993" i="2"/>
  <c r="AR989" i="2"/>
  <c r="AR985" i="2"/>
  <c r="AR981" i="2"/>
  <c r="AR977" i="2"/>
  <c r="AR973" i="2"/>
  <c r="AR953" i="2"/>
  <c r="AR921" i="2"/>
  <c r="AR929" i="2"/>
  <c r="AO992" i="2"/>
  <c r="AO976" i="2"/>
  <c r="AO964" i="2"/>
  <c r="AO959" i="2"/>
  <c r="AP959" i="2" s="1"/>
  <c r="AO948" i="2"/>
  <c r="AO943" i="2"/>
  <c r="AP943" i="2" s="1"/>
  <c r="AO932" i="2"/>
  <c r="AO927" i="2"/>
  <c r="AP927" i="2" s="1"/>
  <c r="AO632" i="2"/>
  <c r="AO626" i="2"/>
  <c r="AP626" i="2" s="1"/>
  <c r="AO616" i="2"/>
  <c r="AO610" i="2"/>
  <c r="AP610" i="2" s="1"/>
  <c r="AO988" i="2"/>
  <c r="AO980" i="2"/>
  <c r="AO972" i="2"/>
  <c r="AO967" i="2"/>
  <c r="AP967" i="2" s="1"/>
  <c r="AO956" i="2"/>
  <c r="AO951" i="2"/>
  <c r="AP951" i="2" s="1"/>
  <c r="AO940" i="2"/>
  <c r="AO935" i="2"/>
  <c r="AP935" i="2" s="1"/>
  <c r="AO924" i="2"/>
  <c r="AO640" i="2"/>
  <c r="AO634" i="2"/>
  <c r="AP634" i="2" s="1"/>
  <c r="AO624" i="2"/>
  <c r="AO618" i="2"/>
  <c r="AP618" i="2" s="1"/>
  <c r="AO608" i="2"/>
  <c r="AO602" i="2"/>
  <c r="AP602" i="2" s="1"/>
  <c r="AO600" i="2"/>
  <c r="AP600" i="2" s="1"/>
  <c r="AO598" i="2"/>
  <c r="AP598" i="2" s="1"/>
  <c r="AO596" i="2"/>
  <c r="AP596" i="2" s="1"/>
  <c r="AO594" i="2"/>
  <c r="AP594" i="2" s="1"/>
  <c r="AR994" i="2"/>
  <c r="AR978" i="2"/>
  <c r="AR966" i="2"/>
  <c r="AR950" i="2"/>
  <c r="AR934" i="2"/>
  <c r="AR984" i="2"/>
  <c r="AR938" i="2"/>
  <c r="AR996" i="2"/>
  <c r="AR962" i="2"/>
  <c r="AR946" i="2"/>
  <c r="AR930" i="2"/>
  <c r="AR970" i="2"/>
  <c r="AR954" i="2"/>
  <c r="AR922" i="2"/>
  <c r="AR1006" i="2"/>
  <c r="AR990" i="2"/>
  <c r="AR982" i="2"/>
  <c r="AR958" i="2"/>
  <c r="AR942" i="2"/>
  <c r="AR926" i="2"/>
  <c r="AQ1008" i="2"/>
  <c r="AQ1002" i="2"/>
  <c r="AQ992" i="2"/>
  <c r="AQ988" i="2"/>
  <c r="AQ986" i="2"/>
  <c r="AQ980" i="2"/>
  <c r="AQ976" i="2"/>
  <c r="AQ972" i="2"/>
  <c r="AR678" i="2"/>
  <c r="AR658" i="2"/>
  <c r="AR646" i="2"/>
  <c r="AO622" i="2"/>
  <c r="AQ622" i="2"/>
  <c r="AR602" i="2"/>
  <c r="AR598" i="2"/>
  <c r="AR590" i="2"/>
  <c r="AR582" i="2"/>
  <c r="AR578" i="2"/>
  <c r="AR570" i="2"/>
  <c r="AR564" i="2"/>
  <c r="AR558" i="2"/>
  <c r="AR552" i="2"/>
  <c r="AR1007" i="2"/>
  <c r="AR1005" i="2"/>
  <c r="AR1003" i="2"/>
  <c r="AR1001" i="2"/>
  <c r="AR999" i="2"/>
  <c r="AQ968" i="2"/>
  <c r="AQ964" i="2"/>
  <c r="AQ960" i="2"/>
  <c r="AQ956" i="2"/>
  <c r="AQ952" i="2"/>
  <c r="AQ948" i="2"/>
  <c r="AQ944" i="2"/>
  <c r="AQ940" i="2"/>
  <c r="AQ936" i="2"/>
  <c r="AQ932" i="2"/>
  <c r="AQ928" i="2"/>
  <c r="AQ924" i="2"/>
  <c r="AQ920" i="2"/>
  <c r="AQ919" i="2"/>
  <c r="AQ918" i="2"/>
  <c r="AQ917" i="2"/>
  <c r="AQ916" i="2"/>
  <c r="AQ915" i="2"/>
  <c r="AQ914" i="2"/>
  <c r="AQ913" i="2"/>
  <c r="AQ912" i="2"/>
  <c r="AQ911" i="2"/>
  <c r="AQ910" i="2"/>
  <c r="AQ909" i="2"/>
  <c r="AQ908" i="2"/>
  <c r="AQ907" i="2"/>
  <c r="AQ906" i="2"/>
  <c r="AQ905" i="2"/>
  <c r="AQ904" i="2"/>
  <c r="AQ903" i="2"/>
  <c r="AQ902" i="2"/>
  <c r="AQ901" i="2"/>
  <c r="AQ900" i="2"/>
  <c r="AQ899" i="2"/>
  <c r="AQ898" i="2"/>
  <c r="AQ897" i="2"/>
  <c r="AQ896" i="2"/>
  <c r="AQ895" i="2"/>
  <c r="AQ894" i="2"/>
  <c r="AQ893" i="2"/>
  <c r="AQ892" i="2"/>
  <c r="AQ891" i="2"/>
  <c r="AQ890" i="2"/>
  <c r="AQ889" i="2"/>
  <c r="AQ888" i="2"/>
  <c r="AQ887" i="2"/>
  <c r="AQ886" i="2"/>
  <c r="AQ885" i="2"/>
  <c r="AQ884" i="2"/>
  <c r="AQ883" i="2"/>
  <c r="AQ882" i="2"/>
  <c r="AQ881" i="2"/>
  <c r="AQ880" i="2"/>
  <c r="AQ879" i="2"/>
  <c r="AQ878" i="2"/>
  <c r="AQ877" i="2"/>
  <c r="AQ876" i="2"/>
  <c r="AQ875" i="2"/>
  <c r="AQ874" i="2"/>
  <c r="AQ873" i="2"/>
  <c r="AQ872" i="2"/>
  <c r="AQ871" i="2"/>
  <c r="AQ870" i="2"/>
  <c r="AQ869" i="2"/>
  <c r="AQ868" i="2"/>
  <c r="AQ867" i="2"/>
  <c r="AQ866" i="2"/>
  <c r="AQ865" i="2"/>
  <c r="AQ864" i="2"/>
  <c r="AQ863" i="2"/>
  <c r="AQ862" i="2"/>
  <c r="AQ861" i="2"/>
  <c r="AQ860" i="2"/>
  <c r="AQ859" i="2"/>
  <c r="AQ858" i="2"/>
  <c r="AQ857" i="2"/>
  <c r="AQ856" i="2"/>
  <c r="AQ855" i="2"/>
  <c r="AQ854" i="2"/>
  <c r="AQ853" i="2"/>
  <c r="AQ852" i="2"/>
  <c r="AQ851" i="2"/>
  <c r="AQ850" i="2"/>
  <c r="AQ849" i="2"/>
  <c r="AQ848" i="2"/>
  <c r="AQ847" i="2"/>
  <c r="AQ846" i="2"/>
  <c r="AQ845" i="2"/>
  <c r="AQ844" i="2"/>
  <c r="AQ843" i="2"/>
  <c r="AQ842" i="2"/>
  <c r="AQ841" i="2"/>
  <c r="AQ840" i="2"/>
  <c r="AQ839" i="2"/>
  <c r="AQ838" i="2"/>
  <c r="AQ837" i="2"/>
  <c r="AQ836" i="2"/>
  <c r="AQ835" i="2"/>
  <c r="AQ834" i="2"/>
  <c r="AQ833" i="2"/>
  <c r="AQ832" i="2"/>
  <c r="AQ831" i="2"/>
  <c r="AQ830" i="2"/>
  <c r="AQ829" i="2"/>
  <c r="AQ828" i="2"/>
  <c r="AQ827" i="2"/>
  <c r="AQ826" i="2"/>
  <c r="AQ825" i="2"/>
  <c r="AQ824" i="2"/>
  <c r="AQ823" i="2"/>
  <c r="AQ822" i="2"/>
  <c r="AQ821" i="2"/>
  <c r="AQ820" i="2"/>
  <c r="AQ819" i="2"/>
  <c r="AQ818" i="2"/>
  <c r="AQ817" i="2"/>
  <c r="AQ816" i="2"/>
  <c r="AQ815" i="2"/>
  <c r="AQ814" i="2"/>
  <c r="AQ813" i="2"/>
  <c r="AQ812" i="2"/>
  <c r="AQ811" i="2"/>
  <c r="AQ810" i="2"/>
  <c r="AQ809" i="2"/>
  <c r="AQ808" i="2"/>
  <c r="AQ807" i="2"/>
  <c r="AQ806" i="2"/>
  <c r="AQ805" i="2"/>
  <c r="AQ804" i="2"/>
  <c r="AQ803" i="2"/>
  <c r="AQ802" i="2"/>
  <c r="AQ801" i="2"/>
  <c r="AQ800" i="2"/>
  <c r="AQ799" i="2"/>
  <c r="AQ798" i="2"/>
  <c r="AQ797" i="2"/>
  <c r="AQ796" i="2"/>
  <c r="AQ795" i="2"/>
  <c r="AQ794" i="2"/>
  <c r="AQ793" i="2"/>
  <c r="AQ792" i="2"/>
  <c r="AQ791" i="2"/>
  <c r="AQ790" i="2"/>
  <c r="AQ789" i="2"/>
  <c r="AQ788" i="2"/>
  <c r="AQ787" i="2"/>
  <c r="AQ786" i="2"/>
  <c r="AQ785" i="2"/>
  <c r="AQ784" i="2"/>
  <c r="AQ783" i="2"/>
  <c r="AQ782" i="2"/>
  <c r="AQ781" i="2"/>
  <c r="AQ780" i="2"/>
  <c r="AQ779" i="2"/>
  <c r="AQ778" i="2"/>
  <c r="AQ777" i="2"/>
  <c r="AQ776" i="2"/>
  <c r="AQ775" i="2"/>
  <c r="AQ774" i="2"/>
  <c r="AQ773" i="2"/>
  <c r="AQ772" i="2"/>
  <c r="AQ771" i="2"/>
  <c r="AQ770" i="2"/>
  <c r="AQ769" i="2"/>
  <c r="AQ768" i="2"/>
  <c r="AQ767" i="2"/>
  <c r="AQ766" i="2"/>
  <c r="AQ765" i="2"/>
  <c r="AQ764" i="2"/>
  <c r="AQ763" i="2"/>
  <c r="AQ762" i="2"/>
  <c r="AQ761" i="2"/>
  <c r="AQ760" i="2"/>
  <c r="AQ759" i="2"/>
  <c r="AQ758" i="2"/>
  <c r="AQ757" i="2"/>
  <c r="AQ756" i="2"/>
  <c r="AQ755" i="2"/>
  <c r="AQ754" i="2"/>
  <c r="AQ753" i="2"/>
  <c r="AQ752" i="2"/>
  <c r="AQ751" i="2"/>
  <c r="AQ750" i="2"/>
  <c r="AQ749" i="2"/>
  <c r="AQ748" i="2"/>
  <c r="AQ747" i="2"/>
  <c r="AQ746" i="2"/>
  <c r="AQ745" i="2"/>
  <c r="AQ744" i="2"/>
  <c r="AQ743" i="2"/>
  <c r="AQ742" i="2"/>
  <c r="AQ741" i="2"/>
  <c r="AQ740" i="2"/>
  <c r="AQ739" i="2"/>
  <c r="AQ738" i="2"/>
  <c r="AQ737" i="2"/>
  <c r="AQ736" i="2"/>
  <c r="AQ735" i="2"/>
  <c r="AQ734" i="2"/>
  <c r="AQ733" i="2"/>
  <c r="AQ732" i="2"/>
  <c r="AQ731" i="2"/>
  <c r="AQ730" i="2"/>
  <c r="AQ729" i="2"/>
  <c r="AQ728" i="2"/>
  <c r="AQ727" i="2"/>
  <c r="AQ726" i="2"/>
  <c r="AQ725" i="2"/>
  <c r="AQ724" i="2"/>
  <c r="AQ723" i="2"/>
  <c r="AQ722" i="2"/>
  <c r="AQ721" i="2"/>
  <c r="AQ720" i="2"/>
  <c r="AQ719" i="2"/>
  <c r="AQ718" i="2"/>
  <c r="AQ717" i="2"/>
  <c r="AQ716" i="2"/>
  <c r="AQ715" i="2"/>
  <c r="AQ714" i="2"/>
  <c r="AQ713" i="2"/>
  <c r="AQ712" i="2"/>
  <c r="AQ711" i="2"/>
  <c r="AQ710" i="2"/>
  <c r="AQ709" i="2"/>
  <c r="AQ708" i="2"/>
  <c r="AQ707" i="2"/>
  <c r="AQ706" i="2"/>
  <c r="AQ705" i="2"/>
  <c r="AQ704" i="2"/>
  <c r="AQ703" i="2"/>
  <c r="AQ702" i="2"/>
  <c r="AQ701" i="2"/>
  <c r="AQ700" i="2"/>
  <c r="AQ699" i="2"/>
  <c r="AQ698" i="2"/>
  <c r="AQ697" i="2"/>
  <c r="AQ696" i="2"/>
  <c r="AQ695" i="2"/>
  <c r="AQ694" i="2"/>
  <c r="AO693" i="2"/>
  <c r="AP693" i="2" s="1"/>
  <c r="AR691" i="2"/>
  <c r="AO689" i="2"/>
  <c r="AP689" i="2" s="1"/>
  <c r="AR687" i="2"/>
  <c r="AO685" i="2"/>
  <c r="AP685" i="2" s="1"/>
  <c r="AR683" i="2"/>
  <c r="AO681" i="2"/>
  <c r="AP681" i="2" s="1"/>
  <c r="AR679" i="2"/>
  <c r="AO677" i="2"/>
  <c r="AP677" i="2" s="1"/>
  <c r="AR675" i="2"/>
  <c r="AO673" i="2"/>
  <c r="AP673" i="2" s="1"/>
  <c r="AR671" i="2"/>
  <c r="AR667" i="2"/>
  <c r="AR663" i="2"/>
  <c r="AR659" i="2"/>
  <c r="AR655" i="2"/>
  <c r="AR651" i="2"/>
  <c r="AR647" i="2"/>
  <c r="AR643" i="2"/>
  <c r="AQ1004" i="2"/>
  <c r="AQ1000" i="2"/>
  <c r="AQ998" i="2"/>
  <c r="AQ974" i="2"/>
  <c r="AR690" i="2"/>
  <c r="AR682" i="2"/>
  <c r="AR670" i="2"/>
  <c r="AR662" i="2"/>
  <c r="AR654" i="2"/>
  <c r="AO638" i="2"/>
  <c r="AQ638" i="2"/>
  <c r="AR634" i="2"/>
  <c r="AO606" i="2"/>
  <c r="AQ606" i="2"/>
  <c r="AR600" i="2"/>
  <c r="AR596" i="2"/>
  <c r="AR592" i="2"/>
  <c r="AR588" i="2"/>
  <c r="AR584" i="2"/>
  <c r="AR576" i="2"/>
  <c r="AR572" i="2"/>
  <c r="AR566" i="2"/>
  <c r="AR560" i="2"/>
  <c r="AR556" i="2"/>
  <c r="AO1006" i="2"/>
  <c r="AP1006" i="2" s="1"/>
  <c r="AO996" i="2"/>
  <c r="AP996" i="2" s="1"/>
  <c r="AO994" i="2"/>
  <c r="AP994" i="2" s="1"/>
  <c r="AO990" i="2"/>
  <c r="AP990" i="2" s="1"/>
  <c r="AO984" i="2"/>
  <c r="AP984" i="2" s="1"/>
  <c r="AO982" i="2"/>
  <c r="AP982" i="2" s="1"/>
  <c r="AO978" i="2"/>
  <c r="AP978" i="2" s="1"/>
  <c r="AR692" i="2"/>
  <c r="AO690" i="2"/>
  <c r="AP690" i="2" s="1"/>
  <c r="AR688" i="2"/>
  <c r="AO686" i="2"/>
  <c r="AP686" i="2" s="1"/>
  <c r="AR684" i="2"/>
  <c r="AO682" i="2"/>
  <c r="AP682" i="2" s="1"/>
  <c r="AR680" i="2"/>
  <c r="AO678" i="2"/>
  <c r="AP678" i="2" s="1"/>
  <c r="AR676" i="2"/>
  <c r="AO674" i="2"/>
  <c r="AP674" i="2" s="1"/>
  <c r="AR672" i="2"/>
  <c r="AR668" i="2"/>
  <c r="AR664" i="2"/>
  <c r="AR660" i="2"/>
  <c r="AR656" i="2"/>
  <c r="AR652" i="2"/>
  <c r="AR648" i="2"/>
  <c r="AR644" i="2"/>
  <c r="AO630" i="2"/>
  <c r="AQ630" i="2"/>
  <c r="AR626" i="2"/>
  <c r="AO614" i="2"/>
  <c r="AQ614" i="2"/>
  <c r="AR610" i="2"/>
  <c r="AR686" i="2"/>
  <c r="AR674" i="2"/>
  <c r="AR666" i="2"/>
  <c r="AR650" i="2"/>
  <c r="AR642" i="2"/>
  <c r="AR618" i="2"/>
  <c r="AR594" i="2"/>
  <c r="AR586" i="2"/>
  <c r="AR580" i="2"/>
  <c r="AR574" i="2"/>
  <c r="AR568" i="2"/>
  <c r="AR562" i="2"/>
  <c r="AR554" i="2"/>
  <c r="AR693" i="2"/>
  <c r="AR689" i="2"/>
  <c r="AR685" i="2"/>
  <c r="AR681" i="2"/>
  <c r="AR677" i="2"/>
  <c r="AR673" i="2"/>
  <c r="AR669" i="2"/>
  <c r="AR665" i="2"/>
  <c r="AR661" i="2"/>
  <c r="AR657" i="2"/>
  <c r="AR653" i="2"/>
  <c r="AR649" i="2"/>
  <c r="AR645" i="2"/>
  <c r="AR636" i="2"/>
  <c r="AR628" i="2"/>
  <c r="AR620" i="2"/>
  <c r="AR612" i="2"/>
  <c r="AR604" i="2"/>
  <c r="AO592" i="2"/>
  <c r="AP592" i="2" s="1"/>
  <c r="AO590" i="2"/>
  <c r="AP590" i="2" s="1"/>
  <c r="AO588" i="2"/>
  <c r="AP588" i="2" s="1"/>
  <c r="AO586" i="2"/>
  <c r="AP586" i="2" s="1"/>
  <c r="AO584" i="2"/>
  <c r="AP584" i="2" s="1"/>
  <c r="AO582" i="2"/>
  <c r="AP582" i="2" s="1"/>
  <c r="AO580" i="2"/>
  <c r="AP580" i="2" s="1"/>
  <c r="AO578" i="2"/>
  <c r="AP578" i="2" s="1"/>
  <c r="AO576" i="2"/>
  <c r="AP576" i="2" s="1"/>
  <c r="AO574" i="2"/>
  <c r="AP574" i="2" s="1"/>
  <c r="AO572" i="2"/>
  <c r="AP572" i="2" s="1"/>
  <c r="AO570" i="2"/>
  <c r="AP570" i="2" s="1"/>
  <c r="AO568" i="2"/>
  <c r="AP568" i="2" s="1"/>
  <c r="AO566" i="2"/>
  <c r="AP566" i="2" s="1"/>
  <c r="AO564" i="2"/>
  <c r="AP564" i="2" s="1"/>
  <c r="AO562" i="2"/>
  <c r="AP562" i="2" s="1"/>
  <c r="AO560" i="2"/>
  <c r="AP560" i="2" s="1"/>
  <c r="AO558" i="2"/>
  <c r="AP558" i="2" s="1"/>
  <c r="AO556" i="2"/>
  <c r="AP556" i="2" s="1"/>
  <c r="AO554" i="2"/>
  <c r="AP554" i="2" s="1"/>
  <c r="AO552" i="2"/>
  <c r="AP552" i="2" s="1"/>
  <c r="AR641" i="2"/>
  <c r="AQ640" i="2"/>
  <c r="AQ632" i="2"/>
  <c r="AQ624" i="2"/>
  <c r="AQ616" i="2"/>
  <c r="AQ608" i="2"/>
  <c r="AR639" i="2"/>
  <c r="AR637" i="2"/>
  <c r="AR635" i="2"/>
  <c r="AR633" i="2"/>
  <c r="AR631" i="2"/>
  <c r="AR629" i="2"/>
  <c r="AR627" i="2"/>
  <c r="AR625" i="2"/>
  <c r="AR623" i="2"/>
  <c r="AR621" i="2"/>
  <c r="AR619" i="2"/>
  <c r="AR617" i="2"/>
  <c r="AR615" i="2"/>
  <c r="AR613" i="2"/>
  <c r="AR611" i="2"/>
  <c r="AR609" i="2"/>
  <c r="AR607" i="2"/>
  <c r="AR605" i="2"/>
  <c r="AR603" i="2"/>
  <c r="AP579" i="2" l="1"/>
  <c r="AP591" i="2"/>
  <c r="AP585" i="2"/>
  <c r="AP601" i="2"/>
  <c r="AP700" i="2"/>
  <c r="AR700" i="2"/>
  <c r="AP712" i="2"/>
  <c r="AR712" i="2"/>
  <c r="AP724" i="2"/>
  <c r="AR724" i="2"/>
  <c r="AP736" i="2"/>
  <c r="AR736" i="2"/>
  <c r="AP748" i="2"/>
  <c r="AR748" i="2"/>
  <c r="AP760" i="2"/>
  <c r="AR760" i="2"/>
  <c r="AP772" i="2"/>
  <c r="AR772" i="2"/>
  <c r="AP784" i="2"/>
  <c r="AR784" i="2"/>
  <c r="AP796" i="2"/>
  <c r="AR796" i="2"/>
  <c r="AP808" i="2"/>
  <c r="AR808" i="2"/>
  <c r="AP820" i="2"/>
  <c r="AR820" i="2"/>
  <c r="AP832" i="2"/>
  <c r="AR832" i="2"/>
  <c r="AP848" i="2"/>
  <c r="AR848" i="2"/>
  <c r="AP864" i="2"/>
  <c r="AR864" i="2"/>
  <c r="AP876" i="2"/>
  <c r="AR876" i="2"/>
  <c r="AP892" i="2"/>
  <c r="AR892" i="2"/>
  <c r="AP904" i="2"/>
  <c r="AR904" i="2"/>
  <c r="AP916" i="2"/>
  <c r="AR916" i="2"/>
  <c r="AP952" i="2"/>
  <c r="AR952" i="2"/>
  <c r="AR608" i="2"/>
  <c r="AP608" i="2"/>
  <c r="AR624" i="2"/>
  <c r="AP624" i="2"/>
  <c r="AR640" i="2"/>
  <c r="AP640" i="2"/>
  <c r="AR614" i="2"/>
  <c r="AP614" i="2"/>
  <c r="AR630" i="2"/>
  <c r="AP630" i="2"/>
  <c r="AR1004" i="2"/>
  <c r="AP1004" i="2"/>
  <c r="AR697" i="2"/>
  <c r="AP697" i="2"/>
  <c r="AR701" i="2"/>
  <c r="AP701" i="2"/>
  <c r="AR705" i="2"/>
  <c r="AP705" i="2"/>
  <c r="AR709" i="2"/>
  <c r="AP709" i="2"/>
  <c r="AR713" i="2"/>
  <c r="AP713" i="2"/>
  <c r="AR717" i="2"/>
  <c r="AP717" i="2"/>
  <c r="AR721" i="2"/>
  <c r="AP721" i="2"/>
  <c r="AR725" i="2"/>
  <c r="AP725" i="2"/>
  <c r="AR729" i="2"/>
  <c r="AP729" i="2"/>
  <c r="AR733" i="2"/>
  <c r="AP733" i="2"/>
  <c r="AR737" i="2"/>
  <c r="AP737" i="2"/>
  <c r="AR741" i="2"/>
  <c r="AP741" i="2"/>
  <c r="AR745" i="2"/>
  <c r="AP745" i="2"/>
  <c r="AR749" i="2"/>
  <c r="AP749" i="2"/>
  <c r="AR753" i="2"/>
  <c r="AP753" i="2"/>
  <c r="AR757" i="2"/>
  <c r="AP757" i="2"/>
  <c r="AR761" i="2"/>
  <c r="AP761" i="2"/>
  <c r="AR765" i="2"/>
  <c r="AP765" i="2"/>
  <c r="AR769" i="2"/>
  <c r="AP769" i="2"/>
  <c r="AR773" i="2"/>
  <c r="AP773" i="2"/>
  <c r="AR777" i="2"/>
  <c r="AP777" i="2"/>
  <c r="AR781" i="2"/>
  <c r="AP781" i="2"/>
  <c r="AR785" i="2"/>
  <c r="AP785" i="2"/>
  <c r="AR789" i="2"/>
  <c r="AP789" i="2"/>
  <c r="AR793" i="2"/>
  <c r="AP793" i="2"/>
  <c r="AR797" i="2"/>
  <c r="AP797" i="2"/>
  <c r="AR801" i="2"/>
  <c r="AP801" i="2"/>
  <c r="AR805" i="2"/>
  <c r="AP805" i="2"/>
  <c r="AR809" i="2"/>
  <c r="AP809" i="2"/>
  <c r="AR813" i="2"/>
  <c r="AP813" i="2"/>
  <c r="AR817" i="2"/>
  <c r="AP817" i="2"/>
  <c r="AR821" i="2"/>
  <c r="AP821" i="2"/>
  <c r="AR825" i="2"/>
  <c r="AP825" i="2"/>
  <c r="AR829" i="2"/>
  <c r="AP829" i="2"/>
  <c r="AR833" i="2"/>
  <c r="AP833" i="2"/>
  <c r="AR837" i="2"/>
  <c r="AP837" i="2"/>
  <c r="AR841" i="2"/>
  <c r="AP841" i="2"/>
  <c r="AR845" i="2"/>
  <c r="AP845" i="2"/>
  <c r="AR849" i="2"/>
  <c r="AP849" i="2"/>
  <c r="AR853" i="2"/>
  <c r="AP853" i="2"/>
  <c r="AR857" i="2"/>
  <c r="AP857" i="2"/>
  <c r="AR861" i="2"/>
  <c r="AP861" i="2"/>
  <c r="AR865" i="2"/>
  <c r="AP865" i="2"/>
  <c r="AR869" i="2"/>
  <c r="AP869" i="2"/>
  <c r="AR873" i="2"/>
  <c r="AP873" i="2"/>
  <c r="AR877" i="2"/>
  <c r="AP877" i="2"/>
  <c r="AR881" i="2"/>
  <c r="AP881" i="2"/>
  <c r="AR885" i="2"/>
  <c r="AP885" i="2"/>
  <c r="AR889" i="2"/>
  <c r="AP889" i="2"/>
  <c r="AR893" i="2"/>
  <c r="AP893" i="2"/>
  <c r="AR897" i="2"/>
  <c r="AP897" i="2"/>
  <c r="AR901" i="2"/>
  <c r="AP901" i="2"/>
  <c r="AR905" i="2"/>
  <c r="AP905" i="2"/>
  <c r="AR909" i="2"/>
  <c r="AP909" i="2"/>
  <c r="AR913" i="2"/>
  <c r="AP913" i="2"/>
  <c r="AR917" i="2"/>
  <c r="AP917" i="2"/>
  <c r="AP924" i="2"/>
  <c r="AR924" i="2"/>
  <c r="AP940" i="2"/>
  <c r="AR940" i="2"/>
  <c r="AP956" i="2"/>
  <c r="AR956" i="2"/>
  <c r="AR976" i="2"/>
  <c r="AP976" i="2"/>
  <c r="AR992" i="2"/>
  <c r="AP992" i="2"/>
  <c r="AP704" i="2"/>
  <c r="AR704" i="2"/>
  <c r="AP716" i="2"/>
  <c r="AR716" i="2"/>
  <c r="AP728" i="2"/>
  <c r="AR728" i="2"/>
  <c r="AP740" i="2"/>
  <c r="AR740" i="2"/>
  <c r="AP752" i="2"/>
  <c r="AR752" i="2"/>
  <c r="AP764" i="2"/>
  <c r="AR764" i="2"/>
  <c r="AP776" i="2"/>
  <c r="AR776" i="2"/>
  <c r="AP788" i="2"/>
  <c r="AR788" i="2"/>
  <c r="AP800" i="2"/>
  <c r="AR800" i="2"/>
  <c r="AP812" i="2"/>
  <c r="AR812" i="2"/>
  <c r="AP828" i="2"/>
  <c r="AR828" i="2"/>
  <c r="AP840" i="2"/>
  <c r="AR840" i="2"/>
  <c r="AP852" i="2"/>
  <c r="AR852" i="2"/>
  <c r="AP860" i="2"/>
  <c r="AR860" i="2"/>
  <c r="AP872" i="2"/>
  <c r="AR872" i="2"/>
  <c r="AP884" i="2"/>
  <c r="AR884" i="2"/>
  <c r="AP900" i="2"/>
  <c r="AR900" i="2"/>
  <c r="AP912" i="2"/>
  <c r="AR912" i="2"/>
  <c r="AP936" i="2"/>
  <c r="AR936" i="2"/>
  <c r="AR622" i="2"/>
  <c r="AP622" i="2"/>
  <c r="AR988" i="2"/>
  <c r="AP988" i="2"/>
  <c r="AR606" i="2"/>
  <c r="AP606" i="2"/>
  <c r="AR638" i="2"/>
  <c r="AP638" i="2"/>
  <c r="AR974" i="2"/>
  <c r="AP974" i="2"/>
  <c r="AP694" i="2"/>
  <c r="AR694" i="2"/>
  <c r="AP698" i="2"/>
  <c r="AR698" i="2"/>
  <c r="AP702" i="2"/>
  <c r="AR702" i="2"/>
  <c r="AP706" i="2"/>
  <c r="AR706" i="2"/>
  <c r="AP710" i="2"/>
  <c r="AR710" i="2"/>
  <c r="AP714" i="2"/>
  <c r="AR714" i="2"/>
  <c r="AP718" i="2"/>
  <c r="AR718" i="2"/>
  <c r="AP722" i="2"/>
  <c r="AR722" i="2"/>
  <c r="AP726" i="2"/>
  <c r="AR726" i="2"/>
  <c r="AP730" i="2"/>
  <c r="AR730" i="2"/>
  <c r="AP734" i="2"/>
  <c r="AR734" i="2"/>
  <c r="AP738" i="2"/>
  <c r="AR738" i="2"/>
  <c r="AP742" i="2"/>
  <c r="AR742" i="2"/>
  <c r="AP746" i="2"/>
  <c r="AR746" i="2"/>
  <c r="AP750" i="2"/>
  <c r="AR750" i="2"/>
  <c r="AP754" i="2"/>
  <c r="AR754" i="2"/>
  <c r="AP758" i="2"/>
  <c r="AR758" i="2"/>
  <c r="AP762" i="2"/>
  <c r="AR762" i="2"/>
  <c r="AP766" i="2"/>
  <c r="AR766" i="2"/>
  <c r="AP770" i="2"/>
  <c r="AR770" i="2"/>
  <c r="AP774" i="2"/>
  <c r="AR774" i="2"/>
  <c r="AP778" i="2"/>
  <c r="AR778" i="2"/>
  <c r="AP782" i="2"/>
  <c r="AR782" i="2"/>
  <c r="AP786" i="2"/>
  <c r="AR786" i="2"/>
  <c r="AP790" i="2"/>
  <c r="AR790" i="2"/>
  <c r="AP794" i="2"/>
  <c r="AR794" i="2"/>
  <c r="AP798" i="2"/>
  <c r="AR798" i="2"/>
  <c r="AP802" i="2"/>
  <c r="AR802" i="2"/>
  <c r="AP806" i="2"/>
  <c r="AR806" i="2"/>
  <c r="AP810" i="2"/>
  <c r="AR810" i="2"/>
  <c r="AP814" i="2"/>
  <c r="AR814" i="2"/>
  <c r="AP818" i="2"/>
  <c r="AR818" i="2"/>
  <c r="AP822" i="2"/>
  <c r="AR822" i="2"/>
  <c r="AP826" i="2"/>
  <c r="AR826" i="2"/>
  <c r="AP830" i="2"/>
  <c r="AR830" i="2"/>
  <c r="AP834" i="2"/>
  <c r="AR834" i="2"/>
  <c r="AP838" i="2"/>
  <c r="AR838" i="2"/>
  <c r="AP842" i="2"/>
  <c r="AR842" i="2"/>
  <c r="AP846" i="2"/>
  <c r="AR846" i="2"/>
  <c r="AP850" i="2"/>
  <c r="AR850" i="2"/>
  <c r="AP854" i="2"/>
  <c r="AR854" i="2"/>
  <c r="AP858" i="2"/>
  <c r="AR858" i="2"/>
  <c r="AP862" i="2"/>
  <c r="AR862" i="2"/>
  <c r="AP866" i="2"/>
  <c r="AR866" i="2"/>
  <c r="AP870" i="2"/>
  <c r="AR870" i="2"/>
  <c r="AP874" i="2"/>
  <c r="AR874" i="2"/>
  <c r="AP878" i="2"/>
  <c r="AR878" i="2"/>
  <c r="AP882" i="2"/>
  <c r="AR882" i="2"/>
  <c r="AP886" i="2"/>
  <c r="AR886" i="2"/>
  <c r="AP890" i="2"/>
  <c r="AR890" i="2"/>
  <c r="AP894" i="2"/>
  <c r="AR894" i="2"/>
  <c r="AP898" i="2"/>
  <c r="AR898" i="2"/>
  <c r="AP902" i="2"/>
  <c r="AR902" i="2"/>
  <c r="AP906" i="2"/>
  <c r="AR906" i="2"/>
  <c r="AP910" i="2"/>
  <c r="AR910" i="2"/>
  <c r="AP914" i="2"/>
  <c r="AR914" i="2"/>
  <c r="AP918" i="2"/>
  <c r="AR918" i="2"/>
  <c r="AP928" i="2"/>
  <c r="AR928" i="2"/>
  <c r="AP944" i="2"/>
  <c r="AR944" i="2"/>
  <c r="AP960" i="2"/>
  <c r="AR960" i="2"/>
  <c r="AR980" i="2"/>
  <c r="AP980" i="2"/>
  <c r="AR1002" i="2"/>
  <c r="AP1002" i="2"/>
  <c r="AR1000" i="2"/>
  <c r="AP1000" i="2"/>
  <c r="AP696" i="2"/>
  <c r="AR696" i="2"/>
  <c r="AP708" i="2"/>
  <c r="AR708" i="2"/>
  <c r="AP720" i="2"/>
  <c r="AR720" i="2"/>
  <c r="AP732" i="2"/>
  <c r="AR732" i="2"/>
  <c r="AP744" i="2"/>
  <c r="AR744" i="2"/>
  <c r="AP756" i="2"/>
  <c r="AR756" i="2"/>
  <c r="AP768" i="2"/>
  <c r="AR768" i="2"/>
  <c r="AP780" i="2"/>
  <c r="AR780" i="2"/>
  <c r="AP792" i="2"/>
  <c r="AR792" i="2"/>
  <c r="AP804" i="2"/>
  <c r="AR804" i="2"/>
  <c r="AP816" i="2"/>
  <c r="AR816" i="2"/>
  <c r="AP824" i="2"/>
  <c r="AR824" i="2"/>
  <c r="AP836" i="2"/>
  <c r="AR836" i="2"/>
  <c r="AP844" i="2"/>
  <c r="AR844" i="2"/>
  <c r="AP856" i="2"/>
  <c r="AR856" i="2"/>
  <c r="AP868" i="2"/>
  <c r="AR868" i="2"/>
  <c r="AP880" i="2"/>
  <c r="AR880" i="2"/>
  <c r="AP888" i="2"/>
  <c r="AR888" i="2"/>
  <c r="AP896" i="2"/>
  <c r="AR896" i="2"/>
  <c r="AP908" i="2"/>
  <c r="AR908" i="2"/>
  <c r="AP920" i="2"/>
  <c r="AR920" i="2"/>
  <c r="AP968" i="2"/>
  <c r="AR968" i="2"/>
  <c r="AR972" i="2"/>
  <c r="AP972" i="2"/>
  <c r="AR616" i="2"/>
  <c r="AP616" i="2"/>
  <c r="AR632" i="2"/>
  <c r="AP632" i="2"/>
  <c r="AR998" i="2"/>
  <c r="AP998" i="2"/>
  <c r="AR695" i="2"/>
  <c r="AP695" i="2"/>
  <c r="AR699" i="2"/>
  <c r="AP699" i="2"/>
  <c r="AR703" i="2"/>
  <c r="AP703" i="2"/>
  <c r="AR707" i="2"/>
  <c r="AP707" i="2"/>
  <c r="AR711" i="2"/>
  <c r="AP711" i="2"/>
  <c r="AR715" i="2"/>
  <c r="AP715" i="2"/>
  <c r="AR719" i="2"/>
  <c r="AP719" i="2"/>
  <c r="AR723" i="2"/>
  <c r="AP723" i="2"/>
  <c r="AR727" i="2"/>
  <c r="AP727" i="2"/>
  <c r="AR731" i="2"/>
  <c r="AP731" i="2"/>
  <c r="AR735" i="2"/>
  <c r="AP735" i="2"/>
  <c r="AR739" i="2"/>
  <c r="AP739" i="2"/>
  <c r="AR743" i="2"/>
  <c r="AP743" i="2"/>
  <c r="AR747" i="2"/>
  <c r="AP747" i="2"/>
  <c r="AR751" i="2"/>
  <c r="AP751" i="2"/>
  <c r="AR755" i="2"/>
  <c r="AP755" i="2"/>
  <c r="AR759" i="2"/>
  <c r="AP759" i="2"/>
  <c r="AR763" i="2"/>
  <c r="AP763" i="2"/>
  <c r="AR767" i="2"/>
  <c r="AP767" i="2"/>
  <c r="AR771" i="2"/>
  <c r="AP771" i="2"/>
  <c r="AR775" i="2"/>
  <c r="AP775" i="2"/>
  <c r="AR779" i="2"/>
  <c r="AP779" i="2"/>
  <c r="AR783" i="2"/>
  <c r="AP783" i="2"/>
  <c r="AR787" i="2"/>
  <c r="AP787" i="2"/>
  <c r="AR791" i="2"/>
  <c r="AP791" i="2"/>
  <c r="AR795" i="2"/>
  <c r="AP795" i="2"/>
  <c r="AR799" i="2"/>
  <c r="AP799" i="2"/>
  <c r="AR803" i="2"/>
  <c r="AP803" i="2"/>
  <c r="AR807" i="2"/>
  <c r="AP807" i="2"/>
  <c r="AR811" i="2"/>
  <c r="AP811" i="2"/>
  <c r="AR815" i="2"/>
  <c r="AP815" i="2"/>
  <c r="AR819" i="2"/>
  <c r="AP819" i="2"/>
  <c r="AR823" i="2"/>
  <c r="AP823" i="2"/>
  <c r="AR827" i="2"/>
  <c r="AP827" i="2"/>
  <c r="AR831" i="2"/>
  <c r="AP831" i="2"/>
  <c r="AR835" i="2"/>
  <c r="AP835" i="2"/>
  <c r="AR839" i="2"/>
  <c r="AP839" i="2"/>
  <c r="AR843" i="2"/>
  <c r="AP843" i="2"/>
  <c r="AR847" i="2"/>
  <c r="AP847" i="2"/>
  <c r="AR851" i="2"/>
  <c r="AP851" i="2"/>
  <c r="AR855" i="2"/>
  <c r="AP855" i="2"/>
  <c r="AR859" i="2"/>
  <c r="AP859" i="2"/>
  <c r="AR863" i="2"/>
  <c r="AP863" i="2"/>
  <c r="AR867" i="2"/>
  <c r="AP867" i="2"/>
  <c r="AR871" i="2"/>
  <c r="AP871" i="2"/>
  <c r="AR875" i="2"/>
  <c r="AP875" i="2"/>
  <c r="AR879" i="2"/>
  <c r="AP879" i="2"/>
  <c r="AR883" i="2"/>
  <c r="AP883" i="2"/>
  <c r="AR887" i="2"/>
  <c r="AP887" i="2"/>
  <c r="AR891" i="2"/>
  <c r="AP891" i="2"/>
  <c r="AR895" i="2"/>
  <c r="AP895" i="2"/>
  <c r="AR899" i="2"/>
  <c r="AP899" i="2"/>
  <c r="AR903" i="2"/>
  <c r="AP903" i="2"/>
  <c r="AR907" i="2"/>
  <c r="AP907" i="2"/>
  <c r="AR911" i="2"/>
  <c r="AP911" i="2"/>
  <c r="AR915" i="2"/>
  <c r="AP915" i="2"/>
  <c r="AR919" i="2"/>
  <c r="AP919" i="2"/>
  <c r="AP932" i="2"/>
  <c r="AR932" i="2"/>
  <c r="AP948" i="2"/>
  <c r="AR948" i="2"/>
  <c r="AP964" i="2"/>
  <c r="AR964" i="2"/>
  <c r="AR986" i="2"/>
  <c r="AP986" i="2"/>
  <c r="AR1008" i="2"/>
  <c r="AP1008" i="2"/>
  <c r="F5" i="21" l="1"/>
  <c r="E5" i="21"/>
  <c r="D5" i="21"/>
  <c r="BI6" i="2" l="1"/>
  <c r="BG6" i="2"/>
  <c r="BE6" i="2"/>
  <c r="BC6" i="2"/>
  <c r="BP2008" i="2"/>
  <c r="BP2007" i="2"/>
  <c r="BP2006" i="2"/>
  <c r="BP2005" i="2"/>
  <c r="BP2004" i="2"/>
  <c r="BP2003" i="2"/>
  <c r="BP2002" i="2"/>
  <c r="BP2001" i="2"/>
  <c r="BP2000" i="2"/>
  <c r="BP1999" i="2"/>
  <c r="BP1998" i="2"/>
  <c r="BP1997" i="2"/>
  <c r="BP1996" i="2"/>
  <c r="BP1995" i="2"/>
  <c r="BP1994" i="2"/>
  <c r="BP1993" i="2"/>
  <c r="BP1992" i="2"/>
  <c r="BP1991" i="2"/>
  <c r="BP1990" i="2"/>
  <c r="BP1989" i="2"/>
  <c r="BP1988" i="2"/>
  <c r="BP1987" i="2"/>
  <c r="BP1986" i="2"/>
  <c r="BP1985" i="2"/>
  <c r="BP1984" i="2"/>
  <c r="BP1983" i="2"/>
  <c r="BP1982" i="2"/>
  <c r="BP1981" i="2"/>
  <c r="BP1980" i="2"/>
  <c r="BP1979" i="2"/>
  <c r="BP1978" i="2"/>
  <c r="BP1977" i="2"/>
  <c r="BP1976" i="2"/>
  <c r="BP1975" i="2"/>
  <c r="BP1974" i="2"/>
  <c r="BP1973" i="2"/>
  <c r="BP1972" i="2"/>
  <c r="BP1971" i="2"/>
  <c r="BP1970" i="2"/>
  <c r="BP1969" i="2"/>
  <c r="BP1968" i="2"/>
  <c r="BP1967" i="2"/>
  <c r="BP1966" i="2"/>
  <c r="BP1965" i="2"/>
  <c r="BP1964" i="2"/>
  <c r="BP1963" i="2"/>
  <c r="BP1962" i="2"/>
  <c r="BP1961" i="2"/>
  <c r="BP1960" i="2"/>
  <c r="BP1959" i="2"/>
  <c r="BP1958" i="2"/>
  <c r="BP1957" i="2"/>
  <c r="BP1956" i="2"/>
  <c r="BP1955" i="2"/>
  <c r="BP1954" i="2"/>
  <c r="BP1953" i="2"/>
  <c r="BP1952" i="2"/>
  <c r="BP1951" i="2"/>
  <c r="BP1950" i="2"/>
  <c r="BP1949" i="2"/>
  <c r="BP1948" i="2"/>
  <c r="BP1947" i="2"/>
  <c r="BP1946" i="2"/>
  <c r="BP1945" i="2"/>
  <c r="BP1944" i="2"/>
  <c r="BP1943" i="2"/>
  <c r="BP1942" i="2"/>
  <c r="BP1941" i="2"/>
  <c r="BP1940" i="2"/>
  <c r="BP1939" i="2"/>
  <c r="BP1938" i="2"/>
  <c r="BP1937" i="2"/>
  <c r="BP1936" i="2"/>
  <c r="BP1935" i="2"/>
  <c r="BP1934" i="2"/>
  <c r="BP1933" i="2"/>
  <c r="BP1932" i="2"/>
  <c r="BP1931" i="2"/>
  <c r="BP1930" i="2"/>
  <c r="BP1929" i="2"/>
  <c r="BP1928" i="2"/>
  <c r="BP1927" i="2"/>
  <c r="BP1926" i="2"/>
  <c r="BP1925" i="2"/>
  <c r="BP1924" i="2"/>
  <c r="BP1923" i="2"/>
  <c r="BP1922" i="2"/>
  <c r="BP1921" i="2"/>
  <c r="BP1920" i="2"/>
  <c r="BP1919" i="2"/>
  <c r="BP1918" i="2"/>
  <c r="BP1917" i="2"/>
  <c r="BP1916" i="2"/>
  <c r="BP1915" i="2"/>
  <c r="BP1914" i="2"/>
  <c r="BP1913" i="2"/>
  <c r="BP1912" i="2"/>
  <c r="BP1911" i="2"/>
  <c r="BP1910" i="2"/>
  <c r="BP1909" i="2"/>
  <c r="BP1908" i="2"/>
  <c r="BP1907" i="2"/>
  <c r="BP1906" i="2"/>
  <c r="BP1905" i="2"/>
  <c r="BP1904" i="2"/>
  <c r="BP1903" i="2"/>
  <c r="BP1902" i="2"/>
  <c r="BP1901" i="2"/>
  <c r="BP1900" i="2"/>
  <c r="BP1899" i="2"/>
  <c r="BP1898" i="2"/>
  <c r="BP1897" i="2"/>
  <c r="BP1896" i="2"/>
  <c r="BP1895" i="2"/>
  <c r="BP1894" i="2"/>
  <c r="BP1893" i="2"/>
  <c r="BP1892" i="2"/>
  <c r="BP1891" i="2"/>
  <c r="BP1890" i="2"/>
  <c r="BP1889" i="2"/>
  <c r="BP1888" i="2"/>
  <c r="BP1887" i="2"/>
  <c r="BP1886" i="2"/>
  <c r="BP1885" i="2"/>
  <c r="BP1884" i="2"/>
  <c r="BP1883" i="2"/>
  <c r="BP1882" i="2"/>
  <c r="BP1881" i="2"/>
  <c r="BP1880" i="2"/>
  <c r="BP1879" i="2"/>
  <c r="BP1878" i="2"/>
  <c r="BP1877" i="2"/>
  <c r="BP1876" i="2"/>
  <c r="BP1875" i="2"/>
  <c r="BP1874" i="2"/>
  <c r="BP1873" i="2"/>
  <c r="BP1872" i="2"/>
  <c r="BP1871" i="2"/>
  <c r="BP1870" i="2"/>
  <c r="BP1869" i="2"/>
  <c r="BP1868" i="2"/>
  <c r="BP1867" i="2"/>
  <c r="BP1866" i="2"/>
  <c r="BP1865" i="2"/>
  <c r="BP1864" i="2"/>
  <c r="BP1863" i="2"/>
  <c r="BP1862" i="2"/>
  <c r="BP1861" i="2"/>
  <c r="BP1860" i="2"/>
  <c r="BP1859" i="2"/>
  <c r="BP1858" i="2"/>
  <c r="BP1857" i="2"/>
  <c r="BP1856" i="2"/>
  <c r="BP1855" i="2"/>
  <c r="BP1854" i="2"/>
  <c r="BP1853" i="2"/>
  <c r="BP1852" i="2"/>
  <c r="BP1851" i="2"/>
  <c r="BP1850" i="2"/>
  <c r="BP1849" i="2"/>
  <c r="BP1848" i="2"/>
  <c r="BP1847" i="2"/>
  <c r="BP1846" i="2"/>
  <c r="BP1845" i="2"/>
  <c r="BP1844" i="2"/>
  <c r="BP1843" i="2"/>
  <c r="BP1842" i="2"/>
  <c r="BP1841" i="2"/>
  <c r="BP1840" i="2"/>
  <c r="BP1839" i="2"/>
  <c r="BP1838" i="2"/>
  <c r="BP1837" i="2"/>
  <c r="BP1836" i="2"/>
  <c r="BP1835" i="2"/>
  <c r="BP1834" i="2"/>
  <c r="BP1833" i="2"/>
  <c r="BP1832" i="2"/>
  <c r="BP1831" i="2"/>
  <c r="BP1830" i="2"/>
  <c r="BP1829" i="2"/>
  <c r="BP1828" i="2"/>
  <c r="BP1827" i="2"/>
  <c r="BP1826" i="2"/>
  <c r="BP1825" i="2"/>
  <c r="BP1824" i="2"/>
  <c r="BP1823" i="2"/>
  <c r="BP1822" i="2"/>
  <c r="BP1821" i="2"/>
  <c r="BP1820" i="2"/>
  <c r="BP1819" i="2"/>
  <c r="BP1818" i="2"/>
  <c r="BP1817" i="2"/>
  <c r="BP1816" i="2"/>
  <c r="BP1815" i="2"/>
  <c r="BP1814" i="2"/>
  <c r="BP1813" i="2"/>
  <c r="BP1812" i="2"/>
  <c r="BP1811" i="2"/>
  <c r="BP1810" i="2"/>
  <c r="BP1809" i="2"/>
  <c r="BP1808" i="2"/>
  <c r="BP1807" i="2"/>
  <c r="BP1806" i="2"/>
  <c r="BP1805" i="2"/>
  <c r="BP1804" i="2"/>
  <c r="BP1803" i="2"/>
  <c r="BP1802" i="2"/>
  <c r="BP1801" i="2"/>
  <c r="BP1800" i="2"/>
  <c r="BP1799" i="2"/>
  <c r="BP1798" i="2"/>
  <c r="BP1797" i="2"/>
  <c r="BP1796" i="2"/>
  <c r="BP1795" i="2"/>
  <c r="BP1794" i="2"/>
  <c r="BP1793" i="2"/>
  <c r="BP1792" i="2"/>
  <c r="BP1791" i="2"/>
  <c r="BP1790" i="2"/>
  <c r="BP1789" i="2"/>
  <c r="BP1788" i="2"/>
  <c r="BP1787" i="2"/>
  <c r="BP1786" i="2"/>
  <c r="BP1785" i="2"/>
  <c r="BP1784" i="2"/>
  <c r="BP1783" i="2"/>
  <c r="BP1782" i="2"/>
  <c r="BP1781" i="2"/>
  <c r="BP1780" i="2"/>
  <c r="BP1779" i="2"/>
  <c r="BP1778" i="2"/>
  <c r="BP1777" i="2"/>
  <c r="BP1776" i="2"/>
  <c r="BP1775" i="2"/>
  <c r="BP1774" i="2"/>
  <c r="BP1773" i="2"/>
  <c r="BP1772" i="2"/>
  <c r="BP1771" i="2"/>
  <c r="BP1770" i="2"/>
  <c r="BP1769" i="2"/>
  <c r="BP1768" i="2"/>
  <c r="BP1767" i="2"/>
  <c r="BP1766" i="2"/>
  <c r="BP1765" i="2"/>
  <c r="BP1764" i="2"/>
  <c r="BP1763" i="2"/>
  <c r="BP1762" i="2"/>
  <c r="BP1761" i="2"/>
  <c r="BP1760" i="2"/>
  <c r="BP1759" i="2"/>
  <c r="BP1758" i="2"/>
  <c r="BP1757" i="2"/>
  <c r="BP1756" i="2"/>
  <c r="BP1755" i="2"/>
  <c r="BP1754" i="2"/>
  <c r="BP1753" i="2"/>
  <c r="BP1752" i="2"/>
  <c r="BP1751" i="2"/>
  <c r="BP1750" i="2"/>
  <c r="BP1749" i="2"/>
  <c r="BP1748" i="2"/>
  <c r="BP1747" i="2"/>
  <c r="BP1746" i="2"/>
  <c r="BP1745" i="2"/>
  <c r="BP1744" i="2"/>
  <c r="BP1743" i="2"/>
  <c r="BP1742" i="2"/>
  <c r="BP1741" i="2"/>
  <c r="BP1740" i="2"/>
  <c r="BP1739" i="2"/>
  <c r="BP1738" i="2"/>
  <c r="BP1737" i="2"/>
  <c r="BP1736" i="2"/>
  <c r="BP1735" i="2"/>
  <c r="BP1734" i="2"/>
  <c r="BP1733" i="2"/>
  <c r="BP1732" i="2"/>
  <c r="BP1731" i="2"/>
  <c r="BP1730" i="2"/>
  <c r="BP1729" i="2"/>
  <c r="BP1728" i="2"/>
  <c r="BP1727" i="2"/>
  <c r="BP1726" i="2"/>
  <c r="BP1725" i="2"/>
  <c r="BP1724" i="2"/>
  <c r="BP1723" i="2"/>
  <c r="BP1722" i="2"/>
  <c r="BP1721" i="2"/>
  <c r="BP1720" i="2"/>
  <c r="BP1719" i="2"/>
  <c r="BP1718" i="2"/>
  <c r="BP1717" i="2"/>
  <c r="BP1716" i="2"/>
  <c r="BP1715" i="2"/>
  <c r="BP1714" i="2"/>
  <c r="BP1713" i="2"/>
  <c r="BP1712" i="2"/>
  <c r="BP1711" i="2"/>
  <c r="BP1710" i="2"/>
  <c r="BP1709" i="2"/>
  <c r="BP1708" i="2"/>
  <c r="BP1707" i="2"/>
  <c r="BP1706" i="2"/>
  <c r="BP1705" i="2"/>
  <c r="BP1704" i="2"/>
  <c r="BP1703" i="2"/>
  <c r="BP1702" i="2"/>
  <c r="BP1701" i="2"/>
  <c r="BP1700" i="2"/>
  <c r="BP1699" i="2"/>
  <c r="BP1698" i="2"/>
  <c r="BP1697" i="2"/>
  <c r="BP1696" i="2"/>
  <c r="BP1695" i="2"/>
  <c r="BP1694" i="2"/>
  <c r="BP1693" i="2"/>
  <c r="BP1692" i="2"/>
  <c r="BP1691" i="2"/>
  <c r="BP1690" i="2"/>
  <c r="BP1689" i="2"/>
  <c r="BP1688" i="2"/>
  <c r="BP1687" i="2"/>
  <c r="BP1686" i="2"/>
  <c r="BP1685" i="2"/>
  <c r="BP1684" i="2"/>
  <c r="BP1683" i="2"/>
  <c r="BP1682" i="2"/>
  <c r="BP1681" i="2"/>
  <c r="BP1680" i="2"/>
  <c r="BP1679" i="2"/>
  <c r="BP1678" i="2"/>
  <c r="BP1677" i="2"/>
  <c r="BP1676" i="2"/>
  <c r="BP1675" i="2"/>
  <c r="BP1674" i="2"/>
  <c r="BP1673" i="2"/>
  <c r="BP1672" i="2"/>
  <c r="BP1671" i="2"/>
  <c r="BP1670" i="2"/>
  <c r="BP1669" i="2"/>
  <c r="BP1668" i="2"/>
  <c r="BP1667" i="2"/>
  <c r="BP1666" i="2"/>
  <c r="BP1665" i="2"/>
  <c r="BP1664" i="2"/>
  <c r="BP1663" i="2"/>
  <c r="BP1662" i="2"/>
  <c r="BP1661" i="2"/>
  <c r="BP1660" i="2"/>
  <c r="BP1659" i="2"/>
  <c r="BP1658" i="2"/>
  <c r="BP1657" i="2"/>
  <c r="BP1656" i="2"/>
  <c r="BP1655" i="2"/>
  <c r="BP1654" i="2"/>
  <c r="BP1653" i="2"/>
  <c r="BP1652" i="2"/>
  <c r="BP1651" i="2"/>
  <c r="BP1650" i="2"/>
  <c r="BP1649" i="2"/>
  <c r="BP1648" i="2"/>
  <c r="BP1647" i="2"/>
  <c r="BP1646" i="2"/>
  <c r="BP1645" i="2"/>
  <c r="BP1644" i="2"/>
  <c r="BP1643" i="2"/>
  <c r="BP1642" i="2"/>
  <c r="BP1641" i="2"/>
  <c r="BP1640" i="2"/>
  <c r="BP1639" i="2"/>
  <c r="BP1638" i="2"/>
  <c r="BP1637" i="2"/>
  <c r="BP1636" i="2"/>
  <c r="BP1635" i="2"/>
  <c r="BP1634" i="2"/>
  <c r="BP1633" i="2"/>
  <c r="BP1632" i="2"/>
  <c r="BP1631" i="2"/>
  <c r="BP1630" i="2"/>
  <c r="BP1629" i="2"/>
  <c r="BP1628" i="2"/>
  <c r="BP1627" i="2"/>
  <c r="BP1626" i="2"/>
  <c r="BP1625" i="2"/>
  <c r="BP1624" i="2"/>
  <c r="BP1623" i="2"/>
  <c r="BP1622" i="2"/>
  <c r="BP1621" i="2"/>
  <c r="BP1620" i="2"/>
  <c r="BP1619" i="2"/>
  <c r="BP1618" i="2"/>
  <c r="BP1617" i="2"/>
  <c r="BP1616" i="2"/>
  <c r="BP1615" i="2"/>
  <c r="BP1614" i="2"/>
  <c r="BP1613" i="2"/>
  <c r="BP1612" i="2"/>
  <c r="BP1611" i="2"/>
  <c r="BP1610" i="2"/>
  <c r="BP1609" i="2"/>
  <c r="BP1608" i="2"/>
  <c r="BP1607" i="2"/>
  <c r="BP1606" i="2"/>
  <c r="BP1605" i="2"/>
  <c r="BP1604" i="2"/>
  <c r="BP1603" i="2"/>
  <c r="BP1602" i="2"/>
  <c r="BP1601" i="2"/>
  <c r="BP1600" i="2"/>
  <c r="BP1599" i="2"/>
  <c r="BP1598" i="2"/>
  <c r="BP1597" i="2"/>
  <c r="BP1596" i="2"/>
  <c r="BP1595" i="2"/>
  <c r="BP1594" i="2"/>
  <c r="BP1593" i="2"/>
  <c r="BP1592" i="2"/>
  <c r="BP1591" i="2"/>
  <c r="BP1590" i="2"/>
  <c r="BP1589" i="2"/>
  <c r="BP1588" i="2"/>
  <c r="BP1587" i="2"/>
  <c r="BP1586" i="2"/>
  <c r="BP1585" i="2"/>
  <c r="BP1584" i="2"/>
  <c r="BP1583" i="2"/>
  <c r="BP1582" i="2"/>
  <c r="BP1581" i="2"/>
  <c r="BP1580" i="2"/>
  <c r="BP1579" i="2"/>
  <c r="BP1578" i="2"/>
  <c r="BP1577" i="2"/>
  <c r="BP1576" i="2"/>
  <c r="BP1575" i="2"/>
  <c r="BP1574" i="2"/>
  <c r="BP1573" i="2"/>
  <c r="BP1572" i="2"/>
  <c r="BP1571" i="2"/>
  <c r="BP1570" i="2"/>
  <c r="BP1569" i="2"/>
  <c r="BP1568" i="2"/>
  <c r="BP1567" i="2"/>
  <c r="BP1566" i="2"/>
  <c r="BP1565" i="2"/>
  <c r="BP1564" i="2"/>
  <c r="BP1563" i="2"/>
  <c r="BP1562" i="2"/>
  <c r="BP1561" i="2"/>
  <c r="BP1560" i="2"/>
  <c r="BP1559" i="2"/>
  <c r="BP1558" i="2"/>
  <c r="BP1557" i="2"/>
  <c r="BP1556" i="2"/>
  <c r="BP1555" i="2"/>
  <c r="BP1554" i="2"/>
  <c r="BP1553" i="2"/>
  <c r="BP1552" i="2"/>
  <c r="BP1551" i="2"/>
  <c r="BP1550" i="2"/>
  <c r="BP1549" i="2"/>
  <c r="BP1548" i="2"/>
  <c r="BP1547" i="2"/>
  <c r="BP1546" i="2"/>
  <c r="BP1545" i="2"/>
  <c r="BP1544" i="2"/>
  <c r="BP1543" i="2"/>
  <c r="BP1542" i="2"/>
  <c r="BP1541" i="2"/>
  <c r="BP1540" i="2"/>
  <c r="BP1539" i="2"/>
  <c r="BP1538" i="2"/>
  <c r="BP1537" i="2"/>
  <c r="BP1536" i="2"/>
  <c r="BP1535" i="2"/>
  <c r="BP1534" i="2"/>
  <c r="BP1533" i="2"/>
  <c r="BP1532" i="2"/>
  <c r="BP1531" i="2"/>
  <c r="BP1530" i="2"/>
  <c r="BP1529" i="2"/>
  <c r="BP1528" i="2"/>
  <c r="BP1527" i="2"/>
  <c r="BP1526" i="2"/>
  <c r="BP1525" i="2"/>
  <c r="BP1524" i="2"/>
  <c r="BP1523" i="2"/>
  <c r="BP1522" i="2"/>
  <c r="BP1521" i="2"/>
  <c r="BP1520" i="2"/>
  <c r="BP1519" i="2"/>
  <c r="BP1518" i="2"/>
  <c r="BP1517" i="2"/>
  <c r="BP1516" i="2"/>
  <c r="BP1515" i="2"/>
  <c r="BP1514" i="2"/>
  <c r="BP1513" i="2"/>
  <c r="BP1512" i="2"/>
  <c r="BP1511" i="2"/>
  <c r="BP1510" i="2"/>
  <c r="BP1509" i="2"/>
  <c r="BP1508" i="2"/>
  <c r="BP1507" i="2"/>
  <c r="BP1506" i="2"/>
  <c r="BP1505" i="2"/>
  <c r="BP1504" i="2"/>
  <c r="BP1503" i="2"/>
  <c r="BP1502" i="2"/>
  <c r="BP1501" i="2"/>
  <c r="BP1500" i="2"/>
  <c r="BP1499" i="2"/>
  <c r="BP1498" i="2"/>
  <c r="BP1497" i="2"/>
  <c r="BP1496" i="2"/>
  <c r="BP1495" i="2"/>
  <c r="BP1494" i="2"/>
  <c r="BP1493" i="2"/>
  <c r="BP1492" i="2"/>
  <c r="BP1491" i="2"/>
  <c r="BP1490" i="2"/>
  <c r="BP1489" i="2"/>
  <c r="BP1488" i="2"/>
  <c r="BP1487" i="2"/>
  <c r="BP1486" i="2"/>
  <c r="BP1485" i="2"/>
  <c r="BP1484" i="2"/>
  <c r="BP1483" i="2"/>
  <c r="BP1482" i="2"/>
  <c r="BP1481" i="2"/>
  <c r="BP1480" i="2"/>
  <c r="BP1479" i="2"/>
  <c r="BP1478" i="2"/>
  <c r="BP1477" i="2"/>
  <c r="BP1476" i="2"/>
  <c r="BP1475" i="2"/>
  <c r="BP1474" i="2"/>
  <c r="BP1473" i="2"/>
  <c r="BP1472" i="2"/>
  <c r="BP1471" i="2"/>
  <c r="BP1470" i="2"/>
  <c r="BP1469" i="2"/>
  <c r="BP1468" i="2"/>
  <c r="BP1467" i="2"/>
  <c r="BP1466" i="2"/>
  <c r="BP1465" i="2"/>
  <c r="BP1464" i="2"/>
  <c r="BP1463" i="2"/>
  <c r="BP1462" i="2"/>
  <c r="BP1461" i="2"/>
  <c r="BP1460" i="2"/>
  <c r="BP1459" i="2"/>
  <c r="BP1458" i="2"/>
  <c r="BP1457" i="2"/>
  <c r="BP1456" i="2"/>
  <c r="BP1455" i="2"/>
  <c r="BP1454" i="2"/>
  <c r="BP1453" i="2"/>
  <c r="BP1452" i="2"/>
  <c r="BP1451" i="2"/>
  <c r="BP1450" i="2"/>
  <c r="BP1449" i="2"/>
  <c r="BP1448" i="2"/>
  <c r="BP1447" i="2"/>
  <c r="BP1446" i="2"/>
  <c r="BP1445" i="2"/>
  <c r="BP1444" i="2"/>
  <c r="BP1443" i="2"/>
  <c r="BP1442" i="2"/>
  <c r="BP1441" i="2"/>
  <c r="BP1440" i="2"/>
  <c r="BP1439" i="2"/>
  <c r="BP1438" i="2"/>
  <c r="BP1437" i="2"/>
  <c r="BP1436" i="2"/>
  <c r="BP1435" i="2"/>
  <c r="BP1434" i="2"/>
  <c r="BP1433" i="2"/>
  <c r="BP1432" i="2"/>
  <c r="BP1431" i="2"/>
  <c r="BP1430" i="2"/>
  <c r="BP1429" i="2"/>
  <c r="BP1428" i="2"/>
  <c r="BP1427" i="2"/>
  <c r="BP1426" i="2"/>
  <c r="BP1425" i="2"/>
  <c r="BP1424" i="2"/>
  <c r="BP1423" i="2"/>
  <c r="BP1422" i="2"/>
  <c r="BP1421" i="2"/>
  <c r="BP1420" i="2"/>
  <c r="BP1419" i="2"/>
  <c r="BP1418" i="2"/>
  <c r="BP1417" i="2"/>
  <c r="BP1416" i="2"/>
  <c r="BP1415" i="2"/>
  <c r="BP1414" i="2"/>
  <c r="BP1413" i="2"/>
  <c r="BP1412" i="2"/>
  <c r="BP1411" i="2"/>
  <c r="BP1410" i="2"/>
  <c r="BP1409" i="2"/>
  <c r="BP1408" i="2"/>
  <c r="BP1407" i="2"/>
  <c r="BP1406" i="2"/>
  <c r="BP1405" i="2"/>
  <c r="BP1404" i="2"/>
  <c r="BP1403" i="2"/>
  <c r="BP1402" i="2"/>
  <c r="BP1401" i="2"/>
  <c r="BP1400" i="2"/>
  <c r="BP1399" i="2"/>
  <c r="BP1398" i="2"/>
  <c r="BP1397" i="2"/>
  <c r="BP1396" i="2"/>
  <c r="BP1395" i="2"/>
  <c r="BP1394" i="2"/>
  <c r="BP1393" i="2"/>
  <c r="BP1392" i="2"/>
  <c r="BP1391" i="2"/>
  <c r="BP1390" i="2"/>
  <c r="BP1389" i="2"/>
  <c r="BP1388" i="2"/>
  <c r="BP1387" i="2"/>
  <c r="BP1386" i="2"/>
  <c r="BP1385" i="2"/>
  <c r="BP1384" i="2"/>
  <c r="BP1383" i="2"/>
  <c r="BP1382" i="2"/>
  <c r="BP1381" i="2"/>
  <c r="BP1380" i="2"/>
  <c r="BP1379" i="2"/>
  <c r="BP1378" i="2"/>
  <c r="BP1377" i="2"/>
  <c r="BP1376" i="2"/>
  <c r="BP1375" i="2"/>
  <c r="BP1374" i="2"/>
  <c r="BP1373" i="2"/>
  <c r="BP1372" i="2"/>
  <c r="BP1371" i="2"/>
  <c r="BP1370" i="2"/>
  <c r="BP1369" i="2"/>
  <c r="BP1368" i="2"/>
  <c r="BP1367" i="2"/>
  <c r="BP1366" i="2"/>
  <c r="BP1365" i="2"/>
  <c r="BP1364" i="2"/>
  <c r="BP1363" i="2"/>
  <c r="BP1362" i="2"/>
  <c r="BP1361" i="2"/>
  <c r="BP1360" i="2"/>
  <c r="BP1359" i="2"/>
  <c r="BP1358" i="2"/>
  <c r="BP1357" i="2"/>
  <c r="BP1356" i="2"/>
  <c r="BP1355" i="2"/>
  <c r="BP1354" i="2"/>
  <c r="BP1353" i="2"/>
  <c r="BP1352" i="2"/>
  <c r="BP1351" i="2"/>
  <c r="BP1350" i="2"/>
  <c r="BP1349" i="2"/>
  <c r="BP1348" i="2"/>
  <c r="BP1347" i="2"/>
  <c r="BP1346" i="2"/>
  <c r="BP1345" i="2"/>
  <c r="BP1344" i="2"/>
  <c r="BP1343" i="2"/>
  <c r="BP1342" i="2"/>
  <c r="BP1341" i="2"/>
  <c r="BP1340" i="2"/>
  <c r="BP1339" i="2"/>
  <c r="BP1338" i="2"/>
  <c r="BP1337" i="2"/>
  <c r="BP1336" i="2"/>
  <c r="BP1335" i="2"/>
  <c r="BP1334" i="2"/>
  <c r="BP1333" i="2"/>
  <c r="BP1332" i="2"/>
  <c r="BP1331" i="2"/>
  <c r="BP1330" i="2"/>
  <c r="BP1329" i="2"/>
  <c r="BP1328" i="2"/>
  <c r="BP1327" i="2"/>
  <c r="BP1326" i="2"/>
  <c r="BP1325" i="2"/>
  <c r="BP1324" i="2"/>
  <c r="BP1323" i="2"/>
  <c r="BP1322" i="2"/>
  <c r="BP1321" i="2"/>
  <c r="BP1320" i="2"/>
  <c r="BP1319" i="2"/>
  <c r="BP1318" i="2"/>
  <c r="BP1317" i="2"/>
  <c r="BP1316" i="2"/>
  <c r="BP1315" i="2"/>
  <c r="BP1314" i="2"/>
  <c r="BP1313" i="2"/>
  <c r="BP1312" i="2"/>
  <c r="BP1311" i="2"/>
  <c r="BP1310" i="2"/>
  <c r="BP1309" i="2"/>
  <c r="BP1308" i="2"/>
  <c r="BP1307" i="2"/>
  <c r="BP1306" i="2"/>
  <c r="BP1305" i="2"/>
  <c r="BP1304" i="2"/>
  <c r="BP1303" i="2"/>
  <c r="BP1302" i="2"/>
  <c r="BP1301" i="2"/>
  <c r="BP1300" i="2"/>
  <c r="BP1299" i="2"/>
  <c r="BP1298" i="2"/>
  <c r="BP1297" i="2"/>
  <c r="BP1296" i="2"/>
  <c r="BP1295" i="2"/>
  <c r="BP1294" i="2"/>
  <c r="BP1293" i="2"/>
  <c r="BP1292" i="2"/>
  <c r="BP1291" i="2"/>
  <c r="BP1290" i="2"/>
  <c r="BP1289" i="2"/>
  <c r="BP1288" i="2"/>
  <c r="BP1287" i="2"/>
  <c r="BP1286" i="2"/>
  <c r="BP1285" i="2"/>
  <c r="BP1284" i="2"/>
  <c r="BP1283" i="2"/>
  <c r="BP1282" i="2"/>
  <c r="BP1281" i="2"/>
  <c r="BP1280" i="2"/>
  <c r="BP1279" i="2"/>
  <c r="BP1278" i="2"/>
  <c r="BP1277" i="2"/>
  <c r="BP1276" i="2"/>
  <c r="BP1275" i="2"/>
  <c r="BP1274" i="2"/>
  <c r="BP1273" i="2"/>
  <c r="BP1272" i="2"/>
  <c r="BP1271" i="2"/>
  <c r="BP1270" i="2"/>
  <c r="BP1269" i="2"/>
  <c r="BP1268" i="2"/>
  <c r="BP1267" i="2"/>
  <c r="BP1266" i="2"/>
  <c r="BP1265" i="2"/>
  <c r="BP1264" i="2"/>
  <c r="BP1263" i="2"/>
  <c r="BP1262" i="2"/>
  <c r="BP1261" i="2"/>
  <c r="BP1260" i="2"/>
  <c r="BP1259" i="2"/>
  <c r="BP1258" i="2"/>
  <c r="BP1257" i="2"/>
  <c r="BP1256" i="2"/>
  <c r="BP1255" i="2"/>
  <c r="BP1254" i="2"/>
  <c r="BP1253" i="2"/>
  <c r="BP1252" i="2"/>
  <c r="BP1251" i="2"/>
  <c r="BP1250" i="2"/>
  <c r="BP1249" i="2"/>
  <c r="BP1248" i="2"/>
  <c r="BP1247" i="2"/>
  <c r="BP1246" i="2"/>
  <c r="BP1245" i="2"/>
  <c r="BP1244" i="2"/>
  <c r="BP1243" i="2"/>
  <c r="BP1242" i="2"/>
  <c r="BP1241" i="2"/>
  <c r="BP1240" i="2"/>
  <c r="BP1239" i="2"/>
  <c r="BP1238" i="2"/>
  <c r="BP1237" i="2"/>
  <c r="BP1236" i="2"/>
  <c r="BP1235" i="2"/>
  <c r="BP1234" i="2"/>
  <c r="BP1233" i="2"/>
  <c r="BP1232" i="2"/>
  <c r="BP1231" i="2"/>
  <c r="BP1230" i="2"/>
  <c r="BP1229" i="2"/>
  <c r="BP1228" i="2"/>
  <c r="BP1227" i="2"/>
  <c r="BP1226" i="2"/>
  <c r="BP1225" i="2"/>
  <c r="BP1224" i="2"/>
  <c r="BP1223" i="2"/>
  <c r="BP1222" i="2"/>
  <c r="BP1221" i="2"/>
  <c r="BP1220" i="2"/>
  <c r="BP1219" i="2"/>
  <c r="BP1218" i="2"/>
  <c r="BP1217" i="2"/>
  <c r="BP1216" i="2"/>
  <c r="BP1215" i="2"/>
  <c r="BP1214" i="2"/>
  <c r="BP1213" i="2"/>
  <c r="BP1212" i="2"/>
  <c r="BP1211" i="2"/>
  <c r="BP1210" i="2"/>
  <c r="BP1209" i="2"/>
  <c r="BP1208" i="2"/>
  <c r="BP1207" i="2"/>
  <c r="BP1206" i="2"/>
  <c r="BP1205" i="2"/>
  <c r="BP1204" i="2"/>
  <c r="BP1203" i="2"/>
  <c r="BP1202" i="2"/>
  <c r="BP1201" i="2"/>
  <c r="BP1200" i="2"/>
  <c r="BP1199" i="2"/>
  <c r="BP1198" i="2"/>
  <c r="BP1197" i="2"/>
  <c r="BP1196" i="2"/>
  <c r="BP1195" i="2"/>
  <c r="BP1194" i="2"/>
  <c r="BP1193" i="2"/>
  <c r="BP1192" i="2"/>
  <c r="BP1191" i="2"/>
  <c r="BP1190" i="2"/>
  <c r="BP1189" i="2"/>
  <c r="BP1188" i="2"/>
  <c r="BP1187" i="2"/>
  <c r="BP1186" i="2"/>
  <c r="BP1185" i="2"/>
  <c r="BP1184" i="2"/>
  <c r="BP1183" i="2"/>
  <c r="BP1182" i="2"/>
  <c r="BP1181" i="2"/>
  <c r="BP1180" i="2"/>
  <c r="BP1179" i="2"/>
  <c r="BP1178" i="2"/>
  <c r="BP1177" i="2"/>
  <c r="BP1176" i="2"/>
  <c r="BP1175" i="2"/>
  <c r="BP1174" i="2"/>
  <c r="BP1173" i="2"/>
  <c r="BP1172" i="2"/>
  <c r="BP1171" i="2"/>
  <c r="BP1170" i="2"/>
  <c r="BP1169" i="2"/>
  <c r="BP1168" i="2"/>
  <c r="BP1167" i="2"/>
  <c r="BP1166" i="2"/>
  <c r="BP1165" i="2"/>
  <c r="BP1164" i="2"/>
  <c r="BP1163" i="2"/>
  <c r="BP1162" i="2"/>
  <c r="BP1161" i="2"/>
  <c r="BP1160" i="2"/>
  <c r="BP1159" i="2"/>
  <c r="BP1158" i="2"/>
  <c r="BP1157" i="2"/>
  <c r="BP1156" i="2"/>
  <c r="BP1155" i="2"/>
  <c r="BP1154" i="2"/>
  <c r="BP1153" i="2"/>
  <c r="BP1152" i="2"/>
  <c r="BP1151" i="2"/>
  <c r="BP1150" i="2"/>
  <c r="BP1149" i="2"/>
  <c r="BP1148" i="2"/>
  <c r="BP1147" i="2"/>
  <c r="BP1146" i="2"/>
  <c r="BP1145" i="2"/>
  <c r="BP1144" i="2"/>
  <c r="BP1143" i="2"/>
  <c r="BP1142" i="2"/>
  <c r="BP1141" i="2"/>
  <c r="BP1140" i="2"/>
  <c r="BP1139" i="2"/>
  <c r="BP1138" i="2"/>
  <c r="BP1137" i="2"/>
  <c r="BP1136" i="2"/>
  <c r="BP1135" i="2"/>
  <c r="BP1134" i="2"/>
  <c r="BP1133" i="2"/>
  <c r="BP1132" i="2"/>
  <c r="BP1131" i="2"/>
  <c r="BP1130" i="2"/>
  <c r="BP1129" i="2"/>
  <c r="BP1128" i="2"/>
  <c r="BP1127" i="2"/>
  <c r="BP1126" i="2"/>
  <c r="BP1125" i="2"/>
  <c r="BP1124" i="2"/>
  <c r="BP1123" i="2"/>
  <c r="BP1122" i="2"/>
  <c r="BP1121" i="2"/>
  <c r="BP1120" i="2"/>
  <c r="BP1119" i="2"/>
  <c r="BP1118" i="2"/>
  <c r="BP1117" i="2"/>
  <c r="BP1116" i="2"/>
  <c r="BP1115" i="2"/>
  <c r="BP1114" i="2"/>
  <c r="BP1113" i="2"/>
  <c r="BP1112" i="2"/>
  <c r="BP1111" i="2"/>
  <c r="BP1110" i="2"/>
  <c r="BP1109" i="2"/>
  <c r="BP1108" i="2"/>
  <c r="BP1107" i="2"/>
  <c r="BP1106" i="2"/>
  <c r="BP1105" i="2"/>
  <c r="BP1104" i="2"/>
  <c r="BP1103" i="2"/>
  <c r="BP1102" i="2"/>
  <c r="BP1101" i="2"/>
  <c r="BP1100" i="2"/>
  <c r="BP1099" i="2"/>
  <c r="BP1098" i="2"/>
  <c r="BP1097" i="2"/>
  <c r="BP1096" i="2"/>
  <c r="BP1095" i="2"/>
  <c r="BP1094" i="2"/>
  <c r="BP1093" i="2"/>
  <c r="BP1092" i="2"/>
  <c r="BP1091" i="2"/>
  <c r="BP1090" i="2"/>
  <c r="BP1089" i="2"/>
  <c r="BP1088" i="2"/>
  <c r="BP1087" i="2"/>
  <c r="BP1086" i="2"/>
  <c r="BP1085" i="2"/>
  <c r="BP1084" i="2"/>
  <c r="BP1083" i="2"/>
  <c r="BP1082" i="2"/>
  <c r="BP1081" i="2"/>
  <c r="BP1080" i="2"/>
  <c r="BP1079" i="2"/>
  <c r="BP1078" i="2"/>
  <c r="BP1077" i="2"/>
  <c r="BP1076" i="2"/>
  <c r="BP1075" i="2"/>
  <c r="BP1074" i="2"/>
  <c r="BP1073" i="2"/>
  <c r="BP1072" i="2"/>
  <c r="BP1071" i="2"/>
  <c r="BP1070" i="2"/>
  <c r="BP1069" i="2"/>
  <c r="BP1068" i="2"/>
  <c r="BP1067" i="2"/>
  <c r="BP1066" i="2"/>
  <c r="BP1065" i="2"/>
  <c r="BP1064" i="2"/>
  <c r="BP1063" i="2"/>
  <c r="BP1062" i="2"/>
  <c r="BP1061" i="2"/>
  <c r="BP1060" i="2"/>
  <c r="BP1059" i="2"/>
  <c r="BP1058" i="2"/>
  <c r="BP1057" i="2"/>
  <c r="BP1056" i="2"/>
  <c r="BP1055" i="2"/>
  <c r="BP1054" i="2"/>
  <c r="BP1053" i="2"/>
  <c r="BP1052" i="2"/>
  <c r="BP1051" i="2"/>
  <c r="BP1050" i="2"/>
  <c r="BP1049" i="2"/>
  <c r="BP1048" i="2"/>
  <c r="BP1047" i="2"/>
  <c r="BP1046" i="2"/>
  <c r="BP1045" i="2"/>
  <c r="BP1044" i="2"/>
  <c r="BP1043" i="2"/>
  <c r="BP1042" i="2"/>
  <c r="BP1041" i="2"/>
  <c r="BP1040" i="2"/>
  <c r="BP1039" i="2"/>
  <c r="BP1038" i="2"/>
  <c r="BP1037" i="2"/>
  <c r="BP1036" i="2"/>
  <c r="BP1035" i="2"/>
  <c r="BP1034" i="2"/>
  <c r="BP1033" i="2"/>
  <c r="BP1032" i="2"/>
  <c r="BP1031" i="2"/>
  <c r="BP1030" i="2"/>
  <c r="BP1029" i="2"/>
  <c r="BP1028" i="2"/>
  <c r="BP1027" i="2"/>
  <c r="BP1026" i="2"/>
  <c r="BP1025" i="2"/>
  <c r="BP1024" i="2"/>
  <c r="BP1023" i="2"/>
  <c r="BP1022" i="2"/>
  <c r="BP1021" i="2"/>
  <c r="BP1020" i="2"/>
  <c r="BP1019" i="2"/>
  <c r="BP1018" i="2"/>
  <c r="BP1017" i="2"/>
  <c r="BP1016" i="2"/>
  <c r="BP1015" i="2"/>
  <c r="BP1014" i="2"/>
  <c r="BP1013" i="2"/>
  <c r="BP1012" i="2"/>
  <c r="BP1011" i="2"/>
  <c r="BP1010" i="2"/>
  <c r="BP1009" i="2"/>
  <c r="BP1008" i="2"/>
  <c r="BP1007" i="2"/>
  <c r="BP1006" i="2"/>
  <c r="BP1005" i="2"/>
  <c r="BP1004" i="2"/>
  <c r="BP1003" i="2"/>
  <c r="BP1002" i="2"/>
  <c r="BP1001" i="2"/>
  <c r="BP1000" i="2"/>
  <c r="BP999" i="2"/>
  <c r="BP998" i="2"/>
  <c r="BP997" i="2"/>
  <c r="BP996" i="2"/>
  <c r="BP995" i="2"/>
  <c r="BP994" i="2"/>
  <c r="BP993" i="2"/>
  <c r="BP992" i="2"/>
  <c r="BP991" i="2"/>
  <c r="BP990" i="2"/>
  <c r="BP989" i="2"/>
  <c r="BP988" i="2"/>
  <c r="BP987" i="2"/>
  <c r="BP986" i="2"/>
  <c r="BP985" i="2"/>
  <c r="BP984" i="2"/>
  <c r="BP983" i="2"/>
  <c r="BP982" i="2"/>
  <c r="BP981" i="2"/>
  <c r="BP980" i="2"/>
  <c r="BP979" i="2"/>
  <c r="BP978" i="2"/>
  <c r="BP977" i="2"/>
  <c r="BP976" i="2"/>
  <c r="BP975" i="2"/>
  <c r="BP974" i="2"/>
  <c r="BP973" i="2"/>
  <c r="BP972" i="2"/>
  <c r="BP971" i="2"/>
  <c r="BP970" i="2"/>
  <c r="BP969" i="2"/>
  <c r="BP968" i="2"/>
  <c r="BP967" i="2"/>
  <c r="BP966" i="2"/>
  <c r="BP965" i="2"/>
  <c r="BP964" i="2"/>
  <c r="BP963" i="2"/>
  <c r="BP962" i="2"/>
  <c r="BP961" i="2"/>
  <c r="BP960" i="2"/>
  <c r="BP959" i="2"/>
  <c r="BP958" i="2"/>
  <c r="BP957" i="2"/>
  <c r="BP956" i="2"/>
  <c r="BP955" i="2"/>
  <c r="BP954" i="2"/>
  <c r="BP953" i="2"/>
  <c r="BP952" i="2"/>
  <c r="BP951" i="2"/>
  <c r="BP950" i="2"/>
  <c r="BP949" i="2"/>
  <c r="BP948" i="2"/>
  <c r="BP947" i="2"/>
  <c r="BP946" i="2"/>
  <c r="BP945" i="2"/>
  <c r="BP944" i="2"/>
  <c r="BP943" i="2"/>
  <c r="BP942" i="2"/>
  <c r="BP941" i="2"/>
  <c r="BP940" i="2"/>
  <c r="BP939" i="2"/>
  <c r="BP938" i="2"/>
  <c r="BP937" i="2"/>
  <c r="BP936" i="2"/>
  <c r="BP935" i="2"/>
  <c r="BP934" i="2"/>
  <c r="BP933" i="2"/>
  <c r="BP932" i="2"/>
  <c r="BP931" i="2"/>
  <c r="BP930" i="2"/>
  <c r="BP929" i="2"/>
  <c r="BP928" i="2"/>
  <c r="BP927" i="2"/>
  <c r="BP926" i="2"/>
  <c r="BP925" i="2"/>
  <c r="BP924" i="2"/>
  <c r="BP923" i="2"/>
  <c r="BP922" i="2"/>
  <c r="BP921" i="2"/>
  <c r="BP920" i="2"/>
  <c r="BP919" i="2"/>
  <c r="BP918" i="2"/>
  <c r="BP917" i="2"/>
  <c r="BP916" i="2"/>
  <c r="BP915" i="2"/>
  <c r="BP914" i="2"/>
  <c r="BP913" i="2"/>
  <c r="BP912" i="2"/>
  <c r="BP911" i="2"/>
  <c r="BP910" i="2"/>
  <c r="BP909" i="2"/>
  <c r="BP908" i="2"/>
  <c r="BP907" i="2"/>
  <c r="BP906" i="2"/>
  <c r="BP905" i="2"/>
  <c r="BP904" i="2"/>
  <c r="BP903" i="2"/>
  <c r="BP902" i="2"/>
  <c r="BP901" i="2"/>
  <c r="BP900" i="2"/>
  <c r="BP899" i="2"/>
  <c r="BP898" i="2"/>
  <c r="BP897" i="2"/>
  <c r="BP896" i="2"/>
  <c r="BP895" i="2"/>
  <c r="BP894" i="2"/>
  <c r="BP893" i="2"/>
  <c r="BP892" i="2"/>
  <c r="BP891" i="2"/>
  <c r="BP890" i="2"/>
  <c r="BP889" i="2"/>
  <c r="BP888" i="2"/>
  <c r="BP887" i="2"/>
  <c r="BP886" i="2"/>
  <c r="BP885" i="2"/>
  <c r="BP884" i="2"/>
  <c r="BP883" i="2"/>
  <c r="BP882" i="2"/>
  <c r="BP881" i="2"/>
  <c r="BP880" i="2"/>
  <c r="BP879" i="2"/>
  <c r="BP878" i="2"/>
  <c r="BP877" i="2"/>
  <c r="BP876" i="2"/>
  <c r="BP875" i="2"/>
  <c r="BP874" i="2"/>
  <c r="BP873" i="2"/>
  <c r="BP872" i="2"/>
  <c r="BP871" i="2"/>
  <c r="BP870" i="2"/>
  <c r="BP869" i="2"/>
  <c r="BP868" i="2"/>
  <c r="BP867" i="2"/>
  <c r="BP866" i="2"/>
  <c r="BP865" i="2"/>
  <c r="BP864" i="2"/>
  <c r="BP863" i="2"/>
  <c r="BP862" i="2"/>
  <c r="BP861" i="2"/>
  <c r="BP860" i="2"/>
  <c r="BP859" i="2"/>
  <c r="BP858" i="2"/>
  <c r="BP857" i="2"/>
  <c r="BP856" i="2"/>
  <c r="BP855" i="2"/>
  <c r="BP854" i="2"/>
  <c r="BP853" i="2"/>
  <c r="BP852" i="2"/>
  <c r="BP851" i="2"/>
  <c r="BP850" i="2"/>
  <c r="BP849" i="2"/>
  <c r="BP848" i="2"/>
  <c r="BP847" i="2"/>
  <c r="BP846" i="2"/>
  <c r="BP845" i="2"/>
  <c r="BP844" i="2"/>
  <c r="BP843" i="2"/>
  <c r="BP842" i="2"/>
  <c r="BP841" i="2"/>
  <c r="BP840" i="2"/>
  <c r="BP839" i="2"/>
  <c r="BP838" i="2"/>
  <c r="BP837" i="2"/>
  <c r="BP836" i="2"/>
  <c r="BP835" i="2"/>
  <c r="BP834" i="2"/>
  <c r="BP833" i="2"/>
  <c r="BP832" i="2"/>
  <c r="BP831" i="2"/>
  <c r="BP830" i="2"/>
  <c r="BP829" i="2"/>
  <c r="BP828" i="2"/>
  <c r="BP827" i="2"/>
  <c r="BP826" i="2"/>
  <c r="BP825" i="2"/>
  <c r="BP824" i="2"/>
  <c r="BP823" i="2"/>
  <c r="BP822" i="2"/>
  <c r="BP821" i="2"/>
  <c r="BP820" i="2"/>
  <c r="BP819" i="2"/>
  <c r="BP818" i="2"/>
  <c r="BP817" i="2"/>
  <c r="BP816" i="2"/>
  <c r="BP815" i="2"/>
  <c r="BP814" i="2"/>
  <c r="BP813" i="2"/>
  <c r="BP812" i="2"/>
  <c r="BP811" i="2"/>
  <c r="BP810" i="2"/>
  <c r="BP809" i="2"/>
  <c r="BP808" i="2"/>
  <c r="BP807" i="2"/>
  <c r="BP806" i="2"/>
  <c r="BP805" i="2"/>
  <c r="BP804" i="2"/>
  <c r="BP803" i="2"/>
  <c r="BP802" i="2"/>
  <c r="BP801" i="2"/>
  <c r="BP800" i="2"/>
  <c r="BP799" i="2"/>
  <c r="BP798" i="2"/>
  <c r="BP797" i="2"/>
  <c r="BP796" i="2"/>
  <c r="BP795" i="2"/>
  <c r="BP794" i="2"/>
  <c r="BP793" i="2"/>
  <c r="BP792" i="2"/>
  <c r="BP791" i="2"/>
  <c r="BP790" i="2"/>
  <c r="BP789" i="2"/>
  <c r="BP788" i="2"/>
  <c r="BP787" i="2"/>
  <c r="BP786" i="2"/>
  <c r="BP785" i="2"/>
  <c r="BP784" i="2"/>
  <c r="BP783" i="2"/>
  <c r="BP782" i="2"/>
  <c r="BP781" i="2"/>
  <c r="BP780" i="2"/>
  <c r="BP779" i="2"/>
  <c r="BP778" i="2"/>
  <c r="BP777" i="2"/>
  <c r="BP776" i="2"/>
  <c r="BP775" i="2"/>
  <c r="BP774" i="2"/>
  <c r="BP773" i="2"/>
  <c r="BP772" i="2"/>
  <c r="BP771" i="2"/>
  <c r="BP770" i="2"/>
  <c r="BP769" i="2"/>
  <c r="BP768" i="2"/>
  <c r="BP767" i="2"/>
  <c r="BP766" i="2"/>
  <c r="BP765" i="2"/>
  <c r="BP764" i="2"/>
  <c r="BP763" i="2"/>
  <c r="BP762" i="2"/>
  <c r="BP761" i="2"/>
  <c r="BP760" i="2"/>
  <c r="BP759" i="2"/>
  <c r="BP758" i="2"/>
  <c r="BP757" i="2"/>
  <c r="BP756" i="2"/>
  <c r="BP755" i="2"/>
  <c r="BP754" i="2"/>
  <c r="BP753" i="2"/>
  <c r="BP752" i="2"/>
  <c r="BP751" i="2"/>
  <c r="BP750" i="2"/>
  <c r="BP749" i="2"/>
  <c r="BP748" i="2"/>
  <c r="BP747" i="2"/>
  <c r="BP746" i="2"/>
  <c r="BP745" i="2"/>
  <c r="BP744" i="2"/>
  <c r="BP743" i="2"/>
  <c r="BP742" i="2"/>
  <c r="BP741" i="2"/>
  <c r="BP740" i="2"/>
  <c r="BP739" i="2"/>
  <c r="BP738" i="2"/>
  <c r="BP737" i="2"/>
  <c r="BP736" i="2"/>
  <c r="BP735" i="2"/>
  <c r="BP734" i="2"/>
  <c r="BP733" i="2"/>
  <c r="BP732" i="2"/>
  <c r="BP731" i="2"/>
  <c r="BP730" i="2"/>
  <c r="BP729" i="2"/>
  <c r="BP728" i="2"/>
  <c r="BP727" i="2"/>
  <c r="BP726" i="2"/>
  <c r="BP725" i="2"/>
  <c r="BP724" i="2"/>
  <c r="BP723" i="2"/>
  <c r="BP722" i="2"/>
  <c r="BP721" i="2"/>
  <c r="BP720" i="2"/>
  <c r="BP719" i="2"/>
  <c r="BP718" i="2"/>
  <c r="BP717" i="2"/>
  <c r="BP716" i="2"/>
  <c r="BP715" i="2"/>
  <c r="BP714" i="2"/>
  <c r="BP713" i="2"/>
  <c r="BP712" i="2"/>
  <c r="BP711" i="2"/>
  <c r="BP710" i="2"/>
  <c r="BP709" i="2"/>
  <c r="BP708" i="2"/>
  <c r="BP707" i="2"/>
  <c r="BP706" i="2"/>
  <c r="BP705" i="2"/>
  <c r="BP704" i="2"/>
  <c r="BP703" i="2"/>
  <c r="BP702" i="2"/>
  <c r="BP701" i="2"/>
  <c r="BP700" i="2"/>
  <c r="BP699" i="2"/>
  <c r="BP698" i="2"/>
  <c r="BP697" i="2"/>
  <c r="BP696" i="2"/>
  <c r="BP695" i="2"/>
  <c r="BP694" i="2"/>
  <c r="BP693" i="2"/>
  <c r="BP692" i="2"/>
  <c r="BP691" i="2"/>
  <c r="BP690" i="2"/>
  <c r="BP689" i="2"/>
  <c r="BP688" i="2"/>
  <c r="BP687" i="2"/>
  <c r="BP686" i="2"/>
  <c r="BP685" i="2"/>
  <c r="BP684" i="2"/>
  <c r="BP683" i="2"/>
  <c r="BP682" i="2"/>
  <c r="BP681" i="2"/>
  <c r="BP680" i="2"/>
  <c r="BP679" i="2"/>
  <c r="BP678" i="2"/>
  <c r="BP677" i="2"/>
  <c r="BP676" i="2"/>
  <c r="BP675" i="2"/>
  <c r="BP674" i="2"/>
  <c r="BP673" i="2"/>
  <c r="BP672" i="2"/>
  <c r="BP671" i="2"/>
  <c r="BP670" i="2"/>
  <c r="BP669" i="2"/>
  <c r="BP668" i="2"/>
  <c r="BP667" i="2"/>
  <c r="BP666" i="2"/>
  <c r="BP665" i="2"/>
  <c r="BP664" i="2"/>
  <c r="BP663" i="2"/>
  <c r="BP662" i="2"/>
  <c r="BP661" i="2"/>
  <c r="BP660" i="2"/>
  <c r="BP659" i="2"/>
  <c r="BP658" i="2"/>
  <c r="BP657" i="2"/>
  <c r="BP656" i="2"/>
  <c r="BP655" i="2"/>
  <c r="BP654" i="2"/>
  <c r="BP653" i="2"/>
  <c r="BP652" i="2"/>
  <c r="BP651" i="2"/>
  <c r="BP650" i="2"/>
  <c r="BP649" i="2"/>
  <c r="BP648" i="2"/>
  <c r="BP647" i="2"/>
  <c r="BP646" i="2"/>
  <c r="BP645" i="2"/>
  <c r="BP644" i="2"/>
  <c r="BP643" i="2"/>
  <c r="BP642" i="2"/>
  <c r="BP641" i="2"/>
  <c r="BP640" i="2"/>
  <c r="BP639" i="2"/>
  <c r="BP638" i="2"/>
  <c r="BP637" i="2"/>
  <c r="BP636" i="2"/>
  <c r="BP635" i="2"/>
  <c r="BP634" i="2"/>
  <c r="BP633" i="2"/>
  <c r="BP632" i="2"/>
  <c r="BP631" i="2"/>
  <c r="BP630" i="2"/>
  <c r="BP629" i="2"/>
  <c r="BP628" i="2"/>
  <c r="BP627" i="2"/>
  <c r="BP626" i="2"/>
  <c r="BP625" i="2"/>
  <c r="BP624" i="2"/>
  <c r="BP623" i="2"/>
  <c r="BP622" i="2"/>
  <c r="BP621" i="2"/>
  <c r="BP620" i="2"/>
  <c r="BP619" i="2"/>
  <c r="BP618" i="2"/>
  <c r="BP617" i="2"/>
  <c r="BP616" i="2"/>
  <c r="BP615" i="2"/>
  <c r="BP614" i="2"/>
  <c r="BP613" i="2"/>
  <c r="BP612" i="2"/>
  <c r="BP611" i="2"/>
  <c r="BP610" i="2"/>
  <c r="BP609" i="2"/>
  <c r="BP608" i="2"/>
  <c r="BP607" i="2"/>
  <c r="BP606" i="2"/>
  <c r="BP605" i="2"/>
  <c r="BP604" i="2"/>
  <c r="BP603" i="2"/>
  <c r="BP602" i="2"/>
  <c r="BP601" i="2"/>
  <c r="BP600" i="2"/>
  <c r="BP599" i="2"/>
  <c r="BP598" i="2"/>
  <c r="BP597" i="2"/>
  <c r="BP596" i="2"/>
  <c r="BP595" i="2"/>
  <c r="BP594" i="2"/>
  <c r="BP593" i="2"/>
  <c r="BP592" i="2"/>
  <c r="BP591" i="2"/>
  <c r="BP590" i="2"/>
  <c r="BP589" i="2"/>
  <c r="BP588" i="2"/>
  <c r="BP587" i="2"/>
  <c r="BP586" i="2"/>
  <c r="BP585" i="2"/>
  <c r="BP584" i="2"/>
  <c r="BP583" i="2"/>
  <c r="BP582" i="2"/>
  <c r="BP581" i="2"/>
  <c r="BP580" i="2"/>
  <c r="BP579" i="2"/>
  <c r="BP578" i="2"/>
  <c r="BP577" i="2"/>
  <c r="BP576" i="2"/>
  <c r="BP575" i="2"/>
  <c r="BP574" i="2"/>
  <c r="BP573" i="2"/>
  <c r="BP572" i="2"/>
  <c r="BP571" i="2"/>
  <c r="BP570" i="2"/>
  <c r="BP569" i="2"/>
  <c r="BP568" i="2"/>
  <c r="BP567" i="2"/>
  <c r="BP566" i="2"/>
  <c r="BP565" i="2"/>
  <c r="BP564" i="2"/>
  <c r="BP563" i="2"/>
  <c r="BP562" i="2"/>
  <c r="BP561" i="2"/>
  <c r="BP560" i="2"/>
  <c r="BP559" i="2"/>
  <c r="BP558" i="2"/>
  <c r="BP557" i="2"/>
  <c r="BP556" i="2"/>
  <c r="BP555" i="2"/>
  <c r="BP554" i="2"/>
  <c r="BP553" i="2"/>
  <c r="BP552" i="2"/>
  <c r="BP551" i="2"/>
  <c r="BP550" i="2"/>
  <c r="BP549" i="2"/>
  <c r="BP548" i="2"/>
  <c r="BP547" i="2"/>
  <c r="BP546" i="2"/>
  <c r="BP545" i="2"/>
  <c r="BP544" i="2"/>
  <c r="BP543" i="2"/>
  <c r="BP542" i="2"/>
  <c r="BP541" i="2"/>
  <c r="BP540" i="2"/>
  <c r="BP539" i="2"/>
  <c r="BP538" i="2"/>
  <c r="BP537" i="2"/>
  <c r="BP536" i="2"/>
  <c r="BP535" i="2"/>
  <c r="BP534" i="2"/>
  <c r="BP533" i="2"/>
  <c r="BP532" i="2"/>
  <c r="BP531" i="2"/>
  <c r="BP530" i="2"/>
  <c r="BP529" i="2"/>
  <c r="BP528" i="2"/>
  <c r="BP527" i="2"/>
  <c r="BP526" i="2"/>
  <c r="BP525" i="2"/>
  <c r="BP524" i="2"/>
  <c r="BP523" i="2"/>
  <c r="BP522" i="2"/>
  <c r="BP521" i="2"/>
  <c r="BP520" i="2"/>
  <c r="BP519" i="2"/>
  <c r="BP518" i="2"/>
  <c r="BP517" i="2"/>
  <c r="BP516" i="2"/>
  <c r="BP515" i="2"/>
  <c r="BP514" i="2"/>
  <c r="BP513" i="2"/>
  <c r="BP512" i="2"/>
  <c r="BP511" i="2"/>
  <c r="BP510" i="2"/>
  <c r="BP509" i="2"/>
  <c r="BP508" i="2"/>
  <c r="BP507" i="2"/>
  <c r="BP506" i="2"/>
  <c r="BP505" i="2"/>
  <c r="BP504" i="2"/>
  <c r="BP503" i="2"/>
  <c r="BP502" i="2"/>
  <c r="BP501" i="2"/>
  <c r="BP500" i="2"/>
  <c r="BP499" i="2"/>
  <c r="BP498" i="2"/>
  <c r="BP497" i="2"/>
  <c r="BP496" i="2"/>
  <c r="BP495" i="2"/>
  <c r="BP494" i="2"/>
  <c r="BP493" i="2"/>
  <c r="BP492" i="2"/>
  <c r="BP491" i="2"/>
  <c r="BP490" i="2"/>
  <c r="BP489" i="2"/>
  <c r="BP488" i="2"/>
  <c r="BP487" i="2"/>
  <c r="BP486" i="2"/>
  <c r="BP485" i="2"/>
  <c r="BP484" i="2"/>
  <c r="BP483" i="2"/>
  <c r="BP482" i="2"/>
  <c r="BP481" i="2"/>
  <c r="BP480" i="2"/>
  <c r="BP479" i="2"/>
  <c r="BP478" i="2"/>
  <c r="BP477" i="2"/>
  <c r="BP476" i="2"/>
  <c r="BP475" i="2"/>
  <c r="BP474" i="2"/>
  <c r="BP473" i="2"/>
  <c r="BP472" i="2"/>
  <c r="BP471" i="2"/>
  <c r="BP470" i="2"/>
  <c r="BP469" i="2"/>
  <c r="BP468" i="2"/>
  <c r="BP467" i="2"/>
  <c r="BP466" i="2"/>
  <c r="BP465" i="2"/>
  <c r="BP464" i="2"/>
  <c r="BP463" i="2"/>
  <c r="BP462" i="2"/>
  <c r="BP461" i="2"/>
  <c r="BP460" i="2"/>
  <c r="BP459" i="2"/>
  <c r="BP458" i="2"/>
  <c r="BP457" i="2"/>
  <c r="BP456" i="2"/>
  <c r="BP455" i="2"/>
  <c r="BP454" i="2"/>
  <c r="BP453" i="2"/>
  <c r="BP452" i="2"/>
  <c r="BP451" i="2"/>
  <c r="BP450" i="2"/>
  <c r="BP449" i="2"/>
  <c r="BP448" i="2"/>
  <c r="BP447" i="2"/>
  <c r="BP446" i="2"/>
  <c r="BP445" i="2"/>
  <c r="BP444" i="2"/>
  <c r="BP443" i="2"/>
  <c r="BP442" i="2"/>
  <c r="BP441" i="2"/>
  <c r="BP440" i="2"/>
  <c r="BP439" i="2"/>
  <c r="BP438" i="2"/>
  <c r="BP437" i="2"/>
  <c r="BP436" i="2"/>
  <c r="BP435" i="2"/>
  <c r="BP434" i="2"/>
  <c r="BP433" i="2"/>
  <c r="BP432" i="2"/>
  <c r="BP431" i="2"/>
  <c r="BP430" i="2"/>
  <c r="BP429" i="2"/>
  <c r="BP428" i="2"/>
  <c r="BP427" i="2"/>
  <c r="BP426" i="2"/>
  <c r="BP425" i="2"/>
  <c r="BP424" i="2"/>
  <c r="BP423" i="2"/>
  <c r="BP422" i="2"/>
  <c r="BP421" i="2"/>
  <c r="BP420" i="2"/>
  <c r="BP419" i="2"/>
  <c r="BP418" i="2"/>
  <c r="BP417" i="2"/>
  <c r="BP416" i="2"/>
  <c r="BP415" i="2"/>
  <c r="BP414" i="2"/>
  <c r="BP413" i="2"/>
  <c r="BP412" i="2"/>
  <c r="BP411" i="2"/>
  <c r="BP410" i="2"/>
  <c r="BP409" i="2"/>
  <c r="BP408" i="2"/>
  <c r="BP407" i="2"/>
  <c r="BP406" i="2"/>
  <c r="BP405" i="2"/>
  <c r="BP404" i="2"/>
  <c r="BP403" i="2"/>
  <c r="BP402" i="2"/>
  <c r="BP401" i="2"/>
  <c r="BP400" i="2"/>
  <c r="BP399" i="2"/>
  <c r="BP398" i="2"/>
  <c r="BP397" i="2"/>
  <c r="BP396" i="2"/>
  <c r="BP395" i="2"/>
  <c r="BP394" i="2"/>
  <c r="BP393" i="2"/>
  <c r="BP392" i="2"/>
  <c r="BP391" i="2"/>
  <c r="BP390" i="2"/>
  <c r="BP389" i="2"/>
  <c r="BP388" i="2"/>
  <c r="BP387" i="2"/>
  <c r="BP386" i="2"/>
  <c r="BP385" i="2"/>
  <c r="BP384" i="2"/>
  <c r="BP383" i="2"/>
  <c r="BP382" i="2"/>
  <c r="BP381" i="2"/>
  <c r="BP380" i="2"/>
  <c r="BP379" i="2"/>
  <c r="BP378" i="2"/>
  <c r="BP377" i="2"/>
  <c r="BP376" i="2"/>
  <c r="BP375" i="2"/>
  <c r="BP374" i="2"/>
  <c r="BP373" i="2"/>
  <c r="BP372" i="2"/>
  <c r="BP371" i="2"/>
  <c r="BP370" i="2"/>
  <c r="BP369" i="2"/>
  <c r="BP368" i="2"/>
  <c r="BP367" i="2"/>
  <c r="BP366" i="2"/>
  <c r="BP365" i="2"/>
  <c r="BP364" i="2"/>
  <c r="BP363" i="2"/>
  <c r="BP362" i="2"/>
  <c r="BP361" i="2"/>
  <c r="BP360" i="2"/>
  <c r="BP359" i="2"/>
  <c r="BP358" i="2"/>
  <c r="BP356" i="2"/>
  <c r="BP355" i="2"/>
  <c r="BP352" i="2"/>
  <c r="BP351" i="2"/>
  <c r="BP348" i="2"/>
  <c r="BP347" i="2"/>
  <c r="BP344" i="2"/>
  <c r="BP343" i="2"/>
  <c r="BP340" i="2"/>
  <c r="BP339" i="2"/>
  <c r="BP336" i="2"/>
  <c r="BP335" i="2"/>
  <c r="BP332" i="2"/>
  <c r="BP331" i="2"/>
  <c r="BP328" i="2"/>
  <c r="BP327" i="2"/>
  <c r="BP324" i="2"/>
  <c r="BP323" i="2"/>
  <c r="BP320" i="2"/>
  <c r="BP319" i="2"/>
  <c r="BP316" i="2"/>
  <c r="BP315" i="2"/>
  <c r="BP312" i="2"/>
  <c r="BP311" i="2"/>
  <c r="BP308" i="2"/>
  <c r="BP307" i="2"/>
  <c r="BP304" i="2"/>
  <c r="BP303" i="2"/>
  <c r="BP300" i="2"/>
  <c r="BP299" i="2"/>
  <c r="BP296" i="2"/>
  <c r="BP295" i="2"/>
  <c r="BP292" i="2"/>
  <c r="BP291" i="2"/>
  <c r="BP288" i="2"/>
  <c r="BP287" i="2"/>
  <c r="BP285" i="2"/>
  <c r="BP284" i="2"/>
  <c r="BP283" i="2"/>
  <c r="BP282" i="2"/>
  <c r="BP281" i="2"/>
  <c r="BP280" i="2"/>
  <c r="BP279" i="2"/>
  <c r="BP278" i="2"/>
  <c r="BP277" i="2"/>
  <c r="BP276" i="2"/>
  <c r="BP275" i="2"/>
  <c r="BP274" i="2"/>
  <c r="BP273" i="2"/>
  <c r="BP272" i="2"/>
  <c r="BP271" i="2"/>
  <c r="BP270" i="2"/>
  <c r="BP269" i="2"/>
  <c r="BP268" i="2"/>
  <c r="BP267" i="2"/>
  <c r="BP266" i="2"/>
  <c r="BP265" i="2"/>
  <c r="BP264" i="2"/>
  <c r="BP263" i="2"/>
  <c r="BP262" i="2"/>
  <c r="BP261" i="2"/>
  <c r="BP260" i="2"/>
  <c r="BP259" i="2"/>
  <c r="BP258" i="2"/>
  <c r="BP257" i="2"/>
  <c r="BP256" i="2"/>
  <c r="BP255" i="2"/>
  <c r="BP254" i="2"/>
  <c r="BP253" i="2"/>
  <c r="BP252" i="2"/>
  <c r="BP251" i="2"/>
  <c r="BP250" i="2"/>
  <c r="BP249" i="2"/>
  <c r="BP248" i="2"/>
  <c r="BP247" i="2"/>
  <c r="BP246" i="2"/>
  <c r="BP245" i="2"/>
  <c r="BP244" i="2"/>
  <c r="BP243" i="2"/>
  <c r="BP242" i="2"/>
  <c r="BP241" i="2"/>
  <c r="BP240" i="2"/>
  <c r="BP239" i="2"/>
  <c r="BP238" i="2"/>
  <c r="BP237" i="2"/>
  <c r="BP236" i="2"/>
  <c r="BP235" i="2"/>
  <c r="BP234" i="2"/>
  <c r="BP233" i="2"/>
  <c r="BP232" i="2"/>
  <c r="BP231" i="2"/>
  <c r="BP230" i="2"/>
  <c r="BP229" i="2"/>
  <c r="BP228" i="2"/>
  <c r="BP227" i="2"/>
  <c r="BP226" i="2"/>
  <c r="BP225" i="2"/>
  <c r="BP224" i="2"/>
  <c r="BP223" i="2"/>
  <c r="BP222" i="2"/>
  <c r="BP221" i="2"/>
  <c r="BP220" i="2"/>
  <c r="BP219" i="2"/>
  <c r="BP218" i="2"/>
  <c r="BP217" i="2"/>
  <c r="BP216" i="2"/>
  <c r="BP215" i="2"/>
  <c r="BP214" i="2"/>
  <c r="BP213" i="2"/>
  <c r="BP212" i="2"/>
  <c r="BP211" i="2"/>
  <c r="BP210" i="2"/>
  <c r="BP209" i="2"/>
  <c r="BP208" i="2"/>
  <c r="BP207" i="2"/>
  <c r="BP206" i="2"/>
  <c r="BP205" i="2"/>
  <c r="BP204" i="2"/>
  <c r="BP203" i="2"/>
  <c r="BP202" i="2"/>
  <c r="BP200" i="2"/>
  <c r="BP199" i="2"/>
  <c r="BP197" i="2"/>
  <c r="BP195" i="2"/>
  <c r="BP194" i="2"/>
  <c r="BP193" i="2"/>
  <c r="BP192" i="2"/>
  <c r="BP191" i="2"/>
  <c r="BP190" i="2"/>
  <c r="BP189" i="2"/>
  <c r="BP188" i="2"/>
  <c r="BP187" i="2"/>
  <c r="BP186" i="2"/>
  <c r="BP184" i="2"/>
  <c r="BP183" i="2"/>
  <c r="BP181" i="2"/>
  <c r="BP179" i="2"/>
  <c r="BP178" i="2"/>
  <c r="BP177" i="2"/>
  <c r="BP176" i="2"/>
  <c r="BP175" i="2"/>
  <c r="BP174" i="2"/>
  <c r="BP173" i="2"/>
  <c r="BP172" i="2"/>
  <c r="BP171" i="2"/>
  <c r="BP170" i="2"/>
  <c r="BP168" i="2"/>
  <c r="BP167" i="2"/>
  <c r="BP165" i="2"/>
  <c r="BP163" i="2"/>
  <c r="BP162" i="2"/>
  <c r="BP161" i="2"/>
  <c r="BP160" i="2"/>
  <c r="BP159" i="2"/>
  <c r="BP158" i="2"/>
  <c r="BP157" i="2"/>
  <c r="BP156" i="2"/>
  <c r="BP155" i="2"/>
  <c r="BP154" i="2"/>
  <c r="BP153" i="2"/>
  <c r="BP152" i="2"/>
  <c r="BP151" i="2"/>
  <c r="BP149" i="2"/>
  <c r="BP148" i="2"/>
  <c r="BP146" i="2"/>
  <c r="BP144" i="2"/>
  <c r="BP143" i="2"/>
  <c r="BP142" i="2"/>
  <c r="BP141" i="2"/>
  <c r="BP140" i="2"/>
  <c r="BP139" i="2"/>
  <c r="BP138" i="2"/>
  <c r="BP137" i="2"/>
  <c r="BP136" i="2"/>
  <c r="BP135" i="2"/>
  <c r="BP133" i="2"/>
  <c r="BP132" i="2"/>
  <c r="BP131" i="2"/>
  <c r="BP130" i="2"/>
  <c r="BP129" i="2"/>
  <c r="BP128" i="2"/>
  <c r="BP127" i="2"/>
  <c r="BP125" i="2"/>
  <c r="BP124" i="2"/>
  <c r="BP123" i="2"/>
  <c r="BP122" i="2"/>
  <c r="BP121" i="2"/>
  <c r="BP120" i="2"/>
  <c r="BP119" i="2"/>
  <c r="BP117" i="2"/>
  <c r="BP116" i="2"/>
  <c r="BP115" i="2"/>
  <c r="BP114" i="2"/>
  <c r="BP113" i="2"/>
  <c r="BP112" i="2"/>
  <c r="BP111" i="2"/>
  <c r="BP110" i="2"/>
  <c r="BP109" i="2"/>
  <c r="BP108" i="2"/>
  <c r="BP107" i="2"/>
  <c r="BP105" i="2"/>
  <c r="BP104" i="2"/>
  <c r="BP103" i="2"/>
  <c r="BP102" i="2"/>
  <c r="BP101" i="2"/>
  <c r="BP100" i="2"/>
  <c r="BP99" i="2"/>
  <c r="BP98" i="2"/>
  <c r="BP97" i="2"/>
  <c r="BP96" i="2"/>
  <c r="BP95" i="2"/>
  <c r="BP94" i="2"/>
  <c r="BP93" i="2"/>
  <c r="BP92" i="2"/>
  <c r="BP91" i="2"/>
  <c r="BP90" i="2"/>
  <c r="BP89" i="2"/>
  <c r="BP88" i="2"/>
  <c r="BP87" i="2"/>
  <c r="BP86" i="2"/>
  <c r="BP85" i="2"/>
  <c r="BP84" i="2"/>
  <c r="BP83" i="2"/>
  <c r="BP82" i="2"/>
  <c r="BP81" i="2"/>
  <c r="BP80" i="2"/>
  <c r="BP79" i="2"/>
  <c r="BP77" i="2"/>
  <c r="BP76" i="2"/>
  <c r="BP75" i="2"/>
  <c r="BP74" i="2"/>
  <c r="BP73" i="2"/>
  <c r="BP72" i="2"/>
  <c r="BP71" i="2"/>
  <c r="BP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BP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P44" i="2"/>
  <c r="BP42" i="2"/>
  <c r="BP41" i="2"/>
  <c r="BP40" i="2"/>
  <c r="BP39" i="2"/>
  <c r="BP38" i="2"/>
  <c r="BP37" i="2"/>
  <c r="BP36" i="2"/>
  <c r="BP35" i="2"/>
  <c r="BP33" i="2"/>
  <c r="BP32" i="2"/>
  <c r="BP31" i="2"/>
  <c r="BP30" i="2"/>
  <c r="BP28" i="2"/>
  <c r="BP27" i="2"/>
  <c r="BP25" i="2"/>
  <c r="BP24" i="2"/>
  <c r="BP23" i="2"/>
  <c r="BP22" i="2"/>
  <c r="BP21" i="2"/>
  <c r="BP20" i="2"/>
  <c r="BP19" i="2"/>
  <c r="BP18" i="2"/>
  <c r="BP17" i="2"/>
  <c r="BP15" i="2"/>
  <c r="BP13" i="2"/>
  <c r="BP12" i="2"/>
  <c r="BP11" i="2"/>
  <c r="BP10" i="2"/>
  <c r="BP9" i="2"/>
  <c r="BP8" i="2"/>
  <c r="BO2008" i="2"/>
  <c r="BO2007" i="2"/>
  <c r="BO2006" i="2"/>
  <c r="BO2005" i="2"/>
  <c r="BO2004" i="2"/>
  <c r="BO2003" i="2"/>
  <c r="BO2002" i="2"/>
  <c r="BO2001" i="2"/>
  <c r="BO2000" i="2"/>
  <c r="BO1999" i="2"/>
  <c r="BO1998" i="2"/>
  <c r="BO1997" i="2"/>
  <c r="BO1996" i="2"/>
  <c r="BO1995" i="2"/>
  <c r="BO1994" i="2"/>
  <c r="BO1993" i="2"/>
  <c r="BO1992" i="2"/>
  <c r="BO1991" i="2"/>
  <c r="BO1990" i="2"/>
  <c r="BO1989" i="2"/>
  <c r="BO1988" i="2"/>
  <c r="BO1987" i="2"/>
  <c r="BO1986" i="2"/>
  <c r="BO1985" i="2"/>
  <c r="BO1984" i="2"/>
  <c r="BO1983" i="2"/>
  <c r="BO1982" i="2"/>
  <c r="BO1981" i="2"/>
  <c r="BO1980" i="2"/>
  <c r="BO1979" i="2"/>
  <c r="BO1978" i="2"/>
  <c r="BO1977" i="2"/>
  <c r="BO1976" i="2"/>
  <c r="BO1975" i="2"/>
  <c r="BO1974" i="2"/>
  <c r="BO1973" i="2"/>
  <c r="BO1972" i="2"/>
  <c r="BO1971" i="2"/>
  <c r="BO1970" i="2"/>
  <c r="BO1969" i="2"/>
  <c r="BO1968" i="2"/>
  <c r="BO1967" i="2"/>
  <c r="BO1966" i="2"/>
  <c r="BO1965" i="2"/>
  <c r="BO1964" i="2"/>
  <c r="BO1963" i="2"/>
  <c r="BO1962" i="2"/>
  <c r="BO1961" i="2"/>
  <c r="BO1960" i="2"/>
  <c r="BO1959" i="2"/>
  <c r="BO1958" i="2"/>
  <c r="BO1957" i="2"/>
  <c r="BO1956" i="2"/>
  <c r="BO1955" i="2"/>
  <c r="BO1954" i="2"/>
  <c r="BO1953" i="2"/>
  <c r="BO1952" i="2"/>
  <c r="BO1951" i="2"/>
  <c r="BO1950" i="2"/>
  <c r="BO1949" i="2"/>
  <c r="BO1948" i="2"/>
  <c r="BO1947" i="2"/>
  <c r="BO1946" i="2"/>
  <c r="BO1945" i="2"/>
  <c r="BO1944" i="2"/>
  <c r="BO1943" i="2"/>
  <c r="BO1942" i="2"/>
  <c r="BO1941" i="2"/>
  <c r="BO1940" i="2"/>
  <c r="BO1939" i="2"/>
  <c r="BO1938" i="2"/>
  <c r="BO1937" i="2"/>
  <c r="BO1936" i="2"/>
  <c r="BO1935" i="2"/>
  <c r="BO1934" i="2"/>
  <c r="BO1933" i="2"/>
  <c r="BO1932" i="2"/>
  <c r="BO1931" i="2"/>
  <c r="BO1930" i="2"/>
  <c r="BO1929" i="2"/>
  <c r="BO1928" i="2"/>
  <c r="BO1927" i="2"/>
  <c r="BO1926" i="2"/>
  <c r="BO1925" i="2"/>
  <c r="BO1924" i="2"/>
  <c r="BO1923" i="2"/>
  <c r="BO1922" i="2"/>
  <c r="BO1921" i="2"/>
  <c r="BO1920" i="2"/>
  <c r="BO1919" i="2"/>
  <c r="BO1918" i="2"/>
  <c r="BO1917" i="2"/>
  <c r="BO1916" i="2"/>
  <c r="BO1915" i="2"/>
  <c r="BO1914" i="2"/>
  <c r="BO1913" i="2"/>
  <c r="BO1912" i="2"/>
  <c r="BO1911" i="2"/>
  <c r="BO1910" i="2"/>
  <c r="BO1909" i="2"/>
  <c r="BO1908" i="2"/>
  <c r="BO1907" i="2"/>
  <c r="BO1906" i="2"/>
  <c r="BO1905" i="2"/>
  <c r="BO1904" i="2"/>
  <c r="BO1903" i="2"/>
  <c r="BO1902" i="2"/>
  <c r="BO1901" i="2"/>
  <c r="BO1900" i="2"/>
  <c r="BO1899" i="2"/>
  <c r="BO1898" i="2"/>
  <c r="BO1897" i="2"/>
  <c r="BO1896" i="2"/>
  <c r="BO1895" i="2"/>
  <c r="BO1894" i="2"/>
  <c r="BO1893" i="2"/>
  <c r="BO1892" i="2"/>
  <c r="BO1891" i="2"/>
  <c r="BO1890" i="2"/>
  <c r="BO1889" i="2"/>
  <c r="BO1888" i="2"/>
  <c r="BO1887" i="2"/>
  <c r="BO1886" i="2"/>
  <c r="BO1885" i="2"/>
  <c r="BO1884" i="2"/>
  <c r="BO1883" i="2"/>
  <c r="BO1882" i="2"/>
  <c r="BO1881" i="2"/>
  <c r="BO1880" i="2"/>
  <c r="BO1879" i="2"/>
  <c r="BO1878" i="2"/>
  <c r="BO1877" i="2"/>
  <c r="BO1876" i="2"/>
  <c r="BO1875" i="2"/>
  <c r="BO1874" i="2"/>
  <c r="BO1873" i="2"/>
  <c r="BO1872" i="2"/>
  <c r="BO1871" i="2"/>
  <c r="BO1870" i="2"/>
  <c r="BO1869" i="2"/>
  <c r="BO1868" i="2"/>
  <c r="BO1867" i="2"/>
  <c r="BO1866" i="2"/>
  <c r="BO1865" i="2"/>
  <c r="BO1864" i="2"/>
  <c r="BO1863" i="2"/>
  <c r="BO1862" i="2"/>
  <c r="BO1861" i="2"/>
  <c r="BO1860" i="2"/>
  <c r="BO1859" i="2"/>
  <c r="BO1858" i="2"/>
  <c r="BO1857" i="2"/>
  <c r="BO1856" i="2"/>
  <c r="BO1855" i="2"/>
  <c r="BO1854" i="2"/>
  <c r="BO1853" i="2"/>
  <c r="BO1852" i="2"/>
  <c r="BO1851" i="2"/>
  <c r="BO1850" i="2"/>
  <c r="BO1849" i="2"/>
  <c r="BO1848" i="2"/>
  <c r="BO1847" i="2"/>
  <c r="BO1846" i="2"/>
  <c r="BO1845" i="2"/>
  <c r="BO1844" i="2"/>
  <c r="BO1843" i="2"/>
  <c r="BO1842" i="2"/>
  <c r="BO1841" i="2"/>
  <c r="BO1840" i="2"/>
  <c r="BO1839" i="2"/>
  <c r="BO1838" i="2"/>
  <c r="BO1837" i="2"/>
  <c r="BO1836" i="2"/>
  <c r="BO1835" i="2"/>
  <c r="BO1834" i="2"/>
  <c r="BO1833" i="2"/>
  <c r="BO1832" i="2"/>
  <c r="BO1831" i="2"/>
  <c r="BO1830" i="2"/>
  <c r="BO1829" i="2"/>
  <c r="BO1828" i="2"/>
  <c r="BO1827" i="2"/>
  <c r="BO1826" i="2"/>
  <c r="BO1825" i="2"/>
  <c r="BO1824" i="2"/>
  <c r="BO1823" i="2"/>
  <c r="BO1822" i="2"/>
  <c r="BO1821" i="2"/>
  <c r="BO1820" i="2"/>
  <c r="BO1819" i="2"/>
  <c r="BO1818" i="2"/>
  <c r="BO1817" i="2"/>
  <c r="BO1816" i="2"/>
  <c r="BO1815" i="2"/>
  <c r="BO1814" i="2"/>
  <c r="BO1813" i="2"/>
  <c r="BO1812" i="2"/>
  <c r="BO1811" i="2"/>
  <c r="BO1810" i="2"/>
  <c r="BO1809" i="2"/>
  <c r="BO1808" i="2"/>
  <c r="BO1807" i="2"/>
  <c r="BO1806" i="2"/>
  <c r="BO1805" i="2"/>
  <c r="BO1804" i="2"/>
  <c r="BO1803" i="2"/>
  <c r="BO1802" i="2"/>
  <c r="BO1801" i="2"/>
  <c r="BO1800" i="2"/>
  <c r="BO1799" i="2"/>
  <c r="BO1798" i="2"/>
  <c r="BO1797" i="2"/>
  <c r="BO1796" i="2"/>
  <c r="BO1795" i="2"/>
  <c r="BO1794" i="2"/>
  <c r="BO1793" i="2"/>
  <c r="BO1792" i="2"/>
  <c r="BO1791" i="2"/>
  <c r="BO1790" i="2"/>
  <c r="BO1789" i="2"/>
  <c r="BO1788" i="2"/>
  <c r="BO1787" i="2"/>
  <c r="BO1786" i="2"/>
  <c r="BO1785" i="2"/>
  <c r="BO1784" i="2"/>
  <c r="BO1783" i="2"/>
  <c r="BO1782" i="2"/>
  <c r="BO1781" i="2"/>
  <c r="BO1780" i="2"/>
  <c r="BO1779" i="2"/>
  <c r="BO1778" i="2"/>
  <c r="BO1777" i="2"/>
  <c r="BO1776" i="2"/>
  <c r="BO1775" i="2"/>
  <c r="BO1774" i="2"/>
  <c r="BO1773" i="2"/>
  <c r="BO1772" i="2"/>
  <c r="BO1771" i="2"/>
  <c r="BO1770" i="2"/>
  <c r="BO1769" i="2"/>
  <c r="BO1768" i="2"/>
  <c r="BO1767" i="2"/>
  <c r="BO1766" i="2"/>
  <c r="BO1765" i="2"/>
  <c r="BO1764" i="2"/>
  <c r="BO1763" i="2"/>
  <c r="BO1762" i="2"/>
  <c r="BO1761" i="2"/>
  <c r="BO1760" i="2"/>
  <c r="BO1759" i="2"/>
  <c r="BO1758" i="2"/>
  <c r="BO1757" i="2"/>
  <c r="BO1756" i="2"/>
  <c r="BO1755" i="2"/>
  <c r="BO1754" i="2"/>
  <c r="BO1753" i="2"/>
  <c r="BO1752" i="2"/>
  <c r="BO1751" i="2"/>
  <c r="BO1750" i="2"/>
  <c r="BO1749" i="2"/>
  <c r="BO1748" i="2"/>
  <c r="BO1747" i="2"/>
  <c r="BO1746" i="2"/>
  <c r="BO1745" i="2"/>
  <c r="BO1744" i="2"/>
  <c r="BO1743" i="2"/>
  <c r="BO1742" i="2"/>
  <c r="BO1741" i="2"/>
  <c r="BO1740" i="2"/>
  <c r="BO1739" i="2"/>
  <c r="BO1738" i="2"/>
  <c r="BO1737" i="2"/>
  <c r="BO1736" i="2"/>
  <c r="BO1735" i="2"/>
  <c r="BO1734" i="2"/>
  <c r="BO1733" i="2"/>
  <c r="BO1732" i="2"/>
  <c r="BO1731" i="2"/>
  <c r="BO1730" i="2"/>
  <c r="BO1729" i="2"/>
  <c r="BO1728" i="2"/>
  <c r="BO1727" i="2"/>
  <c r="BO1726" i="2"/>
  <c r="BO1725" i="2"/>
  <c r="BO1724" i="2"/>
  <c r="BO1723" i="2"/>
  <c r="BO1722" i="2"/>
  <c r="BO1721" i="2"/>
  <c r="BO1720" i="2"/>
  <c r="BO1719" i="2"/>
  <c r="BO1718" i="2"/>
  <c r="BO1717" i="2"/>
  <c r="BO1716" i="2"/>
  <c r="BO1715" i="2"/>
  <c r="BO1714" i="2"/>
  <c r="BO1713" i="2"/>
  <c r="BO1712" i="2"/>
  <c r="BO1711" i="2"/>
  <c r="BO1710" i="2"/>
  <c r="BO1709" i="2"/>
  <c r="BO1708" i="2"/>
  <c r="BO1707" i="2"/>
  <c r="BO1706" i="2"/>
  <c r="BO1705" i="2"/>
  <c r="BO1704" i="2"/>
  <c r="BO1703" i="2"/>
  <c r="BO1702" i="2"/>
  <c r="BO1701" i="2"/>
  <c r="BO1700" i="2"/>
  <c r="BO1699" i="2"/>
  <c r="BO1698" i="2"/>
  <c r="BO1697" i="2"/>
  <c r="BO1696" i="2"/>
  <c r="BO1695" i="2"/>
  <c r="BO1694" i="2"/>
  <c r="BO1693" i="2"/>
  <c r="BO1692" i="2"/>
  <c r="BO1691" i="2"/>
  <c r="BO1690" i="2"/>
  <c r="BO1689" i="2"/>
  <c r="BO1688" i="2"/>
  <c r="BO1687" i="2"/>
  <c r="BO1686" i="2"/>
  <c r="BO1685" i="2"/>
  <c r="BO1684" i="2"/>
  <c r="BO1683" i="2"/>
  <c r="BO1682" i="2"/>
  <c r="BO1681" i="2"/>
  <c r="BO1680" i="2"/>
  <c r="BO1679" i="2"/>
  <c r="BO1678" i="2"/>
  <c r="BO1677" i="2"/>
  <c r="BO1676" i="2"/>
  <c r="BO1675" i="2"/>
  <c r="BO1674" i="2"/>
  <c r="BO1673" i="2"/>
  <c r="BO1672" i="2"/>
  <c r="BO1671" i="2"/>
  <c r="BO1670" i="2"/>
  <c r="BO1669" i="2"/>
  <c r="BO1668" i="2"/>
  <c r="BO1667" i="2"/>
  <c r="BO1666" i="2"/>
  <c r="BO1665" i="2"/>
  <c r="BO1664" i="2"/>
  <c r="BO1663" i="2"/>
  <c r="BO1662" i="2"/>
  <c r="BO1661" i="2"/>
  <c r="BO1660" i="2"/>
  <c r="BO1659" i="2"/>
  <c r="BO1658" i="2"/>
  <c r="BO1657" i="2"/>
  <c r="BO1656" i="2"/>
  <c r="BO1655" i="2"/>
  <c r="BO1654" i="2"/>
  <c r="BO1653" i="2"/>
  <c r="BO1652" i="2"/>
  <c r="BO1651" i="2"/>
  <c r="BO1650" i="2"/>
  <c r="BO1649" i="2"/>
  <c r="BO1648" i="2"/>
  <c r="BO1647" i="2"/>
  <c r="BO1646" i="2"/>
  <c r="BO1645" i="2"/>
  <c r="BO1644" i="2"/>
  <c r="BO1643" i="2"/>
  <c r="BO1642" i="2"/>
  <c r="BO1641" i="2"/>
  <c r="BO1640" i="2"/>
  <c r="BO1639" i="2"/>
  <c r="BO1638" i="2"/>
  <c r="BO1637" i="2"/>
  <c r="BO1636" i="2"/>
  <c r="BO1635" i="2"/>
  <c r="BO1634" i="2"/>
  <c r="BO1633" i="2"/>
  <c r="BO1632" i="2"/>
  <c r="BO1631" i="2"/>
  <c r="BO1630" i="2"/>
  <c r="BO1629" i="2"/>
  <c r="BO1628" i="2"/>
  <c r="BO1627" i="2"/>
  <c r="BO1626" i="2"/>
  <c r="BO1625" i="2"/>
  <c r="BO1624" i="2"/>
  <c r="BO1623" i="2"/>
  <c r="BO1622" i="2"/>
  <c r="BO1621" i="2"/>
  <c r="BO1620" i="2"/>
  <c r="BO1619" i="2"/>
  <c r="BO1618" i="2"/>
  <c r="BO1617" i="2"/>
  <c r="BO1616" i="2"/>
  <c r="BO1615" i="2"/>
  <c r="BO1614" i="2"/>
  <c r="BO1613" i="2"/>
  <c r="BO1612" i="2"/>
  <c r="BO1611" i="2"/>
  <c r="BO1610" i="2"/>
  <c r="BO1609" i="2"/>
  <c r="BO1608" i="2"/>
  <c r="BO1607" i="2"/>
  <c r="BO1606" i="2"/>
  <c r="BO1605" i="2"/>
  <c r="BO1604" i="2"/>
  <c r="BO1603" i="2"/>
  <c r="BO1602" i="2"/>
  <c r="BO1601" i="2"/>
  <c r="BO1600" i="2"/>
  <c r="BO1599" i="2"/>
  <c r="BO1598" i="2"/>
  <c r="BO1597" i="2"/>
  <c r="BO1596" i="2"/>
  <c r="BO1595" i="2"/>
  <c r="BO1594" i="2"/>
  <c r="BO1593" i="2"/>
  <c r="BO1592" i="2"/>
  <c r="BO1591" i="2"/>
  <c r="BO1590" i="2"/>
  <c r="BO1589" i="2"/>
  <c r="BO1588" i="2"/>
  <c r="BO1587" i="2"/>
  <c r="BO1586" i="2"/>
  <c r="BO1585" i="2"/>
  <c r="BO1584" i="2"/>
  <c r="BO1583" i="2"/>
  <c r="BO1582" i="2"/>
  <c r="BO1581" i="2"/>
  <c r="BO1580" i="2"/>
  <c r="BO1579" i="2"/>
  <c r="BO1578" i="2"/>
  <c r="BO1577" i="2"/>
  <c r="BO1576" i="2"/>
  <c r="BO1575" i="2"/>
  <c r="BO1574" i="2"/>
  <c r="BO1573" i="2"/>
  <c r="BO1572" i="2"/>
  <c r="BO1571" i="2"/>
  <c r="BO1570" i="2"/>
  <c r="BO1569" i="2"/>
  <c r="BO1568" i="2"/>
  <c r="BO1567" i="2"/>
  <c r="BO1566" i="2"/>
  <c r="BO1565" i="2"/>
  <c r="BO1564" i="2"/>
  <c r="BO1563" i="2"/>
  <c r="BO1562" i="2"/>
  <c r="BO1561" i="2"/>
  <c r="BO1560" i="2"/>
  <c r="BO1559" i="2"/>
  <c r="BO1558" i="2"/>
  <c r="BO1557" i="2"/>
  <c r="BO1556" i="2"/>
  <c r="BO1555" i="2"/>
  <c r="BO1554" i="2"/>
  <c r="BO1553" i="2"/>
  <c r="BO1552" i="2"/>
  <c r="BO1551" i="2"/>
  <c r="BO1550" i="2"/>
  <c r="BO1549" i="2"/>
  <c r="BO1548" i="2"/>
  <c r="BO1547" i="2"/>
  <c r="BO1546" i="2"/>
  <c r="BO1545" i="2"/>
  <c r="BO1544" i="2"/>
  <c r="BO1543" i="2"/>
  <c r="BO1542" i="2"/>
  <c r="BO1541" i="2"/>
  <c r="BO1540" i="2"/>
  <c r="BO1539" i="2"/>
  <c r="BO1538" i="2"/>
  <c r="BO1537" i="2"/>
  <c r="BO1536" i="2"/>
  <c r="BO1535" i="2"/>
  <c r="BO1534" i="2"/>
  <c r="BO1533" i="2"/>
  <c r="BO1532" i="2"/>
  <c r="BO1531" i="2"/>
  <c r="BO1530" i="2"/>
  <c r="BO1529" i="2"/>
  <c r="BO1528" i="2"/>
  <c r="BO1527" i="2"/>
  <c r="BO1526" i="2"/>
  <c r="BO1525" i="2"/>
  <c r="BO1524" i="2"/>
  <c r="BO1523" i="2"/>
  <c r="BO1522" i="2"/>
  <c r="BO1521" i="2"/>
  <c r="BO1520" i="2"/>
  <c r="BO1519" i="2"/>
  <c r="BO1518" i="2"/>
  <c r="BO1517" i="2"/>
  <c r="BO1516" i="2"/>
  <c r="BO1515" i="2"/>
  <c r="BO1514" i="2"/>
  <c r="BO1513" i="2"/>
  <c r="BO1512" i="2"/>
  <c r="BO1511" i="2"/>
  <c r="BO1510" i="2"/>
  <c r="BO1509" i="2"/>
  <c r="BO1508" i="2"/>
  <c r="BO1507" i="2"/>
  <c r="BO1506" i="2"/>
  <c r="BO1505" i="2"/>
  <c r="BO1504" i="2"/>
  <c r="BO1503" i="2"/>
  <c r="BO1502" i="2"/>
  <c r="BO1501" i="2"/>
  <c r="BO1500" i="2"/>
  <c r="BO1499" i="2"/>
  <c r="BO1498" i="2"/>
  <c r="BO1497" i="2"/>
  <c r="BO1496" i="2"/>
  <c r="BO1495" i="2"/>
  <c r="BO1494" i="2"/>
  <c r="BO1493" i="2"/>
  <c r="BO1492" i="2"/>
  <c r="BO1491" i="2"/>
  <c r="BO1490" i="2"/>
  <c r="BO1489" i="2"/>
  <c r="BO1488" i="2"/>
  <c r="BO1487" i="2"/>
  <c r="BO1486" i="2"/>
  <c r="BO1485" i="2"/>
  <c r="BO1484" i="2"/>
  <c r="BO1483" i="2"/>
  <c r="BO1482" i="2"/>
  <c r="BO1481" i="2"/>
  <c r="BO1480" i="2"/>
  <c r="BO1479" i="2"/>
  <c r="BO1478" i="2"/>
  <c r="BO1477" i="2"/>
  <c r="BO1476" i="2"/>
  <c r="BO1475" i="2"/>
  <c r="BO1474" i="2"/>
  <c r="BO1473" i="2"/>
  <c r="BO1472" i="2"/>
  <c r="BO1471" i="2"/>
  <c r="BO1470" i="2"/>
  <c r="BO1469" i="2"/>
  <c r="BO1468" i="2"/>
  <c r="BO1467" i="2"/>
  <c r="BO1466" i="2"/>
  <c r="BO1465" i="2"/>
  <c r="BO1464" i="2"/>
  <c r="BO1463" i="2"/>
  <c r="BO1462" i="2"/>
  <c r="BO1461" i="2"/>
  <c r="BO1460" i="2"/>
  <c r="BO1459" i="2"/>
  <c r="BO1458" i="2"/>
  <c r="BO1457" i="2"/>
  <c r="BO1456" i="2"/>
  <c r="BO1455" i="2"/>
  <c r="BO1454" i="2"/>
  <c r="BO1453" i="2"/>
  <c r="BO1452" i="2"/>
  <c r="BO1451" i="2"/>
  <c r="BO1450" i="2"/>
  <c r="BO1449" i="2"/>
  <c r="BO1448" i="2"/>
  <c r="BO1447" i="2"/>
  <c r="BO1446" i="2"/>
  <c r="BO1445" i="2"/>
  <c r="BO1444" i="2"/>
  <c r="BO1443" i="2"/>
  <c r="BO1442" i="2"/>
  <c r="BO1441" i="2"/>
  <c r="BO1440" i="2"/>
  <c r="BO1439" i="2"/>
  <c r="BO1438" i="2"/>
  <c r="BO1437" i="2"/>
  <c r="BO1436" i="2"/>
  <c r="BO1435" i="2"/>
  <c r="BO1434" i="2"/>
  <c r="BO1433" i="2"/>
  <c r="BO1432" i="2"/>
  <c r="BO1431" i="2"/>
  <c r="BO1430" i="2"/>
  <c r="BO1429" i="2"/>
  <c r="BO1428" i="2"/>
  <c r="BO1427" i="2"/>
  <c r="BO1426" i="2"/>
  <c r="BO1425" i="2"/>
  <c r="BO1424" i="2"/>
  <c r="BO1423" i="2"/>
  <c r="BO1422" i="2"/>
  <c r="BO1421" i="2"/>
  <c r="BO1420" i="2"/>
  <c r="BO1419" i="2"/>
  <c r="BO1418" i="2"/>
  <c r="BO1417" i="2"/>
  <c r="BO1416" i="2"/>
  <c r="BO1415" i="2"/>
  <c r="BO1414" i="2"/>
  <c r="BO1413" i="2"/>
  <c r="BO1412" i="2"/>
  <c r="BO1411" i="2"/>
  <c r="BO1410" i="2"/>
  <c r="BO1409" i="2"/>
  <c r="BO1408" i="2"/>
  <c r="BO1407" i="2"/>
  <c r="BO1406" i="2"/>
  <c r="BO1405" i="2"/>
  <c r="BO1404" i="2"/>
  <c r="BO1403" i="2"/>
  <c r="BO1402" i="2"/>
  <c r="BO1401" i="2"/>
  <c r="BO1400" i="2"/>
  <c r="BO1399" i="2"/>
  <c r="BO1398" i="2"/>
  <c r="BO1397" i="2"/>
  <c r="BO1396" i="2"/>
  <c r="BO1395" i="2"/>
  <c r="BO1394" i="2"/>
  <c r="BO1393" i="2"/>
  <c r="BO1392" i="2"/>
  <c r="BO1391" i="2"/>
  <c r="BO1390" i="2"/>
  <c r="BO1389" i="2"/>
  <c r="BO1388" i="2"/>
  <c r="BO1387" i="2"/>
  <c r="BO1386" i="2"/>
  <c r="BO1385" i="2"/>
  <c r="BO1384" i="2"/>
  <c r="BO1383" i="2"/>
  <c r="BO1382" i="2"/>
  <c r="BO1381" i="2"/>
  <c r="BO1380" i="2"/>
  <c r="BO1379" i="2"/>
  <c r="BO1378" i="2"/>
  <c r="BO1377" i="2"/>
  <c r="BO1376" i="2"/>
  <c r="BO1375" i="2"/>
  <c r="BO1374" i="2"/>
  <c r="BO1373" i="2"/>
  <c r="BO1372" i="2"/>
  <c r="BO1371" i="2"/>
  <c r="BO1370" i="2"/>
  <c r="BO1369" i="2"/>
  <c r="BO1368" i="2"/>
  <c r="BO1367" i="2"/>
  <c r="BO1366" i="2"/>
  <c r="BO1365" i="2"/>
  <c r="BO1364" i="2"/>
  <c r="BO1363" i="2"/>
  <c r="BO1362" i="2"/>
  <c r="BO1361" i="2"/>
  <c r="BO1360" i="2"/>
  <c r="BO1359" i="2"/>
  <c r="BO1358" i="2"/>
  <c r="BO1357" i="2"/>
  <c r="BO1356" i="2"/>
  <c r="BO1355" i="2"/>
  <c r="BO1354" i="2"/>
  <c r="BO1353" i="2"/>
  <c r="BO1352" i="2"/>
  <c r="BO1351" i="2"/>
  <c r="BO1350" i="2"/>
  <c r="BO1349" i="2"/>
  <c r="BO1348" i="2"/>
  <c r="BO1347" i="2"/>
  <c r="BO1346" i="2"/>
  <c r="BO1345" i="2"/>
  <c r="BO1344" i="2"/>
  <c r="BO1343" i="2"/>
  <c r="BO1342" i="2"/>
  <c r="BO1341" i="2"/>
  <c r="BO1340" i="2"/>
  <c r="BO1339" i="2"/>
  <c r="BO1338" i="2"/>
  <c r="BO1337" i="2"/>
  <c r="BO1336" i="2"/>
  <c r="BO1335" i="2"/>
  <c r="BO1334" i="2"/>
  <c r="BO1333" i="2"/>
  <c r="BO1332" i="2"/>
  <c r="BO1331" i="2"/>
  <c r="BO1330" i="2"/>
  <c r="BO1329" i="2"/>
  <c r="BO1328" i="2"/>
  <c r="BO1327" i="2"/>
  <c r="BO1326" i="2"/>
  <c r="BO1325" i="2"/>
  <c r="BO1324" i="2"/>
  <c r="BO1323" i="2"/>
  <c r="BO1322" i="2"/>
  <c r="BO1321" i="2"/>
  <c r="BO1320" i="2"/>
  <c r="BO1319" i="2"/>
  <c r="BO1318" i="2"/>
  <c r="BO1317" i="2"/>
  <c r="BO1316" i="2"/>
  <c r="BO1315" i="2"/>
  <c r="BO1314" i="2"/>
  <c r="BO1313" i="2"/>
  <c r="BO1312" i="2"/>
  <c r="BO1311" i="2"/>
  <c r="BO1310" i="2"/>
  <c r="BO1309" i="2"/>
  <c r="BO1308" i="2"/>
  <c r="BO1307" i="2"/>
  <c r="BO1306" i="2"/>
  <c r="BO1305" i="2"/>
  <c r="BO1304" i="2"/>
  <c r="BO1303" i="2"/>
  <c r="BO1302" i="2"/>
  <c r="BO1301" i="2"/>
  <c r="BO1300" i="2"/>
  <c r="BO1299" i="2"/>
  <c r="BO1298" i="2"/>
  <c r="BO1297" i="2"/>
  <c r="BO1296" i="2"/>
  <c r="BO1295" i="2"/>
  <c r="BO1294" i="2"/>
  <c r="BO1293" i="2"/>
  <c r="BO1292" i="2"/>
  <c r="BO1291" i="2"/>
  <c r="BO1290" i="2"/>
  <c r="BO1289" i="2"/>
  <c r="BO1288" i="2"/>
  <c r="BO1287" i="2"/>
  <c r="BO1286" i="2"/>
  <c r="BO1285" i="2"/>
  <c r="BO1284" i="2"/>
  <c r="BO1283" i="2"/>
  <c r="BO1282" i="2"/>
  <c r="BO1281" i="2"/>
  <c r="BO1280" i="2"/>
  <c r="BO1279" i="2"/>
  <c r="BO1278" i="2"/>
  <c r="BO1277" i="2"/>
  <c r="BO1276" i="2"/>
  <c r="BO1275" i="2"/>
  <c r="BO1274" i="2"/>
  <c r="BO1273" i="2"/>
  <c r="BO1272" i="2"/>
  <c r="BO1271" i="2"/>
  <c r="BO1270" i="2"/>
  <c r="BO1269" i="2"/>
  <c r="BO1268" i="2"/>
  <c r="BO1267" i="2"/>
  <c r="BO1266" i="2"/>
  <c r="BO1265" i="2"/>
  <c r="BO1264" i="2"/>
  <c r="BO1263" i="2"/>
  <c r="BO1262" i="2"/>
  <c r="BO1261" i="2"/>
  <c r="BO1260" i="2"/>
  <c r="BO1259" i="2"/>
  <c r="BO1258" i="2"/>
  <c r="BO1257" i="2"/>
  <c r="BO1256" i="2"/>
  <c r="BO1255" i="2"/>
  <c r="BO1254" i="2"/>
  <c r="BO1253" i="2"/>
  <c r="BO1252" i="2"/>
  <c r="BO1251" i="2"/>
  <c r="BO1250" i="2"/>
  <c r="BO1249" i="2"/>
  <c r="BO1248" i="2"/>
  <c r="BO1247" i="2"/>
  <c r="BO1246" i="2"/>
  <c r="BO1245" i="2"/>
  <c r="BO1244" i="2"/>
  <c r="BO1243" i="2"/>
  <c r="BO1242" i="2"/>
  <c r="BO1241" i="2"/>
  <c r="BO1240" i="2"/>
  <c r="BO1239" i="2"/>
  <c r="BO1238" i="2"/>
  <c r="BO1237" i="2"/>
  <c r="BO1236" i="2"/>
  <c r="BO1235" i="2"/>
  <c r="BO1234" i="2"/>
  <c r="BO1233" i="2"/>
  <c r="BO1232" i="2"/>
  <c r="BO1231" i="2"/>
  <c r="BO1230" i="2"/>
  <c r="BO1229" i="2"/>
  <c r="BO1228" i="2"/>
  <c r="BO1227" i="2"/>
  <c r="BO1226" i="2"/>
  <c r="BO1225" i="2"/>
  <c r="BO1224" i="2"/>
  <c r="BO1223" i="2"/>
  <c r="BO1222" i="2"/>
  <c r="BO1221" i="2"/>
  <c r="BO1220" i="2"/>
  <c r="BO1219" i="2"/>
  <c r="BO1218" i="2"/>
  <c r="BO1217" i="2"/>
  <c r="BO1216" i="2"/>
  <c r="BO1215" i="2"/>
  <c r="BO1214" i="2"/>
  <c r="BO1213" i="2"/>
  <c r="BO1212" i="2"/>
  <c r="BO1211" i="2"/>
  <c r="BO1210" i="2"/>
  <c r="BO1209" i="2"/>
  <c r="BO1208" i="2"/>
  <c r="BO1207" i="2"/>
  <c r="BO1206" i="2"/>
  <c r="BO1205" i="2"/>
  <c r="BO1204" i="2"/>
  <c r="BO1203" i="2"/>
  <c r="BO1202" i="2"/>
  <c r="BO1201" i="2"/>
  <c r="BO1200" i="2"/>
  <c r="BO1199" i="2"/>
  <c r="BO1198" i="2"/>
  <c r="BO1197" i="2"/>
  <c r="BO1196" i="2"/>
  <c r="BO1195" i="2"/>
  <c r="BO1194" i="2"/>
  <c r="BO1193" i="2"/>
  <c r="BO1192" i="2"/>
  <c r="BO1191" i="2"/>
  <c r="BO1190" i="2"/>
  <c r="BO1189" i="2"/>
  <c r="BO1188" i="2"/>
  <c r="BO1187" i="2"/>
  <c r="BO1186" i="2"/>
  <c r="BO1185" i="2"/>
  <c r="BO1184" i="2"/>
  <c r="BO1183" i="2"/>
  <c r="BO1182" i="2"/>
  <c r="BO1181" i="2"/>
  <c r="BO1180" i="2"/>
  <c r="BO1179" i="2"/>
  <c r="BO1178" i="2"/>
  <c r="BO1177" i="2"/>
  <c r="BO1176" i="2"/>
  <c r="BO1175" i="2"/>
  <c r="BO1174" i="2"/>
  <c r="BO1173" i="2"/>
  <c r="BO1172" i="2"/>
  <c r="BO1171" i="2"/>
  <c r="BO1170" i="2"/>
  <c r="BO1169" i="2"/>
  <c r="BO1168" i="2"/>
  <c r="BO1167" i="2"/>
  <c r="BO1166" i="2"/>
  <c r="BO1165" i="2"/>
  <c r="BO1164" i="2"/>
  <c r="BO1163" i="2"/>
  <c r="BO1162" i="2"/>
  <c r="BO1161" i="2"/>
  <c r="BO1160" i="2"/>
  <c r="BO1159" i="2"/>
  <c r="BO1158" i="2"/>
  <c r="BO1157" i="2"/>
  <c r="BO1156" i="2"/>
  <c r="BO1155" i="2"/>
  <c r="BO1154" i="2"/>
  <c r="BO1153" i="2"/>
  <c r="BO1152" i="2"/>
  <c r="BO1151" i="2"/>
  <c r="BO1150" i="2"/>
  <c r="BO1149" i="2"/>
  <c r="BO1148" i="2"/>
  <c r="BO1147" i="2"/>
  <c r="BO1146" i="2"/>
  <c r="BO1145" i="2"/>
  <c r="BO1144" i="2"/>
  <c r="BO1143" i="2"/>
  <c r="BO1142" i="2"/>
  <c r="BO1141" i="2"/>
  <c r="BO1140" i="2"/>
  <c r="BO1139" i="2"/>
  <c r="BO1138" i="2"/>
  <c r="BO1137" i="2"/>
  <c r="BO1136" i="2"/>
  <c r="BO1135" i="2"/>
  <c r="BO1134" i="2"/>
  <c r="BO1133" i="2"/>
  <c r="BO1132" i="2"/>
  <c r="BO1131" i="2"/>
  <c r="BO1130" i="2"/>
  <c r="BO1129" i="2"/>
  <c r="BO1128" i="2"/>
  <c r="BO1127" i="2"/>
  <c r="BO1126" i="2"/>
  <c r="BO1125" i="2"/>
  <c r="BO1124" i="2"/>
  <c r="BO1123" i="2"/>
  <c r="BO1122" i="2"/>
  <c r="BO1121" i="2"/>
  <c r="BO1120" i="2"/>
  <c r="BO1119" i="2"/>
  <c r="BO1118" i="2"/>
  <c r="BO1117" i="2"/>
  <c r="BO1116" i="2"/>
  <c r="BO1115" i="2"/>
  <c r="BO1114" i="2"/>
  <c r="BO1113" i="2"/>
  <c r="BO1112" i="2"/>
  <c r="BO1111" i="2"/>
  <c r="BO1110" i="2"/>
  <c r="BO1109" i="2"/>
  <c r="BO1108" i="2"/>
  <c r="BO1107" i="2"/>
  <c r="BO1106" i="2"/>
  <c r="BO1105" i="2"/>
  <c r="BO1104" i="2"/>
  <c r="BO1103" i="2"/>
  <c r="BO1102" i="2"/>
  <c r="BO1101" i="2"/>
  <c r="BO1100" i="2"/>
  <c r="BO1099" i="2"/>
  <c r="BO1098" i="2"/>
  <c r="BO1097" i="2"/>
  <c r="BO1096" i="2"/>
  <c r="BO1095" i="2"/>
  <c r="BO1094" i="2"/>
  <c r="BO1093" i="2"/>
  <c r="BO1092" i="2"/>
  <c r="BO1091" i="2"/>
  <c r="BO1090" i="2"/>
  <c r="BO1089" i="2"/>
  <c r="BO1088" i="2"/>
  <c r="BO1087" i="2"/>
  <c r="BO1086" i="2"/>
  <c r="BO1085" i="2"/>
  <c r="BO1084" i="2"/>
  <c r="BO1083" i="2"/>
  <c r="BO1082" i="2"/>
  <c r="BO1081" i="2"/>
  <c r="BO1080" i="2"/>
  <c r="BO1079" i="2"/>
  <c r="BO1078" i="2"/>
  <c r="BO1077" i="2"/>
  <c r="BO1076" i="2"/>
  <c r="BO1075" i="2"/>
  <c r="BO1074" i="2"/>
  <c r="BO1073" i="2"/>
  <c r="BO1072" i="2"/>
  <c r="BO1071" i="2"/>
  <c r="BO1070" i="2"/>
  <c r="BO1069" i="2"/>
  <c r="BO1068" i="2"/>
  <c r="BO1067" i="2"/>
  <c r="BO1066" i="2"/>
  <c r="BO1065" i="2"/>
  <c r="BO1064" i="2"/>
  <c r="BO1063" i="2"/>
  <c r="BO1062" i="2"/>
  <c r="BO1061" i="2"/>
  <c r="BO1060" i="2"/>
  <c r="BO1059" i="2"/>
  <c r="BO1058" i="2"/>
  <c r="BO1057" i="2"/>
  <c r="BO1056" i="2"/>
  <c r="BO1055" i="2"/>
  <c r="BO1054" i="2"/>
  <c r="BO1053" i="2"/>
  <c r="BO1052" i="2"/>
  <c r="BO1051" i="2"/>
  <c r="BO1050" i="2"/>
  <c r="BO1049" i="2"/>
  <c r="BO1048" i="2"/>
  <c r="BO1047" i="2"/>
  <c r="BO1046" i="2"/>
  <c r="BO1045" i="2"/>
  <c r="BO1044" i="2"/>
  <c r="BO1043" i="2"/>
  <c r="BO1042" i="2"/>
  <c r="BO1041" i="2"/>
  <c r="BO1040" i="2"/>
  <c r="BO1039" i="2"/>
  <c r="BO1038" i="2"/>
  <c r="BO1037" i="2"/>
  <c r="BO1036" i="2"/>
  <c r="BO1035" i="2"/>
  <c r="BO1034" i="2"/>
  <c r="BO1033" i="2"/>
  <c r="BO1032" i="2"/>
  <c r="BO1031" i="2"/>
  <c r="BO1030" i="2"/>
  <c r="BO1029" i="2"/>
  <c r="BO1028" i="2"/>
  <c r="BO1027" i="2"/>
  <c r="BO1026" i="2"/>
  <c r="BO1025" i="2"/>
  <c r="BO1024" i="2"/>
  <c r="BO1023" i="2"/>
  <c r="BO1022" i="2"/>
  <c r="BO1021" i="2"/>
  <c r="BO1020" i="2"/>
  <c r="BO1019" i="2"/>
  <c r="BO1018" i="2"/>
  <c r="BO1017" i="2"/>
  <c r="BO1016" i="2"/>
  <c r="BO1015" i="2"/>
  <c r="BO1014" i="2"/>
  <c r="BO1013" i="2"/>
  <c r="BO1012" i="2"/>
  <c r="BO1011" i="2"/>
  <c r="BO1010" i="2"/>
  <c r="BO1009" i="2"/>
  <c r="BO1008" i="2"/>
  <c r="BO1007" i="2"/>
  <c r="BO1006" i="2"/>
  <c r="BO1005" i="2"/>
  <c r="BO1004" i="2"/>
  <c r="BO1003" i="2"/>
  <c r="BO1002" i="2"/>
  <c r="BO1001" i="2"/>
  <c r="BO1000" i="2"/>
  <c r="BO999" i="2"/>
  <c r="BO998" i="2"/>
  <c r="BO997" i="2"/>
  <c r="BO996" i="2"/>
  <c r="BO995" i="2"/>
  <c r="BO994" i="2"/>
  <c r="BO993" i="2"/>
  <c r="BO992" i="2"/>
  <c r="BO991" i="2"/>
  <c r="BO990" i="2"/>
  <c r="BO989" i="2"/>
  <c r="BO988" i="2"/>
  <c r="BO987" i="2"/>
  <c r="BO986" i="2"/>
  <c r="BO985" i="2"/>
  <c r="BO984" i="2"/>
  <c r="BO983" i="2"/>
  <c r="BO982" i="2"/>
  <c r="BO981" i="2"/>
  <c r="BO980" i="2"/>
  <c r="BO979" i="2"/>
  <c r="BO978" i="2"/>
  <c r="BO977" i="2"/>
  <c r="BO976" i="2"/>
  <c r="BO975" i="2"/>
  <c r="BO974" i="2"/>
  <c r="BO973" i="2"/>
  <c r="BO972" i="2"/>
  <c r="BO971" i="2"/>
  <c r="BO970" i="2"/>
  <c r="BO969" i="2"/>
  <c r="BO968" i="2"/>
  <c r="BO967" i="2"/>
  <c r="BO966" i="2"/>
  <c r="BO965" i="2"/>
  <c r="BO964" i="2"/>
  <c r="BO963" i="2"/>
  <c r="BO962" i="2"/>
  <c r="BO961" i="2"/>
  <c r="BO960" i="2"/>
  <c r="BO959" i="2"/>
  <c r="BO958" i="2"/>
  <c r="BO957" i="2"/>
  <c r="BO956" i="2"/>
  <c r="BO955" i="2"/>
  <c r="BO954" i="2"/>
  <c r="BO953" i="2"/>
  <c r="BO952" i="2"/>
  <c r="BO951" i="2"/>
  <c r="BO950" i="2"/>
  <c r="BO949" i="2"/>
  <c r="BO948" i="2"/>
  <c r="BO947" i="2"/>
  <c r="BO946" i="2"/>
  <c r="BO945" i="2"/>
  <c r="BO944" i="2"/>
  <c r="BO943" i="2"/>
  <c r="BO942" i="2"/>
  <c r="BO941" i="2"/>
  <c r="BO940" i="2"/>
  <c r="BO939" i="2"/>
  <c r="BO938" i="2"/>
  <c r="BO937" i="2"/>
  <c r="BO936" i="2"/>
  <c r="BO935" i="2"/>
  <c r="BO934" i="2"/>
  <c r="BO933" i="2"/>
  <c r="BO932" i="2"/>
  <c r="BO931" i="2"/>
  <c r="BO930" i="2"/>
  <c r="BO929" i="2"/>
  <c r="BO928" i="2"/>
  <c r="BO927" i="2"/>
  <c r="BO926" i="2"/>
  <c r="BO925" i="2"/>
  <c r="BO924" i="2"/>
  <c r="BO923" i="2"/>
  <c r="BO922" i="2"/>
  <c r="BO921" i="2"/>
  <c r="BO920" i="2"/>
  <c r="BO919" i="2"/>
  <c r="BO918" i="2"/>
  <c r="BO917" i="2"/>
  <c r="BO916" i="2"/>
  <c r="BO915" i="2"/>
  <c r="BO914" i="2"/>
  <c r="BO913" i="2"/>
  <c r="BO912" i="2"/>
  <c r="BO911" i="2"/>
  <c r="BO910" i="2"/>
  <c r="BO909" i="2"/>
  <c r="BO908" i="2"/>
  <c r="BO907" i="2"/>
  <c r="BO906" i="2"/>
  <c r="BO905" i="2"/>
  <c r="BO904" i="2"/>
  <c r="BO903" i="2"/>
  <c r="BO902" i="2"/>
  <c r="BO901" i="2"/>
  <c r="BO900" i="2"/>
  <c r="BO899" i="2"/>
  <c r="BO898" i="2"/>
  <c r="BO897" i="2"/>
  <c r="BO896" i="2"/>
  <c r="BO895" i="2"/>
  <c r="BO894" i="2"/>
  <c r="BO893" i="2"/>
  <c r="BO892" i="2"/>
  <c r="BO891" i="2"/>
  <c r="BO890" i="2"/>
  <c r="BO889" i="2"/>
  <c r="BO888" i="2"/>
  <c r="BO887" i="2"/>
  <c r="BO886" i="2"/>
  <c r="BO885" i="2"/>
  <c r="BO884" i="2"/>
  <c r="BO883" i="2"/>
  <c r="BO882" i="2"/>
  <c r="BO881" i="2"/>
  <c r="BO880" i="2"/>
  <c r="BO879" i="2"/>
  <c r="BO878" i="2"/>
  <c r="BO877" i="2"/>
  <c r="BO876" i="2"/>
  <c r="BO875" i="2"/>
  <c r="BO874" i="2"/>
  <c r="BO873" i="2"/>
  <c r="BO872" i="2"/>
  <c r="BO871" i="2"/>
  <c r="BO870" i="2"/>
  <c r="BO869" i="2"/>
  <c r="BO868" i="2"/>
  <c r="BO867" i="2"/>
  <c r="BO866" i="2"/>
  <c r="BO865" i="2"/>
  <c r="BO864" i="2"/>
  <c r="BO863" i="2"/>
  <c r="BO862" i="2"/>
  <c r="BO861" i="2"/>
  <c r="BO860" i="2"/>
  <c r="BO859" i="2"/>
  <c r="BO858" i="2"/>
  <c r="BO857" i="2"/>
  <c r="BO856" i="2"/>
  <c r="BO855" i="2"/>
  <c r="BO854" i="2"/>
  <c r="BO853" i="2"/>
  <c r="BO852" i="2"/>
  <c r="BO851" i="2"/>
  <c r="BO850" i="2"/>
  <c r="BO849" i="2"/>
  <c r="BO848" i="2"/>
  <c r="BO847" i="2"/>
  <c r="BO846" i="2"/>
  <c r="BO845" i="2"/>
  <c r="BO844" i="2"/>
  <c r="BO843" i="2"/>
  <c r="BO842" i="2"/>
  <c r="BO841" i="2"/>
  <c r="BO840" i="2"/>
  <c r="BO839" i="2"/>
  <c r="BO838" i="2"/>
  <c r="BO837" i="2"/>
  <c r="BO836" i="2"/>
  <c r="BO835" i="2"/>
  <c r="BO834" i="2"/>
  <c r="BO833" i="2"/>
  <c r="BO832" i="2"/>
  <c r="BO831" i="2"/>
  <c r="BO830" i="2"/>
  <c r="BO829" i="2"/>
  <c r="BO828" i="2"/>
  <c r="BO827" i="2"/>
  <c r="BO826" i="2"/>
  <c r="BO825" i="2"/>
  <c r="BO824" i="2"/>
  <c r="BO823" i="2"/>
  <c r="BO822" i="2"/>
  <c r="BO821" i="2"/>
  <c r="BO820" i="2"/>
  <c r="BO819" i="2"/>
  <c r="BO818" i="2"/>
  <c r="BO817" i="2"/>
  <c r="BO816" i="2"/>
  <c r="BO815" i="2"/>
  <c r="BO814" i="2"/>
  <c r="BO813" i="2"/>
  <c r="BO812" i="2"/>
  <c r="BO811" i="2"/>
  <c r="BO810" i="2"/>
  <c r="BO809" i="2"/>
  <c r="BO808" i="2"/>
  <c r="BO807" i="2"/>
  <c r="BO806" i="2"/>
  <c r="BO805" i="2"/>
  <c r="BO804" i="2"/>
  <c r="BO803" i="2"/>
  <c r="BO802" i="2"/>
  <c r="BO801" i="2"/>
  <c r="BO800" i="2"/>
  <c r="BO799" i="2"/>
  <c r="BO798" i="2"/>
  <c r="BO797" i="2"/>
  <c r="BO796" i="2"/>
  <c r="BO795" i="2"/>
  <c r="BO794" i="2"/>
  <c r="BO793" i="2"/>
  <c r="BO792" i="2"/>
  <c r="BO791" i="2"/>
  <c r="BO790" i="2"/>
  <c r="BO789" i="2"/>
  <c r="BO788" i="2"/>
  <c r="BO787" i="2"/>
  <c r="BO786" i="2"/>
  <c r="BO785" i="2"/>
  <c r="BO784" i="2"/>
  <c r="BO783" i="2"/>
  <c r="BO782" i="2"/>
  <c r="BO781" i="2"/>
  <c r="BO780" i="2"/>
  <c r="BO779" i="2"/>
  <c r="BO778" i="2"/>
  <c r="BO777" i="2"/>
  <c r="BO776" i="2"/>
  <c r="BO775" i="2"/>
  <c r="BO774" i="2"/>
  <c r="BO773" i="2"/>
  <c r="BO772" i="2"/>
  <c r="BO771" i="2"/>
  <c r="BO770" i="2"/>
  <c r="BO769" i="2"/>
  <c r="BO768" i="2"/>
  <c r="BO767" i="2"/>
  <c r="BO766" i="2"/>
  <c r="BO765" i="2"/>
  <c r="BO764" i="2"/>
  <c r="BO763" i="2"/>
  <c r="BO762" i="2"/>
  <c r="BO761" i="2"/>
  <c r="BO760" i="2"/>
  <c r="BO759" i="2"/>
  <c r="BO758" i="2"/>
  <c r="BO757" i="2"/>
  <c r="BO756" i="2"/>
  <c r="BO755" i="2"/>
  <c r="BO754" i="2"/>
  <c r="BO753" i="2"/>
  <c r="BO752" i="2"/>
  <c r="BO751" i="2"/>
  <c r="BO750" i="2"/>
  <c r="BO749" i="2"/>
  <c r="BO748" i="2"/>
  <c r="BO747" i="2"/>
  <c r="BO746" i="2"/>
  <c r="BO745" i="2"/>
  <c r="BO744" i="2"/>
  <c r="BO743" i="2"/>
  <c r="BO742" i="2"/>
  <c r="BO741" i="2"/>
  <c r="BO740" i="2"/>
  <c r="BO739" i="2"/>
  <c r="BO738" i="2"/>
  <c r="BO737" i="2"/>
  <c r="BO736" i="2"/>
  <c r="BO735" i="2"/>
  <c r="BO734" i="2"/>
  <c r="BO733" i="2"/>
  <c r="BO732" i="2"/>
  <c r="BO731" i="2"/>
  <c r="BO730" i="2"/>
  <c r="BO729" i="2"/>
  <c r="BO728" i="2"/>
  <c r="BO727" i="2"/>
  <c r="BO726" i="2"/>
  <c r="BO725" i="2"/>
  <c r="BO724" i="2"/>
  <c r="BO723" i="2"/>
  <c r="BO722" i="2"/>
  <c r="BO721" i="2"/>
  <c r="BO720" i="2"/>
  <c r="BO719" i="2"/>
  <c r="BO718" i="2"/>
  <c r="BO717" i="2"/>
  <c r="BO716" i="2"/>
  <c r="BO715" i="2"/>
  <c r="BO714" i="2"/>
  <c r="BO713" i="2"/>
  <c r="BO712" i="2"/>
  <c r="BO711" i="2"/>
  <c r="BO710" i="2"/>
  <c r="BO709" i="2"/>
  <c r="BO708" i="2"/>
  <c r="BO707" i="2"/>
  <c r="BO706" i="2"/>
  <c r="BO705" i="2"/>
  <c r="BO704" i="2"/>
  <c r="BO703" i="2"/>
  <c r="BO702" i="2"/>
  <c r="BO701" i="2"/>
  <c r="BO700" i="2"/>
  <c r="BO699" i="2"/>
  <c r="BO698" i="2"/>
  <c r="BO697" i="2"/>
  <c r="BO696" i="2"/>
  <c r="BO695" i="2"/>
  <c r="BO694" i="2"/>
  <c r="BO693" i="2"/>
  <c r="BO692" i="2"/>
  <c r="BO691" i="2"/>
  <c r="BO690" i="2"/>
  <c r="BO689" i="2"/>
  <c r="BO688" i="2"/>
  <c r="BO687" i="2"/>
  <c r="BO686" i="2"/>
  <c r="BO685" i="2"/>
  <c r="BO684" i="2"/>
  <c r="BO683" i="2"/>
  <c r="BO682" i="2"/>
  <c r="BO681" i="2"/>
  <c r="BO680" i="2"/>
  <c r="BO679" i="2"/>
  <c r="BO678" i="2"/>
  <c r="BO677" i="2"/>
  <c r="BO676" i="2"/>
  <c r="BO675" i="2"/>
  <c r="BO674" i="2"/>
  <c r="BO673" i="2"/>
  <c r="BO672" i="2"/>
  <c r="BO671" i="2"/>
  <c r="BO670" i="2"/>
  <c r="BO669" i="2"/>
  <c r="BO668" i="2"/>
  <c r="BO667" i="2"/>
  <c r="BO666" i="2"/>
  <c r="BO665" i="2"/>
  <c r="BO664" i="2"/>
  <c r="BO663" i="2"/>
  <c r="BO662" i="2"/>
  <c r="BO661" i="2"/>
  <c r="BO660" i="2"/>
  <c r="BO659" i="2"/>
  <c r="BO658" i="2"/>
  <c r="BO657" i="2"/>
  <c r="BO656" i="2"/>
  <c r="BO655" i="2"/>
  <c r="BO654" i="2"/>
  <c r="BO653" i="2"/>
  <c r="BO652" i="2"/>
  <c r="BO651" i="2"/>
  <c r="BO650" i="2"/>
  <c r="BO649" i="2"/>
  <c r="BO648" i="2"/>
  <c r="BO647" i="2"/>
  <c r="BO646" i="2"/>
  <c r="BO645" i="2"/>
  <c r="BO644" i="2"/>
  <c r="BO643" i="2"/>
  <c r="BO642" i="2"/>
  <c r="BO641" i="2"/>
  <c r="BO640" i="2"/>
  <c r="BO639" i="2"/>
  <c r="BO638" i="2"/>
  <c r="BO637" i="2"/>
  <c r="BO636" i="2"/>
  <c r="BO635" i="2"/>
  <c r="BO634" i="2"/>
  <c r="BO633" i="2"/>
  <c r="BO632" i="2"/>
  <c r="BO631" i="2"/>
  <c r="BO630" i="2"/>
  <c r="BO629" i="2"/>
  <c r="BO628" i="2"/>
  <c r="BO627" i="2"/>
  <c r="BO626" i="2"/>
  <c r="BO625" i="2"/>
  <c r="BO624" i="2"/>
  <c r="BO623" i="2"/>
  <c r="BO622" i="2"/>
  <c r="BO621" i="2"/>
  <c r="BO620" i="2"/>
  <c r="BO619" i="2"/>
  <c r="BO618" i="2"/>
  <c r="BO617" i="2"/>
  <c r="BO616" i="2"/>
  <c r="BO615" i="2"/>
  <c r="BO614" i="2"/>
  <c r="BO613" i="2"/>
  <c r="BO612" i="2"/>
  <c r="BO611" i="2"/>
  <c r="BO610" i="2"/>
  <c r="BO609" i="2"/>
  <c r="BO608" i="2"/>
  <c r="BO607" i="2"/>
  <c r="BO606" i="2"/>
  <c r="BO605" i="2"/>
  <c r="BO604" i="2"/>
  <c r="BO603" i="2"/>
  <c r="BO602" i="2"/>
  <c r="BO601" i="2"/>
  <c r="BO600" i="2"/>
  <c r="BO599" i="2"/>
  <c r="BO598" i="2"/>
  <c r="BO597" i="2"/>
  <c r="BO596" i="2"/>
  <c r="BO595" i="2"/>
  <c r="BO594" i="2"/>
  <c r="BO593" i="2"/>
  <c r="BO592" i="2"/>
  <c r="BO591" i="2"/>
  <c r="BO590" i="2"/>
  <c r="BO589" i="2"/>
  <c r="BO588" i="2"/>
  <c r="BO587" i="2"/>
  <c r="BO586" i="2"/>
  <c r="BO585" i="2"/>
  <c r="BO584" i="2"/>
  <c r="BO583" i="2"/>
  <c r="BO582" i="2"/>
  <c r="BO581" i="2"/>
  <c r="BO580" i="2"/>
  <c r="BO579" i="2"/>
  <c r="BO578" i="2"/>
  <c r="BO577" i="2"/>
  <c r="BO576" i="2"/>
  <c r="BO575" i="2"/>
  <c r="BO574" i="2"/>
  <c r="BO573" i="2"/>
  <c r="BO572" i="2"/>
  <c r="BO571" i="2"/>
  <c r="BO570" i="2"/>
  <c r="BO569" i="2"/>
  <c r="BO568" i="2"/>
  <c r="BO567" i="2"/>
  <c r="BO566" i="2"/>
  <c r="BO565" i="2"/>
  <c r="BO564" i="2"/>
  <c r="BO563" i="2"/>
  <c r="BO562" i="2"/>
  <c r="BO561" i="2"/>
  <c r="BO560" i="2"/>
  <c r="BO559" i="2"/>
  <c r="BO558" i="2"/>
  <c r="BO557" i="2"/>
  <c r="BO556" i="2"/>
  <c r="BO555" i="2"/>
  <c r="BO554" i="2"/>
  <c r="BO553" i="2"/>
  <c r="BO552" i="2"/>
  <c r="BO551" i="2"/>
  <c r="BO550" i="2"/>
  <c r="BO549" i="2"/>
  <c r="BO548" i="2"/>
  <c r="BO547" i="2"/>
  <c r="BO546" i="2"/>
  <c r="BO545" i="2"/>
  <c r="BO544" i="2"/>
  <c r="BO543" i="2"/>
  <c r="BO542" i="2"/>
  <c r="BO541" i="2"/>
  <c r="BO540" i="2"/>
  <c r="BO539" i="2"/>
  <c r="BO538" i="2"/>
  <c r="BO537" i="2"/>
  <c r="BO536" i="2"/>
  <c r="BO535" i="2"/>
  <c r="BO534" i="2"/>
  <c r="BO533" i="2"/>
  <c r="BO532" i="2"/>
  <c r="BO531" i="2"/>
  <c r="BO530" i="2"/>
  <c r="BO529" i="2"/>
  <c r="BO528" i="2"/>
  <c r="BO527" i="2"/>
  <c r="BO526" i="2"/>
  <c r="BO525" i="2"/>
  <c r="BO524" i="2"/>
  <c r="BO523" i="2"/>
  <c r="BO522" i="2"/>
  <c r="BO521" i="2"/>
  <c r="BO520" i="2"/>
  <c r="BO519" i="2"/>
  <c r="BO518" i="2"/>
  <c r="BO517" i="2"/>
  <c r="BO516" i="2"/>
  <c r="BO515" i="2"/>
  <c r="BO514" i="2"/>
  <c r="BO513" i="2"/>
  <c r="BO512" i="2"/>
  <c r="BO511" i="2"/>
  <c r="BO510" i="2"/>
  <c r="BO509" i="2"/>
  <c r="BO508" i="2"/>
  <c r="BO507" i="2"/>
  <c r="BO506" i="2"/>
  <c r="BO505" i="2"/>
  <c r="BO504" i="2"/>
  <c r="BO503" i="2"/>
  <c r="BO502" i="2"/>
  <c r="BO501" i="2"/>
  <c r="BO500" i="2"/>
  <c r="BO499" i="2"/>
  <c r="BO498" i="2"/>
  <c r="BO497" i="2"/>
  <c r="BO496" i="2"/>
  <c r="BO495" i="2"/>
  <c r="BO494" i="2"/>
  <c r="BO493" i="2"/>
  <c r="BO492" i="2"/>
  <c r="BO491" i="2"/>
  <c r="BO490" i="2"/>
  <c r="BO489" i="2"/>
  <c r="BO488" i="2"/>
  <c r="BO487" i="2"/>
  <c r="BO486" i="2"/>
  <c r="BO485" i="2"/>
  <c r="BO484" i="2"/>
  <c r="BO483" i="2"/>
  <c r="BO482" i="2"/>
  <c r="BO481" i="2"/>
  <c r="BO480" i="2"/>
  <c r="BO479" i="2"/>
  <c r="BO478" i="2"/>
  <c r="BO477" i="2"/>
  <c r="BO476" i="2"/>
  <c r="BO475" i="2"/>
  <c r="BO474" i="2"/>
  <c r="BO473" i="2"/>
  <c r="BO472" i="2"/>
  <c r="BO471" i="2"/>
  <c r="BO470" i="2"/>
  <c r="BO469" i="2"/>
  <c r="BO468" i="2"/>
  <c r="BO467" i="2"/>
  <c r="BO466" i="2"/>
  <c r="BO465" i="2"/>
  <c r="BO464" i="2"/>
  <c r="BO463" i="2"/>
  <c r="BO462" i="2"/>
  <c r="BO461" i="2"/>
  <c r="BO460" i="2"/>
  <c r="BO459" i="2"/>
  <c r="BO458" i="2"/>
  <c r="BO457" i="2"/>
  <c r="BO456" i="2"/>
  <c r="BO455" i="2"/>
  <c r="BO454" i="2"/>
  <c r="BO453" i="2"/>
  <c r="BO452" i="2"/>
  <c r="BO451" i="2"/>
  <c r="BO450" i="2"/>
  <c r="BO449" i="2"/>
  <c r="BO448" i="2"/>
  <c r="BO447" i="2"/>
  <c r="BO446" i="2"/>
  <c r="BO445" i="2"/>
  <c r="BO444" i="2"/>
  <c r="BO443" i="2"/>
  <c r="BO442" i="2"/>
  <c r="BO441" i="2"/>
  <c r="BO440" i="2"/>
  <c r="BO439" i="2"/>
  <c r="BO438" i="2"/>
  <c r="BO437" i="2"/>
  <c r="BO436" i="2"/>
  <c r="BO435" i="2"/>
  <c r="BO434" i="2"/>
  <c r="BO433" i="2"/>
  <c r="BO432" i="2"/>
  <c r="BO431" i="2"/>
  <c r="BO430" i="2"/>
  <c r="BO429" i="2"/>
  <c r="BO428" i="2"/>
  <c r="BO427" i="2"/>
  <c r="BO426" i="2"/>
  <c r="BO425" i="2"/>
  <c r="BO424" i="2"/>
  <c r="BO423" i="2"/>
  <c r="BO422" i="2"/>
  <c r="BO421" i="2"/>
  <c r="BO420" i="2"/>
  <c r="BO419" i="2"/>
  <c r="BO418" i="2"/>
  <c r="BO417" i="2"/>
  <c r="BO416" i="2"/>
  <c r="BO415" i="2"/>
  <c r="BO414" i="2"/>
  <c r="BO413" i="2"/>
  <c r="BO412" i="2"/>
  <c r="BO411" i="2"/>
  <c r="BO410" i="2"/>
  <c r="BO409" i="2"/>
  <c r="BO408" i="2"/>
  <c r="BO407" i="2"/>
  <c r="BO406" i="2"/>
  <c r="BO405" i="2"/>
  <c r="BO404" i="2"/>
  <c r="BO403" i="2"/>
  <c r="BO402" i="2"/>
  <c r="BO401" i="2"/>
  <c r="BO400" i="2"/>
  <c r="BO399" i="2"/>
  <c r="BO398" i="2"/>
  <c r="BO397" i="2"/>
  <c r="BO396" i="2"/>
  <c r="BO395" i="2"/>
  <c r="BO394" i="2"/>
  <c r="BO393" i="2"/>
  <c r="BO392" i="2"/>
  <c r="BO391" i="2"/>
  <c r="BO390" i="2"/>
  <c r="BO389" i="2"/>
  <c r="BO388" i="2"/>
  <c r="BO387" i="2"/>
  <c r="BO386" i="2"/>
  <c r="BO385" i="2"/>
  <c r="BO384" i="2"/>
  <c r="BO383" i="2"/>
  <c r="BO382" i="2"/>
  <c r="BO381" i="2"/>
  <c r="BO380" i="2"/>
  <c r="BO379" i="2"/>
  <c r="BO378" i="2"/>
  <c r="BO377" i="2"/>
  <c r="BO376" i="2"/>
  <c r="BO375" i="2"/>
  <c r="BO374" i="2"/>
  <c r="BO373" i="2"/>
  <c r="BO372" i="2"/>
  <c r="BO371" i="2"/>
  <c r="BO370" i="2"/>
  <c r="BO369" i="2"/>
  <c r="BO368" i="2"/>
  <c r="BO367" i="2"/>
  <c r="BO366" i="2"/>
  <c r="BO365" i="2"/>
  <c r="BO364" i="2"/>
  <c r="BO363" i="2"/>
  <c r="BO362" i="2"/>
  <c r="BO361" i="2"/>
  <c r="BO360" i="2"/>
  <c r="BO359" i="2"/>
  <c r="BO358" i="2"/>
  <c r="BO356" i="2"/>
  <c r="BO355" i="2"/>
  <c r="BO352" i="2"/>
  <c r="BO351" i="2"/>
  <c r="BO348" i="2"/>
  <c r="BO347" i="2"/>
  <c r="BO344" i="2"/>
  <c r="BO343" i="2"/>
  <c r="BO340" i="2"/>
  <c r="BO339" i="2"/>
  <c r="BO336" i="2"/>
  <c r="BO335" i="2"/>
  <c r="BO332" i="2"/>
  <c r="BO331" i="2"/>
  <c r="BO328" i="2"/>
  <c r="BO327" i="2"/>
  <c r="BO324" i="2"/>
  <c r="BO323" i="2"/>
  <c r="BO320" i="2"/>
  <c r="BO319" i="2"/>
  <c r="BO316" i="2"/>
  <c r="BO315" i="2"/>
  <c r="BO312" i="2"/>
  <c r="BO311" i="2"/>
  <c r="BO308" i="2"/>
  <c r="BO307" i="2"/>
  <c r="BO304" i="2"/>
  <c r="BO303" i="2"/>
  <c r="BO300" i="2"/>
  <c r="BO299" i="2"/>
  <c r="BO296" i="2"/>
  <c r="BO295" i="2"/>
  <c r="BO292" i="2"/>
  <c r="BO291" i="2"/>
  <c r="BO288" i="2"/>
  <c r="BO287" i="2"/>
  <c r="BO285" i="2"/>
  <c r="BO284" i="2"/>
  <c r="BO283" i="2"/>
  <c r="BO282" i="2"/>
  <c r="BO281" i="2"/>
  <c r="BO280" i="2"/>
  <c r="BO279" i="2"/>
  <c r="BO278" i="2"/>
  <c r="BO277" i="2"/>
  <c r="BO276" i="2"/>
  <c r="BO275" i="2"/>
  <c r="BO274" i="2"/>
  <c r="BO273" i="2"/>
  <c r="BO272" i="2"/>
  <c r="BO271" i="2"/>
  <c r="BO270" i="2"/>
  <c r="BO269" i="2"/>
  <c r="BO268" i="2"/>
  <c r="BO267" i="2"/>
  <c r="BO266" i="2"/>
  <c r="BO265" i="2"/>
  <c r="BO264" i="2"/>
  <c r="BO263" i="2"/>
  <c r="BO262" i="2"/>
  <c r="BO261" i="2"/>
  <c r="BO260" i="2"/>
  <c r="BO259" i="2"/>
  <c r="BO258" i="2"/>
  <c r="BO257" i="2"/>
  <c r="BO256" i="2"/>
  <c r="BO255" i="2"/>
  <c r="BO254" i="2"/>
  <c r="BO253" i="2"/>
  <c r="BO252" i="2"/>
  <c r="BO251" i="2"/>
  <c r="BO250" i="2"/>
  <c r="BO249" i="2"/>
  <c r="BO248" i="2"/>
  <c r="BO247" i="2"/>
  <c r="BO246" i="2"/>
  <c r="BO245" i="2"/>
  <c r="BO244" i="2"/>
  <c r="BO243" i="2"/>
  <c r="BO242" i="2"/>
  <c r="BO241" i="2"/>
  <c r="BO240" i="2"/>
  <c r="BO239" i="2"/>
  <c r="BO238" i="2"/>
  <c r="BO237" i="2"/>
  <c r="BO236" i="2"/>
  <c r="BO235" i="2"/>
  <c r="BO234" i="2"/>
  <c r="BO233" i="2"/>
  <c r="BO232" i="2"/>
  <c r="BO231" i="2"/>
  <c r="BO230" i="2"/>
  <c r="BO229" i="2"/>
  <c r="BO228" i="2"/>
  <c r="BO227" i="2"/>
  <c r="BO226" i="2"/>
  <c r="BO225" i="2"/>
  <c r="BO224" i="2"/>
  <c r="BO223" i="2"/>
  <c r="BO222" i="2"/>
  <c r="BO221" i="2"/>
  <c r="BO220" i="2"/>
  <c r="BO219" i="2"/>
  <c r="BO218" i="2"/>
  <c r="BO217" i="2"/>
  <c r="BO216" i="2"/>
  <c r="BO215" i="2"/>
  <c r="BO214" i="2"/>
  <c r="BO213" i="2"/>
  <c r="BO212" i="2"/>
  <c r="BO211" i="2"/>
  <c r="BO210" i="2"/>
  <c r="BO209" i="2"/>
  <c r="BO208" i="2"/>
  <c r="BO207" i="2"/>
  <c r="BO206" i="2"/>
  <c r="BO205" i="2"/>
  <c r="BO204" i="2"/>
  <c r="BO203" i="2"/>
  <c r="BO202" i="2"/>
  <c r="BO200" i="2"/>
  <c r="BO199" i="2"/>
  <c r="BO197" i="2"/>
  <c r="BO195" i="2"/>
  <c r="BO194" i="2"/>
  <c r="BO193" i="2"/>
  <c r="BO192" i="2"/>
  <c r="BO191" i="2"/>
  <c r="BO190" i="2"/>
  <c r="BO189" i="2"/>
  <c r="BO188" i="2"/>
  <c r="BO187" i="2"/>
  <c r="BO186" i="2"/>
  <c r="BO184" i="2"/>
  <c r="BO183" i="2"/>
  <c r="BO181" i="2"/>
  <c r="BO179" i="2"/>
  <c r="BO178" i="2"/>
  <c r="BO177" i="2"/>
  <c r="BO176" i="2"/>
  <c r="BO175" i="2"/>
  <c r="BO174" i="2"/>
  <c r="BO173" i="2"/>
  <c r="BO172" i="2"/>
  <c r="BO171" i="2"/>
  <c r="BO170" i="2"/>
  <c r="BO168" i="2"/>
  <c r="BO167" i="2"/>
  <c r="BO165" i="2"/>
  <c r="BO163" i="2"/>
  <c r="BO162" i="2"/>
  <c r="BO161" i="2"/>
  <c r="BO160" i="2"/>
  <c r="BO159" i="2"/>
  <c r="BO158" i="2"/>
  <c r="BO157" i="2"/>
  <c r="BO156" i="2"/>
  <c r="BO155" i="2"/>
  <c r="BO154" i="2"/>
  <c r="BO153" i="2"/>
  <c r="BO152" i="2"/>
  <c r="BO151" i="2"/>
  <c r="BO149" i="2"/>
  <c r="BO148" i="2"/>
  <c r="BO146" i="2"/>
  <c r="BO144" i="2"/>
  <c r="BO143" i="2"/>
  <c r="BO142" i="2"/>
  <c r="BO141" i="2"/>
  <c r="BO140" i="2"/>
  <c r="BO139" i="2"/>
  <c r="BO138" i="2"/>
  <c r="BO137" i="2"/>
  <c r="BO136" i="2"/>
  <c r="BO135" i="2"/>
  <c r="BO133" i="2"/>
  <c r="BO132" i="2"/>
  <c r="BO131" i="2"/>
  <c r="BO130" i="2"/>
  <c r="BO129" i="2"/>
  <c r="BO128" i="2"/>
  <c r="BO127" i="2"/>
  <c r="BO125" i="2"/>
  <c r="BO124" i="2"/>
  <c r="BO123" i="2"/>
  <c r="BO122" i="2"/>
  <c r="BO121" i="2"/>
  <c r="BO120" i="2"/>
  <c r="BO119" i="2"/>
  <c r="BO117" i="2"/>
  <c r="BO116" i="2"/>
  <c r="BO115" i="2"/>
  <c r="BO114" i="2"/>
  <c r="BO113" i="2"/>
  <c r="BO112" i="2"/>
  <c r="BO111" i="2"/>
  <c r="BO110" i="2"/>
  <c r="BO109" i="2"/>
  <c r="BO108" i="2"/>
  <c r="BO107" i="2"/>
  <c r="BO105" i="2"/>
  <c r="BO104" i="2"/>
  <c r="BO103" i="2"/>
  <c r="BO102" i="2"/>
  <c r="BO101" i="2"/>
  <c r="BO100" i="2"/>
  <c r="BO99" i="2"/>
  <c r="BO98" i="2"/>
  <c r="BO97" i="2"/>
  <c r="BO96" i="2"/>
  <c r="BO95" i="2"/>
  <c r="BO94" i="2"/>
  <c r="BO93" i="2"/>
  <c r="BO92" i="2"/>
  <c r="BO91" i="2"/>
  <c r="BO90" i="2"/>
  <c r="BO89" i="2"/>
  <c r="BO88" i="2"/>
  <c r="BO87" i="2"/>
  <c r="BO86" i="2"/>
  <c r="BO85" i="2"/>
  <c r="BO84" i="2"/>
  <c r="BO83" i="2"/>
  <c r="BO82" i="2"/>
  <c r="BO81" i="2"/>
  <c r="BO80" i="2"/>
  <c r="BO79" i="2"/>
  <c r="BO77" i="2"/>
  <c r="BO76" i="2"/>
  <c r="BO75" i="2"/>
  <c r="BO74" i="2"/>
  <c r="BO73" i="2"/>
  <c r="BO72" i="2"/>
  <c r="BO71" i="2"/>
  <c r="BO70" i="2"/>
  <c r="BO69" i="2"/>
  <c r="BO68" i="2"/>
  <c r="BO67" i="2"/>
  <c r="BO66" i="2"/>
  <c r="BO65" i="2"/>
  <c r="BO64" i="2"/>
  <c r="BO63" i="2"/>
  <c r="BO62" i="2"/>
  <c r="BO61" i="2"/>
  <c r="BO60" i="2"/>
  <c r="BO59" i="2"/>
  <c r="BO58" i="2"/>
  <c r="BO57" i="2"/>
  <c r="BO56" i="2"/>
  <c r="BO55" i="2"/>
  <c r="BO54" i="2"/>
  <c r="BO53" i="2"/>
  <c r="BO52" i="2"/>
  <c r="BO51" i="2"/>
  <c r="BO50" i="2"/>
  <c r="BO49" i="2"/>
  <c r="BO48" i="2"/>
  <c r="BO47" i="2"/>
  <c r="BO46" i="2"/>
  <c r="BO45" i="2"/>
  <c r="BO44" i="2"/>
  <c r="BO42" i="2"/>
  <c r="BO41" i="2"/>
  <c r="BO40" i="2"/>
  <c r="BO39" i="2"/>
  <c r="BO38" i="2"/>
  <c r="BO37" i="2"/>
  <c r="BO36" i="2"/>
  <c r="BO35" i="2"/>
  <c r="BO33" i="2"/>
  <c r="BO32" i="2"/>
  <c r="BO31" i="2"/>
  <c r="BO30" i="2"/>
  <c r="BO28" i="2"/>
  <c r="BO27" i="2"/>
  <c r="BO25" i="2"/>
  <c r="BO24" i="2"/>
  <c r="BO23" i="2"/>
  <c r="BO22" i="2"/>
  <c r="BO21" i="2"/>
  <c r="BO20" i="2"/>
  <c r="BO19" i="2"/>
  <c r="BO18" i="2"/>
  <c r="BO17" i="2"/>
  <c r="BO15" i="2"/>
  <c r="BO13" i="2"/>
  <c r="BO12" i="2"/>
  <c r="BO11" i="2"/>
  <c r="BO10" i="2"/>
  <c r="BO9" i="2"/>
  <c r="BO8" i="2"/>
  <c r="AZ6" i="2" l="1"/>
  <c r="BA6" i="2"/>
  <c r="BJ57" i="12"/>
  <c r="BJ58" i="12" s="1"/>
  <c r="BJ59" i="12" s="1"/>
  <c r="BO354" i="2" l="1"/>
  <c r="BP34" i="2"/>
  <c r="BO34" i="2"/>
  <c r="BP185" i="2"/>
  <c r="BO185" i="2"/>
  <c r="BP326" i="2"/>
  <c r="BO326" i="2"/>
  <c r="BP306" i="2"/>
  <c r="BO306" i="2"/>
  <c r="BP318" i="2"/>
  <c r="BO318" i="2"/>
  <c r="BP26" i="2"/>
  <c r="BO26" i="2"/>
  <c r="BP302" i="2"/>
  <c r="BO43" i="2"/>
  <c r="BP43" i="2"/>
  <c r="BO338" i="2"/>
  <c r="BO290" i="2"/>
  <c r="BP201" i="2"/>
  <c r="BO201" i="2"/>
  <c r="BP78" i="2"/>
  <c r="BO78" i="2"/>
  <c r="BP314" i="2"/>
  <c r="BO147" i="2"/>
  <c r="BP147" i="2"/>
  <c r="BP14" i="2"/>
  <c r="BO14" i="2"/>
  <c r="BK6" i="2"/>
  <c r="AB490" i="2"/>
  <c r="AC490" i="2" s="1"/>
  <c r="AD490" i="2" s="1"/>
  <c r="AB491" i="2"/>
  <c r="AC491" i="2" s="1"/>
  <c r="AD491" i="2" s="1"/>
  <c r="AB492" i="2"/>
  <c r="AC492" i="2" s="1"/>
  <c r="AD492" i="2" s="1"/>
  <c r="AB493" i="2"/>
  <c r="AC493" i="2" s="1"/>
  <c r="AD493" i="2" s="1"/>
  <c r="AB494" i="2"/>
  <c r="AC494" i="2" s="1"/>
  <c r="AD494" i="2" s="1"/>
  <c r="AB495" i="2"/>
  <c r="AC495" i="2" s="1"/>
  <c r="AD495" i="2" s="1"/>
  <c r="AB496" i="2"/>
  <c r="AC496" i="2" s="1"/>
  <c r="AD496" i="2" s="1"/>
  <c r="AB497" i="2"/>
  <c r="AC497" i="2" s="1"/>
  <c r="AD497" i="2" s="1"/>
  <c r="AB498" i="2"/>
  <c r="AC498" i="2" s="1"/>
  <c r="AD498" i="2" s="1"/>
  <c r="AB499" i="2"/>
  <c r="AC499" i="2" s="1"/>
  <c r="AD499" i="2" s="1"/>
  <c r="AB500" i="2"/>
  <c r="AC500" i="2" s="1"/>
  <c r="AD500" i="2" s="1"/>
  <c r="AB501" i="2"/>
  <c r="AC501" i="2" s="1"/>
  <c r="AD501" i="2" s="1"/>
  <c r="AB502" i="2"/>
  <c r="AC502" i="2" s="1"/>
  <c r="AD502" i="2" s="1"/>
  <c r="AB503" i="2"/>
  <c r="AC503" i="2" s="1"/>
  <c r="AD503" i="2" s="1"/>
  <c r="AB504" i="2"/>
  <c r="AC504" i="2" s="1"/>
  <c r="AD504" i="2" s="1"/>
  <c r="AB505" i="2"/>
  <c r="AC505" i="2" s="1"/>
  <c r="AD505" i="2" s="1"/>
  <c r="AB506" i="2"/>
  <c r="AC506" i="2" s="1"/>
  <c r="AD506" i="2" s="1"/>
  <c r="AB507" i="2"/>
  <c r="AC507" i="2" s="1"/>
  <c r="AD507" i="2" s="1"/>
  <c r="AB508" i="2"/>
  <c r="AC508" i="2" s="1"/>
  <c r="AD508" i="2" s="1"/>
  <c r="AB509" i="2"/>
  <c r="AC509" i="2" s="1"/>
  <c r="AD509" i="2" s="1"/>
  <c r="AB510" i="2"/>
  <c r="AC510" i="2" s="1"/>
  <c r="AD510" i="2" s="1"/>
  <c r="AB511" i="2"/>
  <c r="AC511" i="2" s="1"/>
  <c r="AD511" i="2" s="1"/>
  <c r="AB512" i="2"/>
  <c r="AC512" i="2" s="1"/>
  <c r="AD512" i="2" s="1"/>
  <c r="AB513" i="2"/>
  <c r="AC513" i="2" s="1"/>
  <c r="AD513" i="2" s="1"/>
  <c r="AB514" i="2"/>
  <c r="AC514" i="2" s="1"/>
  <c r="AD514" i="2" s="1"/>
  <c r="AB515" i="2"/>
  <c r="AC515" i="2" s="1"/>
  <c r="AD515" i="2" s="1"/>
  <c r="AB516" i="2"/>
  <c r="AC516" i="2" s="1"/>
  <c r="AD516" i="2" s="1"/>
  <c r="AB517" i="2"/>
  <c r="AC517" i="2" s="1"/>
  <c r="AD517" i="2" s="1"/>
  <c r="AB518" i="2"/>
  <c r="AC518" i="2" s="1"/>
  <c r="AD518" i="2" s="1"/>
  <c r="AB519" i="2"/>
  <c r="AC519" i="2" s="1"/>
  <c r="AD519" i="2" s="1"/>
  <c r="AB520" i="2"/>
  <c r="AC520" i="2" s="1"/>
  <c r="AD520" i="2" s="1"/>
  <c r="AB521" i="2"/>
  <c r="AC521" i="2" s="1"/>
  <c r="AD521" i="2" s="1"/>
  <c r="AB522" i="2"/>
  <c r="AC522" i="2" s="1"/>
  <c r="AD522" i="2" s="1"/>
  <c r="AB523" i="2"/>
  <c r="AC523" i="2" s="1"/>
  <c r="AD523" i="2" s="1"/>
  <c r="AB524" i="2"/>
  <c r="AC524" i="2" s="1"/>
  <c r="AD524" i="2" s="1"/>
  <c r="AB525" i="2"/>
  <c r="AC525" i="2" s="1"/>
  <c r="AD525" i="2" s="1"/>
  <c r="AB526" i="2"/>
  <c r="AC526" i="2" s="1"/>
  <c r="AD526" i="2" s="1"/>
  <c r="AB527" i="2"/>
  <c r="AC527" i="2" s="1"/>
  <c r="AD527" i="2" s="1"/>
  <c r="AB528" i="2"/>
  <c r="AC528" i="2" s="1"/>
  <c r="AD528" i="2" s="1"/>
  <c r="AB529" i="2"/>
  <c r="AC529" i="2" s="1"/>
  <c r="AD529" i="2" s="1"/>
  <c r="AB530" i="2"/>
  <c r="AC530" i="2" s="1"/>
  <c r="AD530" i="2" s="1"/>
  <c r="AB531" i="2"/>
  <c r="AC531" i="2" s="1"/>
  <c r="AD531" i="2" s="1"/>
  <c r="AB532" i="2"/>
  <c r="AC532" i="2" s="1"/>
  <c r="AD532" i="2" s="1"/>
  <c r="AB533" i="2"/>
  <c r="AC533" i="2" s="1"/>
  <c r="AD533" i="2" s="1"/>
  <c r="AB534" i="2"/>
  <c r="AC534" i="2" s="1"/>
  <c r="AD534" i="2" s="1"/>
  <c r="AB535" i="2"/>
  <c r="AC535" i="2" s="1"/>
  <c r="AD535" i="2" s="1"/>
  <c r="AB536" i="2"/>
  <c r="AC536" i="2" s="1"/>
  <c r="AD536" i="2" s="1"/>
  <c r="AB537" i="2"/>
  <c r="AC537" i="2" s="1"/>
  <c r="AD537" i="2" s="1"/>
  <c r="AB538" i="2"/>
  <c r="AC538" i="2" s="1"/>
  <c r="AD538" i="2" s="1"/>
  <c r="AB539" i="2"/>
  <c r="AC539" i="2" s="1"/>
  <c r="AD539" i="2" s="1"/>
  <c r="AB540" i="2"/>
  <c r="AC540" i="2" s="1"/>
  <c r="AD540" i="2" s="1"/>
  <c r="AB541" i="2"/>
  <c r="AC541" i="2" s="1"/>
  <c r="AD541" i="2" s="1"/>
  <c r="AB542" i="2"/>
  <c r="AC542" i="2" s="1"/>
  <c r="AD542" i="2" s="1"/>
  <c r="AB543" i="2"/>
  <c r="AC543" i="2" s="1"/>
  <c r="AD543" i="2" s="1"/>
  <c r="AB544" i="2"/>
  <c r="AC544" i="2" s="1"/>
  <c r="AD544" i="2" s="1"/>
  <c r="AB545" i="2"/>
  <c r="AC545" i="2" s="1"/>
  <c r="AD545" i="2" s="1"/>
  <c r="AB546" i="2"/>
  <c r="AC546" i="2" s="1"/>
  <c r="AD546" i="2" s="1"/>
  <c r="AB547" i="2"/>
  <c r="AC547" i="2" s="1"/>
  <c r="AD547" i="2" s="1"/>
  <c r="AB548" i="2"/>
  <c r="AC548" i="2" s="1"/>
  <c r="AD548" i="2" s="1"/>
  <c r="AB549" i="2"/>
  <c r="AC549" i="2" s="1"/>
  <c r="AD549" i="2" s="1"/>
  <c r="AB550" i="2"/>
  <c r="AC550" i="2" s="1"/>
  <c r="AD550" i="2" s="1"/>
  <c r="AB551" i="2"/>
  <c r="AC551" i="2" s="1"/>
  <c r="AD551" i="2" s="1"/>
  <c r="AB552" i="2"/>
  <c r="AC552" i="2" s="1"/>
  <c r="AD552" i="2" s="1"/>
  <c r="AB553" i="2"/>
  <c r="AC553" i="2" s="1"/>
  <c r="AD553" i="2" s="1"/>
  <c r="AB554" i="2"/>
  <c r="AC554" i="2" s="1"/>
  <c r="AD554" i="2" s="1"/>
  <c r="AB555" i="2"/>
  <c r="AC555" i="2" s="1"/>
  <c r="AD555" i="2" s="1"/>
  <c r="AB556" i="2"/>
  <c r="AC556" i="2" s="1"/>
  <c r="AD556" i="2" s="1"/>
  <c r="AB557" i="2"/>
  <c r="AC557" i="2" s="1"/>
  <c r="AD557" i="2" s="1"/>
  <c r="AB558" i="2"/>
  <c r="AC558" i="2" s="1"/>
  <c r="AD558" i="2" s="1"/>
  <c r="AB559" i="2"/>
  <c r="AC559" i="2" s="1"/>
  <c r="AD559" i="2" s="1"/>
  <c r="AB560" i="2"/>
  <c r="AC560" i="2" s="1"/>
  <c r="AD560" i="2" s="1"/>
  <c r="AB561" i="2"/>
  <c r="AC561" i="2" s="1"/>
  <c r="AD561" i="2" s="1"/>
  <c r="AB562" i="2"/>
  <c r="AC562" i="2" s="1"/>
  <c r="AD562" i="2" s="1"/>
  <c r="AB563" i="2"/>
  <c r="AC563" i="2" s="1"/>
  <c r="AD563" i="2" s="1"/>
  <c r="AB564" i="2"/>
  <c r="AC564" i="2" s="1"/>
  <c r="AD564" i="2" s="1"/>
  <c r="AB565" i="2"/>
  <c r="AC565" i="2" s="1"/>
  <c r="AD565" i="2" s="1"/>
  <c r="AB566" i="2"/>
  <c r="AC566" i="2" s="1"/>
  <c r="AD566" i="2" s="1"/>
  <c r="AB567" i="2"/>
  <c r="AC567" i="2" s="1"/>
  <c r="AD567" i="2" s="1"/>
  <c r="AB568" i="2"/>
  <c r="AC568" i="2" s="1"/>
  <c r="AD568" i="2" s="1"/>
  <c r="AB569" i="2"/>
  <c r="AC569" i="2" s="1"/>
  <c r="AD569" i="2" s="1"/>
  <c r="AB570" i="2"/>
  <c r="AC570" i="2" s="1"/>
  <c r="AD570" i="2" s="1"/>
  <c r="AB571" i="2"/>
  <c r="AC571" i="2" s="1"/>
  <c r="AD571" i="2" s="1"/>
  <c r="AB572" i="2"/>
  <c r="AC572" i="2" s="1"/>
  <c r="AD572" i="2" s="1"/>
  <c r="AB573" i="2"/>
  <c r="AC573" i="2" s="1"/>
  <c r="AD573" i="2" s="1"/>
  <c r="AB574" i="2"/>
  <c r="AC574" i="2" s="1"/>
  <c r="AD574" i="2" s="1"/>
  <c r="AB575" i="2"/>
  <c r="AC575" i="2" s="1"/>
  <c r="AD575" i="2" s="1"/>
  <c r="AB576" i="2"/>
  <c r="AC576" i="2" s="1"/>
  <c r="AD576" i="2" s="1"/>
  <c r="AB577" i="2"/>
  <c r="AC577" i="2" s="1"/>
  <c r="AD577" i="2" s="1"/>
  <c r="AB578" i="2"/>
  <c r="AC578" i="2" s="1"/>
  <c r="AD578" i="2" s="1"/>
  <c r="AB579" i="2"/>
  <c r="AC579" i="2" s="1"/>
  <c r="AD579" i="2" s="1"/>
  <c r="AB580" i="2"/>
  <c r="AC580" i="2" s="1"/>
  <c r="AD580" i="2" s="1"/>
  <c r="AB581" i="2"/>
  <c r="AC581" i="2" s="1"/>
  <c r="AD581" i="2" s="1"/>
  <c r="AB582" i="2"/>
  <c r="AC582" i="2" s="1"/>
  <c r="AD582" i="2" s="1"/>
  <c r="AB583" i="2"/>
  <c r="AC583" i="2" s="1"/>
  <c r="AD583" i="2" s="1"/>
  <c r="AB584" i="2"/>
  <c r="AC584" i="2" s="1"/>
  <c r="AD584" i="2" s="1"/>
  <c r="AB585" i="2"/>
  <c r="AC585" i="2" s="1"/>
  <c r="AD585" i="2" s="1"/>
  <c r="AB586" i="2"/>
  <c r="AC586" i="2" s="1"/>
  <c r="AD586" i="2" s="1"/>
  <c r="AB587" i="2"/>
  <c r="AC587" i="2" s="1"/>
  <c r="AD587" i="2" s="1"/>
  <c r="AB588" i="2"/>
  <c r="AC588" i="2" s="1"/>
  <c r="AD588" i="2" s="1"/>
  <c r="AB589" i="2"/>
  <c r="AC589" i="2" s="1"/>
  <c r="AD589" i="2" s="1"/>
  <c r="AB590" i="2"/>
  <c r="AC590" i="2" s="1"/>
  <c r="AD590" i="2" s="1"/>
  <c r="AB591" i="2"/>
  <c r="AC591" i="2" s="1"/>
  <c r="AD591" i="2" s="1"/>
  <c r="AB592" i="2"/>
  <c r="AC592" i="2" s="1"/>
  <c r="AD592" i="2" s="1"/>
  <c r="AB593" i="2"/>
  <c r="AC593" i="2" s="1"/>
  <c r="AD593" i="2" s="1"/>
  <c r="AB594" i="2"/>
  <c r="AC594" i="2" s="1"/>
  <c r="AD594" i="2" s="1"/>
  <c r="AB595" i="2"/>
  <c r="AC595" i="2" s="1"/>
  <c r="AD595" i="2" s="1"/>
  <c r="AB596" i="2"/>
  <c r="AC596" i="2" s="1"/>
  <c r="AD596" i="2" s="1"/>
  <c r="AB597" i="2"/>
  <c r="AC597" i="2" s="1"/>
  <c r="AD597" i="2" s="1"/>
  <c r="AB598" i="2"/>
  <c r="AC598" i="2" s="1"/>
  <c r="AD598" i="2" s="1"/>
  <c r="AB599" i="2"/>
  <c r="AC599" i="2" s="1"/>
  <c r="AD599" i="2" s="1"/>
  <c r="AB600" i="2"/>
  <c r="AC600" i="2" s="1"/>
  <c r="AD600" i="2" s="1"/>
  <c r="AB601" i="2"/>
  <c r="AC601" i="2" s="1"/>
  <c r="AD601" i="2" s="1"/>
  <c r="AB602" i="2"/>
  <c r="AC602" i="2" s="1"/>
  <c r="AD602" i="2" s="1"/>
  <c r="AB603" i="2"/>
  <c r="AC603" i="2" s="1"/>
  <c r="AD603" i="2" s="1"/>
  <c r="AB604" i="2"/>
  <c r="AC604" i="2" s="1"/>
  <c r="AD604" i="2" s="1"/>
  <c r="AB605" i="2"/>
  <c r="AC605" i="2" s="1"/>
  <c r="AD605" i="2" s="1"/>
  <c r="AB606" i="2"/>
  <c r="AC606" i="2" s="1"/>
  <c r="AD606" i="2" s="1"/>
  <c r="AB607" i="2"/>
  <c r="AC607" i="2" s="1"/>
  <c r="AD607" i="2" s="1"/>
  <c r="AB608" i="2"/>
  <c r="AC608" i="2" s="1"/>
  <c r="AD608" i="2" s="1"/>
  <c r="AB609" i="2"/>
  <c r="AC609" i="2" s="1"/>
  <c r="AD609" i="2" s="1"/>
  <c r="AB610" i="2"/>
  <c r="AC610" i="2" s="1"/>
  <c r="AD610" i="2" s="1"/>
  <c r="AB611" i="2"/>
  <c r="AC611" i="2" s="1"/>
  <c r="AD611" i="2" s="1"/>
  <c r="AB612" i="2"/>
  <c r="AC612" i="2" s="1"/>
  <c r="AD612" i="2" s="1"/>
  <c r="AB613" i="2"/>
  <c r="AC613" i="2" s="1"/>
  <c r="AD613" i="2" s="1"/>
  <c r="AB614" i="2"/>
  <c r="AC614" i="2" s="1"/>
  <c r="AD614" i="2" s="1"/>
  <c r="AB615" i="2"/>
  <c r="AC615" i="2" s="1"/>
  <c r="AD615" i="2" s="1"/>
  <c r="AB616" i="2"/>
  <c r="AC616" i="2" s="1"/>
  <c r="AD616" i="2" s="1"/>
  <c r="AB617" i="2"/>
  <c r="AC617" i="2" s="1"/>
  <c r="AD617" i="2" s="1"/>
  <c r="AB618" i="2"/>
  <c r="AC618" i="2" s="1"/>
  <c r="AD618" i="2" s="1"/>
  <c r="AB619" i="2"/>
  <c r="AC619" i="2" s="1"/>
  <c r="AD619" i="2" s="1"/>
  <c r="AB620" i="2"/>
  <c r="AC620" i="2" s="1"/>
  <c r="AD620" i="2" s="1"/>
  <c r="AB621" i="2"/>
  <c r="AC621" i="2" s="1"/>
  <c r="AD621" i="2" s="1"/>
  <c r="AB622" i="2"/>
  <c r="AC622" i="2" s="1"/>
  <c r="AD622" i="2" s="1"/>
  <c r="AB623" i="2"/>
  <c r="AC623" i="2" s="1"/>
  <c r="AD623" i="2" s="1"/>
  <c r="AB624" i="2"/>
  <c r="AC624" i="2" s="1"/>
  <c r="AD624" i="2" s="1"/>
  <c r="AB625" i="2"/>
  <c r="AC625" i="2" s="1"/>
  <c r="AD625" i="2" s="1"/>
  <c r="AB626" i="2"/>
  <c r="AC626" i="2" s="1"/>
  <c r="AD626" i="2" s="1"/>
  <c r="AB627" i="2"/>
  <c r="AC627" i="2" s="1"/>
  <c r="AD627" i="2" s="1"/>
  <c r="AB628" i="2"/>
  <c r="AC628" i="2" s="1"/>
  <c r="AD628" i="2" s="1"/>
  <c r="AB629" i="2"/>
  <c r="AC629" i="2" s="1"/>
  <c r="AD629" i="2" s="1"/>
  <c r="AB630" i="2"/>
  <c r="AC630" i="2" s="1"/>
  <c r="AD630" i="2" s="1"/>
  <c r="AB631" i="2"/>
  <c r="AC631" i="2" s="1"/>
  <c r="AD631" i="2" s="1"/>
  <c r="AB632" i="2"/>
  <c r="AC632" i="2" s="1"/>
  <c r="AD632" i="2" s="1"/>
  <c r="AB633" i="2"/>
  <c r="AC633" i="2" s="1"/>
  <c r="AD633" i="2" s="1"/>
  <c r="AB634" i="2"/>
  <c r="AC634" i="2" s="1"/>
  <c r="AD634" i="2" s="1"/>
  <c r="AB635" i="2"/>
  <c r="AC635" i="2" s="1"/>
  <c r="AD635" i="2" s="1"/>
  <c r="AB636" i="2"/>
  <c r="AC636" i="2" s="1"/>
  <c r="AD636" i="2" s="1"/>
  <c r="AB637" i="2"/>
  <c r="AC637" i="2" s="1"/>
  <c r="AD637" i="2" s="1"/>
  <c r="AB638" i="2"/>
  <c r="AC638" i="2" s="1"/>
  <c r="AD638" i="2" s="1"/>
  <c r="AB639" i="2"/>
  <c r="AC639" i="2" s="1"/>
  <c r="AD639" i="2" s="1"/>
  <c r="AB640" i="2"/>
  <c r="AC640" i="2" s="1"/>
  <c r="AD640" i="2" s="1"/>
  <c r="AB641" i="2"/>
  <c r="AC641" i="2" s="1"/>
  <c r="AD641" i="2" s="1"/>
  <c r="AB642" i="2"/>
  <c r="AC642" i="2" s="1"/>
  <c r="AD642" i="2" s="1"/>
  <c r="AB643" i="2"/>
  <c r="AC643" i="2" s="1"/>
  <c r="AD643" i="2" s="1"/>
  <c r="AB644" i="2"/>
  <c r="AC644" i="2" s="1"/>
  <c r="AD644" i="2" s="1"/>
  <c r="AB645" i="2"/>
  <c r="AC645" i="2" s="1"/>
  <c r="AD645" i="2" s="1"/>
  <c r="AB646" i="2"/>
  <c r="AC646" i="2" s="1"/>
  <c r="AD646" i="2" s="1"/>
  <c r="AB647" i="2"/>
  <c r="AC647" i="2" s="1"/>
  <c r="AD647" i="2" s="1"/>
  <c r="AB648" i="2"/>
  <c r="AC648" i="2" s="1"/>
  <c r="AD648" i="2" s="1"/>
  <c r="AB649" i="2"/>
  <c r="AC649" i="2" s="1"/>
  <c r="AD649" i="2" s="1"/>
  <c r="AB650" i="2"/>
  <c r="AC650" i="2" s="1"/>
  <c r="AD650" i="2" s="1"/>
  <c r="AB651" i="2"/>
  <c r="AC651" i="2" s="1"/>
  <c r="AD651" i="2" s="1"/>
  <c r="AB652" i="2"/>
  <c r="AC652" i="2" s="1"/>
  <c r="AD652" i="2" s="1"/>
  <c r="AB653" i="2"/>
  <c r="AC653" i="2" s="1"/>
  <c r="AD653" i="2" s="1"/>
  <c r="AB654" i="2"/>
  <c r="AC654" i="2" s="1"/>
  <c r="AD654" i="2" s="1"/>
  <c r="AB655" i="2"/>
  <c r="AC655" i="2" s="1"/>
  <c r="AD655" i="2" s="1"/>
  <c r="AB656" i="2"/>
  <c r="AC656" i="2" s="1"/>
  <c r="AD656" i="2" s="1"/>
  <c r="AB657" i="2"/>
  <c r="AC657" i="2" s="1"/>
  <c r="AD657" i="2" s="1"/>
  <c r="AB658" i="2"/>
  <c r="AC658" i="2" s="1"/>
  <c r="AD658" i="2" s="1"/>
  <c r="AB659" i="2"/>
  <c r="AC659" i="2" s="1"/>
  <c r="AD659" i="2" s="1"/>
  <c r="AB660" i="2"/>
  <c r="AC660" i="2" s="1"/>
  <c r="AD660" i="2" s="1"/>
  <c r="AB661" i="2"/>
  <c r="AC661" i="2" s="1"/>
  <c r="AD661" i="2" s="1"/>
  <c r="AB662" i="2"/>
  <c r="AC662" i="2" s="1"/>
  <c r="AD662" i="2" s="1"/>
  <c r="AB663" i="2"/>
  <c r="AC663" i="2" s="1"/>
  <c r="AD663" i="2" s="1"/>
  <c r="AB664" i="2"/>
  <c r="AC664" i="2" s="1"/>
  <c r="AD664" i="2" s="1"/>
  <c r="AB665" i="2"/>
  <c r="AC665" i="2" s="1"/>
  <c r="AD665" i="2" s="1"/>
  <c r="AB666" i="2"/>
  <c r="AC666" i="2" s="1"/>
  <c r="AD666" i="2" s="1"/>
  <c r="AB667" i="2"/>
  <c r="AC667" i="2" s="1"/>
  <c r="AD667" i="2" s="1"/>
  <c r="AB668" i="2"/>
  <c r="AC668" i="2" s="1"/>
  <c r="AD668" i="2" s="1"/>
  <c r="AB669" i="2"/>
  <c r="AC669" i="2" s="1"/>
  <c r="AD669" i="2" s="1"/>
  <c r="AB670" i="2"/>
  <c r="AC670" i="2" s="1"/>
  <c r="AD670" i="2" s="1"/>
  <c r="AB671" i="2"/>
  <c r="AC671" i="2" s="1"/>
  <c r="AD671" i="2" s="1"/>
  <c r="AB672" i="2"/>
  <c r="AC672" i="2" s="1"/>
  <c r="AD672" i="2" s="1"/>
  <c r="AB673" i="2"/>
  <c r="AC673" i="2" s="1"/>
  <c r="AD673" i="2" s="1"/>
  <c r="AB674" i="2"/>
  <c r="AC674" i="2" s="1"/>
  <c r="AD674" i="2" s="1"/>
  <c r="AB675" i="2"/>
  <c r="AC675" i="2" s="1"/>
  <c r="AD675" i="2" s="1"/>
  <c r="AB676" i="2"/>
  <c r="AC676" i="2" s="1"/>
  <c r="AD676" i="2" s="1"/>
  <c r="AB677" i="2"/>
  <c r="AC677" i="2" s="1"/>
  <c r="AD677" i="2" s="1"/>
  <c r="AB678" i="2"/>
  <c r="AC678" i="2" s="1"/>
  <c r="AD678" i="2" s="1"/>
  <c r="AB679" i="2"/>
  <c r="AC679" i="2" s="1"/>
  <c r="AD679" i="2" s="1"/>
  <c r="AB680" i="2"/>
  <c r="AC680" i="2" s="1"/>
  <c r="AD680" i="2" s="1"/>
  <c r="AB681" i="2"/>
  <c r="AC681" i="2" s="1"/>
  <c r="AD681" i="2" s="1"/>
  <c r="AB682" i="2"/>
  <c r="AC682" i="2" s="1"/>
  <c r="AD682" i="2" s="1"/>
  <c r="AB683" i="2"/>
  <c r="AC683" i="2" s="1"/>
  <c r="AD683" i="2" s="1"/>
  <c r="AB684" i="2"/>
  <c r="AC684" i="2" s="1"/>
  <c r="AD684" i="2" s="1"/>
  <c r="AB685" i="2"/>
  <c r="AC685" i="2" s="1"/>
  <c r="AD685" i="2" s="1"/>
  <c r="AB686" i="2"/>
  <c r="AC686" i="2" s="1"/>
  <c r="AD686" i="2" s="1"/>
  <c r="AB687" i="2"/>
  <c r="AC687" i="2" s="1"/>
  <c r="AD687" i="2" s="1"/>
  <c r="AB688" i="2"/>
  <c r="AC688" i="2" s="1"/>
  <c r="AD688" i="2" s="1"/>
  <c r="AB689" i="2"/>
  <c r="AC689" i="2" s="1"/>
  <c r="AD689" i="2" s="1"/>
  <c r="AB690" i="2"/>
  <c r="AC690" i="2" s="1"/>
  <c r="AD690" i="2" s="1"/>
  <c r="AB691" i="2"/>
  <c r="AC691" i="2" s="1"/>
  <c r="AD691" i="2" s="1"/>
  <c r="AB692" i="2"/>
  <c r="AC692" i="2" s="1"/>
  <c r="AD692" i="2" s="1"/>
  <c r="AB693" i="2"/>
  <c r="AC693" i="2" s="1"/>
  <c r="AD693" i="2" s="1"/>
  <c r="AB694" i="2"/>
  <c r="AC694" i="2" s="1"/>
  <c r="AD694" i="2" s="1"/>
  <c r="AB695" i="2"/>
  <c r="AC695" i="2" s="1"/>
  <c r="AD695" i="2" s="1"/>
  <c r="AB696" i="2"/>
  <c r="AC696" i="2" s="1"/>
  <c r="AD696" i="2" s="1"/>
  <c r="AB697" i="2"/>
  <c r="AC697" i="2" s="1"/>
  <c r="AD697" i="2" s="1"/>
  <c r="AB698" i="2"/>
  <c r="AC698" i="2" s="1"/>
  <c r="AD698" i="2" s="1"/>
  <c r="AB699" i="2"/>
  <c r="AC699" i="2" s="1"/>
  <c r="AD699" i="2" s="1"/>
  <c r="AB700" i="2"/>
  <c r="AC700" i="2" s="1"/>
  <c r="AD700" i="2" s="1"/>
  <c r="AB701" i="2"/>
  <c r="AC701" i="2" s="1"/>
  <c r="AD701" i="2" s="1"/>
  <c r="AB702" i="2"/>
  <c r="AC702" i="2" s="1"/>
  <c r="AD702" i="2" s="1"/>
  <c r="AB703" i="2"/>
  <c r="AC703" i="2" s="1"/>
  <c r="AD703" i="2" s="1"/>
  <c r="AB704" i="2"/>
  <c r="AC704" i="2" s="1"/>
  <c r="AD704" i="2" s="1"/>
  <c r="AB705" i="2"/>
  <c r="AC705" i="2" s="1"/>
  <c r="AD705" i="2" s="1"/>
  <c r="AB706" i="2"/>
  <c r="AC706" i="2" s="1"/>
  <c r="AD706" i="2" s="1"/>
  <c r="AB707" i="2"/>
  <c r="AC707" i="2" s="1"/>
  <c r="AD707" i="2" s="1"/>
  <c r="AB708" i="2"/>
  <c r="AC708" i="2" s="1"/>
  <c r="AD708" i="2" s="1"/>
  <c r="AB709" i="2"/>
  <c r="AC709" i="2" s="1"/>
  <c r="AD709" i="2" s="1"/>
  <c r="AB710" i="2"/>
  <c r="AC710" i="2" s="1"/>
  <c r="AD710" i="2" s="1"/>
  <c r="AB711" i="2"/>
  <c r="AC711" i="2" s="1"/>
  <c r="AD711" i="2" s="1"/>
  <c r="AB712" i="2"/>
  <c r="AC712" i="2" s="1"/>
  <c r="AD712" i="2" s="1"/>
  <c r="AB713" i="2"/>
  <c r="AC713" i="2" s="1"/>
  <c r="AD713" i="2" s="1"/>
  <c r="AB714" i="2"/>
  <c r="AC714" i="2" s="1"/>
  <c r="AD714" i="2" s="1"/>
  <c r="AB715" i="2"/>
  <c r="AC715" i="2" s="1"/>
  <c r="AD715" i="2" s="1"/>
  <c r="AB716" i="2"/>
  <c r="AC716" i="2" s="1"/>
  <c r="AD716" i="2" s="1"/>
  <c r="AB717" i="2"/>
  <c r="AC717" i="2" s="1"/>
  <c r="AD717" i="2" s="1"/>
  <c r="AB718" i="2"/>
  <c r="AC718" i="2" s="1"/>
  <c r="AD718" i="2" s="1"/>
  <c r="AB719" i="2"/>
  <c r="AC719" i="2" s="1"/>
  <c r="AD719" i="2" s="1"/>
  <c r="AB720" i="2"/>
  <c r="AC720" i="2" s="1"/>
  <c r="AD720" i="2" s="1"/>
  <c r="AB721" i="2"/>
  <c r="AC721" i="2" s="1"/>
  <c r="AD721" i="2" s="1"/>
  <c r="AB722" i="2"/>
  <c r="AC722" i="2" s="1"/>
  <c r="AD722" i="2" s="1"/>
  <c r="AB723" i="2"/>
  <c r="AC723" i="2" s="1"/>
  <c r="AD723" i="2" s="1"/>
  <c r="AB724" i="2"/>
  <c r="AC724" i="2" s="1"/>
  <c r="AD724" i="2" s="1"/>
  <c r="AB725" i="2"/>
  <c r="AC725" i="2" s="1"/>
  <c r="AD725" i="2" s="1"/>
  <c r="AB726" i="2"/>
  <c r="AC726" i="2" s="1"/>
  <c r="AD726" i="2" s="1"/>
  <c r="AB727" i="2"/>
  <c r="AC727" i="2" s="1"/>
  <c r="AD727" i="2" s="1"/>
  <c r="AB728" i="2"/>
  <c r="AC728" i="2" s="1"/>
  <c r="AD728" i="2" s="1"/>
  <c r="AB729" i="2"/>
  <c r="AC729" i="2" s="1"/>
  <c r="AD729" i="2" s="1"/>
  <c r="AB730" i="2"/>
  <c r="AC730" i="2" s="1"/>
  <c r="AD730" i="2" s="1"/>
  <c r="AB731" i="2"/>
  <c r="AC731" i="2" s="1"/>
  <c r="AD731" i="2" s="1"/>
  <c r="AB732" i="2"/>
  <c r="AC732" i="2" s="1"/>
  <c r="AD732" i="2" s="1"/>
  <c r="AB733" i="2"/>
  <c r="AC733" i="2" s="1"/>
  <c r="AD733" i="2" s="1"/>
  <c r="AB734" i="2"/>
  <c r="AC734" i="2" s="1"/>
  <c r="AD734" i="2" s="1"/>
  <c r="AB735" i="2"/>
  <c r="AC735" i="2" s="1"/>
  <c r="AD735" i="2" s="1"/>
  <c r="AB736" i="2"/>
  <c r="AC736" i="2" s="1"/>
  <c r="AD736" i="2" s="1"/>
  <c r="AB737" i="2"/>
  <c r="AC737" i="2" s="1"/>
  <c r="AD737" i="2" s="1"/>
  <c r="AB738" i="2"/>
  <c r="AC738" i="2" s="1"/>
  <c r="AD738" i="2" s="1"/>
  <c r="AB739" i="2"/>
  <c r="AC739" i="2" s="1"/>
  <c r="AD739" i="2" s="1"/>
  <c r="AB740" i="2"/>
  <c r="AC740" i="2" s="1"/>
  <c r="AD740" i="2" s="1"/>
  <c r="AB741" i="2"/>
  <c r="AC741" i="2" s="1"/>
  <c r="AD741" i="2" s="1"/>
  <c r="AB742" i="2"/>
  <c r="AC742" i="2" s="1"/>
  <c r="AD742" i="2" s="1"/>
  <c r="AB743" i="2"/>
  <c r="AC743" i="2" s="1"/>
  <c r="AD743" i="2" s="1"/>
  <c r="AB744" i="2"/>
  <c r="AC744" i="2" s="1"/>
  <c r="AD744" i="2" s="1"/>
  <c r="AB745" i="2"/>
  <c r="AC745" i="2" s="1"/>
  <c r="AD745" i="2" s="1"/>
  <c r="AB746" i="2"/>
  <c r="AC746" i="2" s="1"/>
  <c r="AD746" i="2" s="1"/>
  <c r="AB747" i="2"/>
  <c r="AC747" i="2" s="1"/>
  <c r="AD747" i="2" s="1"/>
  <c r="AB748" i="2"/>
  <c r="AC748" i="2" s="1"/>
  <c r="AD748" i="2" s="1"/>
  <c r="AB749" i="2"/>
  <c r="AC749" i="2" s="1"/>
  <c r="AD749" i="2" s="1"/>
  <c r="AB750" i="2"/>
  <c r="AC750" i="2" s="1"/>
  <c r="AD750" i="2" s="1"/>
  <c r="AB751" i="2"/>
  <c r="AC751" i="2" s="1"/>
  <c r="AD751" i="2" s="1"/>
  <c r="AB752" i="2"/>
  <c r="AC752" i="2" s="1"/>
  <c r="AD752" i="2" s="1"/>
  <c r="AB753" i="2"/>
  <c r="AC753" i="2" s="1"/>
  <c r="AD753" i="2" s="1"/>
  <c r="AB754" i="2"/>
  <c r="AC754" i="2" s="1"/>
  <c r="AD754" i="2" s="1"/>
  <c r="AB755" i="2"/>
  <c r="AC755" i="2" s="1"/>
  <c r="AD755" i="2" s="1"/>
  <c r="AB756" i="2"/>
  <c r="AC756" i="2" s="1"/>
  <c r="AD756" i="2" s="1"/>
  <c r="AB757" i="2"/>
  <c r="AC757" i="2" s="1"/>
  <c r="AD757" i="2" s="1"/>
  <c r="AB758" i="2"/>
  <c r="AC758" i="2" s="1"/>
  <c r="AD758" i="2" s="1"/>
  <c r="AB759" i="2"/>
  <c r="AC759" i="2" s="1"/>
  <c r="AD759" i="2" s="1"/>
  <c r="AB760" i="2"/>
  <c r="AC760" i="2" s="1"/>
  <c r="AD760" i="2" s="1"/>
  <c r="AB761" i="2"/>
  <c r="AC761" i="2" s="1"/>
  <c r="AD761" i="2" s="1"/>
  <c r="AB762" i="2"/>
  <c r="AC762" i="2" s="1"/>
  <c r="AD762" i="2" s="1"/>
  <c r="AB763" i="2"/>
  <c r="AC763" i="2" s="1"/>
  <c r="AD763" i="2" s="1"/>
  <c r="AB764" i="2"/>
  <c r="AC764" i="2" s="1"/>
  <c r="AD764" i="2" s="1"/>
  <c r="AB765" i="2"/>
  <c r="AC765" i="2" s="1"/>
  <c r="AD765" i="2" s="1"/>
  <c r="AB766" i="2"/>
  <c r="AC766" i="2" s="1"/>
  <c r="AD766" i="2" s="1"/>
  <c r="AB767" i="2"/>
  <c r="AC767" i="2" s="1"/>
  <c r="AD767" i="2" s="1"/>
  <c r="AB768" i="2"/>
  <c r="AC768" i="2" s="1"/>
  <c r="AD768" i="2" s="1"/>
  <c r="AB769" i="2"/>
  <c r="AC769" i="2" s="1"/>
  <c r="AD769" i="2" s="1"/>
  <c r="AB770" i="2"/>
  <c r="AC770" i="2" s="1"/>
  <c r="AD770" i="2" s="1"/>
  <c r="AB771" i="2"/>
  <c r="AC771" i="2" s="1"/>
  <c r="AD771" i="2" s="1"/>
  <c r="AB772" i="2"/>
  <c r="AC772" i="2" s="1"/>
  <c r="AD772" i="2" s="1"/>
  <c r="AB773" i="2"/>
  <c r="AC773" i="2" s="1"/>
  <c r="AD773" i="2" s="1"/>
  <c r="AB774" i="2"/>
  <c r="AC774" i="2" s="1"/>
  <c r="AD774" i="2" s="1"/>
  <c r="AB775" i="2"/>
  <c r="AC775" i="2" s="1"/>
  <c r="AD775" i="2" s="1"/>
  <c r="AB776" i="2"/>
  <c r="AC776" i="2" s="1"/>
  <c r="AD776" i="2" s="1"/>
  <c r="AB777" i="2"/>
  <c r="AC777" i="2" s="1"/>
  <c r="AD777" i="2" s="1"/>
  <c r="AB778" i="2"/>
  <c r="AC778" i="2" s="1"/>
  <c r="AD778" i="2" s="1"/>
  <c r="AB779" i="2"/>
  <c r="AC779" i="2" s="1"/>
  <c r="AD779" i="2" s="1"/>
  <c r="AB780" i="2"/>
  <c r="AC780" i="2" s="1"/>
  <c r="AD780" i="2" s="1"/>
  <c r="AB781" i="2"/>
  <c r="AC781" i="2" s="1"/>
  <c r="AD781" i="2" s="1"/>
  <c r="AB782" i="2"/>
  <c r="AC782" i="2" s="1"/>
  <c r="AD782" i="2" s="1"/>
  <c r="AB783" i="2"/>
  <c r="AC783" i="2" s="1"/>
  <c r="AD783" i="2" s="1"/>
  <c r="AB784" i="2"/>
  <c r="AC784" i="2" s="1"/>
  <c r="AD784" i="2" s="1"/>
  <c r="AB785" i="2"/>
  <c r="AC785" i="2" s="1"/>
  <c r="AD785" i="2" s="1"/>
  <c r="AB786" i="2"/>
  <c r="AC786" i="2" s="1"/>
  <c r="AD786" i="2" s="1"/>
  <c r="AB787" i="2"/>
  <c r="AC787" i="2" s="1"/>
  <c r="AD787" i="2" s="1"/>
  <c r="AB788" i="2"/>
  <c r="AC788" i="2" s="1"/>
  <c r="AD788" i="2" s="1"/>
  <c r="AB789" i="2"/>
  <c r="AC789" i="2" s="1"/>
  <c r="AD789" i="2" s="1"/>
  <c r="AB790" i="2"/>
  <c r="AC790" i="2" s="1"/>
  <c r="AD790" i="2" s="1"/>
  <c r="AB791" i="2"/>
  <c r="AC791" i="2" s="1"/>
  <c r="AD791" i="2" s="1"/>
  <c r="AB792" i="2"/>
  <c r="AC792" i="2" s="1"/>
  <c r="AD792" i="2" s="1"/>
  <c r="AB793" i="2"/>
  <c r="AC793" i="2" s="1"/>
  <c r="AD793" i="2" s="1"/>
  <c r="AB794" i="2"/>
  <c r="AC794" i="2" s="1"/>
  <c r="AD794" i="2" s="1"/>
  <c r="AB795" i="2"/>
  <c r="AC795" i="2" s="1"/>
  <c r="AD795" i="2" s="1"/>
  <c r="AB796" i="2"/>
  <c r="AC796" i="2" s="1"/>
  <c r="AD796" i="2" s="1"/>
  <c r="AB797" i="2"/>
  <c r="AC797" i="2" s="1"/>
  <c r="AD797" i="2" s="1"/>
  <c r="AB798" i="2"/>
  <c r="AC798" i="2" s="1"/>
  <c r="AD798" i="2" s="1"/>
  <c r="AB799" i="2"/>
  <c r="AC799" i="2" s="1"/>
  <c r="AD799" i="2" s="1"/>
  <c r="AB800" i="2"/>
  <c r="AC800" i="2" s="1"/>
  <c r="AD800" i="2" s="1"/>
  <c r="AB801" i="2"/>
  <c r="AC801" i="2" s="1"/>
  <c r="AD801" i="2" s="1"/>
  <c r="AB802" i="2"/>
  <c r="AC802" i="2" s="1"/>
  <c r="AD802" i="2" s="1"/>
  <c r="AB803" i="2"/>
  <c r="AC803" i="2" s="1"/>
  <c r="AD803" i="2" s="1"/>
  <c r="AB804" i="2"/>
  <c r="AC804" i="2" s="1"/>
  <c r="AD804" i="2" s="1"/>
  <c r="AB805" i="2"/>
  <c r="AC805" i="2" s="1"/>
  <c r="AD805" i="2" s="1"/>
  <c r="AB806" i="2"/>
  <c r="AC806" i="2" s="1"/>
  <c r="AD806" i="2" s="1"/>
  <c r="AB807" i="2"/>
  <c r="AC807" i="2" s="1"/>
  <c r="AD807" i="2" s="1"/>
  <c r="AB808" i="2"/>
  <c r="AC808" i="2" s="1"/>
  <c r="AD808" i="2" s="1"/>
  <c r="AB809" i="2"/>
  <c r="AC809" i="2" s="1"/>
  <c r="AD809" i="2" s="1"/>
  <c r="AB810" i="2"/>
  <c r="AC810" i="2" s="1"/>
  <c r="AD810" i="2" s="1"/>
  <c r="AB811" i="2"/>
  <c r="AC811" i="2" s="1"/>
  <c r="AD811" i="2" s="1"/>
  <c r="AB812" i="2"/>
  <c r="AC812" i="2" s="1"/>
  <c r="AD812" i="2" s="1"/>
  <c r="AB813" i="2"/>
  <c r="AC813" i="2" s="1"/>
  <c r="AD813" i="2" s="1"/>
  <c r="AB814" i="2"/>
  <c r="AC814" i="2" s="1"/>
  <c r="AD814" i="2" s="1"/>
  <c r="AB815" i="2"/>
  <c r="AC815" i="2" s="1"/>
  <c r="AD815" i="2" s="1"/>
  <c r="AB816" i="2"/>
  <c r="AC816" i="2" s="1"/>
  <c r="AD816" i="2" s="1"/>
  <c r="AB817" i="2"/>
  <c r="AC817" i="2" s="1"/>
  <c r="AD817" i="2" s="1"/>
  <c r="AB818" i="2"/>
  <c r="AC818" i="2" s="1"/>
  <c r="AD818" i="2" s="1"/>
  <c r="AB819" i="2"/>
  <c r="AC819" i="2" s="1"/>
  <c r="AD819" i="2" s="1"/>
  <c r="AB820" i="2"/>
  <c r="AC820" i="2" s="1"/>
  <c r="AD820" i="2" s="1"/>
  <c r="AB821" i="2"/>
  <c r="AC821" i="2" s="1"/>
  <c r="AD821" i="2" s="1"/>
  <c r="AB822" i="2"/>
  <c r="AC822" i="2" s="1"/>
  <c r="AD822" i="2" s="1"/>
  <c r="AB823" i="2"/>
  <c r="AC823" i="2" s="1"/>
  <c r="AD823" i="2" s="1"/>
  <c r="AB824" i="2"/>
  <c r="AC824" i="2" s="1"/>
  <c r="AD824" i="2" s="1"/>
  <c r="AB825" i="2"/>
  <c r="AC825" i="2" s="1"/>
  <c r="AD825" i="2" s="1"/>
  <c r="AB826" i="2"/>
  <c r="AC826" i="2" s="1"/>
  <c r="AD826" i="2" s="1"/>
  <c r="AB827" i="2"/>
  <c r="AC827" i="2" s="1"/>
  <c r="AD827" i="2" s="1"/>
  <c r="AB828" i="2"/>
  <c r="AC828" i="2" s="1"/>
  <c r="AD828" i="2" s="1"/>
  <c r="AB829" i="2"/>
  <c r="AC829" i="2" s="1"/>
  <c r="AD829" i="2" s="1"/>
  <c r="AB830" i="2"/>
  <c r="AC830" i="2" s="1"/>
  <c r="AD830" i="2" s="1"/>
  <c r="AB831" i="2"/>
  <c r="AC831" i="2" s="1"/>
  <c r="AD831" i="2" s="1"/>
  <c r="AB832" i="2"/>
  <c r="AC832" i="2" s="1"/>
  <c r="AD832" i="2" s="1"/>
  <c r="AB833" i="2"/>
  <c r="AC833" i="2" s="1"/>
  <c r="AD833" i="2" s="1"/>
  <c r="AB834" i="2"/>
  <c r="AC834" i="2" s="1"/>
  <c r="AD834" i="2" s="1"/>
  <c r="AB835" i="2"/>
  <c r="AC835" i="2" s="1"/>
  <c r="AD835" i="2" s="1"/>
  <c r="AB836" i="2"/>
  <c r="AC836" i="2" s="1"/>
  <c r="AD836" i="2" s="1"/>
  <c r="AB837" i="2"/>
  <c r="AC837" i="2" s="1"/>
  <c r="AD837" i="2" s="1"/>
  <c r="AB838" i="2"/>
  <c r="AC838" i="2" s="1"/>
  <c r="AD838" i="2" s="1"/>
  <c r="AB839" i="2"/>
  <c r="AC839" i="2" s="1"/>
  <c r="AD839" i="2" s="1"/>
  <c r="AB840" i="2"/>
  <c r="AC840" i="2" s="1"/>
  <c r="AD840" i="2" s="1"/>
  <c r="AB841" i="2"/>
  <c r="AC841" i="2" s="1"/>
  <c r="AD841" i="2" s="1"/>
  <c r="AB842" i="2"/>
  <c r="AC842" i="2" s="1"/>
  <c r="AD842" i="2" s="1"/>
  <c r="AB843" i="2"/>
  <c r="AC843" i="2" s="1"/>
  <c r="AD843" i="2" s="1"/>
  <c r="AB844" i="2"/>
  <c r="AC844" i="2" s="1"/>
  <c r="AD844" i="2" s="1"/>
  <c r="AB845" i="2"/>
  <c r="AC845" i="2" s="1"/>
  <c r="AD845" i="2" s="1"/>
  <c r="AB846" i="2"/>
  <c r="AC846" i="2" s="1"/>
  <c r="AD846" i="2" s="1"/>
  <c r="AB847" i="2"/>
  <c r="AC847" i="2" s="1"/>
  <c r="AD847" i="2" s="1"/>
  <c r="AB848" i="2"/>
  <c r="AC848" i="2" s="1"/>
  <c r="AD848" i="2" s="1"/>
  <c r="AB849" i="2"/>
  <c r="AC849" i="2" s="1"/>
  <c r="AD849" i="2" s="1"/>
  <c r="AB850" i="2"/>
  <c r="AC850" i="2" s="1"/>
  <c r="AD850" i="2" s="1"/>
  <c r="AB851" i="2"/>
  <c r="AC851" i="2" s="1"/>
  <c r="AD851" i="2" s="1"/>
  <c r="AB852" i="2"/>
  <c r="AC852" i="2" s="1"/>
  <c r="AD852" i="2" s="1"/>
  <c r="AB853" i="2"/>
  <c r="AC853" i="2" s="1"/>
  <c r="AD853" i="2" s="1"/>
  <c r="AB854" i="2"/>
  <c r="AC854" i="2" s="1"/>
  <c r="AD854" i="2" s="1"/>
  <c r="AB855" i="2"/>
  <c r="AC855" i="2" s="1"/>
  <c r="AD855" i="2" s="1"/>
  <c r="AB856" i="2"/>
  <c r="AC856" i="2" s="1"/>
  <c r="AD856" i="2" s="1"/>
  <c r="AB857" i="2"/>
  <c r="AC857" i="2" s="1"/>
  <c r="AD857" i="2" s="1"/>
  <c r="AB858" i="2"/>
  <c r="AC858" i="2" s="1"/>
  <c r="AD858" i="2" s="1"/>
  <c r="AB859" i="2"/>
  <c r="AC859" i="2" s="1"/>
  <c r="AD859" i="2" s="1"/>
  <c r="AB860" i="2"/>
  <c r="AC860" i="2" s="1"/>
  <c r="AD860" i="2" s="1"/>
  <c r="AB861" i="2"/>
  <c r="AC861" i="2" s="1"/>
  <c r="AD861" i="2" s="1"/>
  <c r="AB862" i="2"/>
  <c r="AC862" i="2" s="1"/>
  <c r="AD862" i="2" s="1"/>
  <c r="AB863" i="2"/>
  <c r="AC863" i="2" s="1"/>
  <c r="AD863" i="2" s="1"/>
  <c r="AB864" i="2"/>
  <c r="AC864" i="2" s="1"/>
  <c r="AD864" i="2" s="1"/>
  <c r="AB865" i="2"/>
  <c r="AC865" i="2" s="1"/>
  <c r="AD865" i="2" s="1"/>
  <c r="AB866" i="2"/>
  <c r="AC866" i="2" s="1"/>
  <c r="AD866" i="2" s="1"/>
  <c r="AB867" i="2"/>
  <c r="AC867" i="2" s="1"/>
  <c r="AD867" i="2" s="1"/>
  <c r="AB868" i="2"/>
  <c r="AC868" i="2" s="1"/>
  <c r="AD868" i="2" s="1"/>
  <c r="AB869" i="2"/>
  <c r="AC869" i="2" s="1"/>
  <c r="AD869" i="2" s="1"/>
  <c r="AB870" i="2"/>
  <c r="AC870" i="2" s="1"/>
  <c r="AD870" i="2" s="1"/>
  <c r="AB871" i="2"/>
  <c r="AC871" i="2" s="1"/>
  <c r="AD871" i="2" s="1"/>
  <c r="AB872" i="2"/>
  <c r="AC872" i="2" s="1"/>
  <c r="AD872" i="2" s="1"/>
  <c r="AB873" i="2"/>
  <c r="AC873" i="2" s="1"/>
  <c r="AD873" i="2" s="1"/>
  <c r="AB874" i="2"/>
  <c r="AC874" i="2" s="1"/>
  <c r="AD874" i="2" s="1"/>
  <c r="AB875" i="2"/>
  <c r="AC875" i="2" s="1"/>
  <c r="AD875" i="2" s="1"/>
  <c r="AB876" i="2"/>
  <c r="AC876" i="2" s="1"/>
  <c r="AD876" i="2" s="1"/>
  <c r="AB877" i="2"/>
  <c r="AC877" i="2" s="1"/>
  <c r="AD877" i="2" s="1"/>
  <c r="AB878" i="2"/>
  <c r="AC878" i="2" s="1"/>
  <c r="AD878" i="2" s="1"/>
  <c r="AB879" i="2"/>
  <c r="AC879" i="2" s="1"/>
  <c r="AD879" i="2" s="1"/>
  <c r="AB880" i="2"/>
  <c r="AC880" i="2" s="1"/>
  <c r="AD880" i="2" s="1"/>
  <c r="AB881" i="2"/>
  <c r="AC881" i="2" s="1"/>
  <c r="AD881" i="2" s="1"/>
  <c r="AB882" i="2"/>
  <c r="AC882" i="2" s="1"/>
  <c r="AD882" i="2" s="1"/>
  <c r="AB883" i="2"/>
  <c r="AC883" i="2" s="1"/>
  <c r="AD883" i="2" s="1"/>
  <c r="AB884" i="2"/>
  <c r="AC884" i="2" s="1"/>
  <c r="AD884" i="2" s="1"/>
  <c r="AB885" i="2"/>
  <c r="AC885" i="2" s="1"/>
  <c r="AD885" i="2" s="1"/>
  <c r="AB886" i="2"/>
  <c r="AC886" i="2" s="1"/>
  <c r="AD886" i="2" s="1"/>
  <c r="AB887" i="2"/>
  <c r="AC887" i="2" s="1"/>
  <c r="AD887" i="2" s="1"/>
  <c r="AB888" i="2"/>
  <c r="AC888" i="2" s="1"/>
  <c r="AD888" i="2" s="1"/>
  <c r="AB889" i="2"/>
  <c r="AC889" i="2" s="1"/>
  <c r="AD889" i="2" s="1"/>
  <c r="AB890" i="2"/>
  <c r="AC890" i="2" s="1"/>
  <c r="AD890" i="2" s="1"/>
  <c r="AB891" i="2"/>
  <c r="AC891" i="2" s="1"/>
  <c r="AD891" i="2" s="1"/>
  <c r="AB892" i="2"/>
  <c r="AC892" i="2" s="1"/>
  <c r="AD892" i="2" s="1"/>
  <c r="AB893" i="2"/>
  <c r="AC893" i="2" s="1"/>
  <c r="AD893" i="2" s="1"/>
  <c r="AB894" i="2"/>
  <c r="AC894" i="2" s="1"/>
  <c r="AD894" i="2" s="1"/>
  <c r="AB895" i="2"/>
  <c r="AC895" i="2" s="1"/>
  <c r="AD895" i="2" s="1"/>
  <c r="AB896" i="2"/>
  <c r="AC896" i="2" s="1"/>
  <c r="AD896" i="2" s="1"/>
  <c r="AB897" i="2"/>
  <c r="AC897" i="2" s="1"/>
  <c r="AD897" i="2" s="1"/>
  <c r="AB898" i="2"/>
  <c r="AC898" i="2" s="1"/>
  <c r="AD898" i="2" s="1"/>
  <c r="AB899" i="2"/>
  <c r="AC899" i="2" s="1"/>
  <c r="AD899" i="2" s="1"/>
  <c r="AB900" i="2"/>
  <c r="AC900" i="2" s="1"/>
  <c r="AD900" i="2" s="1"/>
  <c r="AB901" i="2"/>
  <c r="AC901" i="2" s="1"/>
  <c r="AD901" i="2" s="1"/>
  <c r="AB902" i="2"/>
  <c r="AC902" i="2" s="1"/>
  <c r="AD902" i="2" s="1"/>
  <c r="AB903" i="2"/>
  <c r="AC903" i="2" s="1"/>
  <c r="AD903" i="2" s="1"/>
  <c r="AB904" i="2"/>
  <c r="AC904" i="2" s="1"/>
  <c r="AD904" i="2" s="1"/>
  <c r="AB905" i="2"/>
  <c r="AC905" i="2" s="1"/>
  <c r="AD905" i="2" s="1"/>
  <c r="AB906" i="2"/>
  <c r="AC906" i="2" s="1"/>
  <c r="AD906" i="2" s="1"/>
  <c r="AB907" i="2"/>
  <c r="AC907" i="2" s="1"/>
  <c r="AD907" i="2" s="1"/>
  <c r="AB908" i="2"/>
  <c r="AC908" i="2" s="1"/>
  <c r="AD908" i="2" s="1"/>
  <c r="AB909" i="2"/>
  <c r="AC909" i="2" s="1"/>
  <c r="AD909" i="2" s="1"/>
  <c r="AB910" i="2"/>
  <c r="AC910" i="2" s="1"/>
  <c r="AD910" i="2" s="1"/>
  <c r="AB911" i="2"/>
  <c r="AC911" i="2" s="1"/>
  <c r="AD911" i="2" s="1"/>
  <c r="AB912" i="2"/>
  <c r="AC912" i="2" s="1"/>
  <c r="AD912" i="2" s="1"/>
  <c r="AB913" i="2"/>
  <c r="AC913" i="2" s="1"/>
  <c r="AD913" i="2" s="1"/>
  <c r="AB914" i="2"/>
  <c r="AC914" i="2" s="1"/>
  <c r="AD914" i="2" s="1"/>
  <c r="AB915" i="2"/>
  <c r="AC915" i="2" s="1"/>
  <c r="AD915" i="2" s="1"/>
  <c r="AB916" i="2"/>
  <c r="AC916" i="2" s="1"/>
  <c r="AD916" i="2" s="1"/>
  <c r="AB917" i="2"/>
  <c r="AC917" i="2" s="1"/>
  <c r="AD917" i="2" s="1"/>
  <c r="AB918" i="2"/>
  <c r="AC918" i="2" s="1"/>
  <c r="AD918" i="2" s="1"/>
  <c r="AB919" i="2"/>
  <c r="AC919" i="2" s="1"/>
  <c r="AD919" i="2" s="1"/>
  <c r="AB920" i="2"/>
  <c r="AC920" i="2" s="1"/>
  <c r="AD920" i="2" s="1"/>
  <c r="AB921" i="2"/>
  <c r="AC921" i="2" s="1"/>
  <c r="AD921" i="2" s="1"/>
  <c r="AB922" i="2"/>
  <c r="AC922" i="2" s="1"/>
  <c r="AD922" i="2" s="1"/>
  <c r="AB923" i="2"/>
  <c r="AC923" i="2" s="1"/>
  <c r="AD923" i="2" s="1"/>
  <c r="AB924" i="2"/>
  <c r="AC924" i="2" s="1"/>
  <c r="AD924" i="2" s="1"/>
  <c r="AB925" i="2"/>
  <c r="AC925" i="2" s="1"/>
  <c r="AD925" i="2" s="1"/>
  <c r="AB926" i="2"/>
  <c r="AC926" i="2" s="1"/>
  <c r="AD926" i="2" s="1"/>
  <c r="AB927" i="2"/>
  <c r="AC927" i="2" s="1"/>
  <c r="AD927" i="2" s="1"/>
  <c r="AB928" i="2"/>
  <c r="AC928" i="2" s="1"/>
  <c r="AD928" i="2" s="1"/>
  <c r="AB929" i="2"/>
  <c r="AC929" i="2" s="1"/>
  <c r="AD929" i="2" s="1"/>
  <c r="AB930" i="2"/>
  <c r="AC930" i="2" s="1"/>
  <c r="AD930" i="2" s="1"/>
  <c r="AB931" i="2"/>
  <c r="AC931" i="2" s="1"/>
  <c r="AD931" i="2" s="1"/>
  <c r="AB932" i="2"/>
  <c r="AC932" i="2" s="1"/>
  <c r="AD932" i="2" s="1"/>
  <c r="AB933" i="2"/>
  <c r="AC933" i="2" s="1"/>
  <c r="AD933" i="2" s="1"/>
  <c r="AB934" i="2"/>
  <c r="AC934" i="2" s="1"/>
  <c r="AD934" i="2" s="1"/>
  <c r="AB935" i="2"/>
  <c r="AC935" i="2" s="1"/>
  <c r="AD935" i="2" s="1"/>
  <c r="AB936" i="2"/>
  <c r="AC936" i="2" s="1"/>
  <c r="AD936" i="2" s="1"/>
  <c r="AB937" i="2"/>
  <c r="AC937" i="2" s="1"/>
  <c r="AD937" i="2" s="1"/>
  <c r="AB938" i="2"/>
  <c r="AC938" i="2" s="1"/>
  <c r="AD938" i="2" s="1"/>
  <c r="AB939" i="2"/>
  <c r="AC939" i="2" s="1"/>
  <c r="AD939" i="2" s="1"/>
  <c r="AB940" i="2"/>
  <c r="AC940" i="2" s="1"/>
  <c r="AD940" i="2" s="1"/>
  <c r="AB941" i="2"/>
  <c r="AC941" i="2" s="1"/>
  <c r="AD941" i="2" s="1"/>
  <c r="AB942" i="2"/>
  <c r="AC942" i="2" s="1"/>
  <c r="AD942" i="2" s="1"/>
  <c r="AB943" i="2"/>
  <c r="AC943" i="2" s="1"/>
  <c r="AD943" i="2" s="1"/>
  <c r="AB944" i="2"/>
  <c r="AC944" i="2" s="1"/>
  <c r="AD944" i="2" s="1"/>
  <c r="AB945" i="2"/>
  <c r="AC945" i="2" s="1"/>
  <c r="AD945" i="2" s="1"/>
  <c r="AB946" i="2"/>
  <c r="AC946" i="2" s="1"/>
  <c r="AD946" i="2" s="1"/>
  <c r="AB947" i="2"/>
  <c r="AC947" i="2" s="1"/>
  <c r="AD947" i="2" s="1"/>
  <c r="AB948" i="2"/>
  <c r="AC948" i="2" s="1"/>
  <c r="AD948" i="2" s="1"/>
  <c r="AB949" i="2"/>
  <c r="AC949" i="2" s="1"/>
  <c r="AD949" i="2" s="1"/>
  <c r="AB950" i="2"/>
  <c r="AC950" i="2" s="1"/>
  <c r="AD950" i="2" s="1"/>
  <c r="AB951" i="2"/>
  <c r="AC951" i="2" s="1"/>
  <c r="AD951" i="2" s="1"/>
  <c r="AB952" i="2"/>
  <c r="AC952" i="2" s="1"/>
  <c r="AD952" i="2" s="1"/>
  <c r="AB953" i="2"/>
  <c r="AC953" i="2" s="1"/>
  <c r="AD953" i="2" s="1"/>
  <c r="AB954" i="2"/>
  <c r="AC954" i="2" s="1"/>
  <c r="AD954" i="2" s="1"/>
  <c r="AB955" i="2"/>
  <c r="AC955" i="2" s="1"/>
  <c r="AD955" i="2" s="1"/>
  <c r="AB956" i="2"/>
  <c r="AC956" i="2" s="1"/>
  <c r="AD956" i="2" s="1"/>
  <c r="AB957" i="2"/>
  <c r="AC957" i="2" s="1"/>
  <c r="AD957" i="2" s="1"/>
  <c r="AB958" i="2"/>
  <c r="AC958" i="2" s="1"/>
  <c r="AD958" i="2" s="1"/>
  <c r="AB959" i="2"/>
  <c r="AC959" i="2" s="1"/>
  <c r="AD959" i="2" s="1"/>
  <c r="AB960" i="2"/>
  <c r="AC960" i="2" s="1"/>
  <c r="AD960" i="2" s="1"/>
  <c r="AB961" i="2"/>
  <c r="AC961" i="2" s="1"/>
  <c r="AD961" i="2" s="1"/>
  <c r="AB962" i="2"/>
  <c r="AC962" i="2" s="1"/>
  <c r="AD962" i="2" s="1"/>
  <c r="AB963" i="2"/>
  <c r="AC963" i="2" s="1"/>
  <c r="AD963" i="2" s="1"/>
  <c r="AB964" i="2"/>
  <c r="AC964" i="2" s="1"/>
  <c r="AD964" i="2" s="1"/>
  <c r="AB965" i="2"/>
  <c r="AC965" i="2" s="1"/>
  <c r="AD965" i="2" s="1"/>
  <c r="AB966" i="2"/>
  <c r="AC966" i="2" s="1"/>
  <c r="AD966" i="2" s="1"/>
  <c r="AB967" i="2"/>
  <c r="AC967" i="2" s="1"/>
  <c r="AD967" i="2" s="1"/>
  <c r="AB968" i="2"/>
  <c r="AC968" i="2" s="1"/>
  <c r="AD968" i="2" s="1"/>
  <c r="AB969" i="2"/>
  <c r="AC969" i="2" s="1"/>
  <c r="AD969" i="2" s="1"/>
  <c r="AB970" i="2"/>
  <c r="AC970" i="2" s="1"/>
  <c r="AD970" i="2" s="1"/>
  <c r="AB971" i="2"/>
  <c r="AC971" i="2" s="1"/>
  <c r="AD971" i="2" s="1"/>
  <c r="AB972" i="2"/>
  <c r="AC972" i="2" s="1"/>
  <c r="AD972" i="2" s="1"/>
  <c r="AB973" i="2"/>
  <c r="AC973" i="2" s="1"/>
  <c r="AD973" i="2" s="1"/>
  <c r="AB974" i="2"/>
  <c r="AC974" i="2" s="1"/>
  <c r="AD974" i="2" s="1"/>
  <c r="AB975" i="2"/>
  <c r="AC975" i="2" s="1"/>
  <c r="AD975" i="2" s="1"/>
  <c r="AB976" i="2"/>
  <c r="AC976" i="2" s="1"/>
  <c r="AD976" i="2" s="1"/>
  <c r="AB977" i="2"/>
  <c r="AC977" i="2" s="1"/>
  <c r="AD977" i="2" s="1"/>
  <c r="AB978" i="2"/>
  <c r="AC978" i="2" s="1"/>
  <c r="AD978" i="2" s="1"/>
  <c r="AB979" i="2"/>
  <c r="AC979" i="2" s="1"/>
  <c r="AD979" i="2" s="1"/>
  <c r="AB980" i="2"/>
  <c r="AC980" i="2" s="1"/>
  <c r="AD980" i="2" s="1"/>
  <c r="AB981" i="2"/>
  <c r="AC981" i="2" s="1"/>
  <c r="AD981" i="2" s="1"/>
  <c r="AB982" i="2"/>
  <c r="AC982" i="2" s="1"/>
  <c r="AD982" i="2" s="1"/>
  <c r="AB983" i="2"/>
  <c r="AC983" i="2" s="1"/>
  <c r="AD983" i="2" s="1"/>
  <c r="AB984" i="2"/>
  <c r="AC984" i="2" s="1"/>
  <c r="AD984" i="2" s="1"/>
  <c r="AB985" i="2"/>
  <c r="AC985" i="2" s="1"/>
  <c r="AD985" i="2" s="1"/>
  <c r="AB986" i="2"/>
  <c r="AC986" i="2" s="1"/>
  <c r="AD986" i="2" s="1"/>
  <c r="AB987" i="2"/>
  <c r="AC987" i="2" s="1"/>
  <c r="AD987" i="2" s="1"/>
  <c r="AB988" i="2"/>
  <c r="AC988" i="2" s="1"/>
  <c r="AD988" i="2" s="1"/>
  <c r="AB989" i="2"/>
  <c r="AC989" i="2" s="1"/>
  <c r="AD989" i="2" s="1"/>
  <c r="AB990" i="2"/>
  <c r="AC990" i="2" s="1"/>
  <c r="AD990" i="2" s="1"/>
  <c r="AB991" i="2"/>
  <c r="AC991" i="2" s="1"/>
  <c r="AD991" i="2" s="1"/>
  <c r="AB992" i="2"/>
  <c r="AC992" i="2" s="1"/>
  <c r="AD992" i="2" s="1"/>
  <c r="AB993" i="2"/>
  <c r="AC993" i="2" s="1"/>
  <c r="AD993" i="2" s="1"/>
  <c r="AB994" i="2"/>
  <c r="AC994" i="2" s="1"/>
  <c r="AD994" i="2" s="1"/>
  <c r="AB995" i="2"/>
  <c r="AC995" i="2" s="1"/>
  <c r="AD995" i="2" s="1"/>
  <c r="AB996" i="2"/>
  <c r="AC996" i="2" s="1"/>
  <c r="AD996" i="2" s="1"/>
  <c r="AB997" i="2"/>
  <c r="AC997" i="2" s="1"/>
  <c r="AD997" i="2" s="1"/>
  <c r="AB998" i="2"/>
  <c r="AC998" i="2" s="1"/>
  <c r="AD998" i="2" s="1"/>
  <c r="AB999" i="2"/>
  <c r="AC999" i="2" s="1"/>
  <c r="AD999" i="2" s="1"/>
  <c r="AB1000" i="2"/>
  <c r="AC1000" i="2" s="1"/>
  <c r="AD1000" i="2" s="1"/>
  <c r="AB1001" i="2"/>
  <c r="AC1001" i="2" s="1"/>
  <c r="AD1001" i="2" s="1"/>
  <c r="AB1002" i="2"/>
  <c r="AC1002" i="2" s="1"/>
  <c r="AD1002" i="2" s="1"/>
  <c r="AB1003" i="2"/>
  <c r="AC1003" i="2" s="1"/>
  <c r="AD1003" i="2" s="1"/>
  <c r="AB1004" i="2"/>
  <c r="AC1004" i="2" s="1"/>
  <c r="AD1004" i="2" s="1"/>
  <c r="AB1005" i="2"/>
  <c r="AC1005" i="2" s="1"/>
  <c r="AD1005" i="2" s="1"/>
  <c r="AB1006" i="2"/>
  <c r="AC1006" i="2" s="1"/>
  <c r="AD1006" i="2" s="1"/>
  <c r="AB1007" i="2"/>
  <c r="AC1007" i="2" s="1"/>
  <c r="AD1007" i="2" s="1"/>
  <c r="AB1008" i="2"/>
  <c r="AC1008" i="2" s="1"/>
  <c r="AD1008" i="2" s="1"/>
  <c r="BP286" i="2" l="1"/>
  <c r="BO314" i="2"/>
  <c r="BP290" i="2"/>
  <c r="BP338" i="2"/>
  <c r="BP354" i="2"/>
  <c r="BO322" i="2"/>
  <c r="BO334" i="2"/>
  <c r="BO330" i="2"/>
  <c r="BO294" i="2"/>
  <c r="BP322" i="2"/>
  <c r="BP334" i="2"/>
  <c r="BP330" i="2"/>
  <c r="BP294" i="2"/>
  <c r="BO309" i="2"/>
  <c r="BO342" i="2"/>
  <c r="BO325" i="2"/>
  <c r="BO357" i="2"/>
  <c r="BO298" i="2"/>
  <c r="BO350" i="2"/>
  <c r="BO310" i="2"/>
  <c r="BP353" i="2"/>
  <c r="BO346" i="2"/>
  <c r="BP329" i="2"/>
  <c r="BP341" i="2"/>
  <c r="BP289" i="2"/>
  <c r="BO302" i="2"/>
  <c r="BP309" i="2"/>
  <c r="BO286" i="2"/>
  <c r="BP342" i="2"/>
  <c r="BP325" i="2"/>
  <c r="BP357" i="2"/>
  <c r="BP298" i="2"/>
  <c r="BP350" i="2"/>
  <c r="BP310" i="2"/>
  <c r="BP346" i="2"/>
  <c r="BO321" i="2"/>
  <c r="BO317" i="2" l="1"/>
  <c r="BO349" i="2"/>
  <c r="BO337" i="2"/>
  <c r="BP345" i="2"/>
  <c r="BO345" i="2"/>
  <c r="BP305" i="2"/>
  <c r="BO305" i="2"/>
  <c r="BP313" i="2"/>
  <c r="BO313" i="2"/>
  <c r="BP169" i="2"/>
  <c r="BO169" i="2"/>
  <c r="BP337" i="2"/>
  <c r="BP293" i="2"/>
  <c r="BP166" i="2"/>
  <c r="BO134" i="2"/>
  <c r="BO150" i="2"/>
  <c r="BO16" i="2"/>
  <c r="BP16" i="2"/>
  <c r="BP297" i="2"/>
  <c r="BO297" i="2"/>
  <c r="BO166" i="2"/>
  <c r="BO289" i="2"/>
  <c r="BO333" i="2"/>
  <c r="BO353" i="2"/>
  <c r="BO126" i="2"/>
  <c r="BO293" i="2"/>
  <c r="BP180" i="2"/>
  <c r="BP134" i="2"/>
  <c r="BP301" i="2"/>
  <c r="BO341" i="2"/>
  <c r="BO329" i="2"/>
  <c r="BO301" i="2"/>
  <c r="BP349" i="2"/>
  <c r="BP317" i="2"/>
  <c r="BP150" i="2"/>
  <c r="BP321" i="2"/>
  <c r="BO182" i="2"/>
  <c r="BP333" i="2"/>
  <c r="BO180" i="2" l="1"/>
  <c r="BP106" i="2"/>
  <c r="BO106" i="2"/>
  <c r="BO196" i="2"/>
  <c r="BP196" i="2"/>
  <c r="BM6" i="2"/>
  <c r="BO29" i="2"/>
  <c r="BP29" i="2"/>
  <c r="BP118" i="2"/>
  <c r="BO164" i="2"/>
  <c r="BP126" i="2"/>
  <c r="BP182" i="2"/>
  <c r="BP164" i="2"/>
  <c r="BO145" i="2"/>
  <c r="BO118" i="2"/>
  <c r="BO198" i="2"/>
  <c r="BP198" i="2"/>
  <c r="BP145" i="2"/>
  <c r="AF2" i="2"/>
  <c r="R50" i="13" l="1"/>
  <c r="R51" i="13" s="1"/>
  <c r="R52" i="13" s="1"/>
  <c r="R53" i="13" s="1"/>
  <c r="R54" i="13" s="1"/>
  <c r="R55" i="13" s="1"/>
  <c r="R56" i="13" s="1"/>
  <c r="D35" i="12" l="1"/>
  <c r="BK58" i="12" l="1"/>
  <c r="BK59" i="12" s="1"/>
  <c r="AR2" i="2" l="1"/>
  <c r="BC5" i="2"/>
  <c r="BD5" i="2"/>
  <c r="BE5" i="2"/>
  <c r="BF5" i="2"/>
  <c r="BG5" i="2"/>
  <c r="BH5" i="2"/>
  <c r="BI5" i="2"/>
  <c r="BJ5" i="2"/>
  <c r="BK5" i="2"/>
  <c r="BL5" i="2"/>
  <c r="BM5" i="2"/>
  <c r="BB5" i="2"/>
  <c r="BA5" i="2" l="1"/>
  <c r="D46" i="2"/>
  <c r="D45" i="2"/>
  <c r="BC4" i="2" l="1"/>
  <c r="BD4" i="2" l="1"/>
  <c r="BE4" i="2" s="1"/>
  <c r="BF4" i="2" s="1"/>
  <c r="BG4" i="2" s="1"/>
  <c r="BH4" i="2" s="1"/>
  <c r="BI4" i="2" s="1"/>
  <c r="BJ4" i="2" s="1"/>
  <c r="BK4" i="2" s="1"/>
  <c r="BL4" i="2" s="1"/>
  <c r="BM4" i="2" s="1"/>
  <c r="BD6" i="2" l="1"/>
  <c r="BF6" i="2"/>
  <c r="BH6" i="2"/>
  <c r="BJ6" i="2"/>
  <c r="BL6" i="2"/>
  <c r="BB6" i="2"/>
  <c r="BM66" i="12" l="1"/>
  <c r="BM69" i="12" s="1"/>
  <c r="BN66" i="12"/>
  <c r="BN68" i="12" s="1"/>
  <c r="BO66" i="12"/>
  <c r="BO68" i="12" s="1"/>
  <c r="BP66" i="12"/>
  <c r="BP69" i="12" s="1"/>
  <c r="BQ66" i="12"/>
  <c r="BQ68" i="12" s="1"/>
  <c r="BR66" i="12"/>
  <c r="BR68" i="12" s="1"/>
  <c r="BS66" i="12"/>
  <c r="BS69" i="12" s="1"/>
  <c r="BT66" i="12"/>
  <c r="BT67" i="12" s="1"/>
  <c r="BU66" i="12"/>
  <c r="BU67" i="12" s="1"/>
  <c r="BV66" i="12"/>
  <c r="BV68" i="12" s="1"/>
  <c r="BW66" i="12"/>
  <c r="BW67" i="12" s="1"/>
  <c r="BX66" i="12"/>
  <c r="BX70" i="12" s="1"/>
  <c r="BY66" i="12"/>
  <c r="BY68" i="12" s="1"/>
  <c r="BZ66" i="12"/>
  <c r="BZ68" i="12" s="1"/>
  <c r="CA66" i="12"/>
  <c r="CA68" i="12" s="1"/>
  <c r="CB66" i="12"/>
  <c r="CB67" i="12" s="1"/>
  <c r="CC66" i="12"/>
  <c r="CC70" i="12" s="1"/>
  <c r="CD66" i="12"/>
  <c r="CD68" i="12" s="1"/>
  <c r="CE66" i="12"/>
  <c r="CE69" i="12" s="1"/>
  <c r="CF66" i="12"/>
  <c r="CF67" i="12" s="1"/>
  <c r="CG66" i="12"/>
  <c r="CG68" i="12" s="1"/>
  <c r="CH66" i="12"/>
  <c r="CH68" i="12" s="1"/>
  <c r="CI66" i="12"/>
  <c r="CI69" i="12" s="1"/>
  <c r="CJ66" i="12"/>
  <c r="CJ67" i="12" s="1"/>
  <c r="CK66" i="12"/>
  <c r="CK67" i="12" s="1"/>
  <c r="CL66" i="12"/>
  <c r="CL68" i="12" s="1"/>
  <c r="CM66" i="12"/>
  <c r="CN66" i="12"/>
  <c r="CN67" i="12" s="1"/>
  <c r="CO66" i="12"/>
  <c r="CO69" i="12" s="1"/>
  <c r="CP66" i="12"/>
  <c r="CP68" i="12" s="1"/>
  <c r="CQ66" i="12"/>
  <c r="CQ68" i="12" s="1"/>
  <c r="CR66" i="12"/>
  <c r="CR67" i="12" s="1"/>
  <c r="CS66" i="12"/>
  <c r="CS68" i="12" s="1"/>
  <c r="CT66" i="12"/>
  <c r="CT68" i="12" s="1"/>
  <c r="CU66" i="12"/>
  <c r="CU69" i="12" s="1"/>
  <c r="CV66" i="12"/>
  <c r="CV67" i="12" s="1"/>
  <c r="CW66" i="12"/>
  <c r="CW69" i="12" s="1"/>
  <c r="CX66" i="12"/>
  <c r="CX68" i="12" s="1"/>
  <c r="CY66" i="12"/>
  <c r="CZ66" i="12"/>
  <c r="CZ67" i="12" s="1"/>
  <c r="DA66" i="12"/>
  <c r="DA67" i="12" s="1"/>
  <c r="DB66" i="12"/>
  <c r="DB68" i="12" s="1"/>
  <c r="DC66" i="12"/>
  <c r="DD66" i="12"/>
  <c r="DD67" i="12" s="1"/>
  <c r="DE66" i="12"/>
  <c r="DE68" i="12" s="1"/>
  <c r="DF66" i="12"/>
  <c r="DF68" i="12" s="1"/>
  <c r="DG66" i="12"/>
  <c r="DG70" i="12" s="1"/>
  <c r="DH66" i="12"/>
  <c r="DH67" i="12" s="1"/>
  <c r="DI66" i="12"/>
  <c r="DI70" i="12" s="1"/>
  <c r="DJ66" i="12"/>
  <c r="DJ68" i="12" s="1"/>
  <c r="DK66" i="12"/>
  <c r="DK67" i="12" s="1"/>
  <c r="DL66" i="12"/>
  <c r="DL67" i="12" s="1"/>
  <c r="DM66" i="12"/>
  <c r="DM69" i="12" s="1"/>
  <c r="DN66" i="12"/>
  <c r="DN68" i="12" s="1"/>
  <c r="DO66" i="12"/>
  <c r="DO70" i="12" s="1"/>
  <c r="DP66" i="12"/>
  <c r="DP67" i="12" s="1"/>
  <c r="DQ66" i="12"/>
  <c r="DQ67" i="12" s="1"/>
  <c r="DR66" i="12"/>
  <c r="DR68" i="12" s="1"/>
  <c r="DS66" i="12"/>
  <c r="DS70" i="12" s="1"/>
  <c r="DT66" i="12"/>
  <c r="DT69" i="12" s="1"/>
  <c r="DU66" i="12"/>
  <c r="DU68" i="12" s="1"/>
  <c r="DV66" i="12"/>
  <c r="DV68" i="12" s="1"/>
  <c r="DW66" i="12"/>
  <c r="DW67" i="12" s="1"/>
  <c r="DX66" i="12"/>
  <c r="DX69" i="12" s="1"/>
  <c r="DY66" i="12"/>
  <c r="DY67" i="12" s="1"/>
  <c r="DZ66" i="12"/>
  <c r="DZ68" i="12" s="1"/>
  <c r="EA66" i="12"/>
  <c r="EA69" i="12" s="1"/>
  <c r="EB66" i="12"/>
  <c r="EB69" i="12" s="1"/>
  <c r="EC66" i="12"/>
  <c r="EC69" i="12" s="1"/>
  <c r="ED66" i="12"/>
  <c r="ED68" i="12" s="1"/>
  <c r="EE66" i="12"/>
  <c r="EE70" i="12" s="1"/>
  <c r="EF66" i="12"/>
  <c r="EF69" i="12" s="1"/>
  <c r="EG66" i="12"/>
  <c r="EG67" i="12" s="1"/>
  <c r="EH66" i="12"/>
  <c r="EH68" i="12" s="1"/>
  <c r="EI66" i="12"/>
  <c r="EI67" i="12" s="1"/>
  <c r="EJ66" i="12"/>
  <c r="EJ69" i="12" s="1"/>
  <c r="EK66" i="12"/>
  <c r="EK68" i="12" s="1"/>
  <c r="EL66" i="12"/>
  <c r="EL68" i="12" s="1"/>
  <c r="EM66" i="12"/>
  <c r="EM67" i="12" s="1"/>
  <c r="EN66" i="12"/>
  <c r="EN69" i="12" s="1"/>
  <c r="EO66" i="12"/>
  <c r="EO68" i="12" s="1"/>
  <c r="EP66" i="12"/>
  <c r="EP68" i="12" s="1"/>
  <c r="EQ66" i="12"/>
  <c r="EQ69" i="12" s="1"/>
  <c r="ER66" i="12"/>
  <c r="ER69" i="12" s="1"/>
  <c r="ES66" i="12"/>
  <c r="ES69" i="12" s="1"/>
  <c r="ET66" i="12"/>
  <c r="ET68" i="12" s="1"/>
  <c r="EU66" i="12"/>
  <c r="EU69" i="12" s="1"/>
  <c r="EV66" i="12"/>
  <c r="EV69" i="12" s="1"/>
  <c r="BQ67" i="12"/>
  <c r="O66" i="12"/>
  <c r="O67" i="12" s="1"/>
  <c r="P66" i="12"/>
  <c r="P67" i="12" s="1"/>
  <c r="Q66" i="12"/>
  <c r="Q70" i="12" s="1"/>
  <c r="R66" i="12"/>
  <c r="R67" i="12" s="1"/>
  <c r="S66" i="12"/>
  <c r="T66" i="12"/>
  <c r="T68" i="12" s="1"/>
  <c r="U66" i="12"/>
  <c r="U67" i="12" s="1"/>
  <c r="V66" i="12"/>
  <c r="V67" i="12" s="1"/>
  <c r="W66" i="12"/>
  <c r="W69" i="12" s="1"/>
  <c r="X66" i="12"/>
  <c r="X69" i="12" s="1"/>
  <c r="Y66" i="12"/>
  <c r="Y69" i="12" s="1"/>
  <c r="Z66" i="12"/>
  <c r="Z67" i="12" s="1"/>
  <c r="AA66" i="12"/>
  <c r="AA67" i="12" s="1"/>
  <c r="AB66" i="12"/>
  <c r="AB67" i="12" s="1"/>
  <c r="AC66" i="12"/>
  <c r="AC69" i="12" s="1"/>
  <c r="AD66" i="12"/>
  <c r="AE66" i="12"/>
  <c r="AE67" i="12" s="1"/>
  <c r="AF66" i="12"/>
  <c r="AF67" i="12" s="1"/>
  <c r="AG66" i="12"/>
  <c r="AG67" i="12" s="1"/>
  <c r="AH66" i="12"/>
  <c r="AH67" i="12" s="1"/>
  <c r="AI66" i="12"/>
  <c r="AJ66" i="12"/>
  <c r="AJ68" i="12" s="1"/>
  <c r="AK66" i="12"/>
  <c r="AK69" i="12" s="1"/>
  <c r="AL66" i="12"/>
  <c r="AL67" i="12" s="1"/>
  <c r="AM66" i="12"/>
  <c r="AM69" i="12" s="1"/>
  <c r="AN66" i="12"/>
  <c r="AN69" i="12" s="1"/>
  <c r="AO66" i="12"/>
  <c r="AO67" i="12" s="1"/>
  <c r="AP66" i="12"/>
  <c r="AP67" i="12" s="1"/>
  <c r="AQ66" i="12"/>
  <c r="AQ67" i="12" s="1"/>
  <c r="AR66" i="12"/>
  <c r="AR67" i="12" s="1"/>
  <c r="AS66" i="12"/>
  <c r="AS69" i="12" s="1"/>
  <c r="AT66" i="12"/>
  <c r="AU66" i="12"/>
  <c r="AU67" i="12" s="1"/>
  <c r="AV66" i="12"/>
  <c r="AV67" i="12" s="1"/>
  <c r="AW66" i="12"/>
  <c r="AW68" i="12" s="1"/>
  <c r="AX66" i="12"/>
  <c r="AX67" i="12" s="1"/>
  <c r="AY66" i="12"/>
  <c r="AZ66" i="12"/>
  <c r="AZ68" i="12" s="1"/>
  <c r="BA66" i="12"/>
  <c r="BA68" i="12" s="1"/>
  <c r="BB66" i="12"/>
  <c r="BB67" i="12" s="1"/>
  <c r="BC66" i="12"/>
  <c r="BC69" i="12" s="1"/>
  <c r="BD66" i="12"/>
  <c r="BD69" i="12" s="1"/>
  <c r="BE66" i="12"/>
  <c r="BE69" i="12" s="1"/>
  <c r="BF66" i="12"/>
  <c r="BF67" i="12" s="1"/>
  <c r="BG66" i="12"/>
  <c r="BG67" i="12" s="1"/>
  <c r="BH66" i="12"/>
  <c r="BH67" i="12" s="1"/>
  <c r="BI66" i="12"/>
  <c r="BJ66" i="12"/>
  <c r="BJ67" i="12" s="1"/>
  <c r="BK66" i="12"/>
  <c r="BK67" i="12" s="1"/>
  <c r="X67" i="12"/>
  <c r="AC67" i="12"/>
  <c r="BL66" i="12"/>
  <c r="BL70" i="12" s="1"/>
  <c r="EG68" i="12" l="1"/>
  <c r="CN68" i="12"/>
  <c r="AF69" i="12"/>
  <c r="BY70" i="12"/>
  <c r="X68" i="12"/>
  <c r="DY69" i="12"/>
  <c r="AZ67" i="12"/>
  <c r="EG70" i="12"/>
  <c r="DI69" i="12"/>
  <c r="CC68" i="12"/>
  <c r="BH69" i="12"/>
  <c r="DE70" i="12"/>
  <c r="BQ69" i="12"/>
  <c r="CW67" i="12"/>
  <c r="AQ69" i="12"/>
  <c r="DQ68" i="12"/>
  <c r="EC67" i="12"/>
  <c r="CO70" i="12"/>
  <c r="CS69" i="12"/>
  <c r="CO68" i="12"/>
  <c r="DM67" i="12"/>
  <c r="AM68" i="12"/>
  <c r="AM70" i="12"/>
  <c r="AA69" i="12"/>
  <c r="DT70" i="12"/>
  <c r="EO69" i="12"/>
  <c r="CC69" i="12"/>
  <c r="DD68" i="12"/>
  <c r="ES67" i="12"/>
  <c r="CG67" i="12"/>
  <c r="ES70" i="12"/>
  <c r="EO70" i="12"/>
  <c r="DQ70" i="12"/>
  <c r="CK70" i="12"/>
  <c r="EK69" i="12"/>
  <c r="DE69" i="12"/>
  <c r="BY69" i="12"/>
  <c r="EC68" i="12"/>
  <c r="EO67" i="12"/>
  <c r="DI67" i="12"/>
  <c r="CC67" i="12"/>
  <c r="EN70" i="12"/>
  <c r="DY70" i="12"/>
  <c r="DM70" i="12"/>
  <c r="CW70" i="12"/>
  <c r="CG70" i="12"/>
  <c r="BQ70" i="12"/>
  <c r="EG69" i="12"/>
  <c r="DQ69" i="12"/>
  <c r="DA69" i="12"/>
  <c r="CK69" i="12"/>
  <c r="BX69" i="12"/>
  <c r="DY68" i="12"/>
  <c r="DI68" i="12"/>
  <c r="CW68" i="12"/>
  <c r="CK68" i="12"/>
  <c r="BU68" i="12"/>
  <c r="EK67" i="12"/>
  <c r="DU67" i="12"/>
  <c r="DE67" i="12"/>
  <c r="CO67" i="12"/>
  <c r="BY67" i="12"/>
  <c r="V70" i="12"/>
  <c r="EC70" i="12"/>
  <c r="DA70" i="12"/>
  <c r="BU70" i="12"/>
  <c r="DU69" i="12"/>
  <c r="ES68" i="12"/>
  <c r="DM68" i="12"/>
  <c r="DA68" i="12"/>
  <c r="CS67" i="12"/>
  <c r="EK70" i="12"/>
  <c r="DU70" i="12"/>
  <c r="CS70" i="12"/>
  <c r="CG69" i="12"/>
  <c r="BU69" i="12"/>
  <c r="AG70" i="12"/>
  <c r="AC68" i="12"/>
  <c r="CV68" i="12"/>
  <c r="AU70" i="12"/>
  <c r="EV70" i="12"/>
  <c r="DL70" i="12"/>
  <c r="CN69" i="12"/>
  <c r="CF68" i="12"/>
  <c r="BX67" i="12"/>
  <c r="AS70" i="12"/>
  <c r="U70" i="12"/>
  <c r="AS68" i="12"/>
  <c r="BA67" i="12"/>
  <c r="DO69" i="12"/>
  <c r="CU68" i="12"/>
  <c r="AK70" i="12"/>
  <c r="EM70" i="12"/>
  <c r="DW69" i="12"/>
  <c r="EV68" i="12"/>
  <c r="BG69" i="12"/>
  <c r="EQ67" i="12"/>
  <c r="EF70" i="12"/>
  <c r="DX70" i="12"/>
  <c r="CV70" i="12"/>
  <c r="CF70" i="12"/>
  <c r="BP70" i="12"/>
  <c r="DD69" i="12"/>
  <c r="EB68" i="12"/>
  <c r="BE70" i="12"/>
  <c r="AL70" i="12"/>
  <c r="Z70" i="12"/>
  <c r="AW69" i="12"/>
  <c r="BE68" i="12"/>
  <c r="AG68" i="12"/>
  <c r="BE67" i="12"/>
  <c r="EJ70" i="12"/>
  <c r="EB70" i="12"/>
  <c r="CZ70" i="12"/>
  <c r="CR70" i="12"/>
  <c r="CJ70" i="12"/>
  <c r="CB70" i="12"/>
  <c r="BT70" i="12"/>
  <c r="DP69" i="12"/>
  <c r="DH69" i="12"/>
  <c r="CZ69" i="12"/>
  <c r="EF68" i="12"/>
  <c r="DW68" i="12"/>
  <c r="DP68" i="12"/>
  <c r="BX68" i="12"/>
  <c r="BP68" i="12"/>
  <c r="BP67" i="12"/>
  <c r="DD70" i="12"/>
  <c r="CN70" i="12"/>
  <c r="EJ68" i="12"/>
  <c r="DT68" i="12"/>
  <c r="DL68" i="12"/>
  <c r="BT68" i="12"/>
  <c r="AC70" i="12"/>
  <c r="R70" i="12"/>
  <c r="AG69" i="12"/>
  <c r="U69" i="12"/>
  <c r="U68" i="12"/>
  <c r="AS67" i="12"/>
  <c r="ER70" i="12"/>
  <c r="DW70" i="12"/>
  <c r="DP70" i="12"/>
  <c r="DH70" i="12"/>
  <c r="CR69" i="12"/>
  <c r="CJ69" i="12"/>
  <c r="CB69" i="12"/>
  <c r="BT69" i="12"/>
  <c r="ER68" i="12"/>
  <c r="CZ68" i="12"/>
  <c r="CJ68" i="12"/>
  <c r="O70" i="12"/>
  <c r="AO69" i="12"/>
  <c r="AO70" i="12"/>
  <c r="AK67" i="12"/>
  <c r="AK68" i="12"/>
  <c r="Y67" i="12"/>
  <c r="Y70" i="12"/>
  <c r="Q67" i="12"/>
  <c r="Q69" i="12"/>
  <c r="EU70" i="12"/>
  <c r="EM69" i="12"/>
  <c r="DK69" i="12"/>
  <c r="EA68" i="12"/>
  <c r="EA67" i="12"/>
  <c r="AY68" i="12"/>
  <c r="AY67" i="12"/>
  <c r="AI68" i="12"/>
  <c r="AI70" i="12"/>
  <c r="S68" i="12"/>
  <c r="S70" i="12"/>
  <c r="AE70" i="12"/>
  <c r="W70" i="12"/>
  <c r="W68" i="12"/>
  <c r="AY70" i="12"/>
  <c r="AQ70" i="12"/>
  <c r="AI67" i="12"/>
  <c r="BI67" i="12"/>
  <c r="BI69" i="12"/>
  <c r="BI70" i="12"/>
  <c r="BA69" i="12"/>
  <c r="BA70" i="12"/>
  <c r="BG70" i="12"/>
  <c r="AW70" i="12"/>
  <c r="AP70" i="12"/>
  <c r="AH70" i="12"/>
  <c r="AA70" i="12"/>
  <c r="BI68" i="12"/>
  <c r="AO68" i="12"/>
  <c r="Y68" i="12"/>
  <c r="Q68" i="12"/>
  <c r="AW67" i="12"/>
  <c r="S67" i="12"/>
  <c r="EI70" i="12"/>
  <c r="EM68" i="12"/>
  <c r="DK68" i="12"/>
  <c r="EU68" i="12"/>
  <c r="EU67" i="12"/>
  <c r="EI69" i="12"/>
  <c r="EI68" i="12"/>
  <c r="EE67" i="12"/>
  <c r="EE68" i="12"/>
  <c r="DS69" i="12"/>
  <c r="DS68" i="12"/>
  <c r="DO68" i="12"/>
  <c r="DO67" i="12"/>
  <c r="DG69" i="12"/>
  <c r="DG67" i="12"/>
  <c r="DC70" i="12"/>
  <c r="DC67" i="12"/>
  <c r="DC68" i="12"/>
  <c r="DC69" i="12"/>
  <c r="CY67" i="12"/>
  <c r="CY68" i="12"/>
  <c r="CY70" i="12"/>
  <c r="CU67" i="12"/>
  <c r="CU70" i="12"/>
  <c r="CQ70" i="12"/>
  <c r="CQ69" i="12"/>
  <c r="CQ67" i="12"/>
  <c r="CM67" i="12"/>
  <c r="CM68" i="12"/>
  <c r="CM69" i="12"/>
  <c r="CM70" i="12"/>
  <c r="CI70" i="12"/>
  <c r="CI67" i="12"/>
  <c r="CI68" i="12"/>
  <c r="CE67" i="12"/>
  <c r="CE70" i="12"/>
  <c r="CA70" i="12"/>
  <c r="CA69" i="12"/>
  <c r="CA67" i="12"/>
  <c r="BW68" i="12"/>
  <c r="BW69" i="12"/>
  <c r="BW70" i="12"/>
  <c r="BS67" i="12"/>
  <c r="BS68" i="12"/>
  <c r="BS70" i="12"/>
  <c r="BO70" i="12"/>
  <c r="BO67" i="12"/>
  <c r="BC70" i="12"/>
  <c r="AT67" i="12"/>
  <c r="AT70" i="12"/>
  <c r="AD67" i="12"/>
  <c r="AD70" i="12"/>
  <c r="EQ70" i="12"/>
  <c r="EA70" i="12"/>
  <c r="DK70" i="12"/>
  <c r="EE69" i="12"/>
  <c r="CY69" i="12"/>
  <c r="BO69" i="12"/>
  <c r="EQ68" i="12"/>
  <c r="DG68" i="12"/>
  <c r="CE68" i="12"/>
  <c r="DS67" i="12"/>
  <c r="ET70" i="12"/>
  <c r="EP70" i="12"/>
  <c r="EL70" i="12"/>
  <c r="EH70" i="12"/>
  <c r="ED70" i="12"/>
  <c r="DZ70" i="12"/>
  <c r="DV70" i="12"/>
  <c r="DR70" i="12"/>
  <c r="DN70" i="12"/>
  <c r="DJ70" i="12"/>
  <c r="DF70" i="12"/>
  <c r="DB70" i="12"/>
  <c r="CX70" i="12"/>
  <c r="CT70" i="12"/>
  <c r="CP70" i="12"/>
  <c r="CL70" i="12"/>
  <c r="CH70" i="12"/>
  <c r="CD70" i="12"/>
  <c r="BZ70" i="12"/>
  <c r="BV70" i="12"/>
  <c r="BR70" i="12"/>
  <c r="BN70" i="12"/>
  <c r="DL69" i="12"/>
  <c r="CV69" i="12"/>
  <c r="CF69" i="12"/>
  <c r="EN68" i="12"/>
  <c r="DX68" i="12"/>
  <c r="DH68" i="12"/>
  <c r="CR68" i="12"/>
  <c r="CB68" i="12"/>
  <c r="BD67" i="12"/>
  <c r="T67" i="12"/>
  <c r="BJ70" i="12"/>
  <c r="BF70" i="12"/>
  <c r="BB70" i="12"/>
  <c r="AX70" i="12"/>
  <c r="AR69" i="12"/>
  <c r="P69" i="12"/>
  <c r="BD68" i="12"/>
  <c r="AR68" i="12"/>
  <c r="AJ67" i="12"/>
  <c r="ET69" i="12"/>
  <c r="EP69" i="12"/>
  <c r="EL69" i="12"/>
  <c r="EH69" i="12"/>
  <c r="ED69" i="12"/>
  <c r="DZ69" i="12"/>
  <c r="DV69" i="12"/>
  <c r="DR69" i="12"/>
  <c r="DN69" i="12"/>
  <c r="DJ69" i="12"/>
  <c r="DF69" i="12"/>
  <c r="DB69" i="12"/>
  <c r="CX69" i="12"/>
  <c r="CT69" i="12"/>
  <c r="CP69" i="12"/>
  <c r="CL69" i="12"/>
  <c r="CH69" i="12"/>
  <c r="CD69" i="12"/>
  <c r="BZ69" i="12"/>
  <c r="BV69" i="12"/>
  <c r="BR69" i="12"/>
  <c r="BN69" i="12"/>
  <c r="EV67" i="12"/>
  <c r="ER67" i="12"/>
  <c r="EN67" i="12"/>
  <c r="EJ67" i="12"/>
  <c r="EF67" i="12"/>
  <c r="EB67" i="12"/>
  <c r="DX67" i="12"/>
  <c r="DT67" i="12"/>
  <c r="BH70" i="12"/>
  <c r="BD70" i="12"/>
  <c r="AZ70" i="12"/>
  <c r="AV70" i="12"/>
  <c r="AR70" i="12"/>
  <c r="AN70" i="12"/>
  <c r="AJ70" i="12"/>
  <c r="AF70" i="12"/>
  <c r="AB70" i="12"/>
  <c r="X70" i="12"/>
  <c r="T70" i="12"/>
  <c r="P70" i="12"/>
  <c r="AV69" i="12"/>
  <c r="BH68" i="12"/>
  <c r="H18" i="12" s="1"/>
  <c r="AN68" i="12"/>
  <c r="AN67" i="12"/>
  <c r="ET67" i="12"/>
  <c r="EP67" i="12"/>
  <c r="EL67" i="12"/>
  <c r="EH67" i="12"/>
  <c r="ED67" i="12"/>
  <c r="DZ67" i="12"/>
  <c r="DV67" i="12"/>
  <c r="DR67" i="12"/>
  <c r="DN67" i="12"/>
  <c r="DJ67" i="12"/>
  <c r="DF67" i="12"/>
  <c r="DB67" i="12"/>
  <c r="CX67" i="12"/>
  <c r="CT67" i="12"/>
  <c r="CP67" i="12"/>
  <c r="CL67" i="12"/>
  <c r="CH67" i="12"/>
  <c r="CD67" i="12"/>
  <c r="BZ67" i="12"/>
  <c r="BV67" i="12"/>
  <c r="BR67" i="12"/>
  <c r="BN67" i="12"/>
  <c r="AB69" i="12"/>
  <c r="AB68" i="12"/>
  <c r="BC68" i="12"/>
  <c r="BK70" i="12"/>
  <c r="BL67" i="12"/>
  <c r="BM68" i="12"/>
  <c r="BM67" i="12"/>
  <c r="BM70" i="12"/>
  <c r="BL68" i="12"/>
  <c r="BK69" i="12"/>
  <c r="AZ69" i="12"/>
  <c r="AU69" i="12"/>
  <c r="AJ69" i="12"/>
  <c r="AE69" i="12"/>
  <c r="T69" i="12"/>
  <c r="O69" i="12"/>
  <c r="BG68" i="12"/>
  <c r="AV68" i="12"/>
  <c r="AQ68" i="12"/>
  <c r="AF68" i="12"/>
  <c r="AA68" i="12"/>
  <c r="P68" i="12"/>
  <c r="BC67" i="12"/>
  <c r="AM67" i="12"/>
  <c r="W67" i="12"/>
  <c r="BL69" i="12"/>
  <c r="AY69" i="12"/>
  <c r="AI69" i="12"/>
  <c r="S69" i="12"/>
  <c r="BK68" i="12"/>
  <c r="AU68" i="12"/>
  <c r="AE68" i="12"/>
  <c r="O68" i="12"/>
  <c r="BJ69" i="12"/>
  <c r="BF69" i="12"/>
  <c r="BB69" i="12"/>
  <c r="AX69" i="12"/>
  <c r="AT69" i="12"/>
  <c r="AP69" i="12"/>
  <c r="AL69" i="12"/>
  <c r="AH69" i="12"/>
  <c r="AD69" i="12"/>
  <c r="Z69" i="12"/>
  <c r="V69" i="12"/>
  <c r="R69" i="12"/>
  <c r="BJ68" i="12"/>
  <c r="BF68" i="12"/>
  <c r="BB68" i="12"/>
  <c r="AX68" i="12"/>
  <c r="AT68" i="12"/>
  <c r="AP68" i="12"/>
  <c r="AL68" i="12"/>
  <c r="AH68" i="12"/>
  <c r="AD68" i="12"/>
  <c r="Z68" i="12"/>
  <c r="V68" i="12"/>
  <c r="R68" i="12"/>
  <c r="E10" i="12" l="1"/>
  <c r="D10" i="12"/>
  <c r="C10" i="12"/>
  <c r="B10" i="12"/>
  <c r="F10" i="12" l="1"/>
  <c r="B14" i="2" l="1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4" i="5"/>
  <c r="B13" i="5"/>
  <c r="B12" i="5"/>
  <c r="B11" i="5"/>
  <c r="B10" i="5"/>
  <c r="B9" i="5"/>
  <c r="D37" i="12" l="1"/>
  <c r="D36" i="12"/>
  <c r="F36" i="12" s="1"/>
  <c r="D38" i="12" l="1"/>
  <c r="J55" i="2" l="1"/>
  <c r="G36" i="2"/>
  <c r="F38" i="12"/>
  <c r="B11" i="12" l="1"/>
  <c r="C11" i="12"/>
  <c r="D11" i="12"/>
  <c r="E11" i="12"/>
  <c r="B12" i="12"/>
  <c r="C12" i="12"/>
  <c r="D12" i="12"/>
  <c r="E12" i="12"/>
  <c r="F12" i="12" l="1"/>
  <c r="F11" i="12"/>
  <c r="H12" i="12"/>
  <c r="D7" i="21" l="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E20" i="21" l="1"/>
  <c r="E19" i="21"/>
  <c r="F15" i="21"/>
  <c r="F9" i="21"/>
  <c r="E17" i="21"/>
  <c r="E16" i="21"/>
  <c r="F11" i="21"/>
  <c r="E21" i="21"/>
  <c r="E18" i="21"/>
  <c r="E15" i="21"/>
  <c r="F19" i="21"/>
  <c r="E13" i="21"/>
  <c r="E7" i="21"/>
  <c r="F20" i="21"/>
  <c r="F16" i="21"/>
  <c r="F12" i="21"/>
  <c r="E11" i="21"/>
  <c r="F8" i="21"/>
  <c r="E14" i="21"/>
  <c r="F18" i="21"/>
  <c r="F14" i="21"/>
  <c r="E12" i="21"/>
  <c r="E10" i="21"/>
  <c r="E8" i="21"/>
  <c r="F21" i="21"/>
  <c r="F17" i="21"/>
  <c r="F13" i="21"/>
  <c r="F7" i="21"/>
  <c r="F10" i="21"/>
  <c r="E9" i="21"/>
  <c r="C64" i="5" l="1"/>
  <c r="F64" i="5" s="1"/>
  <c r="S6" i="2" l="1"/>
  <c r="C10" i="5"/>
  <c r="C11" i="5"/>
  <c r="F39" i="12" l="1"/>
  <c r="I77" i="5"/>
  <c r="C33" i="5"/>
  <c r="C22" i="24" s="1"/>
  <c r="C25" i="5"/>
  <c r="C19" i="5"/>
  <c r="C47" i="5"/>
  <c r="C57" i="5"/>
  <c r="F57" i="5" s="1"/>
  <c r="I57" i="5" s="1"/>
  <c r="L22" i="24" l="1"/>
  <c r="N22" i="24" s="1"/>
  <c r="P22" i="24" s="1"/>
  <c r="L57" i="5"/>
  <c r="C42" i="5"/>
  <c r="C30" i="5"/>
  <c r="C29" i="5"/>
  <c r="C24" i="5"/>
  <c r="A10" i="12" l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l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l="1"/>
  <c r="A52" i="12" s="1"/>
  <c r="A53" i="12" s="1"/>
  <c r="A54" i="12" s="1"/>
  <c r="A55" i="12" s="1"/>
  <c r="H10" i="12"/>
  <c r="A8" i="5"/>
  <c r="A9" i="5" s="1"/>
  <c r="A10" i="5" s="1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l="1"/>
  <c r="A57" i="5" s="1"/>
  <c r="A58" i="5" s="1"/>
  <c r="A59" i="5" s="1"/>
  <c r="A61" i="5" s="1"/>
  <c r="A62" i="5" s="1"/>
  <c r="A63" i="5" s="1"/>
  <c r="A64" i="5" s="1"/>
  <c r="K9" i="12"/>
  <c r="H11" i="12"/>
  <c r="F37" i="12" l="1"/>
  <c r="F35" i="12"/>
  <c r="F34" i="12"/>
  <c r="B28" i="13" l="1"/>
  <c r="B29" i="13" s="1"/>
  <c r="B30" i="13" s="1"/>
  <c r="B31" i="13" s="1"/>
  <c r="B32" i="13" s="1"/>
  <c r="B33" i="13" s="1"/>
  <c r="B34" i="13" s="1"/>
  <c r="B35" i="13" s="1"/>
  <c r="B36" i="13" s="1"/>
  <c r="B41" i="13" l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I64" i="5" l="1"/>
  <c r="L64" i="5" s="1"/>
  <c r="C32" i="5" l="1"/>
  <c r="C36" i="24" s="1"/>
  <c r="L36" i="24" s="1"/>
  <c r="N36" i="24" s="1"/>
  <c r="F31" i="12" l="1"/>
  <c r="G29" i="12" l="1"/>
  <c r="I29" i="12" s="1"/>
  <c r="G28" i="12"/>
  <c r="I28" i="12" s="1"/>
  <c r="G27" i="12"/>
  <c r="I27" i="12" s="1"/>
  <c r="G24" i="12"/>
  <c r="I24" i="12" s="1"/>
  <c r="G23" i="12"/>
  <c r="I23" i="12" s="1"/>
  <c r="G21" i="12"/>
  <c r="I21" i="12" s="1"/>
  <c r="G18" i="12"/>
  <c r="I18" i="12" s="1"/>
  <c r="G17" i="12"/>
  <c r="I17" i="12" s="1"/>
  <c r="G14" i="12"/>
  <c r="I14" i="12" s="1"/>
  <c r="G13" i="12"/>
  <c r="I13" i="12" s="1"/>
  <c r="G30" i="12"/>
  <c r="I30" i="12" s="1"/>
  <c r="G26" i="12"/>
  <c r="I26" i="12" s="1"/>
  <c r="G25" i="12"/>
  <c r="I25" i="12" s="1"/>
  <c r="G22" i="12"/>
  <c r="I22" i="12" s="1"/>
  <c r="G20" i="12"/>
  <c r="I20" i="12" s="1"/>
  <c r="G19" i="12"/>
  <c r="I19" i="12" s="1"/>
  <c r="G16" i="12"/>
  <c r="I16" i="12" s="1"/>
  <c r="G15" i="12"/>
  <c r="I15" i="12" s="1"/>
  <c r="G10" i="12"/>
  <c r="I10" i="12" s="1"/>
  <c r="G12" i="12"/>
  <c r="I12" i="12" s="1"/>
  <c r="F44" i="12"/>
  <c r="G11" i="12"/>
  <c r="I11" i="12" s="1"/>
  <c r="I31" i="12" l="1"/>
  <c r="G31" i="12"/>
  <c r="H44" i="12" l="1"/>
  <c r="L44" i="12" s="1"/>
  <c r="F47" i="5" l="1"/>
  <c r="C100" i="24" s="1"/>
  <c r="D12" i="13" l="1"/>
  <c r="E47" i="13"/>
  <c r="C13" i="5" l="1"/>
  <c r="C22" i="5"/>
  <c r="C40" i="5"/>
  <c r="C26" i="5"/>
  <c r="C23" i="5"/>
  <c r="J54" i="2"/>
  <c r="C55" i="5" s="1"/>
  <c r="C36" i="5"/>
  <c r="C35" i="24" s="1"/>
  <c r="C35" i="5"/>
  <c r="C27" i="5"/>
  <c r="C41" i="5"/>
  <c r="J57" i="2"/>
  <c r="C59" i="5" s="1"/>
  <c r="C12" i="5"/>
  <c r="C34" i="5"/>
  <c r="C20" i="5"/>
  <c r="C19" i="24" l="1"/>
  <c r="C15" i="24"/>
  <c r="C25" i="24"/>
  <c r="C18" i="24"/>
  <c r="C14" i="24"/>
  <c r="E13" i="5"/>
  <c r="C9" i="24"/>
  <c r="C23" i="24"/>
  <c r="C31" i="5"/>
  <c r="C43" i="5"/>
  <c r="C39" i="5"/>
  <c r="C14" i="5"/>
  <c r="C37" i="5"/>
  <c r="E22" i="2"/>
  <c r="G18" i="2"/>
  <c r="C28" i="5"/>
  <c r="C21" i="5"/>
  <c r="C48" i="5"/>
  <c r="L23" i="24" l="1"/>
  <c r="N23" i="24" s="1"/>
  <c r="P23" i="24" s="1"/>
  <c r="L14" i="24"/>
  <c r="N14" i="24" s="1"/>
  <c r="P14" i="24" s="1"/>
  <c r="L25" i="24"/>
  <c r="N25" i="24" s="1"/>
  <c r="P25" i="24" s="1"/>
  <c r="L15" i="24"/>
  <c r="N15" i="24" s="1"/>
  <c r="P15" i="24" s="1"/>
  <c r="L19" i="24"/>
  <c r="N19" i="24" s="1"/>
  <c r="P19" i="24" s="1"/>
  <c r="F13" i="5"/>
  <c r="F48" i="5"/>
  <c r="C108" i="24" s="1"/>
  <c r="C39" i="24"/>
  <c r="L39" i="24" s="1"/>
  <c r="C8" i="24"/>
  <c r="C24" i="24"/>
  <c r="E28" i="5"/>
  <c r="C20" i="24"/>
  <c r="C21" i="24"/>
  <c r="C17" i="24"/>
  <c r="C34" i="24"/>
  <c r="C26" i="24"/>
  <c r="J56" i="2"/>
  <c r="C58" i="5" s="1"/>
  <c r="G25" i="2"/>
  <c r="G27" i="2" s="1"/>
  <c r="G38" i="2" s="1"/>
  <c r="O37" i="2"/>
  <c r="C38" i="5"/>
  <c r="J53" i="2"/>
  <c r="E36" i="2"/>
  <c r="E38" i="2" s="1"/>
  <c r="L24" i="24" l="1"/>
  <c r="N24" i="24" s="1"/>
  <c r="P24" i="24" s="1"/>
  <c r="L8" i="24"/>
  <c r="N8" i="24" s="1"/>
  <c r="P8" i="24" s="1"/>
  <c r="D20" i="13"/>
  <c r="L17" i="24"/>
  <c r="N17" i="24" s="1"/>
  <c r="P17" i="24" s="1"/>
  <c r="L21" i="24"/>
  <c r="N21" i="24" s="1"/>
  <c r="P21" i="24" s="1"/>
  <c r="C30" i="24"/>
  <c r="F28" i="5"/>
  <c r="L34" i="24"/>
  <c r="C37" i="24"/>
  <c r="D22" i="13"/>
  <c r="C18" i="5"/>
  <c r="C13" i="24" s="1"/>
  <c r="L13" i="24" s="1"/>
  <c r="J43" i="2"/>
  <c r="F43" i="2"/>
  <c r="C54" i="5"/>
  <c r="O10" i="2"/>
  <c r="J14" i="2"/>
  <c r="C9" i="5"/>
  <c r="C7" i="24" s="1"/>
  <c r="E36" i="5"/>
  <c r="C61" i="5" l="1"/>
  <c r="C66" i="5"/>
  <c r="C28" i="24"/>
  <c r="C32" i="24" s="1"/>
  <c r="N34" i="24"/>
  <c r="C68" i="24"/>
  <c r="C10" i="24"/>
  <c r="F36" i="5"/>
  <c r="C44" i="5"/>
  <c r="C49" i="5" s="1"/>
  <c r="J45" i="2"/>
  <c r="O38" i="2"/>
  <c r="C15" i="5"/>
  <c r="O43" i="2"/>
  <c r="J48" i="2"/>
  <c r="J49" i="2" s="1"/>
  <c r="C41" i="24" l="1"/>
  <c r="C47" i="24" s="1"/>
  <c r="C48" i="24" s="1"/>
  <c r="N13" i="24"/>
  <c r="C50" i="5"/>
  <c r="D40" i="12" s="1"/>
  <c r="D41" i="12" s="1"/>
  <c r="C46" i="5"/>
  <c r="C51" i="5" s="1"/>
  <c r="C63" i="5" s="1"/>
  <c r="P13" i="24" l="1"/>
  <c r="C80" i="24" l="1"/>
  <c r="B6" i="3" l="1"/>
  <c r="B5" i="3" l="1"/>
  <c r="V22" i="2" l="1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R104" i="2" l="1"/>
  <c r="AR24" i="2"/>
  <c r="AR71" i="2"/>
  <c r="I58" i="5"/>
  <c r="I59" i="5"/>
  <c r="AR8" i="2"/>
  <c r="AR48" i="2"/>
  <c r="AR64" i="2"/>
  <c r="AR80" i="2"/>
  <c r="AR96" i="2"/>
  <c r="AR10" i="2"/>
  <c r="AR18" i="2"/>
  <c r="AR26" i="2"/>
  <c r="AR34" i="2"/>
  <c r="AR42" i="2"/>
  <c r="AR50" i="2"/>
  <c r="AR58" i="2"/>
  <c r="AR66" i="2"/>
  <c r="AR74" i="2"/>
  <c r="AR82" i="2"/>
  <c r="AR90" i="2"/>
  <c r="AR98" i="2"/>
  <c r="AR106" i="2"/>
  <c r="AR23" i="2"/>
  <c r="AR39" i="2"/>
  <c r="AR55" i="2"/>
  <c r="AR32" i="2"/>
  <c r="AR72" i="2"/>
  <c r="AR88" i="2"/>
  <c r="AR11" i="2"/>
  <c r="AR19" i="2"/>
  <c r="AR27" i="2"/>
  <c r="AR35" i="2"/>
  <c r="AR43" i="2"/>
  <c r="AR51" i="2"/>
  <c r="AR59" i="2"/>
  <c r="AR67" i="2"/>
  <c r="AR75" i="2"/>
  <c r="AR83" i="2"/>
  <c r="AR91" i="2"/>
  <c r="AR99" i="2"/>
  <c r="AR107" i="2"/>
  <c r="AR15" i="2"/>
  <c r="AR31" i="2"/>
  <c r="AR47" i="2"/>
  <c r="AR63" i="2"/>
  <c r="AR16" i="2"/>
  <c r="AR12" i="2"/>
  <c r="AR20" i="2"/>
  <c r="AR28" i="2"/>
  <c r="AR36" i="2"/>
  <c r="AR44" i="2"/>
  <c r="AR52" i="2"/>
  <c r="AR60" i="2"/>
  <c r="AR68" i="2"/>
  <c r="AR76" i="2"/>
  <c r="AR84" i="2"/>
  <c r="AR92" i="2"/>
  <c r="AR100" i="2"/>
  <c r="AR108" i="2"/>
  <c r="AR13" i="2"/>
  <c r="AR21" i="2"/>
  <c r="AR29" i="2"/>
  <c r="AR37" i="2"/>
  <c r="AR45" i="2"/>
  <c r="AR53" i="2"/>
  <c r="AR61" i="2"/>
  <c r="AR69" i="2"/>
  <c r="AR77" i="2"/>
  <c r="AR85" i="2"/>
  <c r="AR93" i="2"/>
  <c r="AR101" i="2"/>
  <c r="AR109" i="2"/>
  <c r="AR14" i="2"/>
  <c r="AR22" i="2"/>
  <c r="AR30" i="2"/>
  <c r="AR38" i="2"/>
  <c r="AR46" i="2"/>
  <c r="AR54" i="2"/>
  <c r="AR62" i="2"/>
  <c r="AR70" i="2"/>
  <c r="AR78" i="2"/>
  <c r="AR86" i="2"/>
  <c r="AR94" i="2"/>
  <c r="AR102" i="2"/>
  <c r="AR110" i="2"/>
  <c r="AR79" i="2"/>
  <c r="AR87" i="2"/>
  <c r="AR95" i="2"/>
  <c r="AR103" i="2"/>
  <c r="AR111" i="2"/>
  <c r="AR40" i="2"/>
  <c r="AR56" i="2"/>
  <c r="AR9" i="2"/>
  <c r="AR17" i="2"/>
  <c r="AR25" i="2"/>
  <c r="AR33" i="2"/>
  <c r="AR41" i="2"/>
  <c r="AR49" i="2"/>
  <c r="AR57" i="2"/>
  <c r="AR65" i="2"/>
  <c r="AR73" i="2"/>
  <c r="AR81" i="2"/>
  <c r="AR89" i="2"/>
  <c r="AR97" i="2"/>
  <c r="AR105" i="2"/>
  <c r="H26" i="24"/>
  <c r="L26" i="24" s="1"/>
  <c r="AO111" i="2"/>
  <c r="AJ111" i="2"/>
  <c r="AI111" i="2"/>
  <c r="AH111" i="2"/>
  <c r="AJ110" i="2"/>
  <c r="AI110" i="2"/>
  <c r="AH110" i="2"/>
  <c r="AJ109" i="2"/>
  <c r="AI109" i="2"/>
  <c r="AH109" i="2"/>
  <c r="AJ108" i="2"/>
  <c r="AI108" i="2"/>
  <c r="AH108" i="2"/>
  <c r="AJ107" i="2"/>
  <c r="AI107" i="2"/>
  <c r="AH107" i="2"/>
  <c r="AJ106" i="2"/>
  <c r="AI106" i="2"/>
  <c r="AH106" i="2"/>
  <c r="AJ105" i="2"/>
  <c r="AI105" i="2"/>
  <c r="AH105" i="2"/>
  <c r="AJ104" i="2"/>
  <c r="AI104" i="2"/>
  <c r="AH104" i="2"/>
  <c r="AJ103" i="2"/>
  <c r="AI103" i="2"/>
  <c r="AH103" i="2"/>
  <c r="AJ102" i="2"/>
  <c r="AI102" i="2"/>
  <c r="AH102" i="2"/>
  <c r="AJ101" i="2"/>
  <c r="AI101" i="2"/>
  <c r="AH101" i="2"/>
  <c r="AJ100" i="2"/>
  <c r="AI100" i="2"/>
  <c r="AH100" i="2"/>
  <c r="AJ99" i="2"/>
  <c r="AI99" i="2"/>
  <c r="AH99" i="2"/>
  <c r="AJ98" i="2"/>
  <c r="AI98" i="2"/>
  <c r="AH98" i="2"/>
  <c r="AO97" i="2"/>
  <c r="AJ97" i="2"/>
  <c r="AI97" i="2"/>
  <c r="AH97" i="2"/>
  <c r="AJ96" i="2"/>
  <c r="AI96" i="2"/>
  <c r="AH96" i="2"/>
  <c r="AJ95" i="2"/>
  <c r="AI95" i="2"/>
  <c r="AH95" i="2"/>
  <c r="AJ94" i="2"/>
  <c r="AI94" i="2"/>
  <c r="AH94" i="2"/>
  <c r="AJ93" i="2"/>
  <c r="AI93" i="2"/>
  <c r="AH93" i="2"/>
  <c r="AJ92" i="2"/>
  <c r="AI92" i="2"/>
  <c r="AH92" i="2"/>
  <c r="AJ91" i="2"/>
  <c r="AI91" i="2"/>
  <c r="AH91" i="2"/>
  <c r="AJ90" i="2"/>
  <c r="AI90" i="2"/>
  <c r="AH90" i="2"/>
  <c r="AJ89" i="2"/>
  <c r="AI89" i="2"/>
  <c r="AH89" i="2"/>
  <c r="AJ88" i="2"/>
  <c r="AI88" i="2"/>
  <c r="AH88" i="2"/>
  <c r="AJ87" i="2"/>
  <c r="AI87" i="2"/>
  <c r="AH87" i="2"/>
  <c r="AJ86" i="2"/>
  <c r="AI86" i="2"/>
  <c r="AH86" i="2"/>
  <c r="AJ85" i="2"/>
  <c r="AI85" i="2"/>
  <c r="AH85" i="2"/>
  <c r="AJ84" i="2"/>
  <c r="AI84" i="2"/>
  <c r="AH84" i="2"/>
  <c r="AO83" i="2"/>
  <c r="AJ83" i="2"/>
  <c r="AI83" i="2"/>
  <c r="AH83" i="2"/>
  <c r="AJ82" i="2"/>
  <c r="AI82" i="2"/>
  <c r="AH82" i="2"/>
  <c r="AJ81" i="2"/>
  <c r="AI81" i="2"/>
  <c r="AH81" i="2"/>
  <c r="AJ80" i="2"/>
  <c r="AI80" i="2"/>
  <c r="AH80" i="2"/>
  <c r="AJ79" i="2"/>
  <c r="AI79" i="2"/>
  <c r="AH79" i="2"/>
  <c r="AJ78" i="2"/>
  <c r="AI78" i="2"/>
  <c r="AH78" i="2"/>
  <c r="AJ77" i="2"/>
  <c r="AI77" i="2"/>
  <c r="AH77" i="2"/>
  <c r="AJ76" i="2"/>
  <c r="AI76" i="2"/>
  <c r="AH76" i="2"/>
  <c r="AO75" i="2"/>
  <c r="AJ75" i="2"/>
  <c r="AI75" i="2"/>
  <c r="AH75" i="2"/>
  <c r="AJ74" i="2"/>
  <c r="AI74" i="2"/>
  <c r="AH74" i="2"/>
  <c r="AJ73" i="2"/>
  <c r="AI73" i="2"/>
  <c r="AH73" i="2"/>
  <c r="AJ72" i="2"/>
  <c r="AI72" i="2"/>
  <c r="AH72" i="2"/>
  <c r="AJ71" i="2"/>
  <c r="AI71" i="2"/>
  <c r="AH71" i="2"/>
  <c r="AJ70" i="2"/>
  <c r="AI70" i="2"/>
  <c r="AH70" i="2"/>
  <c r="AJ69" i="2"/>
  <c r="AI69" i="2"/>
  <c r="AH69" i="2"/>
  <c r="AJ68" i="2"/>
  <c r="AI68" i="2"/>
  <c r="AH68" i="2"/>
  <c r="AJ67" i="2"/>
  <c r="AI67" i="2"/>
  <c r="AH67" i="2"/>
  <c r="AJ66" i="2"/>
  <c r="AI66" i="2"/>
  <c r="AH66" i="2"/>
  <c r="AJ65" i="2"/>
  <c r="AI65" i="2"/>
  <c r="AH65" i="2"/>
  <c r="AJ64" i="2"/>
  <c r="AI64" i="2"/>
  <c r="AH64" i="2"/>
  <c r="AJ63" i="2"/>
  <c r="AI63" i="2"/>
  <c r="AH63" i="2"/>
  <c r="AJ62" i="2"/>
  <c r="AI62" i="2"/>
  <c r="AH62" i="2"/>
  <c r="AJ61" i="2"/>
  <c r="AI61" i="2"/>
  <c r="AH61" i="2"/>
  <c r="AJ60" i="2"/>
  <c r="AI60" i="2"/>
  <c r="AH60" i="2"/>
  <c r="AJ59" i="2"/>
  <c r="AI59" i="2"/>
  <c r="AH59" i="2"/>
  <c r="AJ58" i="2"/>
  <c r="AI58" i="2"/>
  <c r="AH58" i="2"/>
  <c r="AJ57" i="2"/>
  <c r="AI57" i="2"/>
  <c r="AH57" i="2"/>
  <c r="AJ56" i="2"/>
  <c r="AI56" i="2"/>
  <c r="AH56" i="2"/>
  <c r="AJ55" i="2"/>
  <c r="AI55" i="2"/>
  <c r="AH55" i="2"/>
  <c r="AJ54" i="2"/>
  <c r="AI54" i="2"/>
  <c r="AH54" i="2"/>
  <c r="AJ53" i="2"/>
  <c r="AI53" i="2"/>
  <c r="AH53" i="2"/>
  <c r="AJ52" i="2"/>
  <c r="AI52" i="2"/>
  <c r="AH52" i="2"/>
  <c r="AJ51" i="2"/>
  <c r="AI51" i="2"/>
  <c r="AH51" i="2"/>
  <c r="AJ50" i="2"/>
  <c r="AI50" i="2"/>
  <c r="AH50" i="2"/>
  <c r="AJ49" i="2"/>
  <c r="AI49" i="2"/>
  <c r="AH49" i="2"/>
  <c r="AJ48" i="2"/>
  <c r="AI48" i="2"/>
  <c r="AH48" i="2"/>
  <c r="AO47" i="2"/>
  <c r="AJ47" i="2"/>
  <c r="AI47" i="2"/>
  <c r="AH47" i="2"/>
  <c r="AJ46" i="2"/>
  <c r="AI46" i="2"/>
  <c r="AH46" i="2"/>
  <c r="AO45" i="2"/>
  <c r="AJ45" i="2"/>
  <c r="AI45" i="2"/>
  <c r="AH45" i="2"/>
  <c r="AO44" i="2"/>
  <c r="AJ44" i="2"/>
  <c r="AI44" i="2"/>
  <c r="AH44" i="2"/>
  <c r="AJ43" i="2"/>
  <c r="AI43" i="2"/>
  <c r="AH43" i="2"/>
  <c r="AJ42" i="2"/>
  <c r="AI42" i="2"/>
  <c r="AH42" i="2"/>
  <c r="AO41" i="2"/>
  <c r="AJ41" i="2"/>
  <c r="AI41" i="2"/>
  <c r="AH41" i="2"/>
  <c r="AJ40" i="2"/>
  <c r="AI40" i="2"/>
  <c r="AH40" i="2"/>
  <c r="AJ39" i="2"/>
  <c r="AI39" i="2"/>
  <c r="AH39" i="2"/>
  <c r="AJ38" i="2"/>
  <c r="AI38" i="2"/>
  <c r="AH38" i="2"/>
  <c r="AJ37" i="2"/>
  <c r="AI37" i="2"/>
  <c r="AH37" i="2"/>
  <c r="AO36" i="2"/>
  <c r="AJ36" i="2"/>
  <c r="AI36" i="2"/>
  <c r="AH36" i="2"/>
  <c r="AJ35" i="2"/>
  <c r="AI35" i="2"/>
  <c r="AH35" i="2"/>
  <c r="AJ34" i="2"/>
  <c r="AI34" i="2"/>
  <c r="AH34" i="2"/>
  <c r="AO33" i="2"/>
  <c r="AJ33" i="2"/>
  <c r="AI33" i="2"/>
  <c r="AH33" i="2"/>
  <c r="AJ32" i="2"/>
  <c r="AI32" i="2"/>
  <c r="AH32" i="2"/>
  <c r="AJ31" i="2"/>
  <c r="AI31" i="2"/>
  <c r="AH31" i="2"/>
  <c r="AO30" i="2"/>
  <c r="AJ30" i="2"/>
  <c r="AI30" i="2"/>
  <c r="AH30" i="2"/>
  <c r="AJ29" i="2"/>
  <c r="AI29" i="2"/>
  <c r="AH29" i="2"/>
  <c r="AJ28" i="2"/>
  <c r="AI28" i="2"/>
  <c r="AH28" i="2"/>
  <c r="AJ27" i="2"/>
  <c r="AI27" i="2"/>
  <c r="AH27" i="2"/>
  <c r="AJ26" i="2"/>
  <c r="AI26" i="2"/>
  <c r="AH26" i="2"/>
  <c r="AO25" i="2"/>
  <c r="AJ25" i="2"/>
  <c r="AI25" i="2"/>
  <c r="AH25" i="2"/>
  <c r="AJ24" i="2"/>
  <c r="AI24" i="2"/>
  <c r="AH24" i="2"/>
  <c r="AJ23" i="2"/>
  <c r="AI23" i="2"/>
  <c r="AH23" i="2"/>
  <c r="AJ22" i="2"/>
  <c r="AI22" i="2"/>
  <c r="AH22" i="2"/>
  <c r="AJ21" i="2"/>
  <c r="AI21" i="2"/>
  <c r="AH21" i="2"/>
  <c r="AJ20" i="2"/>
  <c r="AI20" i="2"/>
  <c r="AH20" i="2"/>
  <c r="AJ19" i="2"/>
  <c r="AI19" i="2"/>
  <c r="AH19" i="2"/>
  <c r="AJ18" i="2"/>
  <c r="AI18" i="2"/>
  <c r="AH18" i="2"/>
  <c r="AJ17" i="2"/>
  <c r="AI17" i="2"/>
  <c r="AH17" i="2"/>
  <c r="AJ16" i="2"/>
  <c r="AI16" i="2"/>
  <c r="AH16" i="2"/>
  <c r="AJ15" i="2"/>
  <c r="AI15" i="2"/>
  <c r="AH15" i="2"/>
  <c r="AJ14" i="2"/>
  <c r="AI14" i="2"/>
  <c r="AH14" i="2"/>
  <c r="AO13" i="2"/>
  <c r="AJ13" i="2"/>
  <c r="AI13" i="2"/>
  <c r="AH13" i="2"/>
  <c r="AO12" i="2"/>
  <c r="AJ12" i="2"/>
  <c r="AI12" i="2"/>
  <c r="AH12" i="2"/>
  <c r="AO11" i="2"/>
  <c r="AJ11" i="2"/>
  <c r="AI11" i="2"/>
  <c r="AH11" i="2"/>
  <c r="AO10" i="2"/>
  <c r="AJ10" i="2"/>
  <c r="AI10" i="2"/>
  <c r="AH10" i="2"/>
  <c r="AO9" i="2"/>
  <c r="AJ9" i="2"/>
  <c r="AI9" i="2"/>
  <c r="AH9" i="2"/>
  <c r="AO8" i="2"/>
  <c r="AJ8" i="2"/>
  <c r="AI8" i="2"/>
  <c r="AH8" i="2"/>
  <c r="AC255" i="2"/>
  <c r="AC254" i="2"/>
  <c r="AC253" i="2"/>
  <c r="AC252" i="2"/>
  <c r="AC251" i="2"/>
  <c r="AC250" i="2"/>
  <c r="AC249" i="2"/>
  <c r="AC248" i="2"/>
  <c r="AC247" i="2"/>
  <c r="AC246" i="2"/>
  <c r="AC152" i="2"/>
  <c r="AC151" i="2"/>
  <c r="AC150" i="2"/>
  <c r="AC149" i="2"/>
  <c r="AC36" i="2"/>
  <c r="AC35" i="2"/>
  <c r="AC32" i="2"/>
  <c r="AC31" i="2"/>
  <c r="AC30" i="2"/>
  <c r="AC29" i="2"/>
  <c r="AC28" i="2"/>
  <c r="AC17" i="2"/>
  <c r="AC16" i="2"/>
  <c r="AC15" i="2"/>
  <c r="AC14" i="2"/>
  <c r="AC12" i="2"/>
  <c r="AC11" i="2"/>
  <c r="AC10" i="2"/>
  <c r="AC9" i="2"/>
  <c r="AC8" i="2"/>
  <c r="AB488" i="2"/>
  <c r="AB487" i="2"/>
  <c r="AB486" i="2"/>
  <c r="AB485" i="2"/>
  <c r="AB484" i="2"/>
  <c r="AB483" i="2"/>
  <c r="AB482" i="2"/>
  <c r="AB481" i="2"/>
  <c r="AB480" i="2"/>
  <c r="AB479" i="2"/>
  <c r="AB478" i="2"/>
  <c r="AB477" i="2"/>
  <c r="AB476" i="2"/>
  <c r="AB475" i="2"/>
  <c r="AB474" i="2"/>
  <c r="AB473" i="2"/>
  <c r="AB472" i="2"/>
  <c r="AB471" i="2"/>
  <c r="AB470" i="2"/>
  <c r="AB469" i="2"/>
  <c r="AB468" i="2"/>
  <c r="AB467" i="2"/>
  <c r="AB466" i="2"/>
  <c r="AB465" i="2"/>
  <c r="AB464" i="2"/>
  <c r="AB463" i="2"/>
  <c r="AB462" i="2"/>
  <c r="AB461" i="2"/>
  <c r="AB460" i="2"/>
  <c r="AB459" i="2"/>
  <c r="AB458" i="2"/>
  <c r="AB457" i="2"/>
  <c r="AB456" i="2"/>
  <c r="AB455" i="2"/>
  <c r="AB454" i="2"/>
  <c r="AB453" i="2"/>
  <c r="AB452" i="2"/>
  <c r="AB451" i="2"/>
  <c r="AB450" i="2"/>
  <c r="AB449" i="2"/>
  <c r="AB448" i="2"/>
  <c r="AB447" i="2"/>
  <c r="AB446" i="2"/>
  <c r="AB445" i="2"/>
  <c r="AB444" i="2"/>
  <c r="AB443" i="2"/>
  <c r="AB442" i="2"/>
  <c r="AB441" i="2"/>
  <c r="AB440" i="2"/>
  <c r="AB439" i="2"/>
  <c r="AB438" i="2"/>
  <c r="AB437" i="2"/>
  <c r="AB436" i="2"/>
  <c r="AB435" i="2"/>
  <c r="AB434" i="2"/>
  <c r="AB433" i="2"/>
  <c r="AB432" i="2"/>
  <c r="AB431" i="2"/>
  <c r="AB430" i="2"/>
  <c r="AB429" i="2"/>
  <c r="AB427" i="2"/>
  <c r="AB426" i="2"/>
  <c r="AB425" i="2"/>
  <c r="AB424" i="2"/>
  <c r="AB423" i="2"/>
  <c r="AB422" i="2"/>
  <c r="AB421" i="2"/>
  <c r="AB420" i="2"/>
  <c r="AB419" i="2"/>
  <c r="AB418" i="2"/>
  <c r="AB417" i="2"/>
  <c r="AB416" i="2"/>
  <c r="AB415" i="2"/>
  <c r="AB414" i="2"/>
  <c r="AB413" i="2"/>
  <c r="AB412" i="2"/>
  <c r="AB411" i="2"/>
  <c r="AB410" i="2"/>
  <c r="AB409" i="2"/>
  <c r="AB408" i="2"/>
  <c r="AB407" i="2"/>
  <c r="AB406" i="2"/>
  <c r="AB405" i="2"/>
  <c r="AB404" i="2"/>
  <c r="AB403" i="2"/>
  <c r="AB402" i="2"/>
  <c r="AB401" i="2"/>
  <c r="AB400" i="2"/>
  <c r="AB399" i="2"/>
  <c r="AB398" i="2"/>
  <c r="AB397" i="2"/>
  <c r="AB396" i="2"/>
  <c r="AB395" i="2"/>
  <c r="AB394" i="2"/>
  <c r="AB393" i="2"/>
  <c r="AB392" i="2"/>
  <c r="AB391" i="2"/>
  <c r="AB390" i="2"/>
  <c r="AB389" i="2"/>
  <c r="AB388" i="2"/>
  <c r="AB387" i="2"/>
  <c r="AB386" i="2"/>
  <c r="AB385" i="2"/>
  <c r="AB384" i="2"/>
  <c r="AB383" i="2"/>
  <c r="AB382" i="2"/>
  <c r="AB381" i="2"/>
  <c r="AB380" i="2"/>
  <c r="AB379" i="2"/>
  <c r="AB378" i="2"/>
  <c r="AB377" i="2"/>
  <c r="AB376" i="2"/>
  <c r="AB375" i="2"/>
  <c r="AB374" i="2"/>
  <c r="AB373" i="2"/>
  <c r="AB372" i="2"/>
  <c r="AB371" i="2"/>
  <c r="AB370" i="2"/>
  <c r="AB369" i="2"/>
  <c r="AB368" i="2"/>
  <c r="AB367" i="2"/>
  <c r="AB366" i="2"/>
  <c r="AB365" i="2"/>
  <c r="AB364" i="2"/>
  <c r="AB363" i="2"/>
  <c r="AB362" i="2"/>
  <c r="AB361" i="2"/>
  <c r="AB360" i="2"/>
  <c r="AB359" i="2"/>
  <c r="AB358" i="2"/>
  <c r="AB357" i="2"/>
  <c r="AB356" i="2"/>
  <c r="AB355" i="2"/>
  <c r="AB354" i="2"/>
  <c r="AB353" i="2"/>
  <c r="AB352" i="2"/>
  <c r="AB351" i="2"/>
  <c r="AB350" i="2"/>
  <c r="AB349" i="2"/>
  <c r="AB348" i="2"/>
  <c r="AB347" i="2"/>
  <c r="AB346" i="2"/>
  <c r="AB345" i="2"/>
  <c r="AB344" i="2"/>
  <c r="AB343" i="2"/>
  <c r="AB342" i="2"/>
  <c r="AB341" i="2"/>
  <c r="AB340" i="2"/>
  <c r="AB339" i="2"/>
  <c r="AB338" i="2"/>
  <c r="AB337" i="2"/>
  <c r="AB336" i="2"/>
  <c r="AB335" i="2"/>
  <c r="AB334" i="2"/>
  <c r="AB333" i="2"/>
  <c r="AB332" i="2"/>
  <c r="AB331" i="2"/>
  <c r="AB330" i="2"/>
  <c r="AB329" i="2"/>
  <c r="AB328" i="2"/>
  <c r="AB327" i="2"/>
  <c r="AB326" i="2"/>
  <c r="AB325" i="2"/>
  <c r="AB324" i="2"/>
  <c r="AB323" i="2"/>
  <c r="AB322" i="2"/>
  <c r="AB321" i="2"/>
  <c r="AB320" i="2"/>
  <c r="AB319" i="2"/>
  <c r="AB318" i="2"/>
  <c r="AB317" i="2"/>
  <c r="AB316" i="2"/>
  <c r="AB315" i="2"/>
  <c r="AB314" i="2"/>
  <c r="AB313" i="2"/>
  <c r="AB312" i="2"/>
  <c r="AB311" i="2"/>
  <c r="AB310" i="2"/>
  <c r="AB309" i="2"/>
  <c r="AB308" i="2"/>
  <c r="AB307" i="2"/>
  <c r="AB306" i="2"/>
  <c r="AB305" i="2"/>
  <c r="AB304" i="2"/>
  <c r="AB303" i="2"/>
  <c r="AB302" i="2"/>
  <c r="AB301" i="2"/>
  <c r="AB300" i="2"/>
  <c r="AB299" i="2"/>
  <c r="AB298" i="2"/>
  <c r="AB297" i="2"/>
  <c r="AB296" i="2"/>
  <c r="AB295" i="2"/>
  <c r="AB294" i="2"/>
  <c r="AB293" i="2"/>
  <c r="AB292" i="2"/>
  <c r="AB291" i="2"/>
  <c r="AB290" i="2"/>
  <c r="AB289" i="2"/>
  <c r="AB288" i="2"/>
  <c r="AB287" i="2"/>
  <c r="AB286" i="2"/>
  <c r="AB273" i="2"/>
  <c r="AB272" i="2"/>
  <c r="AB271" i="2"/>
  <c r="AB270" i="2"/>
  <c r="AB269" i="2"/>
  <c r="AB268" i="2"/>
  <c r="AB267" i="2"/>
  <c r="AB266" i="2"/>
  <c r="AB265" i="2"/>
  <c r="AB264" i="2"/>
  <c r="AB263" i="2"/>
  <c r="AB262" i="2"/>
  <c r="AB261" i="2"/>
  <c r="AB260" i="2"/>
  <c r="AB259" i="2"/>
  <c r="AB258" i="2"/>
  <c r="AB257" i="2"/>
  <c r="AB256" i="2"/>
  <c r="AB255" i="2"/>
  <c r="AB254" i="2"/>
  <c r="AB253" i="2"/>
  <c r="AB252" i="2"/>
  <c r="AB251" i="2"/>
  <c r="AB250" i="2"/>
  <c r="AB249" i="2"/>
  <c r="AB248" i="2"/>
  <c r="AB247" i="2"/>
  <c r="AB246" i="2"/>
  <c r="AB245" i="2"/>
  <c r="AB244" i="2"/>
  <c r="AB243" i="2"/>
  <c r="AB242" i="2"/>
  <c r="AB241" i="2"/>
  <c r="AB240" i="2"/>
  <c r="AB239" i="2"/>
  <c r="AB238" i="2"/>
  <c r="AB237" i="2"/>
  <c r="AB236" i="2"/>
  <c r="AB235" i="2"/>
  <c r="AB234" i="2"/>
  <c r="AB233" i="2"/>
  <c r="AB232" i="2"/>
  <c r="AB231" i="2"/>
  <c r="AB230" i="2"/>
  <c r="AB229" i="2"/>
  <c r="AB228" i="2"/>
  <c r="AB227" i="2"/>
  <c r="AB226" i="2"/>
  <c r="AB225" i="2"/>
  <c r="AB224" i="2"/>
  <c r="AB223" i="2"/>
  <c r="AB222" i="2"/>
  <c r="AB221" i="2"/>
  <c r="AB220" i="2"/>
  <c r="AB219" i="2"/>
  <c r="AB218" i="2"/>
  <c r="AB217" i="2"/>
  <c r="AB216" i="2"/>
  <c r="AB215" i="2"/>
  <c r="AB214" i="2"/>
  <c r="AB213" i="2"/>
  <c r="AB212" i="2"/>
  <c r="AB211" i="2"/>
  <c r="AB210" i="2"/>
  <c r="AB209" i="2"/>
  <c r="AB208" i="2"/>
  <c r="AB207" i="2"/>
  <c r="AB206" i="2"/>
  <c r="AB205" i="2"/>
  <c r="AB204" i="2"/>
  <c r="AB203" i="2"/>
  <c r="AB202" i="2"/>
  <c r="AB201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AB165" i="2"/>
  <c r="AB164" i="2"/>
  <c r="AB163" i="2"/>
  <c r="AB162" i="2"/>
  <c r="AB161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Y8" i="2"/>
  <c r="AA488" i="2" l="1"/>
  <c r="AA487" i="2"/>
  <c r="AA486" i="2"/>
  <c r="AA485" i="2"/>
  <c r="AA484" i="2"/>
  <c r="AA483" i="2"/>
  <c r="AA482" i="2"/>
  <c r="AA481" i="2"/>
  <c r="AA480" i="2"/>
  <c r="AA479" i="2"/>
  <c r="AA478" i="2"/>
  <c r="AA477" i="2"/>
  <c r="AA476" i="2"/>
  <c r="AA475" i="2"/>
  <c r="AA474" i="2"/>
  <c r="AA473" i="2"/>
  <c r="AA472" i="2"/>
  <c r="AA471" i="2"/>
  <c r="AA470" i="2"/>
  <c r="AA469" i="2"/>
  <c r="AA468" i="2"/>
  <c r="AA467" i="2"/>
  <c r="AA466" i="2"/>
  <c r="AA465" i="2"/>
  <c r="AA464" i="2"/>
  <c r="AA463" i="2"/>
  <c r="AA462" i="2"/>
  <c r="AA461" i="2"/>
  <c r="AA460" i="2"/>
  <c r="AA458" i="2"/>
  <c r="AA454" i="2"/>
  <c r="AA450" i="2"/>
  <c r="AA446" i="2"/>
  <c r="AA439" i="2"/>
  <c r="AA435" i="2"/>
  <c r="AA431" i="2"/>
  <c r="AA428" i="2"/>
  <c r="AA419" i="2"/>
  <c r="AA411" i="2"/>
  <c r="AA403" i="2"/>
  <c r="AA457" i="2"/>
  <c r="AA442" i="2"/>
  <c r="AA424" i="2"/>
  <c r="AA416" i="2"/>
  <c r="AA408" i="2"/>
  <c r="AA453" i="2"/>
  <c r="AA449" i="2"/>
  <c r="AA445" i="2"/>
  <c r="AA438" i="2"/>
  <c r="AA434" i="2"/>
  <c r="AA430" i="2"/>
  <c r="AA427" i="2"/>
  <c r="AA421" i="2"/>
  <c r="AA413" i="2"/>
  <c r="AA405" i="2"/>
  <c r="AA456" i="2"/>
  <c r="AA452" i="2"/>
  <c r="AA448" i="2"/>
  <c r="AA441" i="2"/>
  <c r="AA437" i="2"/>
  <c r="AA433" i="2"/>
  <c r="AA429" i="2"/>
  <c r="AA426" i="2"/>
  <c r="AA423" i="2"/>
  <c r="AA415" i="2"/>
  <c r="AA407" i="2"/>
  <c r="AA459" i="2"/>
  <c r="AA444" i="2"/>
  <c r="AA420" i="2"/>
  <c r="AA412" i="2"/>
  <c r="AA404" i="2"/>
  <c r="AA447" i="2"/>
  <c r="AA406" i="2"/>
  <c r="AA396" i="2"/>
  <c r="AA388" i="2"/>
  <c r="AA380" i="2"/>
  <c r="AA372" i="2"/>
  <c r="AA364" i="2"/>
  <c r="AA356" i="2"/>
  <c r="AA348" i="2"/>
  <c r="AA340" i="2"/>
  <c r="AA436" i="2"/>
  <c r="AA401" i="2"/>
  <c r="AA393" i="2"/>
  <c r="AA385" i="2"/>
  <c r="AA377" i="2"/>
  <c r="AA369" i="2"/>
  <c r="AA361" i="2"/>
  <c r="AA353" i="2"/>
  <c r="AA345" i="2"/>
  <c r="AA425" i="2"/>
  <c r="AA418" i="2"/>
  <c r="AA398" i="2"/>
  <c r="AA390" i="2"/>
  <c r="AA382" i="2"/>
  <c r="AA374" i="2"/>
  <c r="AA366" i="2"/>
  <c r="AA358" i="2"/>
  <c r="AA350" i="2"/>
  <c r="AA342" i="2"/>
  <c r="AA417" i="2"/>
  <c r="AA410" i="2"/>
  <c r="AA395" i="2"/>
  <c r="AA387" i="2"/>
  <c r="AA379" i="2"/>
  <c r="AA371" i="2"/>
  <c r="AA363" i="2"/>
  <c r="AA355" i="2"/>
  <c r="AA347" i="2"/>
  <c r="AA443" i="2"/>
  <c r="AA432" i="2"/>
  <c r="AA409" i="2"/>
  <c r="AA400" i="2"/>
  <c r="AA392" i="2"/>
  <c r="AA384" i="2"/>
  <c r="AA376" i="2"/>
  <c r="AA368" i="2"/>
  <c r="AA360" i="2"/>
  <c r="AA352" i="2"/>
  <c r="AA344" i="2"/>
  <c r="AA339" i="2"/>
  <c r="AA338" i="2"/>
  <c r="AA337" i="2"/>
  <c r="AA336" i="2"/>
  <c r="AA335" i="2"/>
  <c r="AA334" i="2"/>
  <c r="AA333" i="2"/>
  <c r="AA332" i="2"/>
  <c r="AA331" i="2"/>
  <c r="AA330" i="2"/>
  <c r="AA329" i="2"/>
  <c r="AA328" i="2"/>
  <c r="AA327" i="2"/>
  <c r="AA326" i="2"/>
  <c r="AA325" i="2"/>
  <c r="AA324" i="2"/>
  <c r="AA323" i="2"/>
  <c r="AA322" i="2"/>
  <c r="AA321" i="2"/>
  <c r="AA320" i="2"/>
  <c r="AA319" i="2"/>
  <c r="AA318" i="2"/>
  <c r="AA317" i="2"/>
  <c r="AA316" i="2"/>
  <c r="AA315" i="2"/>
  <c r="AA314" i="2"/>
  <c r="AA313" i="2"/>
  <c r="AA312" i="2"/>
  <c r="AA311" i="2"/>
  <c r="AA310" i="2"/>
  <c r="AA309" i="2"/>
  <c r="AA308" i="2"/>
  <c r="AA307" i="2"/>
  <c r="AA306" i="2"/>
  <c r="AA305" i="2"/>
  <c r="AA304" i="2"/>
  <c r="AA303" i="2"/>
  <c r="AA302" i="2"/>
  <c r="AA301" i="2"/>
  <c r="AA300" i="2"/>
  <c r="AA299" i="2"/>
  <c r="AA298" i="2"/>
  <c r="AA297" i="2"/>
  <c r="AA296" i="2"/>
  <c r="AA295" i="2"/>
  <c r="AA294" i="2"/>
  <c r="AA293" i="2"/>
  <c r="AA292" i="2"/>
  <c r="AA291" i="2"/>
  <c r="AA290" i="2"/>
  <c r="AA289" i="2"/>
  <c r="AA288" i="2"/>
  <c r="AA287" i="2"/>
  <c r="AA286" i="2"/>
  <c r="AA285" i="2"/>
  <c r="AA397" i="2"/>
  <c r="AA389" i="2"/>
  <c r="AA381" i="2"/>
  <c r="AA373" i="2"/>
  <c r="AA365" i="2"/>
  <c r="AA357" i="2"/>
  <c r="AA349" i="2"/>
  <c r="AA341" i="2"/>
  <c r="AA455" i="2"/>
  <c r="AA440" i="2"/>
  <c r="AA422" i="2"/>
  <c r="AA402" i="2"/>
  <c r="AA394" i="2"/>
  <c r="AA386" i="2"/>
  <c r="AA378" i="2"/>
  <c r="AA370" i="2"/>
  <c r="AA362" i="2"/>
  <c r="AA354" i="2"/>
  <c r="AA346" i="2"/>
  <c r="AA367" i="2"/>
  <c r="AA284" i="2"/>
  <c r="AA283" i="2"/>
  <c r="AA282" i="2"/>
  <c r="AA281" i="2"/>
  <c r="AA280" i="2"/>
  <c r="AA279" i="2"/>
  <c r="AA278" i="2"/>
  <c r="AA277" i="2"/>
  <c r="AA276" i="2"/>
  <c r="AA275" i="2"/>
  <c r="AA274" i="2"/>
  <c r="AA273" i="2"/>
  <c r="AA272" i="2"/>
  <c r="AA271" i="2"/>
  <c r="AA270" i="2"/>
  <c r="AA269" i="2"/>
  <c r="AA268" i="2"/>
  <c r="AA267" i="2"/>
  <c r="AA266" i="2"/>
  <c r="AA265" i="2"/>
  <c r="AA264" i="2"/>
  <c r="AA263" i="2"/>
  <c r="AA262" i="2"/>
  <c r="AA261" i="2"/>
  <c r="AA260" i="2"/>
  <c r="AA259" i="2"/>
  <c r="AA258" i="2"/>
  <c r="AA257" i="2"/>
  <c r="AA256" i="2"/>
  <c r="AA255" i="2"/>
  <c r="AA254" i="2"/>
  <c r="AA253" i="2"/>
  <c r="AA252" i="2"/>
  <c r="AA251" i="2"/>
  <c r="AA250" i="2"/>
  <c r="AA249" i="2"/>
  <c r="AA248" i="2"/>
  <c r="AA247" i="2"/>
  <c r="AA246" i="2"/>
  <c r="AA245" i="2"/>
  <c r="AA244" i="2"/>
  <c r="AA243" i="2"/>
  <c r="AA242" i="2"/>
  <c r="AA241" i="2"/>
  <c r="AA240" i="2"/>
  <c r="AA239" i="2"/>
  <c r="AA238" i="2"/>
  <c r="AA237" i="2"/>
  <c r="AA236" i="2"/>
  <c r="AA235" i="2"/>
  <c r="AA234" i="2"/>
  <c r="AA233" i="2"/>
  <c r="AA232" i="2"/>
  <c r="AA231" i="2"/>
  <c r="AA230" i="2"/>
  <c r="AA229" i="2"/>
  <c r="AA228" i="2"/>
  <c r="AA227" i="2"/>
  <c r="AA226" i="2"/>
  <c r="AA225" i="2"/>
  <c r="AA224" i="2"/>
  <c r="AA223" i="2"/>
  <c r="AA222" i="2"/>
  <c r="AA221" i="2"/>
  <c r="AA220" i="2"/>
  <c r="AA219" i="2"/>
  <c r="AA218" i="2"/>
  <c r="AA217" i="2"/>
  <c r="AA216" i="2"/>
  <c r="AA215" i="2"/>
  <c r="AA214" i="2"/>
  <c r="AA414" i="2"/>
  <c r="AA343" i="2"/>
  <c r="AA451" i="2"/>
  <c r="AA383" i="2"/>
  <c r="AA359" i="2"/>
  <c r="AA399" i="2"/>
  <c r="AA375" i="2"/>
  <c r="AA351" i="2"/>
  <c r="AA211" i="2"/>
  <c r="AA207" i="2"/>
  <c r="AA203" i="2"/>
  <c r="AA195" i="2"/>
  <c r="AA187" i="2"/>
  <c r="AA179" i="2"/>
  <c r="AA171" i="2"/>
  <c r="AA163" i="2"/>
  <c r="AA161" i="2"/>
  <c r="AA159" i="2"/>
  <c r="AA157" i="2"/>
  <c r="AA200" i="2"/>
  <c r="AA192" i="2"/>
  <c r="AA184" i="2"/>
  <c r="AA176" i="2"/>
  <c r="AA168" i="2"/>
  <c r="AA210" i="2"/>
  <c r="AA206" i="2"/>
  <c r="AA197" i="2"/>
  <c r="AA189" i="2"/>
  <c r="AA181" i="2"/>
  <c r="AA173" i="2"/>
  <c r="AA165" i="2"/>
  <c r="AA202" i="2"/>
  <c r="AA194" i="2"/>
  <c r="AA186" i="2"/>
  <c r="AA178" i="2"/>
  <c r="AA170" i="2"/>
  <c r="AA155" i="2"/>
  <c r="AA154" i="2"/>
  <c r="AA153" i="2"/>
  <c r="AA152" i="2"/>
  <c r="AA151" i="2"/>
  <c r="AA150" i="2"/>
  <c r="AA149" i="2"/>
  <c r="AA148" i="2"/>
  <c r="AA147" i="2"/>
  <c r="AA146" i="2"/>
  <c r="AA145" i="2"/>
  <c r="AA144" i="2"/>
  <c r="AA143" i="2"/>
  <c r="AA142" i="2"/>
  <c r="AA141" i="2"/>
  <c r="AA140" i="2"/>
  <c r="AA139" i="2"/>
  <c r="AA138" i="2"/>
  <c r="AA137" i="2"/>
  <c r="AA136" i="2"/>
  <c r="AA135" i="2"/>
  <c r="AA134" i="2"/>
  <c r="AA133" i="2"/>
  <c r="AA132" i="2"/>
  <c r="AA131" i="2"/>
  <c r="AA130" i="2"/>
  <c r="AA129" i="2"/>
  <c r="AA128" i="2"/>
  <c r="AA127" i="2"/>
  <c r="AA126" i="2"/>
  <c r="AA125" i="2"/>
  <c r="AA124" i="2"/>
  <c r="AA123" i="2"/>
  <c r="AA122" i="2"/>
  <c r="AA121" i="2"/>
  <c r="AA120" i="2"/>
  <c r="AA119" i="2"/>
  <c r="AA118" i="2"/>
  <c r="AA117" i="2"/>
  <c r="AA116" i="2"/>
  <c r="AA115" i="2"/>
  <c r="AA114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213" i="2"/>
  <c r="AA209" i="2"/>
  <c r="AA205" i="2"/>
  <c r="AA199" i="2"/>
  <c r="AA191" i="2"/>
  <c r="AA183" i="2"/>
  <c r="AA175" i="2"/>
  <c r="AA167" i="2"/>
  <c r="AA162" i="2"/>
  <c r="AA160" i="2"/>
  <c r="AA158" i="2"/>
  <c r="AA156" i="2"/>
  <c r="AA196" i="2"/>
  <c r="AA188" i="2"/>
  <c r="AA180" i="2"/>
  <c r="AA172" i="2"/>
  <c r="AA164" i="2"/>
  <c r="AA391" i="2"/>
  <c r="AA212" i="2"/>
  <c r="AA208" i="2"/>
  <c r="AA204" i="2"/>
  <c r="AA201" i="2"/>
  <c r="AA193" i="2"/>
  <c r="AA185" i="2"/>
  <c r="AA177" i="2"/>
  <c r="AA169" i="2"/>
  <c r="AA19" i="2"/>
  <c r="AA182" i="2"/>
  <c r="AA15" i="2"/>
  <c r="AA9" i="2"/>
  <c r="AA174" i="2"/>
  <c r="AA14" i="2"/>
  <c r="AA8" i="2"/>
  <c r="AA198" i="2"/>
  <c r="AB8" i="2"/>
  <c r="AA16" i="2"/>
  <c r="AA12" i="2"/>
  <c r="AA17" i="2"/>
  <c r="AA11" i="2"/>
  <c r="AA190" i="2"/>
  <c r="AA166" i="2"/>
  <c r="AA18" i="2"/>
  <c r="AA13" i="2"/>
  <c r="AA10" i="2"/>
  <c r="AN20" i="2"/>
  <c r="AM20" i="2"/>
  <c r="AN43" i="2"/>
  <c r="AM43" i="2"/>
  <c r="AN52" i="2"/>
  <c r="AM52" i="2"/>
  <c r="AN8" i="2"/>
  <c r="AM8" i="2"/>
  <c r="AN14" i="2"/>
  <c r="AM14" i="2"/>
  <c r="AN22" i="2"/>
  <c r="AM22" i="2"/>
  <c r="AN28" i="2"/>
  <c r="AM28" i="2"/>
  <c r="AN34" i="2"/>
  <c r="AM34" i="2"/>
  <c r="AN45" i="2"/>
  <c r="AM45" i="2"/>
  <c r="AN48" i="2"/>
  <c r="AM48" i="2"/>
  <c r="AO55" i="2"/>
  <c r="AN55" i="2"/>
  <c r="AM55" i="2"/>
  <c r="AN58" i="2"/>
  <c r="AM58" i="2"/>
  <c r="AN61" i="2"/>
  <c r="AM61" i="2"/>
  <c r="AN64" i="2"/>
  <c r="AM64" i="2"/>
  <c r="AN70" i="2"/>
  <c r="AM70" i="2"/>
  <c r="AN73" i="2"/>
  <c r="AM73" i="2"/>
  <c r="AN84" i="2"/>
  <c r="AM84" i="2"/>
  <c r="AN93" i="2"/>
  <c r="AM93" i="2"/>
  <c r="AN104" i="2"/>
  <c r="AM104" i="2"/>
  <c r="AN107" i="2"/>
  <c r="AM107" i="2"/>
  <c r="AN110" i="2"/>
  <c r="AM110" i="2"/>
  <c r="AN17" i="2"/>
  <c r="AM17" i="2"/>
  <c r="AN40" i="2"/>
  <c r="AM40" i="2"/>
  <c r="AN11" i="2"/>
  <c r="AM11" i="2"/>
  <c r="AN19" i="2"/>
  <c r="AM19" i="2"/>
  <c r="AN25" i="2"/>
  <c r="AM25" i="2"/>
  <c r="AN31" i="2"/>
  <c r="AM31" i="2"/>
  <c r="AN42" i="2"/>
  <c r="AM42" i="2"/>
  <c r="AN51" i="2"/>
  <c r="AM51" i="2"/>
  <c r="AO58" i="2"/>
  <c r="AN81" i="2"/>
  <c r="AM81" i="2"/>
  <c r="AO87" i="2"/>
  <c r="AN87" i="2"/>
  <c r="AM87" i="2"/>
  <c r="AN90" i="2"/>
  <c r="AM90" i="2"/>
  <c r="AN101" i="2"/>
  <c r="AM101" i="2"/>
  <c r="AN32" i="2"/>
  <c r="AM32" i="2"/>
  <c r="AN16" i="2"/>
  <c r="AM16" i="2"/>
  <c r="AN36" i="2"/>
  <c r="AM36" i="2"/>
  <c r="AN39" i="2"/>
  <c r="AM39" i="2"/>
  <c r="AN47" i="2"/>
  <c r="AM47" i="2"/>
  <c r="AN54" i="2"/>
  <c r="AM54" i="2"/>
  <c r="AN60" i="2"/>
  <c r="AM60" i="2"/>
  <c r="AN66" i="2"/>
  <c r="AM66" i="2"/>
  <c r="AN69" i="2"/>
  <c r="AM69" i="2"/>
  <c r="AN75" i="2"/>
  <c r="AM75" i="2"/>
  <c r="AN78" i="2"/>
  <c r="AM78" i="2"/>
  <c r="AN95" i="2"/>
  <c r="AM95" i="2"/>
  <c r="AN98" i="2"/>
  <c r="AM98" i="2"/>
  <c r="AN49" i="2"/>
  <c r="AM49" i="2"/>
  <c r="AN82" i="2"/>
  <c r="AM82" i="2"/>
  <c r="AN10" i="2"/>
  <c r="AM10" i="2"/>
  <c r="AN13" i="2"/>
  <c r="AM13" i="2"/>
  <c r="AN21" i="2"/>
  <c r="AM21" i="2"/>
  <c r="AN24" i="2"/>
  <c r="AM24" i="2"/>
  <c r="AN27" i="2"/>
  <c r="AM27" i="2"/>
  <c r="AN30" i="2"/>
  <c r="AM30" i="2"/>
  <c r="AN33" i="2"/>
  <c r="AM33" i="2"/>
  <c r="AN44" i="2"/>
  <c r="AM44" i="2"/>
  <c r="AN50" i="2"/>
  <c r="AM50" i="2"/>
  <c r="AN57" i="2"/>
  <c r="AM57" i="2"/>
  <c r="AN63" i="2"/>
  <c r="AM63" i="2"/>
  <c r="AO66" i="2"/>
  <c r="AN72" i="2"/>
  <c r="AM72" i="2"/>
  <c r="AN83" i="2"/>
  <c r="AM83" i="2"/>
  <c r="AN86" i="2"/>
  <c r="AM86" i="2"/>
  <c r="AN92" i="2"/>
  <c r="AM92" i="2"/>
  <c r="AN103" i="2"/>
  <c r="AM103" i="2"/>
  <c r="AN106" i="2"/>
  <c r="AM106" i="2"/>
  <c r="AN109" i="2"/>
  <c r="AM109" i="2"/>
  <c r="AN12" i="2"/>
  <c r="AM12" i="2"/>
  <c r="AN18" i="2"/>
  <c r="AM18" i="2"/>
  <c r="AN38" i="2"/>
  <c r="AM38" i="2"/>
  <c r="AN41" i="2"/>
  <c r="AM41" i="2"/>
  <c r="AN53" i="2"/>
  <c r="AM53" i="2"/>
  <c r="AN68" i="2"/>
  <c r="AM68" i="2"/>
  <c r="AN77" i="2"/>
  <c r="AM77" i="2"/>
  <c r="AN80" i="2"/>
  <c r="AM80" i="2"/>
  <c r="AO89" i="2"/>
  <c r="AN89" i="2"/>
  <c r="AM89" i="2"/>
  <c r="AN100" i="2"/>
  <c r="AM100" i="2"/>
  <c r="AN26" i="2"/>
  <c r="AM26" i="2"/>
  <c r="AL6" i="2"/>
  <c r="AK6" i="2"/>
  <c r="AQ6" i="2"/>
  <c r="AP6" i="2"/>
  <c r="AN9" i="2"/>
  <c r="AM9" i="2"/>
  <c r="AN15" i="2"/>
  <c r="AM15" i="2"/>
  <c r="AO18" i="2"/>
  <c r="AO23" i="2"/>
  <c r="AN23" i="2"/>
  <c r="AM23" i="2"/>
  <c r="AN29" i="2"/>
  <c r="AM29" i="2"/>
  <c r="AN35" i="2"/>
  <c r="AM35" i="2"/>
  <c r="AN46" i="2"/>
  <c r="AM46" i="2"/>
  <c r="AN56" i="2"/>
  <c r="AM56" i="2"/>
  <c r="AN59" i="2"/>
  <c r="AM59" i="2"/>
  <c r="AN62" i="2"/>
  <c r="AM62" i="2"/>
  <c r="AN65" i="2"/>
  <c r="AM65" i="2"/>
  <c r="AN74" i="2"/>
  <c r="AM74" i="2"/>
  <c r="AN85" i="2"/>
  <c r="AM85" i="2"/>
  <c r="AN94" i="2"/>
  <c r="AM94" i="2"/>
  <c r="AN97" i="2"/>
  <c r="AM97" i="2"/>
  <c r="AN105" i="2"/>
  <c r="AM105" i="2"/>
  <c r="AN111" i="2"/>
  <c r="AM111" i="2"/>
  <c r="AR6" i="2"/>
  <c r="AO71" i="2"/>
  <c r="AN71" i="2"/>
  <c r="AM71" i="2"/>
  <c r="AN88" i="2"/>
  <c r="AM88" i="2"/>
  <c r="AN91" i="2"/>
  <c r="AM91" i="2"/>
  <c r="AN102" i="2"/>
  <c r="AM102" i="2"/>
  <c r="AN108" i="2"/>
  <c r="AM108" i="2"/>
  <c r="L59" i="5"/>
  <c r="AN37" i="2"/>
  <c r="AM37" i="2"/>
  <c r="AO49" i="2"/>
  <c r="AN67" i="2"/>
  <c r="AM67" i="2"/>
  <c r="AN76" i="2"/>
  <c r="AM76" i="2"/>
  <c r="AN79" i="2"/>
  <c r="AM79" i="2"/>
  <c r="AN96" i="2"/>
  <c r="AM96" i="2"/>
  <c r="AN99" i="2"/>
  <c r="AM99" i="2"/>
  <c r="AO102" i="2"/>
  <c r="AO108" i="2"/>
  <c r="I67" i="5"/>
  <c r="L58" i="5"/>
  <c r="H28" i="24"/>
  <c r="H32" i="24" s="1"/>
  <c r="N26" i="24"/>
  <c r="P26" i="24" s="1"/>
  <c r="AO15" i="2"/>
  <c r="AO31" i="2"/>
  <c r="AO62" i="2"/>
  <c r="AO90" i="2"/>
  <c r="AO99" i="2"/>
  <c r="AO22" i="2"/>
  <c r="AO51" i="2"/>
  <c r="AO52" i="2"/>
  <c r="AO70" i="2"/>
  <c r="AO78" i="2"/>
  <c r="AO86" i="2"/>
  <c r="AO88" i="2"/>
  <c r="AO38" i="2"/>
  <c r="AO50" i="2"/>
  <c r="AO96" i="2"/>
  <c r="AO105" i="2"/>
  <c r="AO48" i="2"/>
  <c r="AO76" i="2"/>
  <c r="AO84" i="2"/>
  <c r="AO104" i="2"/>
  <c r="AO35" i="2"/>
  <c r="AO57" i="2"/>
  <c r="AO74" i="2"/>
  <c r="AO110" i="2"/>
  <c r="AO17" i="2"/>
  <c r="AO26" i="2"/>
  <c r="AO34" i="2"/>
  <c r="AO43" i="2"/>
  <c r="AO63" i="2"/>
  <c r="AO65" i="2"/>
  <c r="AO73" i="2"/>
  <c r="AO81" i="2"/>
  <c r="AO92" i="2"/>
  <c r="AO14" i="2"/>
  <c r="AO16" i="2"/>
  <c r="AO39" i="2"/>
  <c r="AO42" i="2"/>
  <c r="AO56" i="2"/>
  <c r="AO79" i="2"/>
  <c r="AO82" i="2"/>
  <c r="AO94" i="2"/>
  <c r="AO107" i="2"/>
  <c r="AO27" i="2"/>
  <c r="AO28" i="2"/>
  <c r="AO40" i="2"/>
  <c r="AO54" i="2"/>
  <c r="AO67" i="2"/>
  <c r="AO68" i="2"/>
  <c r="AO80" i="2"/>
  <c r="AO93" i="2"/>
  <c r="AO106" i="2"/>
  <c r="AO103" i="2"/>
  <c r="AO24" i="2"/>
  <c r="AO64" i="2"/>
  <c r="AO91" i="2"/>
  <c r="AO101" i="2"/>
  <c r="AO95" i="2"/>
  <c r="AO19" i="2"/>
  <c r="AO20" i="2"/>
  <c r="AO32" i="2"/>
  <c r="AO46" i="2"/>
  <c r="AO59" i="2"/>
  <c r="AO60" i="2"/>
  <c r="AO72" i="2"/>
  <c r="AO98" i="2"/>
  <c r="AO109" i="2"/>
  <c r="AO100" i="2"/>
  <c r="AO21" i="2"/>
  <c r="AO29" i="2"/>
  <c r="AO37" i="2"/>
  <c r="AO53" i="2"/>
  <c r="AO61" i="2"/>
  <c r="AO69" i="2"/>
  <c r="AO77" i="2"/>
  <c r="AO85" i="2"/>
  <c r="V461" i="2"/>
  <c r="W461" i="2"/>
  <c r="X461" i="2"/>
  <c r="AE461" i="2"/>
  <c r="V462" i="2"/>
  <c r="W462" i="2"/>
  <c r="X462" i="2"/>
  <c r="AE462" i="2"/>
  <c r="V463" i="2"/>
  <c r="W463" i="2"/>
  <c r="X463" i="2"/>
  <c r="AE463" i="2"/>
  <c r="V464" i="2"/>
  <c r="W464" i="2"/>
  <c r="X464" i="2"/>
  <c r="AE464" i="2"/>
  <c r="V465" i="2"/>
  <c r="W465" i="2"/>
  <c r="X465" i="2"/>
  <c r="AE465" i="2"/>
  <c r="V466" i="2"/>
  <c r="W466" i="2"/>
  <c r="X466" i="2"/>
  <c r="AE466" i="2"/>
  <c r="V467" i="2"/>
  <c r="W467" i="2"/>
  <c r="X467" i="2"/>
  <c r="AE467" i="2"/>
  <c r="V468" i="2"/>
  <c r="W468" i="2"/>
  <c r="X468" i="2"/>
  <c r="AE468" i="2"/>
  <c r="V469" i="2"/>
  <c r="W469" i="2"/>
  <c r="X469" i="2"/>
  <c r="AE469" i="2"/>
  <c r="V470" i="2"/>
  <c r="W470" i="2"/>
  <c r="X470" i="2"/>
  <c r="AE470" i="2"/>
  <c r="V471" i="2"/>
  <c r="W471" i="2"/>
  <c r="X471" i="2"/>
  <c r="Y471" i="2"/>
  <c r="AE471" i="2"/>
  <c r="V472" i="2"/>
  <c r="W472" i="2"/>
  <c r="X472" i="2"/>
  <c r="AE472" i="2"/>
  <c r="V473" i="2"/>
  <c r="W473" i="2"/>
  <c r="X473" i="2"/>
  <c r="AE473" i="2"/>
  <c r="V474" i="2"/>
  <c r="W474" i="2"/>
  <c r="X474" i="2"/>
  <c r="AE474" i="2"/>
  <c r="V475" i="2"/>
  <c r="W475" i="2"/>
  <c r="X475" i="2"/>
  <c r="AE475" i="2"/>
  <c r="V476" i="2"/>
  <c r="W476" i="2"/>
  <c r="X476" i="2"/>
  <c r="AE476" i="2"/>
  <c r="V477" i="2"/>
  <c r="W477" i="2"/>
  <c r="X477" i="2"/>
  <c r="AE477" i="2"/>
  <c r="V478" i="2"/>
  <c r="W478" i="2"/>
  <c r="X478" i="2"/>
  <c r="AE478" i="2"/>
  <c r="V479" i="2"/>
  <c r="W479" i="2"/>
  <c r="X479" i="2"/>
  <c r="AE479" i="2"/>
  <c r="V480" i="2"/>
  <c r="W480" i="2"/>
  <c r="X480" i="2"/>
  <c r="AE480" i="2"/>
  <c r="V481" i="2"/>
  <c r="W481" i="2"/>
  <c r="X481" i="2"/>
  <c r="AE481" i="2"/>
  <c r="V482" i="2"/>
  <c r="W482" i="2"/>
  <c r="X482" i="2"/>
  <c r="AE482" i="2"/>
  <c r="V483" i="2"/>
  <c r="W483" i="2"/>
  <c r="X483" i="2"/>
  <c r="AE483" i="2"/>
  <c r="V484" i="2"/>
  <c r="W484" i="2"/>
  <c r="X484" i="2"/>
  <c r="AE484" i="2"/>
  <c r="V485" i="2"/>
  <c r="W485" i="2"/>
  <c r="X485" i="2"/>
  <c r="AE485" i="2"/>
  <c r="V486" i="2"/>
  <c r="W486" i="2"/>
  <c r="X486" i="2"/>
  <c r="AE486" i="2"/>
  <c r="V487" i="2"/>
  <c r="W487" i="2"/>
  <c r="X487" i="2"/>
  <c r="Y487" i="2"/>
  <c r="AE487" i="2"/>
  <c r="V488" i="2"/>
  <c r="W488" i="2"/>
  <c r="X488" i="2"/>
  <c r="AE488" i="2"/>
  <c r="V9" i="2"/>
  <c r="W9" i="2"/>
  <c r="X9" i="2"/>
  <c r="Y9" i="2"/>
  <c r="AE9" i="2"/>
  <c r="V10" i="2"/>
  <c r="W10" i="2"/>
  <c r="X10" i="2"/>
  <c r="Y10" i="2"/>
  <c r="AE10" i="2"/>
  <c r="V11" i="2"/>
  <c r="W11" i="2"/>
  <c r="X11" i="2"/>
  <c r="Y11" i="2"/>
  <c r="AE11" i="2"/>
  <c r="V12" i="2"/>
  <c r="W12" i="2"/>
  <c r="X12" i="2"/>
  <c r="Y12" i="2"/>
  <c r="AE12" i="2"/>
  <c r="V13" i="2"/>
  <c r="W13" i="2"/>
  <c r="X13" i="2"/>
  <c r="AE13" i="2"/>
  <c r="V14" i="2"/>
  <c r="W14" i="2"/>
  <c r="X14" i="2"/>
  <c r="Y14" i="2"/>
  <c r="AE14" i="2"/>
  <c r="V15" i="2"/>
  <c r="W15" i="2"/>
  <c r="X15" i="2"/>
  <c r="Y15" i="2"/>
  <c r="AE15" i="2"/>
  <c r="V16" i="2"/>
  <c r="W16" i="2"/>
  <c r="X16" i="2"/>
  <c r="Y16" i="2"/>
  <c r="AE16" i="2"/>
  <c r="V17" i="2"/>
  <c r="W17" i="2"/>
  <c r="X17" i="2"/>
  <c r="Y17" i="2"/>
  <c r="AE17" i="2"/>
  <c r="V18" i="2"/>
  <c r="W18" i="2"/>
  <c r="X18" i="2"/>
  <c r="AE18" i="2"/>
  <c r="V19" i="2"/>
  <c r="W19" i="2"/>
  <c r="X19" i="2"/>
  <c r="AE19" i="2"/>
  <c r="V20" i="2"/>
  <c r="W20" i="2"/>
  <c r="X20" i="2"/>
  <c r="AE20" i="2"/>
  <c r="V21" i="2"/>
  <c r="W21" i="2"/>
  <c r="X21" i="2"/>
  <c r="AE21" i="2"/>
  <c r="W22" i="2"/>
  <c r="X22" i="2"/>
  <c r="AE22" i="2"/>
  <c r="V23" i="2"/>
  <c r="W23" i="2"/>
  <c r="X23" i="2"/>
  <c r="AE23" i="2"/>
  <c r="V24" i="2"/>
  <c r="W24" i="2"/>
  <c r="X24" i="2"/>
  <c r="AE24" i="2"/>
  <c r="V25" i="2"/>
  <c r="W25" i="2"/>
  <c r="X25" i="2"/>
  <c r="AE25" i="2"/>
  <c r="V26" i="2"/>
  <c r="W26" i="2"/>
  <c r="X26" i="2"/>
  <c r="AE26" i="2"/>
  <c r="V27" i="2"/>
  <c r="W27" i="2"/>
  <c r="X27" i="2"/>
  <c r="AE27" i="2"/>
  <c r="V28" i="2"/>
  <c r="W28" i="2"/>
  <c r="X28" i="2"/>
  <c r="Y28" i="2"/>
  <c r="AE28" i="2"/>
  <c r="V29" i="2"/>
  <c r="W29" i="2"/>
  <c r="X29" i="2"/>
  <c r="Y29" i="2"/>
  <c r="AE29" i="2"/>
  <c r="V30" i="2"/>
  <c r="W30" i="2"/>
  <c r="X30" i="2"/>
  <c r="Y30" i="2"/>
  <c r="AE30" i="2"/>
  <c r="V31" i="2"/>
  <c r="W31" i="2"/>
  <c r="X31" i="2"/>
  <c r="Y31" i="2"/>
  <c r="AE31" i="2"/>
  <c r="V32" i="2"/>
  <c r="W32" i="2"/>
  <c r="X32" i="2"/>
  <c r="Y32" i="2"/>
  <c r="AE32" i="2"/>
  <c r="V33" i="2"/>
  <c r="W33" i="2"/>
  <c r="X33" i="2"/>
  <c r="AE33" i="2"/>
  <c r="V34" i="2"/>
  <c r="W34" i="2"/>
  <c r="X34" i="2"/>
  <c r="AE34" i="2"/>
  <c r="V35" i="2"/>
  <c r="W35" i="2"/>
  <c r="X35" i="2"/>
  <c r="Y35" i="2"/>
  <c r="AE35" i="2"/>
  <c r="V36" i="2"/>
  <c r="W36" i="2"/>
  <c r="X36" i="2"/>
  <c r="Y36" i="2"/>
  <c r="AE36" i="2"/>
  <c r="V37" i="2"/>
  <c r="W37" i="2"/>
  <c r="X37" i="2"/>
  <c r="AE37" i="2"/>
  <c r="V38" i="2"/>
  <c r="W38" i="2"/>
  <c r="X38" i="2"/>
  <c r="AE38" i="2"/>
  <c r="V39" i="2"/>
  <c r="W39" i="2"/>
  <c r="X39" i="2"/>
  <c r="AE39" i="2"/>
  <c r="V40" i="2"/>
  <c r="W40" i="2"/>
  <c r="X40" i="2"/>
  <c r="AE40" i="2"/>
  <c r="V41" i="2"/>
  <c r="W41" i="2"/>
  <c r="X41" i="2"/>
  <c r="AE41" i="2"/>
  <c r="V42" i="2"/>
  <c r="W42" i="2"/>
  <c r="X42" i="2"/>
  <c r="AE42" i="2"/>
  <c r="V43" i="2"/>
  <c r="W43" i="2"/>
  <c r="X43" i="2"/>
  <c r="AE43" i="2"/>
  <c r="V44" i="2"/>
  <c r="W44" i="2"/>
  <c r="X44" i="2"/>
  <c r="AE44" i="2"/>
  <c r="V45" i="2"/>
  <c r="W45" i="2"/>
  <c r="X45" i="2"/>
  <c r="AE45" i="2"/>
  <c r="V46" i="2"/>
  <c r="W46" i="2"/>
  <c r="X46" i="2"/>
  <c r="AE46" i="2"/>
  <c r="V47" i="2"/>
  <c r="W47" i="2"/>
  <c r="X47" i="2"/>
  <c r="AE47" i="2"/>
  <c r="V48" i="2"/>
  <c r="W48" i="2"/>
  <c r="X48" i="2"/>
  <c r="AE48" i="2"/>
  <c r="V49" i="2"/>
  <c r="W49" i="2"/>
  <c r="X49" i="2"/>
  <c r="AE49" i="2"/>
  <c r="V50" i="2"/>
  <c r="W50" i="2"/>
  <c r="X50" i="2"/>
  <c r="AE50" i="2"/>
  <c r="V51" i="2"/>
  <c r="W51" i="2"/>
  <c r="X51" i="2"/>
  <c r="AE51" i="2"/>
  <c r="V52" i="2"/>
  <c r="W52" i="2"/>
  <c r="X52" i="2"/>
  <c r="AE52" i="2"/>
  <c r="V53" i="2"/>
  <c r="W53" i="2"/>
  <c r="X53" i="2"/>
  <c r="AE53" i="2"/>
  <c r="V54" i="2"/>
  <c r="W54" i="2"/>
  <c r="X54" i="2"/>
  <c r="AE54" i="2"/>
  <c r="V55" i="2"/>
  <c r="W55" i="2"/>
  <c r="X55" i="2"/>
  <c r="AE55" i="2"/>
  <c r="V56" i="2"/>
  <c r="W56" i="2"/>
  <c r="X56" i="2"/>
  <c r="AE56" i="2"/>
  <c r="V57" i="2"/>
  <c r="W57" i="2"/>
  <c r="X57" i="2"/>
  <c r="AE57" i="2"/>
  <c r="V58" i="2"/>
  <c r="W58" i="2"/>
  <c r="X58" i="2"/>
  <c r="AE58" i="2"/>
  <c r="V59" i="2"/>
  <c r="W59" i="2"/>
  <c r="X59" i="2"/>
  <c r="AE59" i="2"/>
  <c r="V60" i="2"/>
  <c r="W60" i="2"/>
  <c r="X60" i="2"/>
  <c r="AE60" i="2"/>
  <c r="V61" i="2"/>
  <c r="W61" i="2"/>
  <c r="X61" i="2"/>
  <c r="AE61" i="2"/>
  <c r="V62" i="2"/>
  <c r="W62" i="2"/>
  <c r="X62" i="2"/>
  <c r="AE62" i="2"/>
  <c r="V63" i="2"/>
  <c r="W63" i="2"/>
  <c r="X63" i="2"/>
  <c r="AE63" i="2"/>
  <c r="V64" i="2"/>
  <c r="W64" i="2"/>
  <c r="X64" i="2"/>
  <c r="AE64" i="2"/>
  <c r="V65" i="2"/>
  <c r="W65" i="2"/>
  <c r="X65" i="2"/>
  <c r="AE65" i="2"/>
  <c r="V66" i="2"/>
  <c r="W66" i="2"/>
  <c r="X66" i="2"/>
  <c r="AE66" i="2"/>
  <c r="V67" i="2"/>
  <c r="W67" i="2"/>
  <c r="X67" i="2"/>
  <c r="AE67" i="2"/>
  <c r="V68" i="2"/>
  <c r="W68" i="2"/>
  <c r="X68" i="2"/>
  <c r="AE68" i="2"/>
  <c r="V69" i="2"/>
  <c r="W69" i="2"/>
  <c r="X69" i="2"/>
  <c r="AE69" i="2"/>
  <c r="V70" i="2"/>
  <c r="W70" i="2"/>
  <c r="X70" i="2"/>
  <c r="AE70" i="2"/>
  <c r="V71" i="2"/>
  <c r="W71" i="2"/>
  <c r="X71" i="2"/>
  <c r="AE71" i="2"/>
  <c r="V72" i="2"/>
  <c r="W72" i="2"/>
  <c r="X72" i="2"/>
  <c r="AE72" i="2"/>
  <c r="V73" i="2"/>
  <c r="W73" i="2"/>
  <c r="X73" i="2"/>
  <c r="AE73" i="2"/>
  <c r="V74" i="2"/>
  <c r="W74" i="2"/>
  <c r="X74" i="2"/>
  <c r="AE74" i="2"/>
  <c r="V75" i="2"/>
  <c r="W75" i="2"/>
  <c r="X75" i="2"/>
  <c r="AE75" i="2"/>
  <c r="V76" i="2"/>
  <c r="W76" i="2"/>
  <c r="X76" i="2"/>
  <c r="AE76" i="2"/>
  <c r="V77" i="2"/>
  <c r="W77" i="2"/>
  <c r="X77" i="2"/>
  <c r="AE77" i="2"/>
  <c r="V78" i="2"/>
  <c r="W78" i="2"/>
  <c r="X78" i="2"/>
  <c r="AE78" i="2"/>
  <c r="V79" i="2"/>
  <c r="W79" i="2"/>
  <c r="X79" i="2"/>
  <c r="AE79" i="2"/>
  <c r="V80" i="2"/>
  <c r="W80" i="2"/>
  <c r="X80" i="2"/>
  <c r="AE80" i="2"/>
  <c r="V81" i="2"/>
  <c r="W81" i="2"/>
  <c r="X81" i="2"/>
  <c r="AE81" i="2"/>
  <c r="V82" i="2"/>
  <c r="W82" i="2"/>
  <c r="X82" i="2"/>
  <c r="AE82" i="2"/>
  <c r="V83" i="2"/>
  <c r="W83" i="2"/>
  <c r="X83" i="2"/>
  <c r="AE83" i="2"/>
  <c r="V84" i="2"/>
  <c r="W84" i="2"/>
  <c r="X84" i="2"/>
  <c r="AE84" i="2"/>
  <c r="V85" i="2"/>
  <c r="W85" i="2"/>
  <c r="X85" i="2"/>
  <c r="AE85" i="2"/>
  <c r="V86" i="2"/>
  <c r="W86" i="2"/>
  <c r="X86" i="2"/>
  <c r="AE86" i="2"/>
  <c r="V87" i="2"/>
  <c r="W87" i="2"/>
  <c r="X87" i="2"/>
  <c r="AE87" i="2"/>
  <c r="V88" i="2"/>
  <c r="W88" i="2"/>
  <c r="X88" i="2"/>
  <c r="AE88" i="2"/>
  <c r="V89" i="2"/>
  <c r="W89" i="2"/>
  <c r="X89" i="2"/>
  <c r="AE89" i="2"/>
  <c r="V90" i="2"/>
  <c r="W90" i="2"/>
  <c r="X90" i="2"/>
  <c r="AE90" i="2"/>
  <c r="V91" i="2"/>
  <c r="W91" i="2"/>
  <c r="X91" i="2"/>
  <c r="AE91" i="2"/>
  <c r="V92" i="2"/>
  <c r="W92" i="2"/>
  <c r="X92" i="2"/>
  <c r="AE92" i="2"/>
  <c r="V93" i="2"/>
  <c r="W93" i="2"/>
  <c r="X93" i="2"/>
  <c r="AE93" i="2"/>
  <c r="V94" i="2"/>
  <c r="W94" i="2"/>
  <c r="X94" i="2"/>
  <c r="AE94" i="2"/>
  <c r="V95" i="2"/>
  <c r="W95" i="2"/>
  <c r="X95" i="2"/>
  <c r="AE95" i="2"/>
  <c r="V96" i="2"/>
  <c r="W96" i="2"/>
  <c r="X96" i="2"/>
  <c r="AE96" i="2"/>
  <c r="V97" i="2"/>
  <c r="W97" i="2"/>
  <c r="X97" i="2"/>
  <c r="AE97" i="2"/>
  <c r="V98" i="2"/>
  <c r="W98" i="2"/>
  <c r="X98" i="2"/>
  <c r="AE98" i="2"/>
  <c r="V99" i="2"/>
  <c r="W99" i="2"/>
  <c r="X99" i="2"/>
  <c r="AE99" i="2"/>
  <c r="V100" i="2"/>
  <c r="W100" i="2"/>
  <c r="X100" i="2"/>
  <c r="AE100" i="2"/>
  <c r="V101" i="2"/>
  <c r="W101" i="2"/>
  <c r="X101" i="2"/>
  <c r="AE101" i="2"/>
  <c r="V102" i="2"/>
  <c r="W102" i="2"/>
  <c r="X102" i="2"/>
  <c r="AE102" i="2"/>
  <c r="V103" i="2"/>
  <c r="W103" i="2"/>
  <c r="X103" i="2"/>
  <c r="AE103" i="2"/>
  <c r="V104" i="2"/>
  <c r="W104" i="2"/>
  <c r="X104" i="2"/>
  <c r="AE104" i="2"/>
  <c r="V105" i="2"/>
  <c r="W105" i="2"/>
  <c r="X105" i="2"/>
  <c r="AE105" i="2"/>
  <c r="V106" i="2"/>
  <c r="W106" i="2"/>
  <c r="X106" i="2"/>
  <c r="AE106" i="2"/>
  <c r="V107" i="2"/>
  <c r="W107" i="2"/>
  <c r="X107" i="2"/>
  <c r="AE107" i="2"/>
  <c r="V108" i="2"/>
  <c r="W108" i="2"/>
  <c r="X108" i="2"/>
  <c r="AE108" i="2"/>
  <c r="V109" i="2"/>
  <c r="W109" i="2"/>
  <c r="X109" i="2"/>
  <c r="AE109" i="2"/>
  <c r="V110" i="2"/>
  <c r="W110" i="2"/>
  <c r="X110" i="2"/>
  <c r="AE110" i="2"/>
  <c r="V111" i="2"/>
  <c r="W111" i="2"/>
  <c r="X111" i="2"/>
  <c r="AE111" i="2"/>
  <c r="V112" i="2"/>
  <c r="W112" i="2"/>
  <c r="X112" i="2"/>
  <c r="AE112" i="2"/>
  <c r="V113" i="2"/>
  <c r="W113" i="2"/>
  <c r="X113" i="2"/>
  <c r="AE113" i="2"/>
  <c r="V114" i="2"/>
  <c r="W114" i="2"/>
  <c r="X114" i="2"/>
  <c r="AE114" i="2"/>
  <c r="V115" i="2"/>
  <c r="W115" i="2"/>
  <c r="X115" i="2"/>
  <c r="AE115" i="2"/>
  <c r="V116" i="2"/>
  <c r="W116" i="2"/>
  <c r="X116" i="2"/>
  <c r="AE116" i="2"/>
  <c r="V117" i="2"/>
  <c r="W117" i="2"/>
  <c r="X117" i="2"/>
  <c r="AE117" i="2"/>
  <c r="V118" i="2"/>
  <c r="W118" i="2"/>
  <c r="X118" i="2"/>
  <c r="AE118" i="2"/>
  <c r="V119" i="2"/>
  <c r="W119" i="2"/>
  <c r="X119" i="2"/>
  <c r="AE119" i="2"/>
  <c r="V120" i="2"/>
  <c r="W120" i="2"/>
  <c r="X120" i="2"/>
  <c r="AE120" i="2"/>
  <c r="V121" i="2"/>
  <c r="W121" i="2"/>
  <c r="X121" i="2"/>
  <c r="AE121" i="2"/>
  <c r="V122" i="2"/>
  <c r="W122" i="2"/>
  <c r="X122" i="2"/>
  <c r="AE122" i="2"/>
  <c r="V123" i="2"/>
  <c r="W123" i="2"/>
  <c r="X123" i="2"/>
  <c r="AE123" i="2"/>
  <c r="V124" i="2"/>
  <c r="W124" i="2"/>
  <c r="X124" i="2"/>
  <c r="AE124" i="2"/>
  <c r="V125" i="2"/>
  <c r="W125" i="2"/>
  <c r="X125" i="2"/>
  <c r="AE125" i="2"/>
  <c r="V126" i="2"/>
  <c r="W126" i="2"/>
  <c r="X126" i="2"/>
  <c r="AE126" i="2"/>
  <c r="V127" i="2"/>
  <c r="W127" i="2"/>
  <c r="X127" i="2"/>
  <c r="AE127" i="2"/>
  <c r="V128" i="2"/>
  <c r="W128" i="2"/>
  <c r="X128" i="2"/>
  <c r="AE128" i="2"/>
  <c r="V129" i="2"/>
  <c r="W129" i="2"/>
  <c r="X129" i="2"/>
  <c r="AE129" i="2"/>
  <c r="V130" i="2"/>
  <c r="W130" i="2"/>
  <c r="X130" i="2"/>
  <c r="AE130" i="2"/>
  <c r="V131" i="2"/>
  <c r="W131" i="2"/>
  <c r="X131" i="2"/>
  <c r="AE131" i="2"/>
  <c r="V132" i="2"/>
  <c r="W132" i="2"/>
  <c r="X132" i="2"/>
  <c r="AE132" i="2"/>
  <c r="V133" i="2"/>
  <c r="W133" i="2"/>
  <c r="X133" i="2"/>
  <c r="AE133" i="2"/>
  <c r="V134" i="2"/>
  <c r="W134" i="2"/>
  <c r="X134" i="2"/>
  <c r="AE134" i="2"/>
  <c r="V135" i="2"/>
  <c r="W135" i="2"/>
  <c r="X135" i="2"/>
  <c r="AE135" i="2"/>
  <c r="V136" i="2"/>
  <c r="W136" i="2"/>
  <c r="X136" i="2"/>
  <c r="AE136" i="2"/>
  <c r="V137" i="2"/>
  <c r="W137" i="2"/>
  <c r="X137" i="2"/>
  <c r="AE137" i="2"/>
  <c r="V138" i="2"/>
  <c r="W138" i="2"/>
  <c r="X138" i="2"/>
  <c r="AE138" i="2"/>
  <c r="V139" i="2"/>
  <c r="W139" i="2"/>
  <c r="X139" i="2"/>
  <c r="AE139" i="2"/>
  <c r="V140" i="2"/>
  <c r="W140" i="2"/>
  <c r="X140" i="2"/>
  <c r="AE140" i="2"/>
  <c r="V141" i="2"/>
  <c r="W141" i="2"/>
  <c r="X141" i="2"/>
  <c r="AE141" i="2"/>
  <c r="V142" i="2"/>
  <c r="W142" i="2"/>
  <c r="X142" i="2"/>
  <c r="AE142" i="2"/>
  <c r="V143" i="2"/>
  <c r="W143" i="2"/>
  <c r="X143" i="2"/>
  <c r="AE143" i="2"/>
  <c r="V144" i="2"/>
  <c r="W144" i="2"/>
  <c r="X144" i="2"/>
  <c r="AE144" i="2"/>
  <c r="V145" i="2"/>
  <c r="W145" i="2"/>
  <c r="X145" i="2"/>
  <c r="AE145" i="2"/>
  <c r="V146" i="2"/>
  <c r="W146" i="2"/>
  <c r="X146" i="2"/>
  <c r="AE146" i="2"/>
  <c r="V147" i="2"/>
  <c r="W147" i="2"/>
  <c r="X147" i="2"/>
  <c r="AE147" i="2"/>
  <c r="V148" i="2"/>
  <c r="W148" i="2"/>
  <c r="X148" i="2"/>
  <c r="AE148" i="2"/>
  <c r="V149" i="2"/>
  <c r="W149" i="2"/>
  <c r="X149" i="2"/>
  <c r="Y149" i="2"/>
  <c r="AE149" i="2"/>
  <c r="V150" i="2"/>
  <c r="W150" i="2"/>
  <c r="X150" i="2"/>
  <c r="Y150" i="2"/>
  <c r="AE150" i="2"/>
  <c r="V151" i="2"/>
  <c r="W151" i="2"/>
  <c r="X151" i="2"/>
  <c r="Y151" i="2"/>
  <c r="AE151" i="2"/>
  <c r="V152" i="2"/>
  <c r="W152" i="2"/>
  <c r="X152" i="2"/>
  <c r="Y152" i="2"/>
  <c r="AE152" i="2"/>
  <c r="V153" i="2"/>
  <c r="W153" i="2"/>
  <c r="X153" i="2"/>
  <c r="AE153" i="2"/>
  <c r="V154" i="2"/>
  <c r="W154" i="2"/>
  <c r="X154" i="2"/>
  <c r="AE154" i="2"/>
  <c r="V155" i="2"/>
  <c r="W155" i="2"/>
  <c r="X155" i="2"/>
  <c r="AE155" i="2"/>
  <c r="V156" i="2"/>
  <c r="W156" i="2"/>
  <c r="X156" i="2"/>
  <c r="AE156" i="2"/>
  <c r="V157" i="2"/>
  <c r="W157" i="2"/>
  <c r="X157" i="2"/>
  <c r="AE157" i="2"/>
  <c r="V158" i="2"/>
  <c r="W158" i="2"/>
  <c r="X158" i="2"/>
  <c r="AE158" i="2"/>
  <c r="V159" i="2"/>
  <c r="W159" i="2"/>
  <c r="X159" i="2"/>
  <c r="AE159" i="2"/>
  <c r="V160" i="2"/>
  <c r="W160" i="2"/>
  <c r="X160" i="2"/>
  <c r="Y160" i="2"/>
  <c r="AE160" i="2"/>
  <c r="V161" i="2"/>
  <c r="W161" i="2"/>
  <c r="X161" i="2"/>
  <c r="AE161" i="2"/>
  <c r="V162" i="2"/>
  <c r="W162" i="2"/>
  <c r="X162" i="2"/>
  <c r="AE162" i="2"/>
  <c r="V163" i="2"/>
  <c r="W163" i="2"/>
  <c r="X163" i="2"/>
  <c r="AE163" i="2"/>
  <c r="V164" i="2"/>
  <c r="W164" i="2"/>
  <c r="X164" i="2"/>
  <c r="AE164" i="2"/>
  <c r="V165" i="2"/>
  <c r="W165" i="2"/>
  <c r="X165" i="2"/>
  <c r="AE165" i="2"/>
  <c r="V166" i="2"/>
  <c r="W166" i="2"/>
  <c r="X166" i="2"/>
  <c r="AE166" i="2"/>
  <c r="V167" i="2"/>
  <c r="W167" i="2"/>
  <c r="X167" i="2"/>
  <c r="AE167" i="2"/>
  <c r="V168" i="2"/>
  <c r="W168" i="2"/>
  <c r="X168" i="2"/>
  <c r="Y168" i="2"/>
  <c r="AE168" i="2"/>
  <c r="V169" i="2"/>
  <c r="W169" i="2"/>
  <c r="X169" i="2"/>
  <c r="AE169" i="2"/>
  <c r="V170" i="2"/>
  <c r="W170" i="2"/>
  <c r="X170" i="2"/>
  <c r="AE170" i="2"/>
  <c r="V171" i="2"/>
  <c r="W171" i="2"/>
  <c r="X171" i="2"/>
  <c r="AE171" i="2"/>
  <c r="V172" i="2"/>
  <c r="W172" i="2"/>
  <c r="X172" i="2"/>
  <c r="AE172" i="2"/>
  <c r="V173" i="2"/>
  <c r="W173" i="2"/>
  <c r="X173" i="2"/>
  <c r="AE173" i="2"/>
  <c r="V174" i="2"/>
  <c r="W174" i="2"/>
  <c r="X174" i="2"/>
  <c r="AE174" i="2"/>
  <c r="V175" i="2"/>
  <c r="W175" i="2"/>
  <c r="X175" i="2"/>
  <c r="AE175" i="2"/>
  <c r="V176" i="2"/>
  <c r="W176" i="2"/>
  <c r="X176" i="2"/>
  <c r="Y176" i="2"/>
  <c r="AE176" i="2"/>
  <c r="V177" i="2"/>
  <c r="W177" i="2"/>
  <c r="X177" i="2"/>
  <c r="AE177" i="2"/>
  <c r="V178" i="2"/>
  <c r="W178" i="2"/>
  <c r="X178" i="2"/>
  <c r="AE178" i="2"/>
  <c r="V179" i="2"/>
  <c r="W179" i="2"/>
  <c r="X179" i="2"/>
  <c r="AE179" i="2"/>
  <c r="V180" i="2"/>
  <c r="W180" i="2"/>
  <c r="X180" i="2"/>
  <c r="AE180" i="2"/>
  <c r="V181" i="2"/>
  <c r="W181" i="2"/>
  <c r="X181" i="2"/>
  <c r="AE181" i="2"/>
  <c r="V182" i="2"/>
  <c r="W182" i="2"/>
  <c r="X182" i="2"/>
  <c r="AE182" i="2"/>
  <c r="V183" i="2"/>
  <c r="W183" i="2"/>
  <c r="X183" i="2"/>
  <c r="AE183" i="2"/>
  <c r="V184" i="2"/>
  <c r="W184" i="2"/>
  <c r="X184" i="2"/>
  <c r="AE184" i="2"/>
  <c r="V185" i="2"/>
  <c r="W185" i="2"/>
  <c r="X185" i="2"/>
  <c r="AE185" i="2"/>
  <c r="V186" i="2"/>
  <c r="W186" i="2"/>
  <c r="X186" i="2"/>
  <c r="AE186" i="2"/>
  <c r="V187" i="2"/>
  <c r="W187" i="2"/>
  <c r="X187" i="2"/>
  <c r="AE187" i="2"/>
  <c r="V188" i="2"/>
  <c r="W188" i="2"/>
  <c r="X188" i="2"/>
  <c r="AE188" i="2"/>
  <c r="V189" i="2"/>
  <c r="W189" i="2"/>
  <c r="X189" i="2"/>
  <c r="AE189" i="2"/>
  <c r="V190" i="2"/>
  <c r="W190" i="2"/>
  <c r="X190" i="2"/>
  <c r="AE190" i="2"/>
  <c r="V191" i="2"/>
  <c r="W191" i="2"/>
  <c r="X191" i="2"/>
  <c r="AE191" i="2"/>
  <c r="V192" i="2"/>
  <c r="W192" i="2"/>
  <c r="X192" i="2"/>
  <c r="AE192" i="2"/>
  <c r="V193" i="2"/>
  <c r="W193" i="2"/>
  <c r="X193" i="2"/>
  <c r="AE193" i="2"/>
  <c r="V194" i="2"/>
  <c r="W194" i="2"/>
  <c r="X194" i="2"/>
  <c r="AE194" i="2"/>
  <c r="V195" i="2"/>
  <c r="W195" i="2"/>
  <c r="X195" i="2"/>
  <c r="AE195" i="2"/>
  <c r="V196" i="2"/>
  <c r="W196" i="2"/>
  <c r="X196" i="2"/>
  <c r="AE196" i="2"/>
  <c r="V197" i="2"/>
  <c r="W197" i="2"/>
  <c r="X197" i="2"/>
  <c r="AE197" i="2"/>
  <c r="V198" i="2"/>
  <c r="W198" i="2"/>
  <c r="X198" i="2"/>
  <c r="AE198" i="2"/>
  <c r="V199" i="2"/>
  <c r="W199" i="2"/>
  <c r="X199" i="2"/>
  <c r="AE199" i="2"/>
  <c r="V200" i="2"/>
  <c r="W200" i="2"/>
  <c r="X200" i="2"/>
  <c r="AE200" i="2"/>
  <c r="V201" i="2"/>
  <c r="W201" i="2"/>
  <c r="X201" i="2"/>
  <c r="AE201" i="2"/>
  <c r="V202" i="2"/>
  <c r="W202" i="2"/>
  <c r="X202" i="2"/>
  <c r="AE202" i="2"/>
  <c r="V203" i="2"/>
  <c r="W203" i="2"/>
  <c r="X203" i="2"/>
  <c r="AE203" i="2"/>
  <c r="V204" i="2"/>
  <c r="W204" i="2"/>
  <c r="X204" i="2"/>
  <c r="AE204" i="2"/>
  <c r="V205" i="2"/>
  <c r="W205" i="2"/>
  <c r="X205" i="2"/>
  <c r="AE205" i="2"/>
  <c r="V206" i="2"/>
  <c r="W206" i="2"/>
  <c r="X206" i="2"/>
  <c r="AE206" i="2"/>
  <c r="V207" i="2"/>
  <c r="W207" i="2"/>
  <c r="X207" i="2"/>
  <c r="AE207" i="2"/>
  <c r="V208" i="2"/>
  <c r="W208" i="2"/>
  <c r="X208" i="2"/>
  <c r="Y208" i="2"/>
  <c r="AE208" i="2"/>
  <c r="V209" i="2"/>
  <c r="W209" i="2"/>
  <c r="X209" i="2"/>
  <c r="AE209" i="2"/>
  <c r="V210" i="2"/>
  <c r="W210" i="2"/>
  <c r="X210" i="2"/>
  <c r="AE210" i="2"/>
  <c r="V211" i="2"/>
  <c r="W211" i="2"/>
  <c r="X211" i="2"/>
  <c r="AE211" i="2"/>
  <c r="V212" i="2"/>
  <c r="W212" i="2"/>
  <c r="X212" i="2"/>
  <c r="AE212" i="2"/>
  <c r="V213" i="2"/>
  <c r="W213" i="2"/>
  <c r="X213" i="2"/>
  <c r="AE213" i="2"/>
  <c r="V214" i="2"/>
  <c r="W214" i="2"/>
  <c r="X214" i="2"/>
  <c r="AE214" i="2"/>
  <c r="V215" i="2"/>
  <c r="W215" i="2"/>
  <c r="X215" i="2"/>
  <c r="AE215" i="2"/>
  <c r="V216" i="2"/>
  <c r="W216" i="2"/>
  <c r="X216" i="2"/>
  <c r="AE216" i="2"/>
  <c r="V217" i="2"/>
  <c r="W217" i="2"/>
  <c r="X217" i="2"/>
  <c r="AE217" i="2"/>
  <c r="V218" i="2"/>
  <c r="W218" i="2"/>
  <c r="X218" i="2"/>
  <c r="AE218" i="2"/>
  <c r="V219" i="2"/>
  <c r="W219" i="2"/>
  <c r="X219" i="2"/>
  <c r="AE219" i="2"/>
  <c r="V220" i="2"/>
  <c r="W220" i="2"/>
  <c r="X220" i="2"/>
  <c r="AE220" i="2"/>
  <c r="V221" i="2"/>
  <c r="W221" i="2"/>
  <c r="X221" i="2"/>
  <c r="AE221" i="2"/>
  <c r="V222" i="2"/>
  <c r="W222" i="2"/>
  <c r="X222" i="2"/>
  <c r="AE222" i="2"/>
  <c r="V223" i="2"/>
  <c r="W223" i="2"/>
  <c r="X223" i="2"/>
  <c r="AE223" i="2"/>
  <c r="V224" i="2"/>
  <c r="W224" i="2"/>
  <c r="X224" i="2"/>
  <c r="AE224" i="2"/>
  <c r="V225" i="2"/>
  <c r="W225" i="2"/>
  <c r="X225" i="2"/>
  <c r="AE225" i="2"/>
  <c r="V226" i="2"/>
  <c r="W226" i="2"/>
  <c r="X226" i="2"/>
  <c r="AE226" i="2"/>
  <c r="V227" i="2"/>
  <c r="W227" i="2"/>
  <c r="X227" i="2"/>
  <c r="AE227" i="2"/>
  <c r="V228" i="2"/>
  <c r="W228" i="2"/>
  <c r="X228" i="2"/>
  <c r="AE228" i="2"/>
  <c r="V229" i="2"/>
  <c r="W229" i="2"/>
  <c r="X229" i="2"/>
  <c r="AE229" i="2"/>
  <c r="V230" i="2"/>
  <c r="W230" i="2"/>
  <c r="X230" i="2"/>
  <c r="AE230" i="2"/>
  <c r="V231" i="2"/>
  <c r="W231" i="2"/>
  <c r="X231" i="2"/>
  <c r="AE231" i="2"/>
  <c r="V232" i="2"/>
  <c r="W232" i="2"/>
  <c r="X232" i="2"/>
  <c r="AE232" i="2"/>
  <c r="V233" i="2"/>
  <c r="W233" i="2"/>
  <c r="X233" i="2"/>
  <c r="AE233" i="2"/>
  <c r="V234" i="2"/>
  <c r="W234" i="2"/>
  <c r="X234" i="2"/>
  <c r="AE234" i="2"/>
  <c r="V235" i="2"/>
  <c r="W235" i="2"/>
  <c r="X235" i="2"/>
  <c r="AE235" i="2"/>
  <c r="V236" i="2"/>
  <c r="W236" i="2"/>
  <c r="X236" i="2"/>
  <c r="AE236" i="2"/>
  <c r="V237" i="2"/>
  <c r="W237" i="2"/>
  <c r="X237" i="2"/>
  <c r="AE237" i="2"/>
  <c r="V238" i="2"/>
  <c r="W238" i="2"/>
  <c r="X238" i="2"/>
  <c r="AE238" i="2"/>
  <c r="V239" i="2"/>
  <c r="W239" i="2"/>
  <c r="X239" i="2"/>
  <c r="AE239" i="2"/>
  <c r="V240" i="2"/>
  <c r="W240" i="2"/>
  <c r="X240" i="2"/>
  <c r="Y240" i="2"/>
  <c r="AE240" i="2"/>
  <c r="V241" i="2"/>
  <c r="W241" i="2"/>
  <c r="X241" i="2"/>
  <c r="AE241" i="2"/>
  <c r="V242" i="2"/>
  <c r="W242" i="2"/>
  <c r="X242" i="2"/>
  <c r="AE242" i="2"/>
  <c r="V243" i="2"/>
  <c r="W243" i="2"/>
  <c r="X243" i="2"/>
  <c r="AE243" i="2"/>
  <c r="V244" i="2"/>
  <c r="W244" i="2"/>
  <c r="X244" i="2"/>
  <c r="AE244" i="2"/>
  <c r="V245" i="2"/>
  <c r="W245" i="2"/>
  <c r="X245" i="2"/>
  <c r="AE245" i="2"/>
  <c r="W246" i="2"/>
  <c r="X246" i="2"/>
  <c r="Y246" i="2"/>
  <c r="AE246" i="2"/>
  <c r="W247" i="2"/>
  <c r="X247" i="2"/>
  <c r="Y247" i="2"/>
  <c r="AE247" i="2"/>
  <c r="W248" i="2"/>
  <c r="X248" i="2"/>
  <c r="Y248" i="2"/>
  <c r="AE248" i="2"/>
  <c r="W249" i="2"/>
  <c r="X249" i="2"/>
  <c r="Y249" i="2"/>
  <c r="AE249" i="2"/>
  <c r="W250" i="2"/>
  <c r="X250" i="2"/>
  <c r="Y250" i="2"/>
  <c r="AE250" i="2"/>
  <c r="W251" i="2"/>
  <c r="X251" i="2"/>
  <c r="Y251" i="2"/>
  <c r="AE251" i="2"/>
  <c r="W252" i="2"/>
  <c r="X252" i="2"/>
  <c r="Y252" i="2"/>
  <c r="AE252" i="2"/>
  <c r="W253" i="2"/>
  <c r="X253" i="2"/>
  <c r="Y253" i="2"/>
  <c r="AE253" i="2"/>
  <c r="W254" i="2"/>
  <c r="X254" i="2"/>
  <c r="Y254" i="2"/>
  <c r="AE254" i="2"/>
  <c r="W255" i="2"/>
  <c r="X255" i="2"/>
  <c r="Y255" i="2"/>
  <c r="AE255" i="2"/>
  <c r="W256" i="2"/>
  <c r="X256" i="2"/>
  <c r="AE256" i="2"/>
  <c r="W257" i="2"/>
  <c r="X257" i="2"/>
  <c r="AE257" i="2"/>
  <c r="W258" i="2"/>
  <c r="X258" i="2"/>
  <c r="AE258" i="2"/>
  <c r="W259" i="2"/>
  <c r="X259" i="2"/>
  <c r="AE259" i="2"/>
  <c r="W260" i="2"/>
  <c r="X260" i="2"/>
  <c r="AE260" i="2"/>
  <c r="W261" i="2"/>
  <c r="X261" i="2"/>
  <c r="AE261" i="2"/>
  <c r="W262" i="2"/>
  <c r="X262" i="2"/>
  <c r="AE262" i="2"/>
  <c r="W263" i="2"/>
  <c r="X263" i="2"/>
  <c r="AE263" i="2"/>
  <c r="W264" i="2"/>
  <c r="X264" i="2"/>
  <c r="AE264" i="2"/>
  <c r="W265" i="2"/>
  <c r="X265" i="2"/>
  <c r="AE265" i="2"/>
  <c r="W266" i="2"/>
  <c r="X266" i="2"/>
  <c r="AE266" i="2"/>
  <c r="W267" i="2"/>
  <c r="X267" i="2"/>
  <c r="AE267" i="2"/>
  <c r="W268" i="2"/>
  <c r="X268" i="2"/>
  <c r="AE268" i="2"/>
  <c r="W269" i="2"/>
  <c r="X269" i="2"/>
  <c r="AE269" i="2"/>
  <c r="W270" i="2"/>
  <c r="X270" i="2"/>
  <c r="AE270" i="2"/>
  <c r="W271" i="2"/>
  <c r="X271" i="2"/>
  <c r="AE271" i="2"/>
  <c r="W272" i="2"/>
  <c r="X272" i="2"/>
  <c r="AE272" i="2"/>
  <c r="W273" i="2"/>
  <c r="X273" i="2"/>
  <c r="AE273" i="2"/>
  <c r="V274" i="2"/>
  <c r="W274" i="2"/>
  <c r="X274" i="2"/>
  <c r="Y274" i="2"/>
  <c r="AE274" i="2"/>
  <c r="V275" i="2"/>
  <c r="W275" i="2"/>
  <c r="X275" i="2"/>
  <c r="Y275" i="2"/>
  <c r="AE275" i="2"/>
  <c r="V276" i="2"/>
  <c r="W276" i="2"/>
  <c r="X276" i="2"/>
  <c r="Y276" i="2"/>
  <c r="AE276" i="2"/>
  <c r="V277" i="2"/>
  <c r="W277" i="2"/>
  <c r="X277" i="2"/>
  <c r="Y277" i="2"/>
  <c r="AE277" i="2"/>
  <c r="V278" i="2"/>
  <c r="W278" i="2"/>
  <c r="X278" i="2"/>
  <c r="Y278" i="2"/>
  <c r="AE278" i="2"/>
  <c r="V279" i="2"/>
  <c r="W279" i="2"/>
  <c r="X279" i="2"/>
  <c r="Y279" i="2"/>
  <c r="AE279" i="2"/>
  <c r="V280" i="2"/>
  <c r="W280" i="2"/>
  <c r="X280" i="2"/>
  <c r="Y280" i="2"/>
  <c r="AE280" i="2"/>
  <c r="V281" i="2"/>
  <c r="W281" i="2"/>
  <c r="X281" i="2"/>
  <c r="Y281" i="2"/>
  <c r="AE281" i="2"/>
  <c r="V282" i="2"/>
  <c r="W282" i="2"/>
  <c r="X282" i="2"/>
  <c r="Y282" i="2"/>
  <c r="AE282" i="2"/>
  <c r="V283" i="2"/>
  <c r="W283" i="2"/>
  <c r="X283" i="2"/>
  <c r="Y283" i="2"/>
  <c r="AE283" i="2"/>
  <c r="V284" i="2"/>
  <c r="W284" i="2"/>
  <c r="X284" i="2"/>
  <c r="Y284" i="2"/>
  <c r="AE284" i="2"/>
  <c r="V285" i="2"/>
  <c r="W285" i="2"/>
  <c r="X285" i="2"/>
  <c r="Y285" i="2"/>
  <c r="AE285" i="2"/>
  <c r="V286" i="2"/>
  <c r="W286" i="2"/>
  <c r="X286" i="2"/>
  <c r="AE286" i="2"/>
  <c r="V287" i="2"/>
  <c r="W287" i="2"/>
  <c r="X287" i="2"/>
  <c r="AE287" i="2"/>
  <c r="V288" i="2"/>
  <c r="W288" i="2"/>
  <c r="X288" i="2"/>
  <c r="AE288" i="2"/>
  <c r="V289" i="2"/>
  <c r="W289" i="2"/>
  <c r="X289" i="2"/>
  <c r="AE289" i="2"/>
  <c r="V290" i="2"/>
  <c r="W290" i="2"/>
  <c r="X290" i="2"/>
  <c r="AE290" i="2"/>
  <c r="V291" i="2"/>
  <c r="W291" i="2"/>
  <c r="X291" i="2"/>
  <c r="AE291" i="2"/>
  <c r="V292" i="2"/>
  <c r="W292" i="2"/>
  <c r="X292" i="2"/>
  <c r="AE292" i="2"/>
  <c r="V293" i="2"/>
  <c r="W293" i="2"/>
  <c r="X293" i="2"/>
  <c r="AE293" i="2"/>
  <c r="V294" i="2"/>
  <c r="W294" i="2"/>
  <c r="X294" i="2"/>
  <c r="AE294" i="2"/>
  <c r="V295" i="2"/>
  <c r="W295" i="2"/>
  <c r="X295" i="2"/>
  <c r="AE295" i="2"/>
  <c r="V296" i="2"/>
  <c r="W296" i="2"/>
  <c r="X296" i="2"/>
  <c r="AE296" i="2"/>
  <c r="V297" i="2"/>
  <c r="W297" i="2"/>
  <c r="X297" i="2"/>
  <c r="AE297" i="2"/>
  <c r="V298" i="2"/>
  <c r="W298" i="2"/>
  <c r="X298" i="2"/>
  <c r="AE298" i="2"/>
  <c r="V299" i="2"/>
  <c r="W299" i="2"/>
  <c r="X299" i="2"/>
  <c r="AE299" i="2"/>
  <c r="V300" i="2"/>
  <c r="W300" i="2"/>
  <c r="X300" i="2"/>
  <c r="AE300" i="2"/>
  <c r="V301" i="2"/>
  <c r="W301" i="2"/>
  <c r="X301" i="2"/>
  <c r="AE301" i="2"/>
  <c r="V302" i="2"/>
  <c r="W302" i="2"/>
  <c r="X302" i="2"/>
  <c r="AE302" i="2"/>
  <c r="V303" i="2"/>
  <c r="W303" i="2"/>
  <c r="X303" i="2"/>
  <c r="AE303" i="2"/>
  <c r="V304" i="2"/>
  <c r="W304" i="2"/>
  <c r="X304" i="2"/>
  <c r="AE304" i="2"/>
  <c r="V305" i="2"/>
  <c r="W305" i="2"/>
  <c r="X305" i="2"/>
  <c r="AE305" i="2"/>
  <c r="V306" i="2"/>
  <c r="W306" i="2"/>
  <c r="X306" i="2"/>
  <c r="AE306" i="2"/>
  <c r="V307" i="2"/>
  <c r="W307" i="2"/>
  <c r="X307" i="2"/>
  <c r="AE307" i="2"/>
  <c r="V308" i="2"/>
  <c r="W308" i="2"/>
  <c r="X308" i="2"/>
  <c r="AE308" i="2"/>
  <c r="V309" i="2"/>
  <c r="W309" i="2"/>
  <c r="X309" i="2"/>
  <c r="AE309" i="2"/>
  <c r="V310" i="2"/>
  <c r="W310" i="2"/>
  <c r="X310" i="2"/>
  <c r="AE310" i="2"/>
  <c r="V311" i="2"/>
  <c r="W311" i="2"/>
  <c r="X311" i="2"/>
  <c r="AE311" i="2"/>
  <c r="V312" i="2"/>
  <c r="W312" i="2"/>
  <c r="X312" i="2"/>
  <c r="AE312" i="2"/>
  <c r="V313" i="2"/>
  <c r="W313" i="2"/>
  <c r="X313" i="2"/>
  <c r="AE313" i="2"/>
  <c r="V314" i="2"/>
  <c r="W314" i="2"/>
  <c r="X314" i="2"/>
  <c r="AE314" i="2"/>
  <c r="V315" i="2"/>
  <c r="W315" i="2"/>
  <c r="X315" i="2"/>
  <c r="AE315" i="2"/>
  <c r="V316" i="2"/>
  <c r="W316" i="2"/>
  <c r="X316" i="2"/>
  <c r="AE316" i="2"/>
  <c r="V317" i="2"/>
  <c r="W317" i="2"/>
  <c r="X317" i="2"/>
  <c r="AE317" i="2"/>
  <c r="V318" i="2"/>
  <c r="W318" i="2"/>
  <c r="X318" i="2"/>
  <c r="AE318" i="2"/>
  <c r="V319" i="2"/>
  <c r="W319" i="2"/>
  <c r="X319" i="2"/>
  <c r="AE319" i="2"/>
  <c r="V320" i="2"/>
  <c r="W320" i="2"/>
  <c r="X320" i="2"/>
  <c r="AE320" i="2"/>
  <c r="V321" i="2"/>
  <c r="W321" i="2"/>
  <c r="X321" i="2"/>
  <c r="AE321" i="2"/>
  <c r="V322" i="2"/>
  <c r="W322" i="2"/>
  <c r="X322" i="2"/>
  <c r="AE322" i="2"/>
  <c r="V323" i="2"/>
  <c r="W323" i="2"/>
  <c r="X323" i="2"/>
  <c r="AE323" i="2"/>
  <c r="V324" i="2"/>
  <c r="W324" i="2"/>
  <c r="X324" i="2"/>
  <c r="AE324" i="2"/>
  <c r="V325" i="2"/>
  <c r="W325" i="2"/>
  <c r="X325" i="2"/>
  <c r="AE325" i="2"/>
  <c r="V326" i="2"/>
  <c r="W326" i="2"/>
  <c r="X326" i="2"/>
  <c r="AE326" i="2"/>
  <c r="V327" i="2"/>
  <c r="W327" i="2"/>
  <c r="X327" i="2"/>
  <c r="AE327" i="2"/>
  <c r="V328" i="2"/>
  <c r="W328" i="2"/>
  <c r="X328" i="2"/>
  <c r="AE328" i="2"/>
  <c r="V329" i="2"/>
  <c r="W329" i="2"/>
  <c r="X329" i="2"/>
  <c r="AE329" i="2"/>
  <c r="V330" i="2"/>
  <c r="W330" i="2"/>
  <c r="X330" i="2"/>
  <c r="AE330" i="2"/>
  <c r="V331" i="2"/>
  <c r="W331" i="2"/>
  <c r="X331" i="2"/>
  <c r="AE331" i="2"/>
  <c r="V332" i="2"/>
  <c r="W332" i="2"/>
  <c r="X332" i="2"/>
  <c r="AE332" i="2"/>
  <c r="V333" i="2"/>
  <c r="W333" i="2"/>
  <c r="X333" i="2"/>
  <c r="AE333" i="2"/>
  <c r="V334" i="2"/>
  <c r="W334" i="2"/>
  <c r="X334" i="2"/>
  <c r="AE334" i="2"/>
  <c r="V335" i="2"/>
  <c r="W335" i="2"/>
  <c r="X335" i="2"/>
  <c r="AE335" i="2"/>
  <c r="V336" i="2"/>
  <c r="W336" i="2"/>
  <c r="X336" i="2"/>
  <c r="AE336" i="2"/>
  <c r="V337" i="2"/>
  <c r="W337" i="2"/>
  <c r="X337" i="2"/>
  <c r="AE337" i="2"/>
  <c r="V338" i="2"/>
  <c r="W338" i="2"/>
  <c r="X338" i="2"/>
  <c r="AE338" i="2"/>
  <c r="V339" i="2"/>
  <c r="W339" i="2"/>
  <c r="X339" i="2"/>
  <c r="AE339" i="2"/>
  <c r="V340" i="2"/>
  <c r="W340" i="2"/>
  <c r="X340" i="2"/>
  <c r="AE340" i="2"/>
  <c r="V341" i="2"/>
  <c r="W341" i="2"/>
  <c r="X341" i="2"/>
  <c r="AE341" i="2"/>
  <c r="V342" i="2"/>
  <c r="W342" i="2"/>
  <c r="X342" i="2"/>
  <c r="AE342" i="2"/>
  <c r="V343" i="2"/>
  <c r="W343" i="2"/>
  <c r="X343" i="2"/>
  <c r="AE343" i="2"/>
  <c r="V344" i="2"/>
  <c r="W344" i="2"/>
  <c r="X344" i="2"/>
  <c r="AE344" i="2"/>
  <c r="V345" i="2"/>
  <c r="W345" i="2"/>
  <c r="X345" i="2"/>
  <c r="AE345" i="2"/>
  <c r="V346" i="2"/>
  <c r="W346" i="2"/>
  <c r="X346" i="2"/>
  <c r="AE346" i="2"/>
  <c r="V347" i="2"/>
  <c r="W347" i="2"/>
  <c r="X347" i="2"/>
  <c r="AE347" i="2"/>
  <c r="V348" i="2"/>
  <c r="W348" i="2"/>
  <c r="X348" i="2"/>
  <c r="AE348" i="2"/>
  <c r="V349" i="2"/>
  <c r="W349" i="2"/>
  <c r="X349" i="2"/>
  <c r="AE349" i="2"/>
  <c r="V350" i="2"/>
  <c r="W350" i="2"/>
  <c r="X350" i="2"/>
  <c r="AE350" i="2"/>
  <c r="V351" i="2"/>
  <c r="W351" i="2"/>
  <c r="X351" i="2"/>
  <c r="AE351" i="2"/>
  <c r="V352" i="2"/>
  <c r="W352" i="2"/>
  <c r="X352" i="2"/>
  <c r="AE352" i="2"/>
  <c r="V353" i="2"/>
  <c r="W353" i="2"/>
  <c r="X353" i="2"/>
  <c r="AE353" i="2"/>
  <c r="V354" i="2"/>
  <c r="W354" i="2"/>
  <c r="X354" i="2"/>
  <c r="AE354" i="2"/>
  <c r="V355" i="2"/>
  <c r="W355" i="2"/>
  <c r="X355" i="2"/>
  <c r="AE355" i="2"/>
  <c r="V356" i="2"/>
  <c r="W356" i="2"/>
  <c r="X356" i="2"/>
  <c r="Y356" i="2"/>
  <c r="AE356" i="2"/>
  <c r="V357" i="2"/>
  <c r="W357" i="2"/>
  <c r="X357" i="2"/>
  <c r="AE357" i="2"/>
  <c r="V358" i="2"/>
  <c r="W358" i="2"/>
  <c r="X358" i="2"/>
  <c r="AE358" i="2"/>
  <c r="V359" i="2"/>
  <c r="W359" i="2"/>
  <c r="X359" i="2"/>
  <c r="AE359" i="2"/>
  <c r="V360" i="2"/>
  <c r="W360" i="2"/>
  <c r="X360" i="2"/>
  <c r="AE360" i="2"/>
  <c r="V361" i="2"/>
  <c r="W361" i="2"/>
  <c r="X361" i="2"/>
  <c r="AE361" i="2"/>
  <c r="V362" i="2"/>
  <c r="W362" i="2"/>
  <c r="X362" i="2"/>
  <c r="AE362" i="2"/>
  <c r="V363" i="2"/>
  <c r="W363" i="2"/>
  <c r="X363" i="2"/>
  <c r="AE363" i="2"/>
  <c r="V364" i="2"/>
  <c r="W364" i="2"/>
  <c r="X364" i="2"/>
  <c r="AE364" i="2"/>
  <c r="V365" i="2"/>
  <c r="W365" i="2"/>
  <c r="X365" i="2"/>
  <c r="AE365" i="2"/>
  <c r="V366" i="2"/>
  <c r="W366" i="2"/>
  <c r="X366" i="2"/>
  <c r="AE366" i="2"/>
  <c r="V367" i="2"/>
  <c r="W367" i="2"/>
  <c r="X367" i="2"/>
  <c r="AE367" i="2"/>
  <c r="V368" i="2"/>
  <c r="W368" i="2"/>
  <c r="X368" i="2"/>
  <c r="AE368" i="2"/>
  <c r="V369" i="2"/>
  <c r="W369" i="2"/>
  <c r="X369" i="2"/>
  <c r="AE369" i="2"/>
  <c r="V370" i="2"/>
  <c r="W370" i="2"/>
  <c r="X370" i="2"/>
  <c r="AE370" i="2"/>
  <c r="V371" i="2"/>
  <c r="W371" i="2"/>
  <c r="X371" i="2"/>
  <c r="AE371" i="2"/>
  <c r="V372" i="2"/>
  <c r="W372" i="2"/>
  <c r="X372" i="2"/>
  <c r="Y372" i="2"/>
  <c r="AE372" i="2"/>
  <c r="V373" i="2"/>
  <c r="W373" i="2"/>
  <c r="X373" i="2"/>
  <c r="AE373" i="2"/>
  <c r="V374" i="2"/>
  <c r="W374" i="2"/>
  <c r="X374" i="2"/>
  <c r="AE374" i="2"/>
  <c r="V375" i="2"/>
  <c r="W375" i="2"/>
  <c r="X375" i="2"/>
  <c r="AE375" i="2"/>
  <c r="V376" i="2"/>
  <c r="W376" i="2"/>
  <c r="X376" i="2"/>
  <c r="AE376" i="2"/>
  <c r="V377" i="2"/>
  <c r="W377" i="2"/>
  <c r="X377" i="2"/>
  <c r="AE377" i="2"/>
  <c r="V378" i="2"/>
  <c r="W378" i="2"/>
  <c r="X378" i="2"/>
  <c r="AE378" i="2"/>
  <c r="V379" i="2"/>
  <c r="W379" i="2"/>
  <c r="X379" i="2"/>
  <c r="AE379" i="2"/>
  <c r="V380" i="2"/>
  <c r="W380" i="2"/>
  <c r="X380" i="2"/>
  <c r="AE380" i="2"/>
  <c r="V381" i="2"/>
  <c r="W381" i="2"/>
  <c r="X381" i="2"/>
  <c r="AE381" i="2"/>
  <c r="V382" i="2"/>
  <c r="W382" i="2"/>
  <c r="X382" i="2"/>
  <c r="AE382" i="2"/>
  <c r="V383" i="2"/>
  <c r="W383" i="2"/>
  <c r="X383" i="2"/>
  <c r="AE383" i="2"/>
  <c r="V384" i="2"/>
  <c r="W384" i="2"/>
  <c r="X384" i="2"/>
  <c r="AE384" i="2"/>
  <c r="V385" i="2"/>
  <c r="W385" i="2"/>
  <c r="X385" i="2"/>
  <c r="AE385" i="2"/>
  <c r="V386" i="2"/>
  <c r="W386" i="2"/>
  <c r="X386" i="2"/>
  <c r="AE386" i="2"/>
  <c r="V387" i="2"/>
  <c r="W387" i="2"/>
  <c r="X387" i="2"/>
  <c r="AE387" i="2"/>
  <c r="V388" i="2"/>
  <c r="W388" i="2"/>
  <c r="X388" i="2"/>
  <c r="AE388" i="2"/>
  <c r="V389" i="2"/>
  <c r="W389" i="2"/>
  <c r="X389" i="2"/>
  <c r="AE389" i="2"/>
  <c r="V390" i="2"/>
  <c r="W390" i="2"/>
  <c r="X390" i="2"/>
  <c r="AE390" i="2"/>
  <c r="V391" i="2"/>
  <c r="W391" i="2"/>
  <c r="X391" i="2"/>
  <c r="AE391" i="2"/>
  <c r="V392" i="2"/>
  <c r="W392" i="2"/>
  <c r="X392" i="2"/>
  <c r="AE392" i="2"/>
  <c r="V393" i="2"/>
  <c r="W393" i="2"/>
  <c r="X393" i="2"/>
  <c r="AE393" i="2"/>
  <c r="V394" i="2"/>
  <c r="W394" i="2"/>
  <c r="X394" i="2"/>
  <c r="AE394" i="2"/>
  <c r="V395" i="2"/>
  <c r="W395" i="2"/>
  <c r="X395" i="2"/>
  <c r="AE395" i="2"/>
  <c r="V396" i="2"/>
  <c r="W396" i="2"/>
  <c r="X396" i="2"/>
  <c r="AE396" i="2"/>
  <c r="V397" i="2"/>
  <c r="W397" i="2"/>
  <c r="X397" i="2"/>
  <c r="AE397" i="2"/>
  <c r="V398" i="2"/>
  <c r="W398" i="2"/>
  <c r="X398" i="2"/>
  <c r="AE398" i="2"/>
  <c r="V399" i="2"/>
  <c r="W399" i="2"/>
  <c r="X399" i="2"/>
  <c r="AE399" i="2"/>
  <c r="V400" i="2"/>
  <c r="W400" i="2"/>
  <c r="X400" i="2"/>
  <c r="AE400" i="2"/>
  <c r="V401" i="2"/>
  <c r="W401" i="2"/>
  <c r="X401" i="2"/>
  <c r="AE401" i="2"/>
  <c r="V402" i="2"/>
  <c r="W402" i="2"/>
  <c r="X402" i="2"/>
  <c r="AE402" i="2"/>
  <c r="V403" i="2"/>
  <c r="W403" i="2"/>
  <c r="X403" i="2"/>
  <c r="AE403" i="2"/>
  <c r="V404" i="2"/>
  <c r="W404" i="2"/>
  <c r="X404" i="2"/>
  <c r="AE404" i="2"/>
  <c r="V405" i="2"/>
  <c r="W405" i="2"/>
  <c r="X405" i="2"/>
  <c r="AE405" i="2"/>
  <c r="V406" i="2"/>
  <c r="W406" i="2"/>
  <c r="X406" i="2"/>
  <c r="AE406" i="2"/>
  <c r="V407" i="2"/>
  <c r="W407" i="2"/>
  <c r="X407" i="2"/>
  <c r="AE407" i="2"/>
  <c r="V408" i="2"/>
  <c r="W408" i="2"/>
  <c r="X408" i="2"/>
  <c r="AE408" i="2"/>
  <c r="V409" i="2"/>
  <c r="W409" i="2"/>
  <c r="X409" i="2"/>
  <c r="AE409" i="2"/>
  <c r="V410" i="2"/>
  <c r="W410" i="2"/>
  <c r="X410" i="2"/>
  <c r="AE410" i="2"/>
  <c r="V411" i="2"/>
  <c r="W411" i="2"/>
  <c r="X411" i="2"/>
  <c r="AE411" i="2"/>
  <c r="V412" i="2"/>
  <c r="W412" i="2"/>
  <c r="X412" i="2"/>
  <c r="AE412" i="2"/>
  <c r="V413" i="2"/>
  <c r="W413" i="2"/>
  <c r="X413" i="2"/>
  <c r="AE413" i="2"/>
  <c r="V414" i="2"/>
  <c r="W414" i="2"/>
  <c r="X414" i="2"/>
  <c r="AE414" i="2"/>
  <c r="V415" i="2"/>
  <c r="W415" i="2"/>
  <c r="X415" i="2"/>
  <c r="AE415" i="2"/>
  <c r="V416" i="2"/>
  <c r="W416" i="2"/>
  <c r="X416" i="2"/>
  <c r="AE416" i="2"/>
  <c r="V417" i="2"/>
  <c r="W417" i="2"/>
  <c r="X417" i="2"/>
  <c r="AE417" i="2"/>
  <c r="V418" i="2"/>
  <c r="W418" i="2"/>
  <c r="X418" i="2"/>
  <c r="AE418" i="2"/>
  <c r="V419" i="2"/>
  <c r="W419" i="2"/>
  <c r="X419" i="2"/>
  <c r="AE419" i="2"/>
  <c r="V420" i="2"/>
  <c r="W420" i="2"/>
  <c r="X420" i="2"/>
  <c r="AE420" i="2"/>
  <c r="V421" i="2"/>
  <c r="W421" i="2"/>
  <c r="X421" i="2"/>
  <c r="AE421" i="2"/>
  <c r="V422" i="2"/>
  <c r="W422" i="2"/>
  <c r="X422" i="2"/>
  <c r="AE422" i="2"/>
  <c r="V423" i="2"/>
  <c r="W423" i="2"/>
  <c r="X423" i="2"/>
  <c r="AE423" i="2"/>
  <c r="V424" i="2"/>
  <c r="W424" i="2"/>
  <c r="X424" i="2"/>
  <c r="AE424" i="2"/>
  <c r="V425" i="2"/>
  <c r="W425" i="2"/>
  <c r="X425" i="2"/>
  <c r="AE425" i="2"/>
  <c r="V426" i="2"/>
  <c r="W426" i="2"/>
  <c r="X426" i="2"/>
  <c r="AE426" i="2"/>
  <c r="V427" i="2"/>
  <c r="W427" i="2"/>
  <c r="X427" i="2"/>
  <c r="AE427" i="2"/>
  <c r="V428" i="2"/>
  <c r="W428" i="2"/>
  <c r="X428" i="2"/>
  <c r="Y428" i="2"/>
  <c r="AE428" i="2"/>
  <c r="V429" i="2"/>
  <c r="W429" i="2"/>
  <c r="X429" i="2"/>
  <c r="AE429" i="2"/>
  <c r="V430" i="2"/>
  <c r="W430" i="2"/>
  <c r="X430" i="2"/>
  <c r="AE430" i="2"/>
  <c r="V431" i="2"/>
  <c r="W431" i="2"/>
  <c r="X431" i="2"/>
  <c r="AE431" i="2"/>
  <c r="V432" i="2"/>
  <c r="W432" i="2"/>
  <c r="X432" i="2"/>
  <c r="AE432" i="2"/>
  <c r="V433" i="2"/>
  <c r="W433" i="2"/>
  <c r="X433" i="2"/>
  <c r="AE433" i="2"/>
  <c r="V434" i="2"/>
  <c r="W434" i="2"/>
  <c r="X434" i="2"/>
  <c r="AE434" i="2"/>
  <c r="V435" i="2"/>
  <c r="W435" i="2"/>
  <c r="X435" i="2"/>
  <c r="AE435" i="2"/>
  <c r="V436" i="2"/>
  <c r="W436" i="2"/>
  <c r="X436" i="2"/>
  <c r="AE436" i="2"/>
  <c r="V437" i="2"/>
  <c r="W437" i="2"/>
  <c r="X437" i="2"/>
  <c r="AE437" i="2"/>
  <c r="V438" i="2"/>
  <c r="W438" i="2"/>
  <c r="X438" i="2"/>
  <c r="AE438" i="2"/>
  <c r="V439" i="2"/>
  <c r="W439" i="2"/>
  <c r="X439" i="2"/>
  <c r="AE439" i="2"/>
  <c r="V440" i="2"/>
  <c r="W440" i="2"/>
  <c r="X440" i="2"/>
  <c r="AE440" i="2"/>
  <c r="V441" i="2"/>
  <c r="W441" i="2"/>
  <c r="X441" i="2"/>
  <c r="AE441" i="2"/>
  <c r="W442" i="2"/>
  <c r="X442" i="2"/>
  <c r="AE442" i="2"/>
  <c r="V443" i="2"/>
  <c r="W443" i="2"/>
  <c r="X443" i="2"/>
  <c r="AE443" i="2"/>
  <c r="V444" i="2"/>
  <c r="W444" i="2"/>
  <c r="X444" i="2"/>
  <c r="AE444" i="2"/>
  <c r="W445" i="2"/>
  <c r="X445" i="2"/>
  <c r="AE445" i="2"/>
  <c r="V446" i="2"/>
  <c r="W446" i="2"/>
  <c r="X446" i="2"/>
  <c r="AE446" i="2"/>
  <c r="V447" i="2"/>
  <c r="W447" i="2"/>
  <c r="X447" i="2"/>
  <c r="AE447" i="2"/>
  <c r="V448" i="2"/>
  <c r="W448" i="2"/>
  <c r="X448" i="2"/>
  <c r="AE448" i="2"/>
  <c r="V449" i="2"/>
  <c r="W449" i="2"/>
  <c r="X449" i="2"/>
  <c r="AE449" i="2"/>
  <c r="V450" i="2"/>
  <c r="W450" i="2"/>
  <c r="X450" i="2"/>
  <c r="AE450" i="2"/>
  <c r="V451" i="2"/>
  <c r="W451" i="2"/>
  <c r="X451" i="2"/>
  <c r="AE451" i="2"/>
  <c r="V452" i="2"/>
  <c r="W452" i="2"/>
  <c r="X452" i="2"/>
  <c r="AE452" i="2"/>
  <c r="V453" i="2"/>
  <c r="W453" i="2"/>
  <c r="X453" i="2"/>
  <c r="AE453" i="2"/>
  <c r="V454" i="2"/>
  <c r="W454" i="2"/>
  <c r="X454" i="2"/>
  <c r="Y454" i="2"/>
  <c r="AE454" i="2"/>
  <c r="V455" i="2"/>
  <c r="W455" i="2"/>
  <c r="X455" i="2"/>
  <c r="AE455" i="2"/>
  <c r="W456" i="2"/>
  <c r="X456" i="2"/>
  <c r="AE456" i="2"/>
  <c r="V457" i="2"/>
  <c r="W457" i="2"/>
  <c r="X457" i="2"/>
  <c r="AE457" i="2"/>
  <c r="V458" i="2"/>
  <c r="W458" i="2"/>
  <c r="X458" i="2"/>
  <c r="AE458" i="2"/>
  <c r="V459" i="2"/>
  <c r="W459" i="2"/>
  <c r="X459" i="2"/>
  <c r="AE459" i="2"/>
  <c r="V460" i="2"/>
  <c r="W460" i="2"/>
  <c r="X460" i="2"/>
  <c r="AE460" i="2"/>
  <c r="AE8" i="2"/>
  <c r="X8" i="2"/>
  <c r="W8" i="2"/>
  <c r="V8" i="2"/>
  <c r="AO6" i="2" l="1"/>
  <c r="L67" i="5"/>
  <c r="AC244" i="2"/>
  <c r="Y244" i="2"/>
  <c r="AC60" i="2"/>
  <c r="Y60" i="2"/>
  <c r="AC427" i="2"/>
  <c r="Y427" i="2"/>
  <c r="AC419" i="2"/>
  <c r="Y419" i="2"/>
  <c r="AC395" i="2"/>
  <c r="Y395" i="2"/>
  <c r="AC387" i="2"/>
  <c r="Y387" i="2"/>
  <c r="AC315" i="2"/>
  <c r="Y315" i="2"/>
  <c r="AC448" i="2"/>
  <c r="Y448" i="2"/>
  <c r="AC443" i="2"/>
  <c r="Y443" i="2"/>
  <c r="AC438" i="2"/>
  <c r="Y438" i="2"/>
  <c r="AC430" i="2"/>
  <c r="Y430" i="2"/>
  <c r="AC422" i="2"/>
  <c r="Y422" i="2"/>
  <c r="AC406" i="2"/>
  <c r="Y406" i="2"/>
  <c r="AC398" i="2"/>
  <c r="Y398" i="2"/>
  <c r="AC390" i="2"/>
  <c r="Y390" i="2"/>
  <c r="AC382" i="2"/>
  <c r="Y382" i="2"/>
  <c r="AC374" i="2"/>
  <c r="Y374" i="2"/>
  <c r="AC366" i="2"/>
  <c r="Y366" i="2"/>
  <c r="AC358" i="2"/>
  <c r="Y358" i="2"/>
  <c r="AC350" i="2"/>
  <c r="Y350" i="2"/>
  <c r="AC342" i="2"/>
  <c r="Y342" i="2"/>
  <c r="AC334" i="2"/>
  <c r="Y334" i="2"/>
  <c r="AC326" i="2"/>
  <c r="Y326" i="2"/>
  <c r="AC318" i="2"/>
  <c r="Y318" i="2"/>
  <c r="AC310" i="2"/>
  <c r="Y310" i="2"/>
  <c r="AC302" i="2"/>
  <c r="Y302" i="2"/>
  <c r="AC294" i="2"/>
  <c r="Y294" i="2"/>
  <c r="AC286" i="2"/>
  <c r="Y286" i="2"/>
  <c r="AC242" i="2"/>
  <c r="Y242" i="2"/>
  <c r="AC234" i="2"/>
  <c r="Y234" i="2"/>
  <c r="AC226" i="2"/>
  <c r="Y226" i="2"/>
  <c r="AC218" i="2"/>
  <c r="Y218" i="2"/>
  <c r="AC210" i="2"/>
  <c r="Y210" i="2"/>
  <c r="AC202" i="2"/>
  <c r="Y202" i="2"/>
  <c r="AC194" i="2"/>
  <c r="Y194" i="2"/>
  <c r="AC186" i="2"/>
  <c r="Y186" i="2"/>
  <c r="AC178" i="2"/>
  <c r="Y178" i="2"/>
  <c r="AC170" i="2"/>
  <c r="Y170" i="2"/>
  <c r="AC162" i="2"/>
  <c r="Y162" i="2"/>
  <c r="AC154" i="2"/>
  <c r="Y154" i="2"/>
  <c r="AC146" i="2"/>
  <c r="Y146" i="2"/>
  <c r="AC138" i="2"/>
  <c r="Y138" i="2"/>
  <c r="AC130" i="2"/>
  <c r="Y130" i="2"/>
  <c r="AC122" i="2"/>
  <c r="Y122" i="2"/>
  <c r="AC114" i="2"/>
  <c r="Y114" i="2"/>
  <c r="AC106" i="2"/>
  <c r="Y106" i="2"/>
  <c r="AC98" i="2"/>
  <c r="Y98" i="2"/>
  <c r="AC90" i="2"/>
  <c r="Y90" i="2"/>
  <c r="AC82" i="2"/>
  <c r="Y82" i="2"/>
  <c r="AC74" i="2"/>
  <c r="Y74" i="2"/>
  <c r="AC66" i="2"/>
  <c r="Y66" i="2"/>
  <c r="AC58" i="2"/>
  <c r="Y58" i="2"/>
  <c r="AC50" i="2"/>
  <c r="Y50" i="2"/>
  <c r="AC42" i="2"/>
  <c r="Y42" i="2"/>
  <c r="AC34" i="2"/>
  <c r="Y34" i="2"/>
  <c r="AC26" i="2"/>
  <c r="Y26" i="2"/>
  <c r="AC21" i="2"/>
  <c r="Y21" i="2"/>
  <c r="AC13" i="2"/>
  <c r="Y13" i="2"/>
  <c r="AC485" i="2"/>
  <c r="Y485" i="2"/>
  <c r="AC477" i="2"/>
  <c r="Y477" i="2"/>
  <c r="AC469" i="2"/>
  <c r="Y469" i="2"/>
  <c r="AC461" i="2"/>
  <c r="Y461" i="2"/>
  <c r="AC432" i="2"/>
  <c r="Y432" i="2"/>
  <c r="AC408" i="2"/>
  <c r="Y408" i="2"/>
  <c r="AC400" i="2"/>
  <c r="Y400" i="2"/>
  <c r="AC336" i="2"/>
  <c r="Y336" i="2"/>
  <c r="AC312" i="2"/>
  <c r="Y312" i="2"/>
  <c r="AC288" i="2"/>
  <c r="Y288" i="2"/>
  <c r="AC140" i="2"/>
  <c r="Y140" i="2"/>
  <c r="AC100" i="2"/>
  <c r="Y100" i="2"/>
  <c r="AC84" i="2"/>
  <c r="Y84" i="2"/>
  <c r="AC76" i="2"/>
  <c r="Y76" i="2"/>
  <c r="AC453" i="2"/>
  <c r="Y453" i="2"/>
  <c r="AC445" i="2"/>
  <c r="Y445" i="2"/>
  <c r="AC435" i="2"/>
  <c r="Y435" i="2"/>
  <c r="AC371" i="2"/>
  <c r="Y371" i="2"/>
  <c r="AC363" i="2"/>
  <c r="Y363" i="2"/>
  <c r="AC355" i="2"/>
  <c r="Y355" i="2"/>
  <c r="AC323" i="2"/>
  <c r="Y323" i="2"/>
  <c r="AC307" i="2"/>
  <c r="Y307" i="2"/>
  <c r="AC299" i="2"/>
  <c r="Y299" i="2"/>
  <c r="AC414" i="2"/>
  <c r="Y414" i="2"/>
  <c r="AC456" i="2"/>
  <c r="Y456" i="2"/>
  <c r="AC451" i="2"/>
  <c r="Y451" i="2"/>
  <c r="AC441" i="2"/>
  <c r="Y441" i="2"/>
  <c r="AC433" i="2"/>
  <c r="Y433" i="2"/>
  <c r="AC425" i="2"/>
  <c r="Y425" i="2"/>
  <c r="AC417" i="2"/>
  <c r="Y417" i="2"/>
  <c r="AC409" i="2"/>
  <c r="Y409" i="2"/>
  <c r="AC401" i="2"/>
  <c r="Y401" i="2"/>
  <c r="AC393" i="2"/>
  <c r="Y393" i="2"/>
  <c r="AC385" i="2"/>
  <c r="Y385" i="2"/>
  <c r="AC377" i="2"/>
  <c r="Y377" i="2"/>
  <c r="AC369" i="2"/>
  <c r="Y369" i="2"/>
  <c r="AC361" i="2"/>
  <c r="Y361" i="2"/>
  <c r="AC353" i="2"/>
  <c r="Y353" i="2"/>
  <c r="AC345" i="2"/>
  <c r="Y345" i="2"/>
  <c r="AC337" i="2"/>
  <c r="Y337" i="2"/>
  <c r="AC329" i="2"/>
  <c r="Y329" i="2"/>
  <c r="AC321" i="2"/>
  <c r="Y321" i="2"/>
  <c r="AC313" i="2"/>
  <c r="Y313" i="2"/>
  <c r="AC305" i="2"/>
  <c r="Y305" i="2"/>
  <c r="AC297" i="2"/>
  <c r="Y297" i="2"/>
  <c r="AC289" i="2"/>
  <c r="Y289" i="2"/>
  <c r="AC273" i="2"/>
  <c r="Y273" i="2"/>
  <c r="AC271" i="2"/>
  <c r="Y271" i="2"/>
  <c r="AC269" i="2"/>
  <c r="Y269" i="2"/>
  <c r="AC267" i="2"/>
  <c r="Y267" i="2"/>
  <c r="AC265" i="2"/>
  <c r="Y265" i="2"/>
  <c r="AC263" i="2"/>
  <c r="Y263" i="2"/>
  <c r="AC261" i="2"/>
  <c r="Y261" i="2"/>
  <c r="AC259" i="2"/>
  <c r="Y259" i="2"/>
  <c r="AC257" i="2"/>
  <c r="Y257" i="2"/>
  <c r="AC245" i="2"/>
  <c r="Y245" i="2"/>
  <c r="AC237" i="2"/>
  <c r="Y237" i="2"/>
  <c r="AC229" i="2"/>
  <c r="Y229" i="2"/>
  <c r="AC221" i="2"/>
  <c r="Y221" i="2"/>
  <c r="AC213" i="2"/>
  <c r="Y213" i="2"/>
  <c r="AC205" i="2"/>
  <c r="Y205" i="2"/>
  <c r="AC197" i="2"/>
  <c r="Y197" i="2"/>
  <c r="AC189" i="2"/>
  <c r="Y189" i="2"/>
  <c r="AC181" i="2"/>
  <c r="Y181" i="2"/>
  <c r="AC173" i="2"/>
  <c r="Y173" i="2"/>
  <c r="AC165" i="2"/>
  <c r="Y165" i="2"/>
  <c r="AC157" i="2"/>
  <c r="Y157" i="2"/>
  <c r="AC141" i="2"/>
  <c r="Y141" i="2"/>
  <c r="AC133" i="2"/>
  <c r="Y133" i="2"/>
  <c r="AC125" i="2"/>
  <c r="Y125" i="2"/>
  <c r="AC117" i="2"/>
  <c r="Y117" i="2"/>
  <c r="AC109" i="2"/>
  <c r="Y109" i="2"/>
  <c r="AC101" i="2"/>
  <c r="Y101" i="2"/>
  <c r="AC93" i="2"/>
  <c r="Y93" i="2"/>
  <c r="AC85" i="2"/>
  <c r="Y85" i="2"/>
  <c r="AC77" i="2"/>
  <c r="Y77" i="2"/>
  <c r="AC69" i="2"/>
  <c r="Y69" i="2"/>
  <c r="AC61" i="2"/>
  <c r="Y61" i="2"/>
  <c r="AC53" i="2"/>
  <c r="Y53" i="2"/>
  <c r="AC45" i="2"/>
  <c r="Y45" i="2"/>
  <c r="AC37" i="2"/>
  <c r="Y37" i="2"/>
  <c r="AC488" i="2"/>
  <c r="Y488" i="2"/>
  <c r="AC480" i="2"/>
  <c r="Y480" i="2"/>
  <c r="AC472" i="2"/>
  <c r="Y472" i="2"/>
  <c r="AC464" i="2"/>
  <c r="Y464" i="2"/>
  <c r="AC412" i="2"/>
  <c r="Y412" i="2"/>
  <c r="AC404" i="2"/>
  <c r="Y404" i="2"/>
  <c r="AC396" i="2"/>
  <c r="Y396" i="2"/>
  <c r="AC388" i="2"/>
  <c r="Y388" i="2"/>
  <c r="AC380" i="2"/>
  <c r="Y380" i="2"/>
  <c r="AC364" i="2"/>
  <c r="Y364" i="2"/>
  <c r="AC348" i="2"/>
  <c r="Y348" i="2"/>
  <c r="AC340" i="2"/>
  <c r="Y340" i="2"/>
  <c r="AC332" i="2"/>
  <c r="Y332" i="2"/>
  <c r="AC324" i="2"/>
  <c r="Y324" i="2"/>
  <c r="AC316" i="2"/>
  <c r="Y316" i="2"/>
  <c r="AC308" i="2"/>
  <c r="Y308" i="2"/>
  <c r="AC300" i="2"/>
  <c r="Y300" i="2"/>
  <c r="AC292" i="2"/>
  <c r="Y292" i="2"/>
  <c r="AC232" i="2"/>
  <c r="Y232" i="2"/>
  <c r="AC224" i="2"/>
  <c r="Y224" i="2"/>
  <c r="AC216" i="2"/>
  <c r="Y216" i="2"/>
  <c r="AC200" i="2"/>
  <c r="Y200" i="2"/>
  <c r="AC192" i="2"/>
  <c r="Y192" i="2"/>
  <c r="AC184" i="2"/>
  <c r="Y184" i="2"/>
  <c r="AC144" i="2"/>
  <c r="Y144" i="2"/>
  <c r="AC136" i="2"/>
  <c r="Y136" i="2"/>
  <c r="AC128" i="2"/>
  <c r="Y128" i="2"/>
  <c r="AC120" i="2"/>
  <c r="Y120" i="2"/>
  <c r="AC112" i="2"/>
  <c r="Y112" i="2"/>
  <c r="AC104" i="2"/>
  <c r="Y104" i="2"/>
  <c r="AC96" i="2"/>
  <c r="Y96" i="2"/>
  <c r="AC88" i="2"/>
  <c r="Y88" i="2"/>
  <c r="AC80" i="2"/>
  <c r="Y80" i="2"/>
  <c r="AC72" i="2"/>
  <c r="Y72" i="2"/>
  <c r="AC64" i="2"/>
  <c r="Y64" i="2"/>
  <c r="AC56" i="2"/>
  <c r="Y56" i="2"/>
  <c r="AC48" i="2"/>
  <c r="Y48" i="2"/>
  <c r="AC40" i="2"/>
  <c r="Y40" i="2"/>
  <c r="AC24" i="2"/>
  <c r="Y24" i="2"/>
  <c r="AC19" i="2"/>
  <c r="Y19" i="2"/>
  <c r="AC483" i="2"/>
  <c r="Y483" i="2"/>
  <c r="AC475" i="2"/>
  <c r="Y475" i="2"/>
  <c r="AC467" i="2"/>
  <c r="Y467" i="2"/>
  <c r="I55" i="5"/>
  <c r="AC439" i="2"/>
  <c r="Y439" i="2"/>
  <c r="AC431" i="2"/>
  <c r="Y431" i="2"/>
  <c r="AC423" i="2"/>
  <c r="Y423" i="2"/>
  <c r="AC415" i="2"/>
  <c r="Y415" i="2"/>
  <c r="AC407" i="2"/>
  <c r="Y407" i="2"/>
  <c r="AC399" i="2"/>
  <c r="Y399" i="2"/>
  <c r="AC391" i="2"/>
  <c r="Y391" i="2"/>
  <c r="AC383" i="2"/>
  <c r="Y383" i="2"/>
  <c r="AC375" i="2"/>
  <c r="Y375" i="2"/>
  <c r="AC367" i="2"/>
  <c r="Y367" i="2"/>
  <c r="AC359" i="2"/>
  <c r="Y359" i="2"/>
  <c r="AC351" i="2"/>
  <c r="Y351" i="2"/>
  <c r="AC343" i="2"/>
  <c r="Y343" i="2"/>
  <c r="AC335" i="2"/>
  <c r="Y335" i="2"/>
  <c r="AC327" i="2"/>
  <c r="Y327" i="2"/>
  <c r="AC319" i="2"/>
  <c r="Y319" i="2"/>
  <c r="AC311" i="2"/>
  <c r="Y311" i="2"/>
  <c r="AC303" i="2"/>
  <c r="Y303" i="2"/>
  <c r="AC295" i="2"/>
  <c r="Y295" i="2"/>
  <c r="AC287" i="2"/>
  <c r="Y287" i="2"/>
  <c r="AC243" i="2"/>
  <c r="Y243" i="2"/>
  <c r="AC235" i="2"/>
  <c r="Y235" i="2"/>
  <c r="AC227" i="2"/>
  <c r="Y227" i="2"/>
  <c r="AC219" i="2"/>
  <c r="Y219" i="2"/>
  <c r="AC211" i="2"/>
  <c r="Y211" i="2"/>
  <c r="AC203" i="2"/>
  <c r="Y203" i="2"/>
  <c r="AC195" i="2"/>
  <c r="Y195" i="2"/>
  <c r="AC187" i="2"/>
  <c r="Y187" i="2"/>
  <c r="AC179" i="2"/>
  <c r="Y179" i="2"/>
  <c r="AC171" i="2"/>
  <c r="Y171" i="2"/>
  <c r="AC163" i="2"/>
  <c r="Y163" i="2"/>
  <c r="AC155" i="2"/>
  <c r="Y155" i="2"/>
  <c r="AC147" i="2"/>
  <c r="Y147" i="2"/>
  <c r="AC139" i="2"/>
  <c r="Y139" i="2"/>
  <c r="AC131" i="2"/>
  <c r="Y131" i="2"/>
  <c r="AC123" i="2"/>
  <c r="Y123" i="2"/>
  <c r="AC115" i="2"/>
  <c r="Y115" i="2"/>
  <c r="AC107" i="2"/>
  <c r="Y107" i="2"/>
  <c r="AC99" i="2"/>
  <c r="Y99" i="2"/>
  <c r="AC91" i="2"/>
  <c r="Y91" i="2"/>
  <c r="AC83" i="2"/>
  <c r="Y83" i="2"/>
  <c r="AC75" i="2"/>
  <c r="Y75" i="2"/>
  <c r="AC67" i="2"/>
  <c r="Y67" i="2"/>
  <c r="AC59" i="2"/>
  <c r="Y59" i="2"/>
  <c r="AC51" i="2"/>
  <c r="Y51" i="2"/>
  <c r="AC43" i="2"/>
  <c r="Y43" i="2"/>
  <c r="AC27" i="2"/>
  <c r="Y27" i="2"/>
  <c r="AC486" i="2"/>
  <c r="Y486" i="2"/>
  <c r="AC478" i="2"/>
  <c r="Y478" i="2"/>
  <c r="AC470" i="2"/>
  <c r="Y470" i="2"/>
  <c r="AC462" i="2"/>
  <c r="Y462" i="2"/>
  <c r="AC450" i="2"/>
  <c r="Y450" i="2"/>
  <c r="AC424" i="2"/>
  <c r="Y424" i="2"/>
  <c r="AC384" i="2"/>
  <c r="Y384" i="2"/>
  <c r="AC368" i="2"/>
  <c r="Y368" i="2"/>
  <c r="AC328" i="2"/>
  <c r="Y328" i="2"/>
  <c r="AC304" i="2"/>
  <c r="Y304" i="2"/>
  <c r="AC164" i="2"/>
  <c r="Y164" i="2"/>
  <c r="AC116" i="2"/>
  <c r="Y116" i="2"/>
  <c r="AC108" i="2"/>
  <c r="Y108" i="2"/>
  <c r="Z6" i="2"/>
  <c r="AF6" i="2"/>
  <c r="AW26" i="2" s="1"/>
  <c r="AE6" i="2"/>
  <c r="AD6" i="2"/>
  <c r="AC436" i="2"/>
  <c r="Y436" i="2"/>
  <c r="AC444" i="2"/>
  <c r="Y444" i="2"/>
  <c r="AC457" i="2"/>
  <c r="Y457" i="2"/>
  <c r="AC452" i="2"/>
  <c r="Y452" i="2"/>
  <c r="AC426" i="2"/>
  <c r="Y426" i="2"/>
  <c r="AC418" i="2"/>
  <c r="Y418" i="2"/>
  <c r="AC402" i="2"/>
  <c r="Y402" i="2"/>
  <c r="AC386" i="2"/>
  <c r="Y386" i="2"/>
  <c r="AC378" i="2"/>
  <c r="Y378" i="2"/>
  <c r="AC362" i="2"/>
  <c r="Y362" i="2"/>
  <c r="AC354" i="2"/>
  <c r="Y354" i="2"/>
  <c r="AC346" i="2"/>
  <c r="Y346" i="2"/>
  <c r="AC338" i="2"/>
  <c r="Y338" i="2"/>
  <c r="AC330" i="2"/>
  <c r="Y330" i="2"/>
  <c r="AC322" i="2"/>
  <c r="Y322" i="2"/>
  <c r="AC314" i="2"/>
  <c r="Y314" i="2"/>
  <c r="AC306" i="2"/>
  <c r="Y306" i="2"/>
  <c r="AC298" i="2"/>
  <c r="Y298" i="2"/>
  <c r="AC290" i="2"/>
  <c r="Y290" i="2"/>
  <c r="AC238" i="2"/>
  <c r="Y238" i="2"/>
  <c r="AC230" i="2"/>
  <c r="Y230" i="2"/>
  <c r="AC222" i="2"/>
  <c r="Y222" i="2"/>
  <c r="AC214" i="2"/>
  <c r="Y214" i="2"/>
  <c r="AC206" i="2"/>
  <c r="Y206" i="2"/>
  <c r="AC198" i="2"/>
  <c r="Y198" i="2"/>
  <c r="AC190" i="2"/>
  <c r="Y190" i="2"/>
  <c r="AC182" i="2"/>
  <c r="Y182" i="2"/>
  <c r="AC174" i="2"/>
  <c r="Y174" i="2"/>
  <c r="AC166" i="2"/>
  <c r="Y166" i="2"/>
  <c r="AC158" i="2"/>
  <c r="Y158" i="2"/>
  <c r="AC142" i="2"/>
  <c r="Y142" i="2"/>
  <c r="AC134" i="2"/>
  <c r="Y134" i="2"/>
  <c r="AC126" i="2"/>
  <c r="Y126" i="2"/>
  <c r="AC118" i="2"/>
  <c r="Y118" i="2"/>
  <c r="AC110" i="2"/>
  <c r="Y110" i="2"/>
  <c r="AC102" i="2"/>
  <c r="Y102" i="2"/>
  <c r="AC94" i="2"/>
  <c r="Y94" i="2"/>
  <c r="AC86" i="2"/>
  <c r="Y86" i="2"/>
  <c r="AC78" i="2"/>
  <c r="Y78" i="2"/>
  <c r="AC70" i="2"/>
  <c r="Y70" i="2"/>
  <c r="AC62" i="2"/>
  <c r="Y62" i="2"/>
  <c r="AC54" i="2"/>
  <c r="Y54" i="2"/>
  <c r="AC46" i="2"/>
  <c r="Y46" i="2"/>
  <c r="AC38" i="2"/>
  <c r="Y38" i="2"/>
  <c r="AC22" i="2"/>
  <c r="Y22" i="2"/>
  <c r="AC481" i="2"/>
  <c r="Y481" i="2"/>
  <c r="AC473" i="2"/>
  <c r="Y473" i="2"/>
  <c r="AC465" i="2"/>
  <c r="Y465" i="2"/>
  <c r="AC440" i="2"/>
  <c r="Y440" i="2"/>
  <c r="AC204" i="2"/>
  <c r="Y204" i="2"/>
  <c r="AC188" i="2"/>
  <c r="Y188" i="2"/>
  <c r="AC180" i="2"/>
  <c r="Y180" i="2"/>
  <c r="AC172" i="2"/>
  <c r="Y172" i="2"/>
  <c r="AC459" i="2"/>
  <c r="Y459" i="2"/>
  <c r="AC446" i="2"/>
  <c r="Y446" i="2"/>
  <c r="AC420" i="2"/>
  <c r="Y420" i="2"/>
  <c r="AC449" i="2"/>
  <c r="Y449" i="2"/>
  <c r="AC434" i="2"/>
  <c r="Y434" i="2"/>
  <c r="AC410" i="2"/>
  <c r="Y410" i="2"/>
  <c r="AC394" i="2"/>
  <c r="Y394" i="2"/>
  <c r="AC370" i="2"/>
  <c r="Y370" i="2"/>
  <c r="AC460" i="2"/>
  <c r="Y460" i="2"/>
  <c r="AC455" i="2"/>
  <c r="Y455" i="2"/>
  <c r="AC447" i="2"/>
  <c r="Y447" i="2"/>
  <c r="AC442" i="2"/>
  <c r="Y442" i="2"/>
  <c r="AC437" i="2"/>
  <c r="Y437" i="2"/>
  <c r="AC429" i="2"/>
  <c r="Y429" i="2"/>
  <c r="AC421" i="2"/>
  <c r="Y421" i="2"/>
  <c r="AC413" i="2"/>
  <c r="Y413" i="2"/>
  <c r="AC405" i="2"/>
  <c r="Y405" i="2"/>
  <c r="AC397" i="2"/>
  <c r="Y397" i="2"/>
  <c r="AC389" i="2"/>
  <c r="Y389" i="2"/>
  <c r="AC381" i="2"/>
  <c r="Y381" i="2"/>
  <c r="AC373" i="2"/>
  <c r="Y373" i="2"/>
  <c r="AC365" i="2"/>
  <c r="Y365" i="2"/>
  <c r="AC357" i="2"/>
  <c r="Y357" i="2"/>
  <c r="AC349" i="2"/>
  <c r="Y349" i="2"/>
  <c r="AC341" i="2"/>
  <c r="Y341" i="2"/>
  <c r="AC333" i="2"/>
  <c r="Y333" i="2"/>
  <c r="AC325" i="2"/>
  <c r="Y325" i="2"/>
  <c r="AC317" i="2"/>
  <c r="Y317" i="2"/>
  <c r="AC309" i="2"/>
  <c r="Y309" i="2"/>
  <c r="AC301" i="2"/>
  <c r="Y301" i="2"/>
  <c r="AC293" i="2"/>
  <c r="Y293" i="2"/>
  <c r="AC272" i="2"/>
  <c r="Y272" i="2"/>
  <c r="AC270" i="2"/>
  <c r="Y270" i="2"/>
  <c r="AC268" i="2"/>
  <c r="Y268" i="2"/>
  <c r="AC266" i="2"/>
  <c r="Y266" i="2"/>
  <c r="AC264" i="2"/>
  <c r="Y264" i="2"/>
  <c r="AC262" i="2"/>
  <c r="Y262" i="2"/>
  <c r="AC260" i="2"/>
  <c r="Y260" i="2"/>
  <c r="AC258" i="2"/>
  <c r="Y258" i="2"/>
  <c r="AC256" i="2"/>
  <c r="Y256" i="2"/>
  <c r="AC241" i="2"/>
  <c r="Y241" i="2"/>
  <c r="AC233" i="2"/>
  <c r="Y233" i="2"/>
  <c r="AC225" i="2"/>
  <c r="Y225" i="2"/>
  <c r="AC217" i="2"/>
  <c r="Y217" i="2"/>
  <c r="AC209" i="2"/>
  <c r="Y209" i="2"/>
  <c r="AC201" i="2"/>
  <c r="Y201" i="2"/>
  <c r="AC193" i="2"/>
  <c r="Y193" i="2"/>
  <c r="AC185" i="2"/>
  <c r="Y185" i="2"/>
  <c r="AC177" i="2"/>
  <c r="Y177" i="2"/>
  <c r="AC169" i="2"/>
  <c r="Y169" i="2"/>
  <c r="AC161" i="2"/>
  <c r="Y161" i="2"/>
  <c r="AC153" i="2"/>
  <c r="Y153" i="2"/>
  <c r="AC145" i="2"/>
  <c r="Y145" i="2"/>
  <c r="AC137" i="2"/>
  <c r="Y137" i="2"/>
  <c r="AC129" i="2"/>
  <c r="Y129" i="2"/>
  <c r="AC121" i="2"/>
  <c r="Y121" i="2"/>
  <c r="AC113" i="2"/>
  <c r="Y113" i="2"/>
  <c r="AC105" i="2"/>
  <c r="Y105" i="2"/>
  <c r="AC97" i="2"/>
  <c r="Y97" i="2"/>
  <c r="AC89" i="2"/>
  <c r="Y89" i="2"/>
  <c r="AC81" i="2"/>
  <c r="Y81" i="2"/>
  <c r="AC73" i="2"/>
  <c r="Y73" i="2"/>
  <c r="AC65" i="2"/>
  <c r="Y65" i="2"/>
  <c r="AC57" i="2"/>
  <c r="Y57" i="2"/>
  <c r="AC49" i="2"/>
  <c r="Y49" i="2"/>
  <c r="AC41" i="2"/>
  <c r="Y41" i="2"/>
  <c r="AC33" i="2"/>
  <c r="Y33" i="2"/>
  <c r="AC25" i="2"/>
  <c r="Y25" i="2"/>
  <c r="AC20" i="2"/>
  <c r="Y20" i="2"/>
  <c r="AC484" i="2"/>
  <c r="Y484" i="2"/>
  <c r="AC476" i="2"/>
  <c r="Y476" i="2"/>
  <c r="AC468" i="2"/>
  <c r="Y468" i="2"/>
  <c r="AC392" i="2"/>
  <c r="Y392" i="2"/>
  <c r="AC376" i="2"/>
  <c r="Y376" i="2"/>
  <c r="AC344" i="2"/>
  <c r="Y344" i="2"/>
  <c r="AC320" i="2"/>
  <c r="Y320" i="2"/>
  <c r="AC236" i="2"/>
  <c r="Y236" i="2"/>
  <c r="AC220" i="2"/>
  <c r="Y220" i="2"/>
  <c r="AC212" i="2"/>
  <c r="Y212" i="2"/>
  <c r="AC156" i="2"/>
  <c r="Y156" i="2"/>
  <c r="AC124" i="2"/>
  <c r="Y124" i="2"/>
  <c r="AC92" i="2"/>
  <c r="Y92" i="2"/>
  <c r="AC68" i="2"/>
  <c r="Y68" i="2"/>
  <c r="AC52" i="2"/>
  <c r="Y52" i="2"/>
  <c r="AC44" i="2"/>
  <c r="Y44" i="2"/>
  <c r="AC479" i="2"/>
  <c r="Y479" i="2"/>
  <c r="AC463" i="2"/>
  <c r="Y463" i="2"/>
  <c r="AC416" i="2"/>
  <c r="Y416" i="2"/>
  <c r="AC360" i="2"/>
  <c r="Y360" i="2"/>
  <c r="AC352" i="2"/>
  <c r="Y352" i="2"/>
  <c r="AC296" i="2"/>
  <c r="Y296" i="2"/>
  <c r="AC228" i="2"/>
  <c r="Y228" i="2"/>
  <c r="AC196" i="2"/>
  <c r="Y196" i="2"/>
  <c r="AC148" i="2"/>
  <c r="Y148" i="2"/>
  <c r="AC132" i="2"/>
  <c r="Y132" i="2"/>
  <c r="AC458" i="2"/>
  <c r="Y458" i="2"/>
  <c r="AC411" i="2"/>
  <c r="Y411" i="2"/>
  <c r="AC403" i="2"/>
  <c r="Y403" i="2"/>
  <c r="AC379" i="2"/>
  <c r="Y379" i="2"/>
  <c r="AC347" i="2"/>
  <c r="Y347" i="2"/>
  <c r="AC339" i="2"/>
  <c r="Y339" i="2"/>
  <c r="AC331" i="2"/>
  <c r="Y331" i="2"/>
  <c r="AC291" i="2"/>
  <c r="Y291" i="2"/>
  <c r="AC239" i="2"/>
  <c r="Y239" i="2"/>
  <c r="AC231" i="2"/>
  <c r="Y231" i="2"/>
  <c r="AC223" i="2"/>
  <c r="Y223" i="2"/>
  <c r="AC215" i="2"/>
  <c r="Y215" i="2"/>
  <c r="AC207" i="2"/>
  <c r="Y207" i="2"/>
  <c r="AC199" i="2"/>
  <c r="Y199" i="2"/>
  <c r="AC191" i="2"/>
  <c r="Y191" i="2"/>
  <c r="AC183" i="2"/>
  <c r="Y183" i="2"/>
  <c r="AC175" i="2"/>
  <c r="Y175" i="2"/>
  <c r="AC167" i="2"/>
  <c r="Y167" i="2"/>
  <c r="AC159" i="2"/>
  <c r="Y159" i="2"/>
  <c r="AC143" i="2"/>
  <c r="Y143" i="2"/>
  <c r="AC135" i="2"/>
  <c r="Y135" i="2"/>
  <c r="AC127" i="2"/>
  <c r="Y127" i="2"/>
  <c r="AC119" i="2"/>
  <c r="Y119" i="2"/>
  <c r="AC111" i="2"/>
  <c r="Y111" i="2"/>
  <c r="AC103" i="2"/>
  <c r="Y103" i="2"/>
  <c r="AC95" i="2"/>
  <c r="Y95" i="2"/>
  <c r="AC87" i="2"/>
  <c r="Y87" i="2"/>
  <c r="AC79" i="2"/>
  <c r="Y79" i="2"/>
  <c r="AC71" i="2"/>
  <c r="Y71" i="2"/>
  <c r="AC63" i="2"/>
  <c r="Y63" i="2"/>
  <c r="AC55" i="2"/>
  <c r="Y55" i="2"/>
  <c r="AC47" i="2"/>
  <c r="Y47" i="2"/>
  <c r="AC39" i="2"/>
  <c r="Y39" i="2"/>
  <c r="AC23" i="2"/>
  <c r="Y23" i="2"/>
  <c r="AC18" i="2"/>
  <c r="Y18" i="2"/>
  <c r="AC482" i="2"/>
  <c r="Y482" i="2"/>
  <c r="AC474" i="2"/>
  <c r="Y474" i="2"/>
  <c r="AC466" i="2"/>
  <c r="Y466" i="2"/>
  <c r="AC454" i="2"/>
  <c r="E53" i="2"/>
  <c r="F59" i="5"/>
  <c r="E52" i="2"/>
  <c r="F58" i="5"/>
  <c r="AN6" i="2"/>
  <c r="AW27" i="2"/>
  <c r="F56" i="5"/>
  <c r="J58" i="2"/>
  <c r="J60" i="2" s="1"/>
  <c r="H41" i="24"/>
  <c r="H47" i="24" s="1"/>
  <c r="H48" i="24" s="1"/>
  <c r="AC240" i="2"/>
  <c r="AC208" i="2"/>
  <c r="AC176" i="2"/>
  <c r="AC168" i="2"/>
  <c r="AC160" i="2"/>
  <c r="AC372" i="2"/>
  <c r="AC356" i="2"/>
  <c r="AC487" i="2"/>
  <c r="AC471" i="2"/>
  <c r="F67" i="5" l="1"/>
  <c r="E54" i="2"/>
  <c r="E56" i="2" s="1"/>
  <c r="AC6" i="2"/>
  <c r="N61" i="5"/>
  <c r="Y6" i="2"/>
  <c r="E45" i="2" s="1"/>
  <c r="I54" i="5"/>
  <c r="AW28" i="2"/>
  <c r="L55" i="5"/>
  <c r="F55" i="5"/>
  <c r="E55" i="5" s="1"/>
  <c r="E46" i="2"/>
  <c r="E59" i="5"/>
  <c r="H59" i="5"/>
  <c r="E58" i="5"/>
  <c r="H58" i="5"/>
  <c r="I56" i="5"/>
  <c r="D9" i="24"/>
  <c r="L9" i="24" s="1"/>
  <c r="E35" i="24"/>
  <c r="D20" i="24"/>
  <c r="L20" i="24" s="1"/>
  <c r="L54" i="5" l="1"/>
  <c r="I61" i="5"/>
  <c r="AB6" i="2"/>
  <c r="F54" i="5"/>
  <c r="F66" i="5" s="1"/>
  <c r="F69" i="5" s="1"/>
  <c r="E47" i="2"/>
  <c r="E49" i="2" s="1"/>
  <c r="H55" i="5"/>
  <c r="I66" i="5"/>
  <c r="L56" i="5"/>
  <c r="D28" i="24"/>
  <c r="D32" i="24" s="1"/>
  <c r="E41" i="24"/>
  <c r="E47" i="24" s="1"/>
  <c r="L35" i="24"/>
  <c r="E37" i="24"/>
  <c r="D10" i="24"/>
  <c r="N9" i="24"/>
  <c r="P9" i="24" s="1"/>
  <c r="I69" i="5" l="1"/>
  <c r="C97" i="24" s="1"/>
  <c r="C111" i="24" s="1"/>
  <c r="H54" i="5"/>
  <c r="H61" i="5" s="1"/>
  <c r="F61" i="5"/>
  <c r="E54" i="5"/>
  <c r="E61" i="5" s="1"/>
  <c r="D41" i="24"/>
  <c r="D47" i="24" s="1"/>
  <c r="D48" i="24" s="1"/>
  <c r="D27" i="13"/>
  <c r="C50" i="24"/>
  <c r="C85" i="24" s="1"/>
  <c r="K38" i="5"/>
  <c r="D9" i="13"/>
  <c r="AW29" i="2"/>
  <c r="AW30" i="2" s="1"/>
  <c r="L61" i="5"/>
  <c r="L66" i="5"/>
  <c r="L69" i="5" s="1"/>
  <c r="L37" i="24"/>
  <c r="N35" i="24"/>
  <c r="N37" i="24" s="1"/>
  <c r="E48" i="24"/>
  <c r="N20" i="24"/>
  <c r="P20" i="24" l="1"/>
  <c r="F30" i="24"/>
  <c r="F32" i="24" s="1"/>
  <c r="F41" i="24" s="1"/>
  <c r="F47" i="24" l="1"/>
  <c r="F48" i="24" s="1"/>
  <c r="E50" i="13" l="1"/>
  <c r="E54" i="13" s="1"/>
  <c r="E56" i="13" l="1"/>
  <c r="D35" i="13" s="1"/>
  <c r="L18" i="24" l="1"/>
  <c r="J28" i="24"/>
  <c r="N18" i="24" l="1"/>
  <c r="L28" i="24"/>
  <c r="P18" i="24" l="1"/>
  <c r="P28" i="24" s="1"/>
  <c r="N28" i="24"/>
  <c r="C72" i="24" l="1"/>
  <c r="L30" i="24" l="1"/>
  <c r="J32" i="24"/>
  <c r="J41" i="24" s="1"/>
  <c r="J47" i="24" s="1"/>
  <c r="J48" i="24" s="1"/>
  <c r="N30" i="24" l="1"/>
  <c r="L32" i="24"/>
  <c r="P30" i="24" l="1"/>
  <c r="N32" i="24"/>
  <c r="K9" i="2"/>
  <c r="E10" i="5" s="1"/>
  <c r="F10" i="5" s="1"/>
  <c r="C73" i="24" l="1"/>
  <c r="P32" i="24"/>
  <c r="N9" i="2"/>
  <c r="H10" i="5" s="1"/>
  <c r="I10" i="5" s="1"/>
  <c r="K33" i="2"/>
  <c r="E34" i="5" s="1"/>
  <c r="F34" i="5" s="1"/>
  <c r="K42" i="2"/>
  <c r="E43" i="5" s="1"/>
  <c r="F43" i="5" s="1"/>
  <c r="K34" i="2"/>
  <c r="E35" i="5" s="1"/>
  <c r="F35" i="5" s="1"/>
  <c r="K26" i="2"/>
  <c r="E27" i="5" s="1"/>
  <c r="F27" i="5" s="1"/>
  <c r="K18" i="2"/>
  <c r="E19" i="5" s="1"/>
  <c r="F19" i="5" s="1"/>
  <c r="K17" i="2"/>
  <c r="E18" i="5" s="1"/>
  <c r="K19" i="2"/>
  <c r="E20" i="5" s="1"/>
  <c r="F20" i="5" s="1"/>
  <c r="K25" i="2"/>
  <c r="E26" i="5" s="1"/>
  <c r="F26" i="5" s="1"/>
  <c r="K39" i="2"/>
  <c r="E40" i="5" s="1"/>
  <c r="F40" i="5" s="1"/>
  <c r="K22" i="2"/>
  <c r="E23" i="5" s="1"/>
  <c r="F23" i="5" s="1"/>
  <c r="K29" i="2"/>
  <c r="E30" i="5" s="1"/>
  <c r="F30" i="5" s="1"/>
  <c r="K31" i="2"/>
  <c r="E32" i="5" s="1"/>
  <c r="F32" i="5" s="1"/>
  <c r="K21" i="2"/>
  <c r="E22" i="5" s="1"/>
  <c r="F22" i="5" s="1"/>
  <c r="K23" i="2"/>
  <c r="E24" i="5" s="1"/>
  <c r="F24" i="5" s="1"/>
  <c r="K30" i="2"/>
  <c r="E31" i="5" s="1"/>
  <c r="F31" i="5" s="1"/>
  <c r="K10" i="2"/>
  <c r="E11" i="5" s="1"/>
  <c r="F11" i="5" s="1"/>
  <c r="K20" i="2"/>
  <c r="E21" i="5" s="1"/>
  <c r="F21" i="5" s="1"/>
  <c r="K40" i="2"/>
  <c r="E41" i="5" s="1"/>
  <c r="F41" i="5" s="1"/>
  <c r="K11" i="2"/>
  <c r="E12" i="5" s="1"/>
  <c r="F12" i="5" s="1"/>
  <c r="K13" i="2"/>
  <c r="E14" i="5" s="1"/>
  <c r="F14" i="5" s="1"/>
  <c r="K36" i="2"/>
  <c r="E37" i="5" s="1"/>
  <c r="F37" i="5" s="1"/>
  <c r="K32" i="2"/>
  <c r="E33" i="5" s="1"/>
  <c r="F33" i="5" s="1"/>
  <c r="K41" i="2"/>
  <c r="E42" i="5" s="1"/>
  <c r="F42" i="5" s="1"/>
  <c r="K28" i="2"/>
  <c r="E29" i="5" s="1"/>
  <c r="F29" i="5" s="1"/>
  <c r="K24" i="2"/>
  <c r="E25" i="5" s="1"/>
  <c r="F25" i="5" s="1"/>
  <c r="K38" i="2"/>
  <c r="E39" i="5" s="1"/>
  <c r="F39" i="5" s="1"/>
  <c r="F18" i="5" l="1"/>
  <c r="L10" i="5"/>
  <c r="N10" i="5"/>
  <c r="C5" i="3" s="1"/>
  <c r="N34" i="2"/>
  <c r="H35" i="5" s="1"/>
  <c r="I35" i="5" s="1"/>
  <c r="L35" i="5" s="1"/>
  <c r="N19" i="2"/>
  <c r="H20" i="5" s="1"/>
  <c r="I20" i="5" s="1"/>
  <c r="L20" i="5" s="1"/>
  <c r="Q14" i="24" s="1"/>
  <c r="R14" i="24" s="1"/>
  <c r="N42" i="2"/>
  <c r="H43" i="5" s="1"/>
  <c r="I43" i="5" s="1"/>
  <c r="L43" i="5" s="1"/>
  <c r="Q26" i="24" s="1"/>
  <c r="R26" i="24" s="1"/>
  <c r="N17" i="2"/>
  <c r="H18" i="5" s="1"/>
  <c r="N25" i="2"/>
  <c r="H26" i="5" s="1"/>
  <c r="I26" i="5" s="1"/>
  <c r="L26" i="5" s="1"/>
  <c r="N33" i="2"/>
  <c r="H34" i="5" s="1"/>
  <c r="I34" i="5" s="1"/>
  <c r="L34" i="5" s="1"/>
  <c r="N26" i="2"/>
  <c r="H27" i="5" s="1"/>
  <c r="I27" i="5" s="1"/>
  <c r="L27" i="5" s="1"/>
  <c r="N18" i="2"/>
  <c r="H19" i="5" s="1"/>
  <c r="I19" i="5" s="1"/>
  <c r="L19" i="5" s="1"/>
  <c r="N40" i="2"/>
  <c r="H41" i="5" s="1"/>
  <c r="I41" i="5" s="1"/>
  <c r="L41" i="5" s="1"/>
  <c r="Q15" i="24" s="1"/>
  <c r="R15" i="24" s="1"/>
  <c r="N32" i="2"/>
  <c r="H33" i="5" s="1"/>
  <c r="I33" i="5" s="1"/>
  <c r="L33" i="5" s="1"/>
  <c r="Q22" i="24" s="1"/>
  <c r="R22" i="24" s="1"/>
  <c r="N38" i="2"/>
  <c r="N28" i="2"/>
  <c r="H29" i="5" s="1"/>
  <c r="I29" i="5" s="1"/>
  <c r="L29" i="5" s="1"/>
  <c r="N13" i="2"/>
  <c r="H14" i="5" s="1"/>
  <c r="I14" i="5" s="1"/>
  <c r="N21" i="2"/>
  <c r="H22" i="5" s="1"/>
  <c r="I22" i="5" s="1"/>
  <c r="L22" i="5" s="1"/>
  <c r="N10" i="2"/>
  <c r="H11" i="5" s="1"/>
  <c r="I11" i="5" s="1"/>
  <c r="N31" i="2"/>
  <c r="N20" i="2"/>
  <c r="H21" i="5" s="1"/>
  <c r="I21" i="5" s="1"/>
  <c r="L21" i="5" s="1"/>
  <c r="Q17" i="24" s="1"/>
  <c r="R17" i="24" s="1"/>
  <c r="N23" i="2"/>
  <c r="H24" i="5" s="1"/>
  <c r="I24" i="5" s="1"/>
  <c r="L24" i="5" s="1"/>
  <c r="N41" i="2"/>
  <c r="H42" i="5" s="1"/>
  <c r="I42" i="5" s="1"/>
  <c r="L42" i="5" s="1"/>
  <c r="N11" i="2"/>
  <c r="H12" i="5" s="1"/>
  <c r="I12" i="5" s="1"/>
  <c r="N24" i="2"/>
  <c r="H25" i="5" s="1"/>
  <c r="I25" i="5" s="1"/>
  <c r="L25" i="5" s="1"/>
  <c r="N36" i="2"/>
  <c r="H37" i="5" s="1"/>
  <c r="I37" i="5" s="1"/>
  <c r="L37" i="5" s="1"/>
  <c r="Q24" i="24" s="1"/>
  <c r="R24" i="24" s="1"/>
  <c r="N30" i="2"/>
  <c r="H31" i="5" s="1"/>
  <c r="I31" i="5" s="1"/>
  <c r="L31" i="5" s="1"/>
  <c r="N29" i="2"/>
  <c r="H30" i="5" s="1"/>
  <c r="I30" i="5" s="1"/>
  <c r="L30" i="5" s="1"/>
  <c r="N22" i="2"/>
  <c r="H23" i="5" s="1"/>
  <c r="I23" i="5" s="1"/>
  <c r="L23" i="5" s="1"/>
  <c r="N39" i="2"/>
  <c r="H40" i="5" s="1"/>
  <c r="I40" i="5" s="1"/>
  <c r="L40" i="5" s="1"/>
  <c r="Q25" i="24" s="1"/>
  <c r="R25" i="24" s="1"/>
  <c r="Q23" i="24" l="1"/>
  <c r="R23" i="24" s="1"/>
  <c r="Q19" i="24"/>
  <c r="R19" i="24" s="1"/>
  <c r="N11" i="5"/>
  <c r="C6" i="3" s="1"/>
  <c r="L11" i="5"/>
  <c r="L14" i="5"/>
  <c r="N14" i="5"/>
  <c r="Q18" i="24"/>
  <c r="R18" i="24" s="1"/>
  <c r="L12" i="5"/>
  <c r="N12" i="5"/>
  <c r="Q21" i="24"/>
  <c r="R21" i="24" s="1"/>
  <c r="I18" i="5"/>
  <c r="K35" i="2"/>
  <c r="K12" i="2"/>
  <c r="K27" i="2"/>
  <c r="Q8" i="24" l="1"/>
  <c r="R8" i="24" s="1"/>
  <c r="B9" i="3"/>
  <c r="C9" i="3" s="1"/>
  <c r="L18" i="5"/>
  <c r="N12" i="2"/>
  <c r="H13" i="5" s="1"/>
  <c r="I13" i="5" s="1"/>
  <c r="N35" i="2"/>
  <c r="N27" i="2"/>
  <c r="H28" i="5" s="1"/>
  <c r="I28" i="5" l="1"/>
  <c r="Q13" i="24"/>
  <c r="N13" i="5"/>
  <c r="L13" i="5"/>
  <c r="Q9" i="24" s="1"/>
  <c r="R9" i="24" s="1"/>
  <c r="K37" i="2" l="1"/>
  <c r="K43" i="2" s="1"/>
  <c r="E38" i="5"/>
  <c r="R13" i="24"/>
  <c r="L28" i="5"/>
  <c r="Q20" i="24" l="1"/>
  <c r="F38" i="5"/>
  <c r="E44" i="5"/>
  <c r="N37" i="2"/>
  <c r="N43" i="2" s="1"/>
  <c r="R20" i="24" l="1"/>
  <c r="R28" i="24" s="1"/>
  <c r="Q28" i="24"/>
  <c r="I38" i="5"/>
  <c r="F44" i="5"/>
  <c r="F49" i="5" s="1"/>
  <c r="L38" i="5" l="1"/>
  <c r="C114" i="24"/>
  <c r="N38" i="5" l="1"/>
  <c r="Q30" i="24"/>
  <c r="R30" i="24" l="1"/>
  <c r="R32" i="24" s="1"/>
  <c r="Q32" i="24"/>
  <c r="G7" i="24" l="1"/>
  <c r="L7" i="24" l="1"/>
  <c r="G10" i="24"/>
  <c r="G41" i="24" s="1"/>
  <c r="L10" i="24" l="1"/>
  <c r="L41" i="24" s="1"/>
  <c r="K8" i="2"/>
  <c r="K14" i="2" l="1"/>
  <c r="E9" i="5"/>
  <c r="L47" i="24"/>
  <c r="L48" i="24" s="1"/>
  <c r="F9" i="5" l="1"/>
  <c r="F15" i="5" s="1"/>
  <c r="E15" i="5"/>
  <c r="E46" i="5" s="1"/>
  <c r="E50" i="5" s="1"/>
  <c r="N8" i="2"/>
  <c r="N14" i="2" l="1"/>
  <c r="H9" i="5"/>
  <c r="F46" i="5"/>
  <c r="F51" i="5" s="1"/>
  <c r="F63" i="5" s="1"/>
  <c r="F50" i="5"/>
  <c r="F40" i="12" s="1"/>
  <c r="F41" i="12" s="1"/>
  <c r="I9" i="5" l="1"/>
  <c r="H15" i="5"/>
  <c r="G40" i="12"/>
  <c r="I40" i="12" s="1"/>
  <c r="G38" i="12"/>
  <c r="I38" i="12" s="1"/>
  <c r="G35" i="12"/>
  <c r="I35" i="12" s="1"/>
  <c r="F46" i="12"/>
  <c r="F48" i="12" s="1"/>
  <c r="G44" i="12" s="1"/>
  <c r="G37" i="12"/>
  <c r="I37" i="12" s="1"/>
  <c r="G34" i="12"/>
  <c r="G36" i="12"/>
  <c r="I36" i="12" s="1"/>
  <c r="G39" i="12"/>
  <c r="I39" i="12" s="1"/>
  <c r="G41" i="12" l="1"/>
  <c r="I34" i="12"/>
  <c r="I41" i="12" s="1"/>
  <c r="H46" i="12" s="1"/>
  <c r="G46" i="12"/>
  <c r="M44" i="12"/>
  <c r="I44" i="12"/>
  <c r="I15" i="5"/>
  <c r="H36" i="5"/>
  <c r="I36" i="5" s="1"/>
  <c r="H39" i="5"/>
  <c r="I39" i="5" s="1"/>
  <c r="H32" i="5" l="1"/>
  <c r="G48" i="12"/>
  <c r="I46" i="12"/>
  <c r="I50" i="12" s="1"/>
  <c r="I53" i="12" s="1"/>
  <c r="I54" i="12"/>
  <c r="L46" i="12"/>
  <c r="M46" i="12"/>
  <c r="M50" i="12" s="1"/>
  <c r="C75" i="24" l="1"/>
  <c r="D10" i="13"/>
  <c r="D11" i="13" s="1"/>
  <c r="C86" i="24"/>
  <c r="C98" i="24"/>
  <c r="C99" i="24" s="1"/>
  <c r="C54" i="24"/>
  <c r="C55" i="24" s="1"/>
  <c r="D28" i="13"/>
  <c r="D29" i="13" s="1"/>
  <c r="N51" i="5" s="1"/>
  <c r="C51" i="24"/>
  <c r="C52" i="24" s="1"/>
  <c r="N63" i="5"/>
  <c r="C112" i="24"/>
  <c r="C113" i="24" s="1"/>
  <c r="C88" i="24"/>
  <c r="C89" i="24" s="1"/>
  <c r="I32" i="5"/>
  <c r="H44" i="5"/>
  <c r="H46" i="5" s="1"/>
  <c r="C56" i="24" l="1"/>
  <c r="C79" i="24"/>
  <c r="C105" i="24"/>
  <c r="C101" i="24"/>
  <c r="C87" i="24"/>
  <c r="C90" i="24" s="1"/>
  <c r="L42" i="24"/>
  <c r="C116" i="24"/>
  <c r="C115" i="24"/>
  <c r="I44" i="5"/>
  <c r="N47" i="5"/>
  <c r="D13" i="13"/>
  <c r="H47" i="5" s="1"/>
  <c r="I47" i="5" s="1"/>
  <c r="L47" i="5" s="1"/>
  <c r="D16" i="13"/>
  <c r="C117" i="24" l="1"/>
  <c r="C119" i="24" s="1"/>
  <c r="C120" i="24" s="1"/>
  <c r="C122" i="24" s="1"/>
  <c r="C91" i="24"/>
  <c r="M39" i="24" s="1"/>
  <c r="P42" i="24"/>
  <c r="Q42" i="24" s="1"/>
  <c r="L43" i="24"/>
  <c r="I46" i="5"/>
  <c r="C124" i="24"/>
  <c r="C123" i="24" l="1"/>
  <c r="C125" i="24" s="1"/>
  <c r="L45" i="24"/>
  <c r="L44" i="24"/>
  <c r="D15" i="13"/>
  <c r="D17" i="13" s="1"/>
  <c r="C104" i="24"/>
  <c r="C106" i="24" s="1"/>
  <c r="C107" i="24" s="1"/>
  <c r="H48" i="5"/>
  <c r="I19" i="13"/>
  <c r="O36" i="24"/>
  <c r="P36" i="24" s="1"/>
  <c r="K32" i="5"/>
  <c r="O34" i="24"/>
  <c r="K39" i="5"/>
  <c r="C92" i="24"/>
  <c r="N39" i="24"/>
  <c r="P39" i="24" s="1"/>
  <c r="M7" i="24"/>
  <c r="K36" i="5" l="1"/>
  <c r="L36" i="5" s="1"/>
  <c r="Q35" i="24" s="1"/>
  <c r="O35" i="24"/>
  <c r="P35" i="24" s="1"/>
  <c r="O7" i="24"/>
  <c r="O10" i="24" s="1"/>
  <c r="O41" i="24" s="1"/>
  <c r="O47" i="24" s="1"/>
  <c r="I48" i="5"/>
  <c r="H50" i="5"/>
  <c r="L39" i="5"/>
  <c r="O37" i="24"/>
  <c r="P34" i="24"/>
  <c r="G48" i="13"/>
  <c r="D19" i="13"/>
  <c r="D21" i="13" s="1"/>
  <c r="D23" i="13" s="1"/>
  <c r="M10" i="24"/>
  <c r="M41" i="24" s="1"/>
  <c r="M47" i="24" s="1"/>
  <c r="M48" i="24" s="1"/>
  <c r="N7" i="24"/>
  <c r="L32" i="5"/>
  <c r="K44" i="5" l="1"/>
  <c r="R35" i="24"/>
  <c r="O48" i="24"/>
  <c r="Q34" i="24"/>
  <c r="N10" i="24"/>
  <c r="N41" i="24" s="1"/>
  <c r="N47" i="24" s="1"/>
  <c r="N48" i="24" s="1"/>
  <c r="P7" i="24"/>
  <c r="G51" i="13"/>
  <c r="I49" i="5"/>
  <c r="I50" i="5" s="1"/>
  <c r="I23" i="13" s="1"/>
  <c r="I25" i="13" s="1"/>
  <c r="I51" i="5"/>
  <c r="P37" i="24"/>
  <c r="Q36" i="24"/>
  <c r="R36" i="24" s="1"/>
  <c r="L44" i="5"/>
  <c r="Q37" i="24" l="1"/>
  <c r="D31" i="13"/>
  <c r="D33" i="13" s="1"/>
  <c r="D36" i="13" s="1"/>
  <c r="I63" i="5"/>
  <c r="P10" i="24"/>
  <c r="R34" i="24"/>
  <c r="R37" i="24" s="1"/>
  <c r="N15" i="5" l="1"/>
  <c r="G40" i="13"/>
  <c r="P41" i="24"/>
  <c r="C69" i="24"/>
  <c r="C70" i="24" s="1"/>
  <c r="C71" i="24" s="1"/>
  <c r="C74" i="24" s="1"/>
  <c r="C76" i="24" s="1"/>
  <c r="C77" i="24" s="1"/>
  <c r="C78" i="24" s="1"/>
  <c r="P43" i="24" l="1"/>
  <c r="P47" i="24"/>
  <c r="P48" i="24" s="1"/>
  <c r="G43" i="13"/>
  <c r="G44" i="13"/>
  <c r="G42" i="13"/>
  <c r="G41" i="13"/>
  <c r="G56" i="13"/>
  <c r="I33" i="13" s="1"/>
  <c r="G45" i="13" l="1"/>
  <c r="G47" i="13" s="1"/>
  <c r="G49" i="13" s="1"/>
  <c r="G50" i="13" s="1"/>
  <c r="G52" i="13" s="1"/>
  <c r="P45" i="24"/>
  <c r="P44" i="24"/>
  <c r="I57" i="13" l="1"/>
  <c r="I50" i="13"/>
  <c r="K48" i="5" s="1"/>
  <c r="BS6" i="2"/>
  <c r="I54" i="13"/>
  <c r="N48" i="5" l="1"/>
  <c r="K50" i="5"/>
  <c r="L48" i="5"/>
  <c r="Q39" i="24" l="1"/>
  <c r="K9" i="5"/>
  <c r="L49" i="5"/>
  <c r="L9" i="5" l="1"/>
  <c r="B4" i="3"/>
  <c r="B7" i="3" s="1"/>
  <c r="C7" i="3"/>
  <c r="K15" i="5"/>
  <c r="N9" i="5"/>
  <c r="C4" i="3" s="1"/>
  <c r="R39" i="24"/>
  <c r="B8" i="3" l="1"/>
  <c r="N16" i="5"/>
  <c r="N39" i="5"/>
  <c r="N32" i="5"/>
  <c r="Q7" i="24"/>
  <c r="L15" i="5"/>
  <c r="L50" i="5" l="1"/>
  <c r="L46" i="5"/>
  <c r="L51" i="5" s="1"/>
  <c r="L63" i="5" s="1"/>
  <c r="O39" i="5"/>
  <c r="O32" i="5"/>
  <c r="Q10" i="24"/>
  <c r="Q41" i="24" s="1"/>
  <c r="R7" i="24"/>
  <c r="R10" i="24" s="1"/>
  <c r="R41" i="24" s="1"/>
  <c r="R47" i="24" s="1"/>
  <c r="R48" i="24" s="1"/>
  <c r="O16" i="5"/>
  <c r="C8" i="3"/>
  <c r="Q43" i="24" l="1"/>
  <c r="Q47" i="24"/>
  <c r="Q48" i="24" s="1"/>
  <c r="Q45" i="24" l="1"/>
  <c r="Q44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40" authorId="0" shapeId="0" xr:uid="{6F8586C2-DDC2-46ED-BB1D-EA51BBD78F51}">
      <text>
        <r>
          <rPr>
            <b/>
            <sz val="9"/>
            <color indexed="81"/>
            <rFont val="Tahoma"/>
            <family val="2"/>
          </rPr>
          <t>Balance sheet balances at the Washington Water level, not at district level.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0" authorId="0" shapeId="0" xr:uid="{8A617B6A-4DC3-44CB-9E06-2C54D50C90AB}">
      <text>
        <r>
          <rPr>
            <b/>
            <sz val="9"/>
            <color indexed="81"/>
            <rFont val="Tahoma"/>
            <family val="2"/>
          </rPr>
          <t>From "Deferred Tax 516" workbook</t>
        </r>
      </text>
    </comment>
  </commentList>
</comments>
</file>

<file path=xl/sharedStrings.xml><?xml version="1.0" encoding="utf-8"?>
<sst xmlns="http://schemas.openxmlformats.org/spreadsheetml/2006/main" count="2276" uniqueCount="763">
  <si>
    <t>Capital Structure</t>
  </si>
  <si>
    <t>Net-to-Gross Conversion Factor</t>
  </si>
  <si>
    <t>(a)</t>
  </si>
  <si>
    <t>(b)</t>
  </si>
  <si>
    <t>(d)</t>
  </si>
  <si>
    <t>(e)</t>
  </si>
  <si>
    <t>(f)</t>
  </si>
  <si>
    <t>(g)</t>
  </si>
  <si>
    <t>(h)</t>
  </si>
  <si>
    <t>Line No.</t>
  </si>
  <si>
    <t>Description</t>
  </si>
  <si>
    <t>Company End of Year</t>
  </si>
  <si>
    <t>Restated Results</t>
  </si>
  <si>
    <t>Pro Forma Results</t>
  </si>
  <si>
    <t>Source</t>
  </si>
  <si>
    <t>Input</t>
  </si>
  <si>
    <t>Schedule 1</t>
  </si>
  <si>
    <t>(d) + (e)</t>
  </si>
  <si>
    <t>Schedule 5</t>
  </si>
  <si>
    <t>(f) + (g)</t>
  </si>
  <si>
    <t>REVENUES</t>
  </si>
  <si>
    <t>EXPENSES</t>
  </si>
  <si>
    <t>Material &amp; Supplies</t>
  </si>
  <si>
    <t>Transportation</t>
  </si>
  <si>
    <t>Net Depreciation/Amortization</t>
  </si>
  <si>
    <t>Utility Excise Tax</t>
  </si>
  <si>
    <t>Property Tax</t>
  </si>
  <si>
    <t>OPERATING EXPENSES</t>
  </si>
  <si>
    <t>Interest Expense</t>
  </si>
  <si>
    <t>RATE BASE</t>
  </si>
  <si>
    <t xml:space="preserve">    Accumulated Depreciation</t>
  </si>
  <si>
    <t xml:space="preserve">    Accumulated Amortization</t>
  </si>
  <si>
    <t>Customer Count</t>
  </si>
  <si>
    <t>Difference</t>
  </si>
  <si>
    <t xml:space="preserve">Schedule 4 </t>
  </si>
  <si>
    <t>Jan</t>
  </si>
  <si>
    <t>Feb</t>
  </si>
  <si>
    <t>Mar</t>
  </si>
  <si>
    <t>Prime Rate for Test Period</t>
  </si>
  <si>
    <t>Apr</t>
  </si>
  <si>
    <t>May</t>
  </si>
  <si>
    <t>Jun</t>
  </si>
  <si>
    <t>Debt</t>
  </si>
  <si>
    <t>Jul</t>
  </si>
  <si>
    <t>Aug</t>
  </si>
  <si>
    <t>Sep</t>
  </si>
  <si>
    <t>Oct</t>
  </si>
  <si>
    <t>Nov</t>
  </si>
  <si>
    <t>Dec</t>
  </si>
  <si>
    <t>Weighted Cost of Debt</t>
  </si>
  <si>
    <t>Equity</t>
  </si>
  <si>
    <t>Other Paid In Capital</t>
  </si>
  <si>
    <t>Retained Earning</t>
  </si>
  <si>
    <t>Weighted Cost of Equity</t>
  </si>
  <si>
    <t>Regulatory Capital Structure</t>
  </si>
  <si>
    <t xml:space="preserve">Weighted Average Cost of Capital  </t>
  </si>
  <si>
    <t xml:space="preserve">            Uncollectible</t>
  </si>
  <si>
    <t xml:space="preserve">            Utility B&amp;O Tax</t>
  </si>
  <si>
    <t>Total Revenue Sensitive Expenses</t>
  </si>
  <si>
    <t>Total adjustments</t>
  </si>
  <si>
    <t>Revenue Conversion Factor</t>
  </si>
  <si>
    <t>Net Pro Forma Average Rate Base</t>
  </si>
  <si>
    <t>Weighted Cost of Capital</t>
  </si>
  <si>
    <t>Pro Forma Net Operating Income (Loss)</t>
  </si>
  <si>
    <t>Operating Income Deficiency (Excess)</t>
  </si>
  <si>
    <t>Additional Revenue Requirement (Reduction)</t>
  </si>
  <si>
    <t>Pro Forma Interest Expense</t>
  </si>
  <si>
    <t>(i)</t>
  </si>
  <si>
    <t>(j)</t>
  </si>
  <si>
    <t>Other Income, Ancillary Charges</t>
  </si>
  <si>
    <t>Accounts Payable</t>
  </si>
  <si>
    <t>Acquisition Adjustment</t>
  </si>
  <si>
    <t>Net Income</t>
  </si>
  <si>
    <t>Over-</t>
  </si>
  <si>
    <t>But not Over-</t>
  </si>
  <si>
    <t>Tax is-</t>
  </si>
  <si>
    <t>Of the Amount Over-</t>
  </si>
  <si>
    <t>Corporation Tax Rates (IRS)</t>
  </si>
  <si>
    <t>(k)</t>
  </si>
  <si>
    <t>(l)</t>
  </si>
  <si>
    <t>(m)</t>
  </si>
  <si>
    <t>(n)</t>
  </si>
  <si>
    <t>(o)</t>
  </si>
  <si>
    <t>(p)</t>
  </si>
  <si>
    <t>(q)</t>
  </si>
  <si>
    <t>(r)</t>
  </si>
  <si>
    <t>City B&amp;O Tax</t>
  </si>
  <si>
    <t>(s)</t>
  </si>
  <si>
    <t xml:space="preserve">Taxable Income after Interest </t>
  </si>
  <si>
    <t xml:space="preserve">Federal Tax Adjustment </t>
  </si>
  <si>
    <t xml:space="preserve">Proforma Results Federal Tax </t>
  </si>
  <si>
    <t>(number check)</t>
  </si>
  <si>
    <t>Utility Plant in Service (UPIS)</t>
  </si>
  <si>
    <t>(t)</t>
  </si>
  <si>
    <t>(u)</t>
  </si>
  <si>
    <t>(v)</t>
  </si>
  <si>
    <t>%</t>
  </si>
  <si>
    <t>Year</t>
  </si>
  <si>
    <t>Ending</t>
  </si>
  <si>
    <t>Beginning</t>
  </si>
  <si>
    <t>Water System Plan</t>
  </si>
  <si>
    <t>Other Plant Assets</t>
  </si>
  <si>
    <t>Miscellaneous Equipment</t>
  </si>
  <si>
    <t>Communication Equipment</t>
  </si>
  <si>
    <t>Power Operated Equipment</t>
  </si>
  <si>
    <t>Laboratory Equipment</t>
  </si>
  <si>
    <t>Tools, Shop and Garage Equip.</t>
  </si>
  <si>
    <t>Stores and Equipment</t>
  </si>
  <si>
    <t>Transportation Equipment</t>
  </si>
  <si>
    <t>Office Furniture and Equipment</t>
  </si>
  <si>
    <t>Other Plant</t>
  </si>
  <si>
    <t>Structures and Improvements</t>
  </si>
  <si>
    <t>General Plant</t>
  </si>
  <si>
    <t>Hydrants</t>
  </si>
  <si>
    <t>Meter Installations</t>
  </si>
  <si>
    <t>Meters</t>
  </si>
  <si>
    <t>Service Connections</t>
  </si>
  <si>
    <t>Fire Mains</t>
  </si>
  <si>
    <t>Trans. and Dist. Mains</t>
  </si>
  <si>
    <t>Distribution Reservoirs and Tanks</t>
  </si>
  <si>
    <t>Transmission and Distribution Plant</t>
  </si>
  <si>
    <t>Water Treatment Equipment</t>
  </si>
  <si>
    <t>Water Treatment Plant</t>
  </si>
  <si>
    <t>Other Pumping Plant</t>
  </si>
  <si>
    <t>Pumping Equipment</t>
  </si>
  <si>
    <t>Pumping Plant</t>
  </si>
  <si>
    <t>Power Generation Equipment</t>
  </si>
  <si>
    <t>Supply Mains</t>
  </si>
  <si>
    <t>Infiltration Galleries and Tunnels</t>
  </si>
  <si>
    <t>Wells and Springs</t>
  </si>
  <si>
    <t>Lake, River and Other Intakes</t>
  </si>
  <si>
    <t>Collect. and Impounding Res.</t>
  </si>
  <si>
    <t>XXX</t>
  </si>
  <si>
    <t>Land and Water Rights</t>
  </si>
  <si>
    <t>Franchises</t>
  </si>
  <si>
    <t>Organization</t>
  </si>
  <si>
    <t>Short</t>
  </si>
  <si>
    <t>Source of Supply Plant</t>
  </si>
  <si>
    <t xml:space="preserve">  Class of Plant</t>
  </si>
  <si>
    <t>Base</t>
  </si>
  <si>
    <t>+</t>
  </si>
  <si>
    <t>Company's Federal Income Tax ($)</t>
  </si>
  <si>
    <t>Company's Federal Income Tax (%)</t>
  </si>
  <si>
    <t>Annual</t>
  </si>
  <si>
    <t>Date in Service</t>
  </si>
  <si>
    <t>Salvage Value</t>
  </si>
  <si>
    <t>Service Life</t>
  </si>
  <si>
    <t>List</t>
  </si>
  <si>
    <t>$</t>
  </si>
  <si>
    <t>Yrs</t>
  </si>
  <si>
    <t>Depreciation Service Lives</t>
  </si>
  <si>
    <t>(c)</t>
  </si>
  <si>
    <t>Common Stock</t>
  </si>
  <si>
    <t>Allowance</t>
  </si>
  <si>
    <t>Rate 1</t>
  </si>
  <si>
    <t>Block 1</t>
  </si>
  <si>
    <t>Rate 2</t>
  </si>
  <si>
    <t>Block 2</t>
  </si>
  <si>
    <t>Rate 3</t>
  </si>
  <si>
    <t>Balance Sheet</t>
  </si>
  <si>
    <t>Cash</t>
  </si>
  <si>
    <t>Total Current Assets</t>
  </si>
  <si>
    <t>Notes Payable</t>
  </si>
  <si>
    <t>Unearned Revenues</t>
  </si>
  <si>
    <t>Total Current Liabilities</t>
  </si>
  <si>
    <t>Typical Average Service Lives, Salvage Rates, and Depreciation Rates for Water Utilities</t>
  </si>
  <si>
    <t>Net Salvage Percent</t>
  </si>
  <si>
    <t>Years **</t>
  </si>
  <si>
    <t>Average Service Lives</t>
  </si>
  <si>
    <t>Class A/B/C</t>
  </si>
  <si>
    <t>NARUC - 1996 Account Numbers</t>
  </si>
  <si>
    <t>** These lives are intended as a guide; longer or shorter lives should be used if experience shows it is warranted.</t>
  </si>
  <si>
    <t>Computers or Peripheral Office Equipment</t>
  </si>
  <si>
    <t>Pro Forma Income Statement (Results of Operations)</t>
  </si>
  <si>
    <t>40/60</t>
  </si>
  <si>
    <t>Usage Per</t>
  </si>
  <si>
    <t>Meter Size</t>
  </si>
  <si>
    <t>Block 3 (Over)</t>
  </si>
  <si>
    <t>Rate Base</t>
  </si>
  <si>
    <t>Purchased Power/Water</t>
  </si>
  <si>
    <t>Jobbing</t>
  </si>
  <si>
    <t>(b) + (c)</t>
  </si>
  <si>
    <t>Company Principal</t>
  </si>
  <si>
    <t>Company Interest Rate</t>
  </si>
  <si>
    <t>Rate Case Principal</t>
  </si>
  <si>
    <t>Percent of Total</t>
  </si>
  <si>
    <t>Regulated Case Interest Rate</t>
  </si>
  <si>
    <t>Weighted Cost Rate</t>
  </si>
  <si>
    <t>Test Period Ending</t>
  </si>
  <si>
    <t>Information</t>
  </si>
  <si>
    <t>Prime + 200 Basis Points</t>
  </si>
  <si>
    <t>PFIS F 40</t>
  </si>
  <si>
    <t>Metered Sales</t>
  </si>
  <si>
    <t>Un-Metered Sales</t>
  </si>
  <si>
    <t>Ready-to-Serve</t>
  </si>
  <si>
    <t>Repairs</t>
  </si>
  <si>
    <t>Income Statement</t>
  </si>
  <si>
    <t>(w)</t>
  </si>
  <si>
    <t>(aa)</t>
  </si>
  <si>
    <t>(ab)</t>
  </si>
  <si>
    <t>(z)</t>
  </si>
  <si>
    <t>(y)</t>
  </si>
  <si>
    <t>(x)</t>
  </si>
  <si>
    <t>Pro Forma Adjustments</t>
  </si>
  <si>
    <t>#</t>
  </si>
  <si>
    <t>Drop-Down</t>
  </si>
  <si>
    <t>Net Acquisition Adjustment</t>
  </si>
  <si>
    <t>Drop-Down List</t>
  </si>
  <si>
    <t>Depreciation Rate</t>
  </si>
  <si>
    <t>Customer Count - Metered</t>
  </si>
  <si>
    <t>Billing Cycle</t>
  </si>
  <si>
    <t>Company Information</t>
  </si>
  <si>
    <t>Mixed</t>
  </si>
  <si>
    <t>Suggested FIT Rate</t>
  </si>
  <si>
    <t>Federal Income Tax (FIT)</t>
  </si>
  <si>
    <t>(ac)</t>
  </si>
  <si>
    <t>(ad)</t>
  </si>
  <si>
    <t>(ae)</t>
  </si>
  <si>
    <t>Revenue Requirement</t>
  </si>
  <si>
    <t>Monthly Rates (Proposed Rate Design)</t>
  </si>
  <si>
    <t>(af)</t>
  </si>
  <si>
    <t>(ag)</t>
  </si>
  <si>
    <t>(ah)</t>
  </si>
  <si>
    <t>(ai)</t>
  </si>
  <si>
    <t>(aj)</t>
  </si>
  <si>
    <t>(ak)</t>
  </si>
  <si>
    <t>(am)</t>
  </si>
  <si>
    <t>(al)</t>
  </si>
  <si>
    <t>Net Income after Interest and Federal Tax</t>
  </si>
  <si>
    <t>Conversion Factor (%)</t>
  </si>
  <si>
    <t xml:space="preserve">  Less:  Federal Income Tax (FIT)</t>
  </si>
  <si>
    <t>(an)</t>
  </si>
  <si>
    <t>Suggested CF</t>
  </si>
  <si>
    <t>Conversion Factor (CF)</t>
  </si>
  <si>
    <t>Employee Pensions and Benefits</t>
  </si>
  <si>
    <t>Rental of Building, Property, and Equipment</t>
  </si>
  <si>
    <t>Insurance - Vehicle, General Liability, Workman's Comp.</t>
  </si>
  <si>
    <t>Regulatory Commission Expenses - Fees</t>
  </si>
  <si>
    <t>Fire Protection / Irrigation</t>
  </si>
  <si>
    <t>Contractual Accounting</t>
  </si>
  <si>
    <t>Contractual Engineer</t>
  </si>
  <si>
    <t>Regulatory Commission Expenses - Amort. Rate Case</t>
  </si>
  <si>
    <t>Bad Debt</t>
  </si>
  <si>
    <t>Miscellaneous</t>
  </si>
  <si>
    <t>Travel, Education, CCR, and Public Relations</t>
  </si>
  <si>
    <t>Office, Postage, Phone, and Bank Charges</t>
  </si>
  <si>
    <t>Company's Full Legal Name</t>
  </si>
  <si>
    <t>Chemicals &amp; Testing</t>
  </si>
  <si>
    <t>Restating Adjustments</t>
  </si>
  <si>
    <t>Asset Category</t>
  </si>
  <si>
    <t>Meter ID</t>
  </si>
  <si>
    <t>Rate Design Report</t>
  </si>
  <si>
    <t>Amounts</t>
  </si>
  <si>
    <t>AWWA (capacity)</t>
  </si>
  <si>
    <t>Actual</t>
  </si>
  <si>
    <t>NET RATE BASE</t>
  </si>
  <si>
    <t>OPERATING REVENUE</t>
  </si>
  <si>
    <t>NET OPERATING INCOME</t>
  </si>
  <si>
    <t>TOTAL OPERATING EXPENSE</t>
  </si>
  <si>
    <t>Rate of Return</t>
  </si>
  <si>
    <t>Contributions In Aid of Construction (CIAC) Plant in Service</t>
  </si>
  <si>
    <t>NET INCOME (LOSS)</t>
  </si>
  <si>
    <t>Original Cost</t>
  </si>
  <si>
    <t>mm/dd/yy</t>
  </si>
  <si>
    <t>Acc. Depn (Beg)</t>
  </si>
  <si>
    <t>Acc. Depn (End)</t>
  </si>
  <si>
    <t>Depreciation</t>
  </si>
  <si>
    <t>RVW (UW-010877) sets equity at 12%.</t>
  </si>
  <si>
    <t>AWR (UW-980072)  6th Supplemental Order (pg. 6) sets cost of affiliated debt at prime of period plus 200 basis points (also initial Order, under debt cost discussion within the same case).</t>
  </si>
  <si>
    <t>Ln C1 * Ln C2</t>
  </si>
  <si>
    <t>Ln C3 - Ln C5</t>
  </si>
  <si>
    <t>Ln C7 / Ln C9</t>
  </si>
  <si>
    <t>Ln D13 - Ln D14</t>
  </si>
  <si>
    <t>Utility Plant</t>
  </si>
  <si>
    <t>Net Utility Plant</t>
  </si>
  <si>
    <t>Prepayments</t>
  </si>
  <si>
    <t>Plant Materials and Supplies</t>
  </si>
  <si>
    <t>Current Assets (other)</t>
  </si>
  <si>
    <t xml:space="preserve">     Accumulated Amortization</t>
  </si>
  <si>
    <t>ASSETS</t>
  </si>
  <si>
    <t>LIABILITIES</t>
  </si>
  <si>
    <t>Utility Plant Acquisition Adjustment</t>
  </si>
  <si>
    <t>Retained Earnings</t>
  </si>
  <si>
    <t>Proprietary Capital</t>
  </si>
  <si>
    <t>Total Equity</t>
  </si>
  <si>
    <t>TOTAL ASSETS</t>
  </si>
  <si>
    <t>TOTAL LIABILITIES &amp; EQUITY</t>
  </si>
  <si>
    <t>EQUITY</t>
  </si>
  <si>
    <t>Accrued Taxes</t>
  </si>
  <si>
    <t>Other Deferred Credits</t>
  </si>
  <si>
    <t>Contributions In Aid of Construction (CIAC)</t>
  </si>
  <si>
    <t xml:space="preserve">    Accumulated Amortization (CIAC)</t>
  </si>
  <si>
    <t>Current Liabilities (other)</t>
  </si>
  <si>
    <t>Preferred Stock</t>
  </si>
  <si>
    <t>Capital Stock</t>
  </si>
  <si>
    <t>Utility Plant Sold</t>
  </si>
  <si>
    <t>Accrued Interest</t>
  </si>
  <si>
    <t>Accrued Dividends</t>
  </si>
  <si>
    <t>Bonds</t>
  </si>
  <si>
    <t>Advances</t>
  </si>
  <si>
    <t>Long-Term Debt (other)</t>
  </si>
  <si>
    <t>Total Long-Term Liabilities</t>
  </si>
  <si>
    <t>Accounts Receivable</t>
  </si>
  <si>
    <t>Rents Receivable</t>
  </si>
  <si>
    <t>Uncollectable Accounts</t>
  </si>
  <si>
    <t>Notes Receivable</t>
  </si>
  <si>
    <t>Accrued Revenues</t>
  </si>
  <si>
    <t>Other Deferred Debits (Income Taxes)</t>
  </si>
  <si>
    <t>Construction Work in Process</t>
  </si>
  <si>
    <t>Utility Plant Leased to Others</t>
  </si>
  <si>
    <t>Non-Utility Plant</t>
  </si>
  <si>
    <t>Investments</t>
  </si>
  <si>
    <t>Utility Plant (other)</t>
  </si>
  <si>
    <t>Operating Reserves</t>
  </si>
  <si>
    <t>Total Liabilities</t>
  </si>
  <si>
    <t>Values</t>
  </si>
  <si>
    <t>Debt Structure</t>
  </si>
  <si>
    <t>Note Category</t>
  </si>
  <si>
    <t>Principal Balance</t>
  </si>
  <si>
    <t>Interest Rate</t>
  </si>
  <si>
    <t>Asset Description</t>
  </si>
  <si>
    <t>Equipment (10)</t>
  </si>
  <si>
    <t>Equipment (IT) (5)</t>
  </si>
  <si>
    <t>Equipment (Laboratory, Office, and Shop) (15)</t>
  </si>
  <si>
    <t>Land, Water Rights, and Organization (0)</t>
  </si>
  <si>
    <t>Plant, Other (40)</t>
  </si>
  <si>
    <t>Plant, Structures, and Improvements (35)</t>
  </si>
  <si>
    <t>Pumping and Water Treatment (20)</t>
  </si>
  <si>
    <t>Service Connection (30)</t>
  </si>
  <si>
    <t>Tanks and Wells (25)</t>
  </si>
  <si>
    <t>Transportation (7)</t>
  </si>
  <si>
    <t>Water System Plan (6)</t>
  </si>
  <si>
    <t>Acquisition Adjustment (35)</t>
  </si>
  <si>
    <t xml:space="preserve"> </t>
  </si>
  <si>
    <t>CIAC</t>
  </si>
  <si>
    <t>Revenue Adjusted for Revenue Sensitive Items</t>
  </si>
  <si>
    <t>Meters (20)</t>
  </si>
  <si>
    <t>Facility and Connection Charges (20)</t>
  </si>
  <si>
    <t>Usage Data (All Metered Customers) (REQUIRED: Use three letter month codes)</t>
  </si>
  <si>
    <t>Tank Cleaning/Amortizable Maintenance (10)</t>
  </si>
  <si>
    <t>Based on Diameter</t>
  </si>
  <si>
    <t>Most Common Meter Size</t>
  </si>
  <si>
    <t>Salary and Wages - Employees</t>
  </si>
  <si>
    <t>Salary and Wages - Officers</t>
  </si>
  <si>
    <t>Contractual Legal</t>
  </si>
  <si>
    <t>Contractual Operations</t>
  </si>
  <si>
    <t>Customer Deposits</t>
  </si>
  <si>
    <t>Net Change Company</t>
  </si>
  <si>
    <t>Total Water Sales Revenue</t>
  </si>
  <si>
    <t>Current Monthly Rate Design (Most Common Meter Size)</t>
  </si>
  <si>
    <t>Net Utility Plant EOTY</t>
  </si>
  <si>
    <t>Months Index</t>
  </si>
  <si>
    <t>End of Test Year</t>
  </si>
  <si>
    <t>List Loans and Notes</t>
  </si>
  <si>
    <t>####</t>
  </si>
  <si>
    <t>Special Funds (Facility Charges, Surcharges)</t>
  </si>
  <si>
    <t>Current Other Monthly Rates</t>
  </si>
  <si>
    <t>Ready To Serve</t>
  </si>
  <si>
    <t>Surcharge</t>
  </si>
  <si>
    <t>Other</t>
  </si>
  <si>
    <t>Customer Count - Un-metered</t>
  </si>
  <si>
    <t>Un-Metered</t>
  </si>
  <si>
    <t>Customer Count - Ready To Serve</t>
  </si>
  <si>
    <t>For conditional formatting</t>
  </si>
  <si>
    <t>Average</t>
  </si>
  <si>
    <t>Sum</t>
  </si>
  <si>
    <t>Monthly</t>
  </si>
  <si>
    <t>NOT USED</t>
  </si>
  <si>
    <t>Net Plant</t>
  </si>
  <si>
    <t>Net CIAC</t>
  </si>
  <si>
    <t>Net Rate Base</t>
  </si>
  <si>
    <t>Facilities Charge</t>
  </si>
  <si>
    <t>Service Connection Charge</t>
  </si>
  <si>
    <t>Explanation</t>
  </si>
  <si>
    <t>Operating Income Before Interest &amp; Taxes</t>
  </si>
  <si>
    <t>Weighted Cost of Capital for this rate case</t>
  </si>
  <si>
    <t>5 - A</t>
  </si>
  <si>
    <t>5 - B</t>
  </si>
  <si>
    <t>Service Time</t>
  </si>
  <si>
    <t>Assets, and Depreciation Schedules</t>
  </si>
  <si>
    <t>CIAC and Amortization Schedules</t>
  </si>
  <si>
    <t>DO NOT ENTER ZERO</t>
  </si>
  <si>
    <t>Difference Balance Sheet to Asset Listing</t>
  </si>
  <si>
    <t>Mains, Tanks and Reservoirs (50)</t>
  </si>
  <si>
    <t>Used by Asset Type Look Up Col V &amp; AH</t>
  </si>
  <si>
    <t>Utility Plant in Service</t>
  </si>
  <si>
    <t>Customer Count - Total (calculated)</t>
  </si>
  <si>
    <t>PROPOSED - Other Monthly Rates</t>
  </si>
  <si>
    <t>PROPOSED - Monthly Rate Design (Most Common Meter Size)</t>
  </si>
  <si>
    <t>Meter_Size</t>
  </si>
  <si>
    <t>5/8-Inch</t>
  </si>
  <si>
    <t>3/4-Inch</t>
  </si>
  <si>
    <t>1-Inch</t>
  </si>
  <si>
    <t>Total Restating Adjustment</t>
  </si>
  <si>
    <t>Total Pro Forma Adjustment</t>
  </si>
  <si>
    <t>Revised Revenue (Staff)</t>
  </si>
  <si>
    <t>Results of Revised Rates</t>
  </si>
  <si>
    <t>(percentage difference)</t>
  </si>
  <si>
    <t>Asset Listing Section 5 - A</t>
  </si>
  <si>
    <t>CIAC Listing Section 5 - B</t>
  </si>
  <si>
    <t>Net CIAC EOTY</t>
  </si>
  <si>
    <t>Balance Sheet out of Balance</t>
  </si>
  <si>
    <t>Rate Case Overall Cost of Capital</t>
  </si>
  <si>
    <t>Percentage</t>
  </si>
  <si>
    <t>Weight</t>
  </si>
  <si>
    <t>Hypothetical</t>
  </si>
  <si>
    <t>Has Links only from current page</t>
  </si>
  <si>
    <t>PFIS - I51</t>
  </si>
  <si>
    <t>PFIS - I59</t>
  </si>
  <si>
    <t>Sch 4  - I54</t>
  </si>
  <si>
    <t>Fed Income Tax - 21%</t>
  </si>
  <si>
    <t>Linked to INPUTS</t>
  </si>
  <si>
    <t>Linked to Sch-10.1</t>
  </si>
  <si>
    <t>Linked to Sch-7</t>
  </si>
  <si>
    <t>Linked to Sch-4</t>
  </si>
  <si>
    <t>Links Coming From</t>
  </si>
  <si>
    <t>Linked to PFIS</t>
  </si>
  <si>
    <t>Company Test Period Restated</t>
  </si>
  <si>
    <t>PFIS - F53</t>
  </si>
  <si>
    <t>Company Net Rate Base</t>
  </si>
  <si>
    <t>Conversion</t>
  </si>
  <si>
    <t>UTC Docket Number                   UW-</t>
  </si>
  <si>
    <t>Amortization</t>
  </si>
  <si>
    <t>Acc. Amort.</t>
  </si>
  <si>
    <t>From ROR Proforma Results</t>
  </si>
  <si>
    <t>check #</t>
  </si>
  <si>
    <t>check # diff.</t>
  </si>
  <si>
    <t>Description
(a)</t>
  </si>
  <si>
    <t>Source
(b)</t>
  </si>
  <si>
    <t>Interest Synchronization</t>
  </si>
  <si>
    <t>Tax Effect</t>
  </si>
  <si>
    <t>Check Numbers</t>
  </si>
  <si>
    <t>Use</t>
  </si>
  <si>
    <t>Restated Interest Expense from PFIS</t>
  </si>
  <si>
    <t>Proforma Results
(b)</t>
  </si>
  <si>
    <t>Rate
(b)</t>
  </si>
  <si>
    <t>Factor
(c)</t>
  </si>
  <si>
    <t>Staff Proposed Revenue
(d)</t>
  </si>
  <si>
    <t>Interest Results
(b)</t>
  </si>
  <si>
    <t>Company Net Proforma Rate Base</t>
  </si>
  <si>
    <t xml:space="preserve">Ln B4   </t>
  </si>
  <si>
    <t>To PFIS - K32</t>
  </si>
  <si>
    <t>To PFIS - K39</t>
  </si>
  <si>
    <t>To PFIS - K48</t>
  </si>
  <si>
    <t>To D33</t>
  </si>
  <si>
    <t>To Sch 10.1 - Q8 and PFIS - N15</t>
  </si>
  <si>
    <t>To PFIS - N51</t>
  </si>
  <si>
    <t>To PFIS - H47</t>
  </si>
  <si>
    <t>Operating Income Return</t>
  </si>
  <si>
    <t>IF(G51&gt;0,INDEX(O51:O58,MATCH(ABS(G51),M51:M58,1))+INDEX(Q51:Q58,MATCH(ABS(G51),M51:M58,1))*(ABS(G51)-INDEX(R51:R58,MATCH(ABS(G51),M51:M58,1))),0)</t>
  </si>
  <si>
    <t>Rate Design Calculated Data Sheet</t>
  </si>
  <si>
    <t>Income Tax Rate</t>
  </si>
  <si>
    <t>PFIS F48</t>
  </si>
  <si>
    <t>Check Number Difference</t>
  </si>
  <si>
    <t>Restated Federal Income Tax from PFIS</t>
  </si>
  <si>
    <t>Ln B10 - Ln B14 - Ln B15</t>
  </si>
  <si>
    <t>Ln B10 * Ln B11</t>
  </si>
  <si>
    <t>Proforma Operating Income before Interest and Taxes</t>
  </si>
  <si>
    <t>Income Tax on Proforma Operating Income</t>
  </si>
  <si>
    <t>Proforma Income Tax Effect</t>
  </si>
  <si>
    <t>Ln B12 - Ln B13</t>
  </si>
  <si>
    <t>NTG Ln B12</t>
  </si>
  <si>
    <t>Ln B2 * Ln B3</t>
  </si>
  <si>
    <t>Ln B4 - Ln B5</t>
  </si>
  <si>
    <t>Interest Sync B10</t>
  </si>
  <si>
    <t>(b) (c) PFIS</t>
  </si>
  <si>
    <t>Revenue Requirement B10</t>
  </si>
  <si>
    <t>To PFIS - R16</t>
  </si>
  <si>
    <t>PFIS - F47</t>
  </si>
  <si>
    <t>PFIS - I48</t>
  </si>
  <si>
    <t>Check Number Calculated from PFIS</t>
  </si>
  <si>
    <t>Calculation if tax code returns to block rates for corporations.</t>
  </si>
  <si>
    <t>Federal Income Tax Rate</t>
  </si>
  <si>
    <t>Conversion Factor</t>
  </si>
  <si>
    <t>(ao)</t>
  </si>
  <si>
    <t>(ap)</t>
  </si>
  <si>
    <t>(aq)</t>
  </si>
  <si>
    <t>(ar)</t>
  </si>
  <si>
    <t>Income tax liability if Income before Taxes is possitive</t>
  </si>
  <si>
    <t>Ln D18</t>
  </si>
  <si>
    <t>To Net-to-Gross G49</t>
  </si>
  <si>
    <t>Proforma Operating Income before Income Taxes</t>
  </si>
  <si>
    <t>Revenue Net-to-Gross - G56</t>
  </si>
  <si>
    <t>Check Number from PFIC - I50</t>
  </si>
  <si>
    <t>Check</t>
  </si>
  <si>
    <t>Version date:</t>
  </si>
  <si>
    <t>Information for filing</t>
  </si>
  <si>
    <t>WAC 480-07-530</t>
  </si>
  <si>
    <t>Rate Case Overall Cost of Debt</t>
  </si>
  <si>
    <t>Capital Structure - I54</t>
  </si>
  <si>
    <t>Meter Capacity and Factors</t>
  </si>
  <si>
    <t>(Check)</t>
  </si>
  <si>
    <t>Operating Income before Interest &amp;Taxes</t>
  </si>
  <si>
    <t>Please see section 3 of GRCW manual for instructions on filng a general rate case along with Water Rate Case Checklist.</t>
  </si>
  <si>
    <t>To PFIS - K36</t>
  </si>
  <si>
    <t>Sum Ln D7 thru Ln D10</t>
  </si>
  <si>
    <r>
      <t xml:space="preserve">To PFIS - H48 </t>
    </r>
    <r>
      <rPr>
        <sz val="8"/>
        <rFont val="Times New Roman"/>
        <family val="1"/>
      </rPr>
      <t>and PFIS - N47 (Check no.)</t>
    </r>
  </si>
  <si>
    <t>Proforma Adjustment to Interst Expense</t>
  </si>
  <si>
    <t>Proforma Adjustment to Interest Expense</t>
  </si>
  <si>
    <t>Total Proforma Interest Expense</t>
  </si>
  <si>
    <t>Check No.</t>
  </si>
  <si>
    <t>Ln D6</t>
  </si>
  <si>
    <t>Ln D8 * Ln C8</t>
  </si>
  <si>
    <t>Ln D8 * Ln C9</t>
  </si>
  <si>
    <t>Ln D8 * Ln C10</t>
  </si>
  <si>
    <t>Ln D8 - Ln D13</t>
  </si>
  <si>
    <t>Ln D15 + Ln D16</t>
  </si>
  <si>
    <t>Ln D18 - Ln D19</t>
  </si>
  <si>
    <t>(c) Ln D13 + Ln D18</t>
  </si>
  <si>
    <t>Ln D8 * Ln C24</t>
  </si>
  <si>
    <t>UTC Regulatory Fee</t>
  </si>
  <si>
    <t>Other Taxes &amp; Licenses (DOH/DOE)</t>
  </si>
  <si>
    <t>Payroll Tax (ESD, L&amp;I)</t>
  </si>
  <si>
    <t>Update table October 1 2020</t>
  </si>
  <si>
    <t>LTD - DWSRF - Cristalia (a/c 212000)</t>
  </si>
  <si>
    <t>LT Interco Debt (a/c 212900)</t>
  </si>
  <si>
    <t>Loan - DWSRF</t>
  </si>
  <si>
    <t>Loan - Owner</t>
  </si>
  <si>
    <t>Washington Water Service Company</t>
  </si>
  <si>
    <t>Deferred Tax Balance</t>
  </si>
  <si>
    <t>Salaries and Wages</t>
  </si>
  <si>
    <t>Depreciation and Amortization</t>
  </si>
  <si>
    <t>Total Operating Expenses</t>
  </si>
  <si>
    <t>Target ROR</t>
  </si>
  <si>
    <t>Cost of Debt</t>
  </si>
  <si>
    <t>Uncollectibles</t>
  </si>
  <si>
    <t>Income Taxes</t>
  </si>
  <si>
    <t>FIT on Equity Return</t>
  </si>
  <si>
    <t>Expenses</t>
  </si>
  <si>
    <t>Revenues</t>
  </si>
  <si>
    <t>Service Charges</t>
  </si>
  <si>
    <t>Ancillary Charges</t>
  </si>
  <si>
    <t>Jobbing Income</t>
  </si>
  <si>
    <t>Total Revenues</t>
  </si>
  <si>
    <t>Chemicals/Testing/M&amp;S</t>
  </si>
  <si>
    <t>Contractual Services</t>
  </si>
  <si>
    <t>Rental/Transportation/Insurance</t>
  </si>
  <si>
    <t>Regulatory Commission Fees</t>
  </si>
  <si>
    <t>Rate Case Expenses</t>
  </si>
  <si>
    <t>Office</t>
  </si>
  <si>
    <t>Property Taxes</t>
  </si>
  <si>
    <t>Payroll Taxes</t>
  </si>
  <si>
    <t>per Books</t>
  </si>
  <si>
    <t>Remove</t>
  </si>
  <si>
    <t>Non-Utility</t>
  </si>
  <si>
    <t>Net Operating Income</t>
  </si>
  <si>
    <t xml:space="preserve">w/ Operating </t>
  </si>
  <si>
    <t>Adjustments</t>
  </si>
  <si>
    <t>Target Return</t>
  </si>
  <si>
    <t>Income-Dependent</t>
  </si>
  <si>
    <t>Equity Return %</t>
  </si>
  <si>
    <t>Equity Return $</t>
  </si>
  <si>
    <t>FIT on Equity Return (Grossed Up)</t>
  </si>
  <si>
    <t>w/ Inc. Dep.</t>
  </si>
  <si>
    <t>Revenue-</t>
  </si>
  <si>
    <t>Dependent</t>
  </si>
  <si>
    <t>Requested</t>
  </si>
  <si>
    <t>Rev. Req.</t>
  </si>
  <si>
    <t>Revenue-Dependent Taxes</t>
  </si>
  <si>
    <t>UTC Retulatory Fee</t>
  </si>
  <si>
    <t>Uncolletibles</t>
  </si>
  <si>
    <t>Utility B&amp;O Tax</t>
  </si>
  <si>
    <t>PFI</t>
  </si>
  <si>
    <t>Outputs</t>
  </si>
  <si>
    <t>Total Before Revenue-Dependent Items and Income Taxes</t>
  </si>
  <si>
    <t>Subtotal Revenue Dependent</t>
  </si>
  <si>
    <t>Total Revenue-Dependent</t>
  </si>
  <si>
    <t>Gross-Up of Revenue-Dependent Taxes</t>
  </si>
  <si>
    <t>Equity Test</t>
  </si>
  <si>
    <t>Less: Revenue-Dependent Items</t>
  </si>
  <si>
    <t>Less: Operating Expenses</t>
  </si>
  <si>
    <t>Less: Depreciation and Amortization</t>
  </si>
  <si>
    <t>Total Return</t>
  </si>
  <si>
    <t>Total Return and Income Taxes</t>
  </si>
  <si>
    <t>Less: Interest Expense</t>
  </si>
  <si>
    <t>Federal Income Taxes</t>
  </si>
  <si>
    <t>Post-Tax Equity Return</t>
  </si>
  <si>
    <t>Pre-Tax Return</t>
  </si>
  <si>
    <t>Check to Calculated Return</t>
  </si>
  <si>
    <t>Current Non-Jobbing Revenues</t>
  </si>
  <si>
    <t>Increase in Non-Jobbing Revenues</t>
  </si>
  <si>
    <t>Requested Non-Jobbing Revenues</t>
  </si>
  <si>
    <t>Total Rev. Req. Before Revenue-Dependent Items</t>
  </si>
  <si>
    <t>Total Rev. Req. Incl. Revenue-Dependent Items</t>
  </si>
  <si>
    <t>Interest Sync, NTG, Rev Req</t>
  </si>
  <si>
    <t>Imputed Cost of Debt</t>
  </si>
  <si>
    <t>Total Weighted Cost of Capital</t>
  </si>
  <si>
    <t>Post Tax Equity Return</t>
  </si>
  <si>
    <t>Pre Tax Equity Return</t>
  </si>
  <si>
    <t>Return Before Revenue Adjustment</t>
  </si>
  <si>
    <t>Equity Return (Post Tax) - %</t>
  </si>
  <si>
    <t>Equity Return (Post Tax) - $</t>
  </si>
  <si>
    <t>Tax on Equity Return</t>
  </si>
  <si>
    <t>Restated Interest Expense from PFI Worksheet</t>
  </si>
  <si>
    <t>Pretax Operating Income</t>
  </si>
  <si>
    <t>FIT Effect of Interest Synchronization</t>
  </si>
  <si>
    <t>Tax Paid on Effective Pretax Operating Income</t>
  </si>
  <si>
    <t>Per Books Tax</t>
  </si>
  <si>
    <t>Pro Forma Rate Base</t>
  </si>
  <si>
    <t>Pro Forma Adjustment to Interest Expense</t>
  </si>
  <si>
    <t>Pro Forma Operating Income Excl. Interest- Pre-Tax</t>
  </si>
  <si>
    <t>Target Cost of Capital</t>
  </si>
  <si>
    <t>Pro Forma Expenses Loss, Excl. Return, Revenue, and Income Dependent Items</t>
  </si>
  <si>
    <t>Total Rev. Req. Excl. Revenue- and Income-Dependent Items</t>
  </si>
  <si>
    <t>FIT on Return</t>
  </si>
  <si>
    <t>Revenue-Dependent Factor, Incl. Gross-Up</t>
  </si>
  <si>
    <t>Revenue-Dependent Items</t>
  </si>
  <si>
    <t>Total Revenue Requirement Incl. Revenue-Dependent Items</t>
  </si>
  <si>
    <t>Adjustment</t>
  </si>
  <si>
    <t>Net Depr/</t>
  </si>
  <si>
    <t>Amort</t>
  </si>
  <si>
    <t>GO</t>
  </si>
  <si>
    <t>Expense</t>
  </si>
  <si>
    <t>RCE</t>
  </si>
  <si>
    <t>Amort.</t>
  </si>
  <si>
    <t>Allocated GO Plant</t>
  </si>
  <si>
    <t>Total Revenue-Related Items</t>
  </si>
  <si>
    <t>WWSCO Plant Allocated to Strohs</t>
  </si>
  <si>
    <t>Revenue</t>
  </si>
  <si>
    <t>Balance Sheet Does not Balance at System Level</t>
  </si>
  <si>
    <t>See Rate Design Worksheet</t>
  </si>
  <si>
    <t>Current Rates</t>
  </si>
  <si>
    <t>5/8" meter</t>
  </si>
  <si>
    <t>3/4" meter</t>
  </si>
  <si>
    <t>1" meter</t>
  </si>
  <si>
    <t>1-1/2" meter</t>
  </si>
  <si>
    <t>2" meter</t>
  </si>
  <si>
    <t>3" meter</t>
  </si>
  <si>
    <t>4" meter</t>
  </si>
  <si>
    <t>Total</t>
  </si>
  <si>
    <t>Bills</t>
  </si>
  <si>
    <t>Allowance Usage HCF</t>
  </si>
  <si>
    <t>(Incl. in Base Charge)</t>
  </si>
  <si>
    <t>Tier 1 HCF</t>
  </si>
  <si>
    <t>Tier 1 ($/HCF)</t>
  </si>
  <si>
    <t>Allowance ($/HCF)</t>
  </si>
  <si>
    <t>Current Rate Revenues</t>
  </si>
  <si>
    <t>Proposed Rates - Phase I</t>
  </si>
  <si>
    <t>Tier 2 HCF</t>
  </si>
  <si>
    <t>Tier 3 HCF</t>
  </si>
  <si>
    <t>Phase I Rates</t>
  </si>
  <si>
    <t>Tier 2 ($/HCF)</t>
  </si>
  <si>
    <t>Tier 3 ($/HCF)</t>
  </si>
  <si>
    <t>Phase I Revenues</t>
  </si>
  <si>
    <t>Tier 1</t>
  </si>
  <si>
    <t>Tier 2</t>
  </si>
  <si>
    <t>Tier 3</t>
  </si>
  <si>
    <t xml:space="preserve">See Rate Design Workpaper for Supporting Calculations and Detail </t>
  </si>
  <si>
    <t>Proposed Rates - Phase II</t>
  </si>
  <si>
    <t>Total HCF</t>
  </si>
  <si>
    <t>PFAS</t>
  </si>
  <si>
    <t>Power</t>
  </si>
  <si>
    <t>Expenese</t>
  </si>
  <si>
    <t>0446484919</t>
  </si>
  <si>
    <t>0463637270</t>
  </si>
  <si>
    <t/>
  </si>
  <si>
    <t>0464021518</t>
  </si>
  <si>
    <t>0465894960</t>
  </si>
  <si>
    <t>0472292929</t>
  </si>
  <si>
    <t>0476756674</t>
  </si>
  <si>
    <t>0498373847</t>
  </si>
  <si>
    <t>0521577232</t>
  </si>
  <si>
    <t>0538773605</t>
  </si>
  <si>
    <t>0566851941</t>
  </si>
  <si>
    <t>0566859360</t>
  </si>
  <si>
    <t>0572993673</t>
  </si>
  <si>
    <t>0573292435</t>
  </si>
  <si>
    <t>0585904204</t>
  </si>
  <si>
    <t>0586241265</t>
  </si>
  <si>
    <t>0587082403</t>
  </si>
  <si>
    <t>0587836092</t>
  </si>
  <si>
    <t>0609529698</t>
  </si>
  <si>
    <t>0618226187</t>
  </si>
  <si>
    <t>0620162682</t>
  </si>
  <si>
    <t>0634240345</t>
  </si>
  <si>
    <t>0634615745</t>
  </si>
  <si>
    <t>0647171412</t>
  </si>
  <si>
    <t>0663237858</t>
  </si>
  <si>
    <t>0669665736</t>
  </si>
  <si>
    <t>0679444967</t>
  </si>
  <si>
    <t>0679519520</t>
  </si>
  <si>
    <t>0685048042</t>
  </si>
  <si>
    <t>0701131059</t>
  </si>
  <si>
    <t>0703481237</t>
  </si>
  <si>
    <t>0705173884</t>
  </si>
  <si>
    <t>0724271700</t>
  </si>
  <si>
    <t>0726397599</t>
  </si>
  <si>
    <t>0729613352</t>
  </si>
  <si>
    <t>0735897865</t>
  </si>
  <si>
    <t>0752479915</t>
  </si>
  <si>
    <t>0797334220</t>
  </si>
  <si>
    <t>0803414141</t>
  </si>
  <si>
    <t>0820780418</t>
  </si>
  <si>
    <t>0827978741</t>
  </si>
  <si>
    <t>0834425086</t>
  </si>
  <si>
    <t>0838681440</t>
  </si>
  <si>
    <t>0840898934</t>
  </si>
  <si>
    <t>0866464467</t>
  </si>
  <si>
    <t>0870525869</t>
  </si>
  <si>
    <t>0881497888</t>
  </si>
  <si>
    <t>0901697464</t>
  </si>
  <si>
    <t>0912775348</t>
  </si>
  <si>
    <t>0914405687</t>
  </si>
  <si>
    <t>0943183996</t>
  </si>
  <si>
    <t>0948208116</t>
  </si>
  <si>
    <t>0957116458</t>
  </si>
  <si>
    <t>0979249447</t>
  </si>
  <si>
    <t>0992284420</t>
  </si>
  <si>
    <t>0997685969</t>
  </si>
  <si>
    <t>0258068236</t>
  </si>
  <si>
    <t>0083274469</t>
  </si>
  <si>
    <t>0620638386</t>
  </si>
  <si>
    <t>0318116237</t>
  </si>
  <si>
    <t>0419820697</t>
  </si>
  <si>
    <t>0007671513</t>
  </si>
  <si>
    <t>0008089483</t>
  </si>
  <si>
    <t>0022295279</t>
  </si>
  <si>
    <t>0035628848</t>
  </si>
  <si>
    <t>0038264114</t>
  </si>
  <si>
    <t>0040810230</t>
  </si>
  <si>
    <t>0059458008</t>
  </si>
  <si>
    <t>0065804890</t>
  </si>
  <si>
    <t>0065986516</t>
  </si>
  <si>
    <t>0076519763</t>
  </si>
  <si>
    <t>0104802941</t>
  </si>
  <si>
    <t>0109688891</t>
  </si>
  <si>
    <t>0120676588</t>
  </si>
  <si>
    <t>0128463968</t>
  </si>
  <si>
    <t>0150382963</t>
  </si>
  <si>
    <t>0159923627</t>
  </si>
  <si>
    <t>0163332668</t>
  </si>
  <si>
    <t>0166333322</t>
  </si>
  <si>
    <t>0167098653</t>
  </si>
  <si>
    <t>0167912116</t>
  </si>
  <si>
    <t>0177486178</t>
  </si>
  <si>
    <t>0180747144</t>
  </si>
  <si>
    <t>0198034680</t>
  </si>
  <si>
    <t>0198144173</t>
  </si>
  <si>
    <t>0253437087</t>
  </si>
  <si>
    <t>0256407063</t>
  </si>
  <si>
    <t>0284390101</t>
  </si>
  <si>
    <t>0292997475</t>
  </si>
  <si>
    <t>0297713702</t>
  </si>
  <si>
    <t>0301969294</t>
  </si>
  <si>
    <t>0313128056</t>
  </si>
  <si>
    <t>0316637003</t>
  </si>
  <si>
    <t>0324254677</t>
  </si>
  <si>
    <t>0332655950</t>
  </si>
  <si>
    <t>0345255246</t>
  </si>
  <si>
    <t>0345471628</t>
  </si>
  <si>
    <t>0350667812</t>
  </si>
  <si>
    <t>0360933659</t>
  </si>
  <si>
    <t>0364330409</t>
  </si>
  <si>
    <t>0378172464</t>
  </si>
  <si>
    <t>0380652397</t>
  </si>
  <si>
    <t>0381467986</t>
  </si>
  <si>
    <t>0393559612</t>
  </si>
  <si>
    <t>0411349216</t>
  </si>
  <si>
    <t>0425434557</t>
  </si>
  <si>
    <t>0427351730</t>
  </si>
  <si>
    <t>0435667426</t>
  </si>
  <si>
    <t>Other Rate Base Items</t>
  </si>
  <si>
    <t>WWSC is proposing Strohs rates that do not capture the entire revenue requirement - see rate design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</si>
</sst>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_);\(0.00\)"/>
    <numFmt numFmtId="167" formatCode="#,##0.0000"/>
    <numFmt numFmtId="168" formatCode="#,##0.00000"/>
    <numFmt numFmtId="169" formatCode="[$-409]mmm\-yy;@"/>
    <numFmt numFmtId="170" formatCode="_(* #,##0_);_(* \(#,##0\);_(* &quot;-&quot;??_);_(@_)"/>
    <numFmt numFmtId="171" formatCode="_(&quot;$&quot;* #,##0_);_(&quot;$&quot;* \(#,##0\);_(&quot;$&quot;* &quot;-&quot;??_);_(@_)"/>
    <numFmt numFmtId="172" formatCode="0.0%"/>
    <numFmt numFmtId="173" formatCode="0.000%"/>
    <numFmt numFmtId="174" formatCode="[$-F800]dddd\,\ mmmm\ dd\,\ yyyy"/>
    <numFmt numFmtId="175" formatCode="[$-409]mmmm\ d\,\ yyyy;@"/>
    <numFmt numFmtId="176" formatCode="0.00000000000000000%"/>
    <numFmt numFmtId="177" formatCode="0.000000%"/>
  </numFmts>
  <fonts count="62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"/>
      <family val="2"/>
    </font>
    <font>
      <sz val="10"/>
      <name val="Times New Roman"/>
      <family val="1"/>
    </font>
    <font>
      <b/>
      <i/>
      <u/>
      <sz val="16"/>
      <name val="Times New Roman"/>
      <family val="1"/>
    </font>
    <font>
      <i/>
      <sz val="12"/>
      <name val="Times New Roman"/>
      <family val="1"/>
    </font>
    <font>
      <sz val="12"/>
      <color rgb="FF0000FF"/>
      <name val="Times New Roman"/>
      <family val="1"/>
    </font>
    <font>
      <b/>
      <i/>
      <sz val="12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color theme="0"/>
      <name val="Times New Roman"/>
      <family val="1"/>
    </font>
    <font>
      <b/>
      <sz val="24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2"/>
    </font>
    <font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24"/>
      <name val="Times New Roman"/>
      <family val="1"/>
    </font>
    <font>
      <sz val="14"/>
      <name val="Arial"/>
      <family val="2"/>
    </font>
    <font>
      <b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sz val="14"/>
      <name val="Times New Roman"/>
      <family val="1"/>
    </font>
    <font>
      <sz val="8"/>
      <color theme="0" tint="-0.24994659260841701"/>
      <name val="Times New Roman"/>
      <family val="1"/>
    </font>
    <font>
      <b/>
      <sz val="12"/>
      <color theme="9" tint="-0.499984740745262"/>
      <name val="Times New Roman"/>
      <family val="1"/>
    </font>
    <font>
      <b/>
      <sz val="8"/>
      <color theme="9" tint="-0.499984740745262"/>
      <name val="Times New Roman"/>
      <family val="1"/>
    </font>
    <font>
      <sz val="12"/>
      <color rgb="FF92D050"/>
      <name val="Times New Roman"/>
      <family val="1"/>
    </font>
    <font>
      <b/>
      <sz val="12"/>
      <color theme="1"/>
      <name val="Times New Roman"/>
      <family val="2"/>
    </font>
    <font>
      <sz val="8"/>
      <name val="Times New Roman"/>
      <family val="1"/>
    </font>
    <font>
      <sz val="8"/>
      <name val="Papyrus"/>
      <family val="4"/>
    </font>
    <font>
      <b/>
      <sz val="8"/>
      <name val="Papyrus"/>
      <family val="4"/>
    </font>
    <font>
      <sz val="8"/>
      <color rgb="FFFF0000"/>
      <name val="Papyrus"/>
      <family val="4"/>
    </font>
    <font>
      <b/>
      <sz val="8"/>
      <color rgb="FFFF0000"/>
      <name val="Papyrus"/>
      <family val="4"/>
    </font>
    <font>
      <sz val="8"/>
      <color rgb="FFFF0000"/>
      <name val="Times New Roman"/>
      <family val="1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16"/>
      <color theme="1"/>
      <name val="Times New Roman"/>
      <family val="1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2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8ED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thin">
        <color theme="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9" fontId="6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5" fillId="0" borderId="0"/>
    <xf numFmtId="0" fontId="17" fillId="0" borderId="0"/>
    <xf numFmtId="0" fontId="11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/>
    <xf numFmtId="0" fontId="11" fillId="0" borderId="0"/>
    <xf numFmtId="44" fontId="11" fillId="0" borderId="0" applyFont="0" applyFill="0" applyBorder="0" applyAlignment="0" applyProtection="0"/>
    <xf numFmtId="0" fontId="18" fillId="0" borderId="0"/>
    <xf numFmtId="9" fontId="6" fillId="0" borderId="0" applyFont="0" applyFill="0" applyBorder="0" applyAlignment="0" applyProtection="0"/>
    <xf numFmtId="0" fontId="14" fillId="0" borderId="0"/>
    <xf numFmtId="0" fontId="11" fillId="0" borderId="0"/>
    <xf numFmtId="9" fontId="1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0" fontId="31" fillId="0" borderId="0"/>
    <xf numFmtId="44" fontId="18" fillId="0" borderId="0" applyFont="0" applyFill="0" applyBorder="0" applyAlignment="0" applyProtection="0"/>
    <xf numFmtId="38" fontId="32" fillId="0" borderId="0" applyNumberFormat="0" applyFont="0" applyFill="0" applyBorder="0">
      <alignment horizontal="left" indent="4"/>
      <protection locked="0"/>
    </xf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34" fillId="0" borderId="20">
      <alignment horizontal="center"/>
    </xf>
    <xf numFmtId="3" fontId="33" fillId="0" borderId="0" applyFont="0" applyFill="0" applyBorder="0" applyAlignment="0" applyProtection="0"/>
    <xf numFmtId="0" fontId="33" fillId="7" borderId="0" applyNumberFormat="0" applyFont="0" applyBorder="0" applyAlignment="0" applyProtection="0"/>
    <xf numFmtId="170" fontId="14" fillId="2" borderId="0" applyFont="0" applyFill="0" applyBorder="0" applyAlignment="0" applyProtection="0">
      <alignment wrapText="1"/>
    </xf>
    <xf numFmtId="0" fontId="18" fillId="8" borderId="0" applyNumberFormat="0" applyFont="0" applyFill="0" applyBorder="0" applyAlignment="0" applyProtection="0"/>
    <xf numFmtId="0" fontId="18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1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4" fillId="0" borderId="0"/>
    <xf numFmtId="9" fontId="6" fillId="0" borderId="0" applyFont="0" applyFill="0" applyBorder="0" applyAlignment="0" applyProtection="0"/>
  </cellStyleXfs>
  <cellXfs count="771">
    <xf numFmtId="0" fontId="0" fillId="0" borderId="0" xfId="0" applyProtection="1">
      <protection locked="0"/>
    </xf>
    <xf numFmtId="37" fontId="11" fillId="0" borderId="0" xfId="17" applyNumberFormat="1" applyFont="1" applyAlignment="1">
      <alignment horizontal="right"/>
    </xf>
    <xf numFmtId="0" fontId="28" fillId="0" borderId="0" xfId="0" applyFont="1"/>
    <xf numFmtId="0" fontId="6" fillId="0" borderId="0" xfId="0" applyFont="1"/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37" fontId="6" fillId="0" borderId="12" xfId="0" applyNumberFormat="1" applyFont="1" applyBorder="1" applyAlignment="1">
      <alignment horizontal="center" wrapText="1"/>
    </xf>
    <xf numFmtId="0" fontId="6" fillId="0" borderId="12" xfId="6" applyFont="1" applyBorder="1" applyAlignment="1">
      <alignment horizontal="center"/>
    </xf>
    <xf numFmtId="37" fontId="6" fillId="0" borderId="12" xfId="17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37" fontId="6" fillId="0" borderId="19" xfId="0" applyNumberFormat="1" applyFont="1" applyBorder="1" applyAlignment="1">
      <alignment horizontal="center" wrapText="1"/>
    </xf>
    <xf numFmtId="10" fontId="6" fillId="0" borderId="2" xfId="1" applyNumberFormat="1" applyFont="1" applyBorder="1" applyAlignment="1" applyProtection="1">
      <alignment horizontal="center" wrapText="1"/>
    </xf>
    <xf numFmtId="170" fontId="8" fillId="0" borderId="19" xfId="9" applyNumberFormat="1" applyFont="1" applyFill="1" applyBorder="1" applyAlignment="1" applyProtection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1" fontId="22" fillId="0" borderId="3" xfId="8" applyNumberFormat="1" applyFont="1" applyFill="1" applyBorder="1" applyProtection="1"/>
    <xf numFmtId="170" fontId="22" fillId="0" borderId="5" xfId="3" applyNumberFormat="1" applyFont="1" applyFill="1" applyBorder="1" applyProtection="1"/>
    <xf numFmtId="0" fontId="6" fillId="0" borderId="0" xfId="0" applyFont="1" applyAlignment="1">
      <alignment horizontal="right"/>
    </xf>
    <xf numFmtId="171" fontId="22" fillId="0" borderId="8" xfId="8" applyNumberFormat="1" applyFont="1" applyFill="1" applyBorder="1" applyProtection="1"/>
    <xf numFmtId="171" fontId="22" fillId="0" borderId="0" xfId="8" applyNumberFormat="1" applyFont="1" applyFill="1" applyBorder="1" applyProtection="1"/>
    <xf numFmtId="171" fontId="22" fillId="0" borderId="2" xfId="8" applyNumberFormat="1" applyFont="1" applyFill="1" applyBorder="1" applyProtection="1"/>
    <xf numFmtId="3" fontId="6" fillId="0" borderId="8" xfId="0" applyNumberFormat="1" applyFont="1" applyBorder="1"/>
    <xf numFmtId="3" fontId="6" fillId="0" borderId="0" xfId="0" applyNumberFormat="1" applyFont="1"/>
    <xf numFmtId="10" fontId="6" fillId="0" borderId="2" xfId="0" applyNumberFormat="1" applyFont="1" applyBorder="1"/>
    <xf numFmtId="165" fontId="6" fillId="0" borderId="8" xfId="0" applyNumberFormat="1" applyFont="1" applyBorder="1"/>
    <xf numFmtId="165" fontId="6" fillId="0" borderId="0" xfId="0" applyNumberFormat="1" applyFont="1"/>
    <xf numFmtId="165" fontId="6" fillId="0" borderId="2" xfId="0" applyNumberFormat="1" applyFont="1" applyBorder="1"/>
    <xf numFmtId="3" fontId="6" fillId="0" borderId="2" xfId="0" applyNumberFormat="1" applyFont="1" applyBorder="1"/>
    <xf numFmtId="37" fontId="22" fillId="0" borderId="8" xfId="0" applyNumberFormat="1" applyFont="1" applyBorder="1"/>
    <xf numFmtId="5" fontId="22" fillId="0" borderId="29" xfId="0" applyNumberFormat="1" applyFont="1" applyBorder="1"/>
    <xf numFmtId="5" fontId="22" fillId="0" borderId="8" xfId="0" applyNumberFormat="1" applyFont="1" applyBorder="1"/>
    <xf numFmtId="171" fontId="22" fillId="0" borderId="4" xfId="8" applyNumberFormat="1" applyFont="1" applyFill="1" applyBorder="1" applyProtection="1"/>
    <xf numFmtId="37" fontId="6" fillId="0" borderId="0" xfId="0" applyNumberFormat="1" applyFont="1"/>
    <xf numFmtId="37" fontId="6" fillId="0" borderId="0" xfId="17" applyNumberFormat="1" applyFont="1" applyAlignment="1">
      <alignment horizontal="right"/>
    </xf>
    <xf numFmtId="0" fontId="7" fillId="0" borderId="0" xfId="0" applyFont="1"/>
    <xf numFmtId="37" fontId="6" fillId="0" borderId="2" xfId="0" applyNumberFormat="1" applyFont="1" applyBorder="1" applyAlignment="1">
      <alignment horizontal="center"/>
    </xf>
    <xf numFmtId="10" fontId="6" fillId="0" borderId="0" xfId="1" applyNumberFormat="1" applyFont="1" applyProtection="1"/>
    <xf numFmtId="14" fontId="6" fillId="0" borderId="0" xfId="0" applyNumberFormat="1" applyFont="1" applyAlignment="1">
      <alignment horizontal="right"/>
    </xf>
    <xf numFmtId="10" fontId="6" fillId="0" borderId="0" xfId="1" applyNumberFormat="1" applyFont="1" applyAlignment="1" applyProtection="1">
      <alignment horizontal="center"/>
    </xf>
    <xf numFmtId="0" fontId="11" fillId="0" borderId="0" xfId="0" applyFont="1" applyAlignment="1">
      <alignment horizontal="center"/>
    </xf>
    <xf numFmtId="37" fontId="6" fillId="0" borderId="5" xfId="0" applyNumberFormat="1" applyFont="1" applyBorder="1" applyAlignment="1">
      <alignment horizontal="center"/>
    </xf>
    <xf numFmtId="10" fontId="6" fillId="0" borderId="0" xfId="1" applyNumberFormat="1" applyFont="1" applyFill="1" applyProtection="1"/>
    <xf numFmtId="0" fontId="6" fillId="0" borderId="0" xfId="0" applyFont="1" applyAlignment="1">
      <alignment horizontal="left"/>
    </xf>
    <xf numFmtId="10" fontId="8" fillId="0" borderId="9" xfId="1" applyNumberFormat="1" applyFont="1" applyFill="1" applyBorder="1" applyProtection="1"/>
    <xf numFmtId="10" fontId="8" fillId="0" borderId="0" xfId="1" applyNumberFormat="1" applyFont="1" applyFill="1" applyBorder="1" applyProtection="1"/>
    <xf numFmtId="0" fontId="6" fillId="0" borderId="1" xfId="0" applyFont="1" applyBorder="1"/>
    <xf numFmtId="37" fontId="6" fillId="0" borderId="1" xfId="0" applyNumberFormat="1" applyFont="1" applyBorder="1"/>
    <xf numFmtId="10" fontId="6" fillId="0" borderId="1" xfId="1" applyNumberFormat="1" applyFont="1" applyBorder="1" applyAlignment="1" applyProtection="1">
      <alignment horizontal="center"/>
    </xf>
    <xf numFmtId="10" fontId="6" fillId="0" borderId="0" xfId="1" applyNumberFormat="1" applyFont="1" applyAlignment="1" applyProtection="1"/>
    <xf numFmtId="10" fontId="6" fillId="0" borderId="0" xfId="0" applyNumberFormat="1" applyFont="1"/>
    <xf numFmtId="166" fontId="6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center"/>
    </xf>
    <xf numFmtId="39" fontId="6" fillId="0" borderId="7" xfId="0" applyNumberFormat="1" applyFont="1" applyBorder="1" applyAlignment="1">
      <alignment horizontal="center"/>
    </xf>
    <xf numFmtId="14" fontId="6" fillId="0" borderId="0" xfId="0" applyNumberFormat="1" applyFont="1"/>
    <xf numFmtId="0" fontId="11" fillId="0" borderId="2" xfId="0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0" xfId="0" applyNumberFormat="1" applyFont="1"/>
    <xf numFmtId="0" fontId="6" fillId="0" borderId="7" xfId="0" applyFont="1" applyBorder="1" applyAlignment="1">
      <alignment horizontal="right"/>
    </xf>
    <xf numFmtId="5" fontId="6" fillId="0" borderId="4" xfId="0" applyNumberFormat="1" applyFont="1" applyBorder="1" applyAlignment="1">
      <alignment horizontal="right"/>
    </xf>
    <xf numFmtId="5" fontId="6" fillId="0" borderId="5" xfId="0" applyNumberFormat="1" applyFont="1" applyBorder="1" applyAlignment="1">
      <alignment horizontal="center"/>
    </xf>
    <xf numFmtId="9" fontId="6" fillId="0" borderId="3" xfId="1" applyFont="1" applyBorder="1" applyAlignment="1" applyProtection="1">
      <alignment horizontal="left"/>
    </xf>
    <xf numFmtId="0" fontId="7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37" fontId="11" fillId="0" borderId="0" xfId="17" applyNumberFormat="1" applyFont="1" applyAlignment="1">
      <alignment horizontal="left"/>
    </xf>
    <xf numFmtId="0" fontId="8" fillId="0" borderId="18" xfId="7" applyFont="1" applyBorder="1" applyAlignment="1">
      <alignment horizontal="left"/>
    </xf>
    <xf numFmtId="0" fontId="8" fillId="0" borderId="18" xfId="7" applyFont="1" applyBorder="1" applyAlignment="1">
      <alignment horizontal="center" wrapText="1"/>
    </xf>
    <xf numFmtId="0" fontId="8" fillId="0" borderId="18" xfId="7" applyFont="1" applyBorder="1" applyAlignment="1">
      <alignment horizontal="center"/>
    </xf>
    <xf numFmtId="0" fontId="6" fillId="0" borderId="18" xfId="7" applyFont="1" applyBorder="1"/>
    <xf numFmtId="11" fontId="27" fillId="0" borderId="8" xfId="7" applyNumberFormat="1" applyFont="1" applyBorder="1" applyAlignment="1">
      <alignment horizontal="center"/>
    </xf>
    <xf numFmtId="9" fontId="6" fillId="0" borderId="18" xfId="1" applyFont="1" applyBorder="1" applyAlignment="1" applyProtection="1">
      <alignment horizontal="center"/>
    </xf>
    <xf numFmtId="0" fontId="6" fillId="0" borderId="18" xfId="7" applyFont="1" applyBorder="1" applyAlignment="1">
      <alignment horizontal="center"/>
    </xf>
    <xf numFmtId="10" fontId="6" fillId="0" borderId="18" xfId="7" applyNumberFormat="1" applyFont="1" applyBorder="1" applyAlignment="1">
      <alignment horizontal="center"/>
    </xf>
    <xf numFmtId="10" fontId="6" fillId="0" borderId="2" xfId="7" applyNumberFormat="1" applyFont="1" applyBorder="1" applyAlignment="1">
      <alignment horizontal="center"/>
    </xf>
    <xf numFmtId="0" fontId="6" fillId="0" borderId="19" xfId="7" applyFont="1" applyBorder="1"/>
    <xf numFmtId="0" fontId="6" fillId="0" borderId="19" xfId="7" applyFont="1" applyBorder="1" applyAlignment="1">
      <alignment horizontal="center"/>
    </xf>
    <xf numFmtId="0" fontId="9" fillId="0" borderId="0" xfId="0" applyFont="1"/>
    <xf numFmtId="0" fontId="6" fillId="0" borderId="8" xfId="0" applyFont="1" applyBorder="1"/>
    <xf numFmtId="37" fontId="6" fillId="0" borderId="8" xfId="17" applyNumberFormat="1" applyFont="1" applyBorder="1"/>
    <xf numFmtId="10" fontId="6" fillId="0" borderId="8" xfId="17" applyNumberFormat="1" applyFont="1" applyBorder="1"/>
    <xf numFmtId="10" fontId="6" fillId="0" borderId="14" xfId="17" applyNumberFormat="1" applyFont="1" applyBorder="1"/>
    <xf numFmtId="0" fontId="6" fillId="0" borderId="4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6" fillId="0" borderId="18" xfId="0" applyFont="1" applyBorder="1"/>
    <xf numFmtId="3" fontId="22" fillId="0" borderId="18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37" fontId="6" fillId="0" borderId="18" xfId="0" applyNumberFormat="1" applyFont="1" applyBorder="1" applyAlignment="1">
      <alignment horizontal="left"/>
    </xf>
    <xf numFmtId="37" fontId="6" fillId="0" borderId="3" xfId="0" applyNumberFormat="1" applyFont="1" applyBorder="1" applyAlignment="1">
      <alignment horizontal="center"/>
    </xf>
    <xf numFmtId="3" fontId="8" fillId="0" borderId="8" xfId="0" applyNumberFormat="1" applyFont="1" applyBorder="1"/>
    <xf numFmtId="10" fontId="6" fillId="0" borderId="0" xfId="1" applyNumberFormat="1" applyFont="1" applyFill="1" applyBorder="1" applyProtection="1"/>
    <xf numFmtId="10" fontId="6" fillId="0" borderId="0" xfId="1" applyNumberFormat="1" applyFont="1" applyFill="1" applyAlignment="1" applyProtection="1">
      <alignment horizontal="center"/>
    </xf>
    <xf numFmtId="0" fontId="6" fillId="0" borderId="1" xfId="0" applyFont="1" applyBorder="1" applyAlignment="1">
      <alignment horizontal="center"/>
    </xf>
    <xf numFmtId="166" fontId="6" fillId="3" borderId="9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Protection="1"/>
    <xf numFmtId="0" fontId="11" fillId="0" borderId="0" xfId="2" applyFont="1" applyProtection="1">
      <protection locked="0"/>
    </xf>
    <xf numFmtId="0" fontId="29" fillId="0" borderId="0" xfId="28" applyAlignment="1">
      <alignment horizontal="center"/>
    </xf>
    <xf numFmtId="3" fontId="30" fillId="0" borderId="0" xfId="28" applyNumberFormat="1" applyFont="1" applyAlignment="1">
      <alignment horizontal="center"/>
    </xf>
    <xf numFmtId="3" fontId="29" fillId="0" borderId="0" xfId="28" applyNumberFormat="1" applyAlignment="1">
      <alignment horizontal="center"/>
    </xf>
    <xf numFmtId="0" fontId="6" fillId="0" borderId="13" xfId="6" applyFont="1" applyBorder="1" applyAlignment="1">
      <alignment horizontal="center"/>
    </xf>
    <xf numFmtId="0" fontId="23" fillId="0" borderId="5" xfId="0" applyFont="1" applyBorder="1"/>
    <xf numFmtId="0" fontId="23" fillId="0" borderId="12" xfId="0" applyFont="1" applyBorder="1"/>
    <xf numFmtId="0" fontId="6" fillId="0" borderId="5" xfId="0" applyFont="1" applyBorder="1"/>
    <xf numFmtId="0" fontId="6" fillId="0" borderId="14" xfId="0" applyFont="1" applyBorder="1"/>
    <xf numFmtId="0" fontId="6" fillId="0" borderId="19" xfId="6" applyFont="1" applyBorder="1" applyAlignment="1">
      <alignment horizontal="center" wrapText="1"/>
    </xf>
    <xf numFmtId="44" fontId="6" fillId="0" borderId="13" xfId="4" applyFont="1" applyBorder="1" applyAlignment="1" applyProtection="1"/>
    <xf numFmtId="0" fontId="21" fillId="0" borderId="8" xfId="0" applyFont="1" applyBorder="1" applyAlignment="1">
      <alignment horizontal="right"/>
    </xf>
    <xf numFmtId="44" fontId="6" fillId="0" borderId="5" xfId="0" applyNumberFormat="1" applyFont="1" applyBorder="1"/>
    <xf numFmtId="0" fontId="22" fillId="0" borderId="11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2" fillId="0" borderId="8" xfId="0" applyFont="1" applyBorder="1" applyAlignment="1">
      <alignment horizontal="center"/>
    </xf>
    <xf numFmtId="37" fontId="6" fillId="0" borderId="8" xfId="0" applyNumberFormat="1" applyFont="1" applyBorder="1"/>
    <xf numFmtId="10" fontId="6" fillId="0" borderId="13" xfId="1" applyNumberFormat="1" applyFont="1" applyBorder="1" applyAlignment="1" applyProtection="1">
      <alignment horizontal="center" wrapText="1"/>
    </xf>
    <xf numFmtId="37" fontId="6" fillId="0" borderId="11" xfId="0" applyNumberFormat="1" applyFont="1" applyBorder="1" applyAlignment="1">
      <alignment horizontal="center" wrapText="1"/>
    </xf>
    <xf numFmtId="37" fontId="6" fillId="0" borderId="11" xfId="17" applyNumberFormat="1" applyFont="1" applyBorder="1" applyAlignment="1">
      <alignment horizontal="center"/>
    </xf>
    <xf numFmtId="171" fontId="6" fillId="0" borderId="0" xfId="0" applyNumberFormat="1" applyFont="1"/>
    <xf numFmtId="12" fontId="6" fillId="0" borderId="0" xfId="3" applyNumberFormat="1" applyFont="1" applyAlignment="1" applyProtection="1"/>
    <xf numFmtId="170" fontId="28" fillId="0" borderId="0" xfId="3" applyNumberFormat="1" applyFont="1" applyAlignment="1" applyProtection="1"/>
    <xf numFmtId="170" fontId="6" fillId="0" borderId="0" xfId="3" applyNumberFormat="1" applyFont="1" applyAlignment="1" applyProtection="1"/>
    <xf numFmtId="170" fontId="6" fillId="0" borderId="0" xfId="3" applyNumberFormat="1" applyFont="1" applyAlignment="1" applyProtection="1">
      <alignment horizontal="center"/>
    </xf>
    <xf numFmtId="0" fontId="29" fillId="0" borderId="25" xfId="28" applyBorder="1" applyAlignment="1">
      <alignment horizontal="center"/>
    </xf>
    <xf numFmtId="0" fontId="29" fillId="0" borderId="24" xfId="28" applyBorder="1" applyAlignment="1">
      <alignment horizontal="center"/>
    </xf>
    <xf numFmtId="3" fontId="6" fillId="0" borderId="18" xfId="0" applyNumberFormat="1" applyFont="1" applyBorder="1"/>
    <xf numFmtId="37" fontId="6" fillId="0" borderId="18" xfId="0" applyNumberFormat="1" applyFont="1" applyBorder="1"/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14" fontId="6" fillId="0" borderId="12" xfId="17" applyNumberFormat="1" applyFont="1" applyBorder="1" applyAlignment="1">
      <alignment horizontal="center"/>
    </xf>
    <xf numFmtId="14" fontId="6" fillId="0" borderId="19" xfId="6" applyNumberFormat="1" applyFont="1" applyBorder="1" applyAlignment="1">
      <alignment horizontal="center" wrapText="1"/>
    </xf>
    <xf numFmtId="12" fontId="6" fillId="0" borderId="0" xfId="0" applyNumberFormat="1" applyFont="1" applyAlignment="1">
      <alignment horizontal="center"/>
    </xf>
    <xf numFmtId="12" fontId="6" fillId="0" borderId="0" xfId="0" applyNumberFormat="1" applyFont="1"/>
    <xf numFmtId="44" fontId="6" fillId="0" borderId="0" xfId="0" applyNumberFormat="1" applyFont="1"/>
    <xf numFmtId="14" fontId="23" fillId="0" borderId="5" xfId="6" applyNumberFormat="1" applyFont="1" applyBorder="1"/>
    <xf numFmtId="43" fontId="6" fillId="0" borderId="0" xfId="3" applyFont="1" applyAlignment="1" applyProtection="1"/>
    <xf numFmtId="170" fontId="6" fillId="0" borderId="12" xfId="3" applyNumberFormat="1" applyFont="1" applyBorder="1" applyAlignment="1" applyProtection="1">
      <alignment horizontal="center"/>
    </xf>
    <xf numFmtId="170" fontId="6" fillId="0" borderId="13" xfId="3" applyNumberFormat="1" applyFont="1" applyBorder="1" applyAlignment="1" applyProtection="1">
      <alignment horizontal="center"/>
    </xf>
    <xf numFmtId="170" fontId="6" fillId="0" borderId="7" xfId="3" applyNumberFormat="1" applyFont="1" applyFill="1" applyBorder="1" applyAlignment="1" applyProtection="1">
      <alignment horizontal="center"/>
    </xf>
    <xf numFmtId="170" fontId="6" fillId="0" borderId="0" xfId="3" applyNumberFormat="1" applyFont="1" applyAlignment="1" applyProtection="1">
      <alignment horizontal="right"/>
    </xf>
    <xf numFmtId="12" fontId="8" fillId="0" borderId="19" xfId="3" applyNumberFormat="1" applyFont="1" applyFill="1" applyBorder="1" applyAlignment="1" applyProtection="1">
      <alignment horizontal="center" wrapText="1"/>
    </xf>
    <xf numFmtId="171" fontId="22" fillId="0" borderId="12" xfId="8" applyNumberFormat="1" applyFont="1" applyFill="1" applyBorder="1" applyProtection="1"/>
    <xf numFmtId="37" fontId="6" fillId="0" borderId="13" xfId="0" applyNumberFormat="1" applyFont="1" applyBorder="1" applyAlignment="1">
      <alignment horizontal="center"/>
    </xf>
    <xf numFmtId="171" fontId="22" fillId="0" borderId="14" xfId="8" applyNumberFormat="1" applyFont="1" applyFill="1" applyBorder="1" applyProtection="1"/>
    <xf numFmtId="171" fontId="22" fillId="0" borderId="33" xfId="8" applyNumberFormat="1" applyFont="1" applyFill="1" applyBorder="1" applyProtection="1"/>
    <xf numFmtId="12" fontId="8" fillId="13" borderId="19" xfId="29" applyNumberFormat="1" applyFont="1" applyFill="1" applyBorder="1" applyAlignment="1" applyProtection="1">
      <alignment horizontal="center"/>
      <protection locked="0"/>
    </xf>
    <xf numFmtId="0" fontId="6" fillId="0" borderId="0" xfId="6" applyFont="1"/>
    <xf numFmtId="171" fontId="6" fillId="0" borderId="0" xfId="6" applyNumberFormat="1" applyFont="1"/>
    <xf numFmtId="44" fontId="6" fillId="0" borderId="0" xfId="6" applyNumberFormat="1" applyFont="1"/>
    <xf numFmtId="14" fontId="6" fillId="0" borderId="0" xfId="6" applyNumberFormat="1" applyFont="1"/>
    <xf numFmtId="0" fontId="37" fillId="0" borderId="0" xfId="6" applyFont="1"/>
    <xf numFmtId="170" fontId="23" fillId="0" borderId="12" xfId="3" applyNumberFormat="1" applyFont="1" applyFill="1" applyBorder="1" applyAlignment="1" applyProtection="1"/>
    <xf numFmtId="170" fontId="6" fillId="0" borderId="0" xfId="3" applyNumberFormat="1" applyFont="1" applyFill="1" applyAlignment="1" applyProtection="1"/>
    <xf numFmtId="170" fontId="6" fillId="0" borderId="19" xfId="3" applyNumberFormat="1" applyFont="1" applyBorder="1" applyAlignment="1" applyProtection="1">
      <alignment horizontal="center" wrapText="1"/>
    </xf>
    <xf numFmtId="170" fontId="6" fillId="0" borderId="0" xfId="3" applyNumberFormat="1" applyFont="1" applyFill="1" applyProtection="1"/>
    <xf numFmtId="170" fontId="6" fillId="0" borderId="0" xfId="3" applyNumberFormat="1" applyFont="1" applyBorder="1" applyAlignment="1" applyProtection="1">
      <alignment horizontal="center"/>
    </xf>
    <xf numFmtId="170" fontId="6" fillId="0" borderId="2" xfId="3" applyNumberFormat="1" applyFont="1" applyBorder="1" applyAlignment="1" applyProtection="1">
      <alignment horizontal="center"/>
    </xf>
    <xf numFmtId="171" fontId="6" fillId="0" borderId="12" xfId="0" applyNumberFormat="1" applyFont="1" applyBorder="1"/>
    <xf numFmtId="170" fontId="23" fillId="0" borderId="5" xfId="6" applyNumberFormat="1" applyFont="1" applyBorder="1"/>
    <xf numFmtId="0" fontId="6" fillId="0" borderId="2" xfId="0" applyFont="1" applyBorder="1"/>
    <xf numFmtId="170" fontId="6" fillId="4" borderId="2" xfId="3" applyNumberFormat="1" applyFont="1" applyFill="1" applyBorder="1" applyAlignment="1" applyProtection="1">
      <protection locked="0"/>
    </xf>
    <xf numFmtId="170" fontId="6" fillId="4" borderId="28" xfId="3" applyNumberFormat="1" applyFont="1" applyFill="1" applyBorder="1" applyAlignment="1" applyProtection="1">
      <protection locked="0"/>
    </xf>
    <xf numFmtId="170" fontId="6" fillId="4" borderId="2" xfId="3" applyNumberFormat="1" applyFont="1" applyFill="1" applyBorder="1" applyAlignment="1" applyProtection="1">
      <alignment horizontal="center"/>
      <protection locked="0"/>
    </xf>
    <xf numFmtId="14" fontId="6" fillId="4" borderId="2" xfId="3" applyNumberFormat="1" applyFont="1" applyFill="1" applyBorder="1" applyAlignment="1" applyProtection="1">
      <alignment horizontal="center"/>
      <protection locked="0"/>
    </xf>
    <xf numFmtId="12" fontId="6" fillId="11" borderId="2" xfId="17" applyNumberFormat="1" applyFont="1" applyFill="1" applyBorder="1" applyAlignment="1" applyProtection="1">
      <alignment horizontal="center" vertical="center"/>
      <protection locked="0"/>
    </xf>
    <xf numFmtId="170" fontId="6" fillId="4" borderId="34" xfId="3" applyNumberFormat="1" applyFont="1" applyFill="1" applyBorder="1" applyAlignment="1" applyProtection="1">
      <protection locked="0"/>
    </xf>
    <xf numFmtId="170" fontId="6" fillId="4" borderId="35" xfId="3" applyNumberFormat="1" applyFont="1" applyFill="1" applyBorder="1" applyAlignment="1" applyProtection="1">
      <protection locked="0"/>
    </xf>
    <xf numFmtId="170" fontId="6" fillId="4" borderId="36" xfId="3" applyNumberFormat="1" applyFont="1" applyFill="1" applyBorder="1" applyAlignment="1" applyProtection="1">
      <protection locked="0"/>
    </xf>
    <xf numFmtId="170" fontId="6" fillId="4" borderId="37" xfId="3" applyNumberFormat="1" applyFont="1" applyFill="1" applyBorder="1" applyAlignment="1" applyProtection="1">
      <protection locked="0"/>
    </xf>
    <xf numFmtId="170" fontId="6" fillId="4" borderId="38" xfId="3" applyNumberFormat="1" applyFont="1" applyFill="1" applyBorder="1" applyAlignment="1" applyProtection="1">
      <protection locked="0"/>
    </xf>
    <xf numFmtId="170" fontId="6" fillId="4" borderId="39" xfId="3" applyNumberFormat="1" applyFont="1" applyFill="1" applyBorder="1" applyAlignment="1" applyProtection="1">
      <protection locked="0"/>
    </xf>
    <xf numFmtId="0" fontId="6" fillId="11" borderId="34" xfId="29" applyFont="1" applyFill="1" applyBorder="1" applyAlignment="1" applyProtection="1">
      <alignment horizontal="center"/>
      <protection locked="0"/>
    </xf>
    <xf numFmtId="171" fontId="6" fillId="4" borderId="35" xfId="8" applyNumberFormat="1" applyFont="1" applyFill="1" applyBorder="1" applyAlignment="1" applyProtection="1">
      <protection locked="0"/>
    </xf>
    <xf numFmtId="49" fontId="6" fillId="11" borderId="35" xfId="29" applyNumberFormat="1" applyFont="1" applyFill="1" applyBorder="1" applyAlignment="1" applyProtection="1">
      <alignment horizontal="center"/>
      <protection locked="0"/>
    </xf>
    <xf numFmtId="10" fontId="6" fillId="4" borderId="36" xfId="1" applyNumberFormat="1" applyFont="1" applyFill="1" applyBorder="1" applyAlignment="1" applyProtection="1">
      <protection locked="0"/>
    </xf>
    <xf numFmtId="171" fontId="6" fillId="4" borderId="40" xfId="8" applyNumberFormat="1" applyFont="1" applyFill="1" applyBorder="1" applyAlignment="1" applyProtection="1">
      <protection locked="0"/>
    </xf>
    <xf numFmtId="49" fontId="6" fillId="11" borderId="35" xfId="29" applyNumberFormat="1" applyFont="1" applyFill="1" applyBorder="1" applyAlignment="1" applyProtection="1">
      <alignment horizontal="right"/>
      <protection locked="0"/>
    </xf>
    <xf numFmtId="14" fontId="6" fillId="4" borderId="35" xfId="8" applyNumberFormat="1" applyFont="1" applyFill="1" applyBorder="1" applyAlignment="1" applyProtection="1">
      <protection locked="0"/>
    </xf>
    <xf numFmtId="14" fontId="6" fillId="4" borderId="40" xfId="8" applyNumberFormat="1" applyFont="1" applyFill="1" applyBorder="1" applyAlignment="1" applyProtection="1">
      <protection locked="0"/>
    </xf>
    <xf numFmtId="170" fontId="6" fillId="4" borderId="35" xfId="9" applyNumberFormat="1" applyFont="1" applyFill="1" applyBorder="1" applyAlignment="1" applyProtection="1">
      <alignment horizontal="left"/>
      <protection locked="0"/>
    </xf>
    <xf numFmtId="170" fontId="36" fillId="4" borderId="35" xfId="3" applyNumberFormat="1" applyFont="1" applyFill="1" applyBorder="1" applyAlignment="1" applyProtection="1">
      <alignment vertical="top" wrapText="1" readingOrder="1"/>
      <protection locked="0"/>
    </xf>
    <xf numFmtId="170" fontId="6" fillId="4" borderId="35" xfId="3" applyNumberFormat="1" applyFont="1" applyFill="1" applyBorder="1" applyAlignment="1" applyProtection="1">
      <alignment horizontal="left"/>
      <protection locked="0"/>
    </xf>
    <xf numFmtId="170" fontId="24" fillId="4" borderId="35" xfId="3" applyNumberFormat="1" applyFont="1" applyFill="1" applyBorder="1" applyAlignment="1" applyProtection="1">
      <alignment vertical="top" wrapText="1" readingOrder="1"/>
      <protection locked="0"/>
    </xf>
    <xf numFmtId="170" fontId="6" fillId="4" borderId="35" xfId="3" applyNumberFormat="1" applyFont="1" applyFill="1" applyBorder="1" applyAlignment="1" applyProtection="1">
      <alignment horizontal="center"/>
      <protection locked="0"/>
    </xf>
    <xf numFmtId="170" fontId="6" fillId="4" borderId="35" xfId="3" applyNumberFormat="1" applyFont="1" applyFill="1" applyBorder="1" applyAlignment="1" applyProtection="1">
      <alignment vertical="top" wrapText="1" readingOrder="1"/>
      <protection locked="0"/>
    </xf>
    <xf numFmtId="170" fontId="6" fillId="4" borderId="35" xfId="3" applyNumberFormat="1" applyFont="1" applyFill="1" applyBorder="1" applyProtection="1">
      <protection locked="0"/>
    </xf>
    <xf numFmtId="170" fontId="6" fillId="4" borderId="35" xfId="3" applyNumberFormat="1" applyFont="1" applyFill="1" applyBorder="1" applyAlignment="1" applyProtection="1">
      <alignment horizontal="right"/>
      <protection locked="0"/>
    </xf>
    <xf numFmtId="170" fontId="8" fillId="12" borderId="19" xfId="3" applyNumberFormat="1" applyFont="1" applyFill="1" applyBorder="1" applyAlignment="1" applyProtection="1">
      <alignment horizontal="center"/>
    </xf>
    <xf numFmtId="49" fontId="6" fillId="0" borderId="4" xfId="29" applyNumberFormat="1" applyFont="1" applyBorder="1" applyAlignment="1">
      <alignment horizontal="center" vertical="center"/>
    </xf>
    <xf numFmtId="49" fontId="6" fillId="0" borderId="5" xfId="29" applyNumberFormat="1" applyFont="1" applyBorder="1" applyAlignment="1">
      <alignment horizontal="center" vertical="center"/>
    </xf>
    <xf numFmtId="14" fontId="6" fillId="0" borderId="5" xfId="29" applyNumberFormat="1" applyFont="1" applyBorder="1" applyAlignment="1">
      <alignment horizontal="center" vertical="center"/>
    </xf>
    <xf numFmtId="170" fontId="6" fillId="0" borderId="5" xfId="3" applyNumberFormat="1" applyFont="1" applyFill="1" applyBorder="1" applyAlignment="1" applyProtection="1">
      <alignment horizontal="center" vertical="center"/>
    </xf>
    <xf numFmtId="0" fontId="6" fillId="0" borderId="28" xfId="0" applyFont="1" applyBorder="1"/>
    <xf numFmtId="170" fontId="6" fillId="0" borderId="7" xfId="6" applyNumberFormat="1" applyFont="1" applyBorder="1" applyAlignment="1">
      <alignment horizontal="center"/>
    </xf>
    <xf numFmtId="15" fontId="6" fillId="0" borderId="0" xfId="0" applyNumberFormat="1" applyFont="1"/>
    <xf numFmtId="170" fontId="6" fillId="9" borderId="0" xfId="3" applyNumberFormat="1" applyFont="1" applyFill="1" applyAlignment="1" applyProtection="1"/>
    <xf numFmtId="170" fontId="6" fillId="9" borderId="0" xfId="3" applyNumberFormat="1" applyFont="1" applyFill="1" applyAlignment="1" applyProtection="1">
      <alignment horizontal="center"/>
    </xf>
    <xf numFmtId="0" fontId="6" fillId="9" borderId="0" xfId="6" applyFont="1" applyFill="1"/>
    <xf numFmtId="14" fontId="6" fillId="0" borderId="5" xfId="0" applyNumberFormat="1" applyFont="1" applyBorder="1" applyAlignment="1">
      <alignment horizontal="center"/>
    </xf>
    <xf numFmtId="170" fontId="6" fillId="0" borderId="5" xfId="3" applyNumberFormat="1" applyFont="1" applyBorder="1" applyAlignment="1" applyProtection="1">
      <alignment horizontal="center"/>
    </xf>
    <xf numFmtId="171" fontId="22" fillId="0" borderId="5" xfId="4" applyNumberFormat="1" applyFont="1" applyFill="1" applyBorder="1" applyAlignment="1" applyProtection="1">
      <alignment horizontal="right"/>
    </xf>
    <xf numFmtId="171" fontId="22" fillId="0" borderId="3" xfId="4" applyNumberFormat="1" applyFont="1" applyFill="1" applyBorder="1" applyAlignment="1" applyProtection="1">
      <alignment horizontal="right"/>
    </xf>
    <xf numFmtId="170" fontId="6" fillId="0" borderId="0" xfId="27" applyNumberFormat="1" applyFont="1" applyProtection="1"/>
    <xf numFmtId="9" fontId="23" fillId="0" borderId="5" xfId="6" applyNumberFormat="1" applyFont="1" applyBorder="1"/>
    <xf numFmtId="9" fontId="6" fillId="0" borderId="12" xfId="3" applyNumberFormat="1" applyFont="1" applyBorder="1" applyAlignment="1" applyProtection="1">
      <alignment horizontal="center"/>
    </xf>
    <xf numFmtId="9" fontId="6" fillId="0" borderId="19" xfId="3" applyNumberFormat="1" applyFont="1" applyBorder="1" applyAlignment="1" applyProtection="1">
      <alignment horizontal="center" wrapText="1"/>
    </xf>
    <xf numFmtId="9" fontId="6" fillId="0" borderId="0" xfId="3" applyNumberFormat="1" applyFont="1" applyFill="1" applyProtection="1"/>
    <xf numFmtId="170" fontId="36" fillId="4" borderId="35" xfId="27" applyNumberFormat="1" applyFont="1" applyFill="1" applyBorder="1" applyAlignment="1" applyProtection="1">
      <alignment vertical="top" wrapText="1" readingOrder="1"/>
      <protection locked="0"/>
    </xf>
    <xf numFmtId="170" fontId="36" fillId="4" borderId="36" xfId="27" applyNumberFormat="1" applyFont="1" applyFill="1" applyBorder="1" applyAlignment="1" applyProtection="1">
      <alignment vertical="top" wrapText="1" readingOrder="1"/>
      <protection locked="0"/>
    </xf>
    <xf numFmtId="3" fontId="6" fillId="4" borderId="34" xfId="0" applyNumberFormat="1" applyFont="1" applyFill="1" applyBorder="1" applyAlignment="1">
      <alignment horizontal="right"/>
    </xf>
    <xf numFmtId="10" fontId="6" fillId="0" borderId="11" xfId="17" applyNumberFormat="1" applyFont="1" applyBorder="1"/>
    <xf numFmtId="44" fontId="6" fillId="4" borderId="13" xfId="11" applyFont="1" applyFill="1" applyBorder="1" applyAlignment="1" applyProtection="1">
      <protection locked="0"/>
    </xf>
    <xf numFmtId="44" fontId="6" fillId="4" borderId="2" xfId="11" applyFont="1" applyFill="1" applyBorder="1" applyAlignment="1" applyProtection="1">
      <protection locked="0"/>
    </xf>
    <xf numFmtId="44" fontId="6" fillId="4" borderId="15" xfId="11" applyFont="1" applyFill="1" applyBorder="1" applyAlignment="1" applyProtection="1">
      <protection locked="0"/>
    </xf>
    <xf numFmtId="12" fontId="6" fillId="0" borderId="7" xfId="3" applyNumberFormat="1" applyFont="1" applyFill="1" applyBorder="1" applyAlignment="1" applyProtection="1">
      <alignment horizontal="center" wrapText="1"/>
    </xf>
    <xf numFmtId="170" fontId="6" fillId="0" borderId="0" xfId="0" applyNumberFormat="1" applyFont="1"/>
    <xf numFmtId="3" fontId="0" fillId="4" borderId="0" xfId="0" applyNumberFormat="1" applyFill="1"/>
    <xf numFmtId="170" fontId="6" fillId="0" borderId="35" xfId="27" applyNumberFormat="1" applyFont="1" applyFill="1" applyBorder="1" applyAlignment="1" applyProtection="1">
      <alignment horizontal="left"/>
    </xf>
    <xf numFmtId="170" fontId="6" fillId="0" borderId="35" xfId="3" applyNumberFormat="1" applyFont="1" applyFill="1" applyBorder="1" applyAlignment="1" applyProtection="1">
      <alignment horizontal="left"/>
    </xf>
    <xf numFmtId="170" fontId="6" fillId="0" borderId="36" xfId="27" applyNumberFormat="1" applyFont="1" applyFill="1" applyBorder="1" applyAlignment="1" applyProtection="1">
      <alignment horizontal="left"/>
    </xf>
    <xf numFmtId="44" fontId="6" fillId="0" borderId="2" xfId="4" applyFont="1" applyBorder="1" applyAlignment="1" applyProtection="1"/>
    <xf numFmtId="0" fontId="6" fillId="0" borderId="8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22" fillId="0" borderId="0" xfId="0" applyFont="1" applyAlignment="1">
      <alignment horizontal="left"/>
    </xf>
    <xf numFmtId="14" fontId="6" fillId="0" borderId="0" xfId="0" applyNumberFormat="1" applyFont="1" applyAlignment="1">
      <alignment horizontal="center"/>
    </xf>
    <xf numFmtId="171" fontId="22" fillId="0" borderId="12" xfId="4" applyNumberFormat="1" applyFont="1" applyFill="1" applyBorder="1" applyAlignment="1" applyProtection="1">
      <alignment horizontal="right"/>
    </xf>
    <xf numFmtId="171" fontId="22" fillId="0" borderId="0" xfId="4" applyNumberFormat="1" applyFont="1" applyFill="1" applyBorder="1" applyAlignment="1" applyProtection="1">
      <alignment horizontal="right"/>
    </xf>
    <xf numFmtId="171" fontId="22" fillId="0" borderId="2" xfId="4" applyNumberFormat="1" applyFont="1" applyFill="1" applyBorder="1" applyAlignment="1" applyProtection="1">
      <alignment horizontal="right"/>
    </xf>
    <xf numFmtId="170" fontId="22" fillId="0" borderId="0" xfId="3" applyNumberFormat="1" applyFont="1" applyFill="1" applyBorder="1" applyProtection="1"/>
    <xf numFmtId="9" fontId="22" fillId="0" borderId="0" xfId="0" applyNumberFormat="1" applyFont="1" applyAlignment="1">
      <alignment horizontal="center"/>
    </xf>
    <xf numFmtId="173" fontId="22" fillId="0" borderId="0" xfId="0" applyNumberFormat="1" applyFont="1" applyAlignment="1">
      <alignment horizontal="center"/>
    </xf>
    <xf numFmtId="172" fontId="6" fillId="0" borderId="0" xfId="1" applyNumberFormat="1" applyFont="1" applyAlignment="1" applyProtection="1">
      <alignment horizontal="center"/>
    </xf>
    <xf numFmtId="44" fontId="6" fillId="0" borderId="0" xfId="4" applyFont="1" applyAlignment="1" applyProtection="1">
      <alignment horizontal="center"/>
    </xf>
    <xf numFmtId="170" fontId="6" fillId="4" borderId="41" xfId="3" applyNumberFormat="1" applyFont="1" applyFill="1" applyBorder="1" applyAlignment="1" applyProtection="1">
      <protection locked="0"/>
    </xf>
    <xf numFmtId="0" fontId="8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0" fontId="6" fillId="4" borderId="41" xfId="3" applyNumberFormat="1" applyFont="1" applyFill="1" applyBorder="1" applyAlignment="1" applyProtection="1">
      <alignment vertical="center"/>
      <protection locked="0"/>
    </xf>
    <xf numFmtId="170" fontId="6" fillId="4" borderId="42" xfId="3" applyNumberFormat="1" applyFont="1" applyFill="1" applyBorder="1" applyAlignment="1" applyProtection="1">
      <alignment vertical="center"/>
      <protection locked="0"/>
    </xf>
    <xf numFmtId="171" fontId="22" fillId="0" borderId="0" xfId="8" applyNumberFormat="1" applyFont="1" applyFill="1" applyBorder="1" applyAlignment="1" applyProtection="1">
      <alignment vertical="center"/>
    </xf>
    <xf numFmtId="3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9" fontId="6" fillId="0" borderId="0" xfId="3" applyNumberFormat="1" applyFont="1" applyBorder="1" applyAlignment="1" applyProtection="1">
      <alignment horizontal="center"/>
    </xf>
    <xf numFmtId="171" fontId="6" fillId="4" borderId="0" xfId="4" applyNumberFormat="1" applyFont="1" applyFill="1" applyBorder="1" applyAlignment="1" applyProtection="1">
      <protection locked="0"/>
    </xf>
    <xf numFmtId="171" fontId="6" fillId="12" borderId="35" xfId="4" applyNumberFormat="1" applyFont="1" applyFill="1" applyBorder="1" applyAlignment="1" applyProtection="1">
      <protection locked="0"/>
    </xf>
    <xf numFmtId="43" fontId="42" fillId="0" borderId="5" xfId="3" applyFont="1" applyFill="1" applyBorder="1" applyAlignment="1" applyProtection="1"/>
    <xf numFmtId="0" fontId="6" fillId="0" borderId="11" xfId="6" applyFont="1" applyBorder="1" applyAlignment="1">
      <alignment horizontal="center"/>
    </xf>
    <xf numFmtId="0" fontId="0" fillId="0" borderId="8" xfId="0" applyBorder="1" applyProtection="1">
      <protection locked="0"/>
    </xf>
    <xf numFmtId="14" fontId="23" fillId="5" borderId="5" xfId="6" applyNumberFormat="1" applyFont="1" applyFill="1" applyBorder="1"/>
    <xf numFmtId="170" fontId="23" fillId="5" borderId="5" xfId="6" applyNumberFormat="1" applyFont="1" applyFill="1" applyBorder="1"/>
    <xf numFmtId="9" fontId="23" fillId="5" borderId="5" xfId="6" applyNumberFormat="1" applyFont="1" applyFill="1" applyBorder="1"/>
    <xf numFmtId="0" fontId="6" fillId="5" borderId="11" xfId="6" applyFont="1" applyFill="1" applyBorder="1" applyAlignment="1">
      <alignment horizontal="center"/>
    </xf>
    <xf numFmtId="37" fontId="6" fillId="5" borderId="12" xfId="17" applyNumberFormat="1" applyFont="1" applyFill="1" applyBorder="1" applyAlignment="1">
      <alignment horizontal="center"/>
    </xf>
    <xf numFmtId="14" fontId="6" fillId="5" borderId="12" xfId="17" applyNumberFormat="1" applyFont="1" applyFill="1" applyBorder="1" applyAlignment="1">
      <alignment horizontal="center"/>
    </xf>
    <xf numFmtId="170" fontId="6" fillId="5" borderId="12" xfId="3" applyNumberFormat="1" applyFont="1" applyFill="1" applyBorder="1" applyAlignment="1" applyProtection="1">
      <alignment horizontal="center"/>
    </xf>
    <xf numFmtId="9" fontId="6" fillId="5" borderId="12" xfId="3" applyNumberFormat="1" applyFont="1" applyFill="1" applyBorder="1" applyAlignment="1" applyProtection="1">
      <alignment horizontal="center"/>
    </xf>
    <xf numFmtId="170" fontId="6" fillId="5" borderId="13" xfId="3" applyNumberFormat="1" applyFont="1" applyFill="1" applyBorder="1" applyAlignment="1" applyProtection="1">
      <alignment horizontal="center"/>
    </xf>
    <xf numFmtId="49" fontId="6" fillId="5" borderId="4" xfId="29" applyNumberFormat="1" applyFont="1" applyFill="1" applyBorder="1" applyAlignment="1">
      <alignment horizontal="center" vertical="center"/>
    </xf>
    <xf numFmtId="49" fontId="6" fillId="5" borderId="5" xfId="29" applyNumberFormat="1" applyFont="1" applyFill="1" applyBorder="1" applyAlignment="1">
      <alignment horizontal="center" vertical="center"/>
    </xf>
    <xf numFmtId="14" fontId="6" fillId="5" borderId="5" xfId="29" applyNumberFormat="1" applyFont="1" applyFill="1" applyBorder="1" applyAlignment="1">
      <alignment horizontal="center" vertical="center"/>
    </xf>
    <xf numFmtId="170" fontId="6" fillId="5" borderId="0" xfId="3" applyNumberFormat="1" applyFont="1" applyFill="1" applyBorder="1" applyAlignment="1" applyProtection="1">
      <alignment horizontal="center"/>
    </xf>
    <xf numFmtId="170" fontId="6" fillId="5" borderId="5" xfId="3" applyNumberFormat="1" applyFont="1" applyFill="1" applyBorder="1" applyAlignment="1" applyProtection="1">
      <alignment horizontal="center" vertical="center"/>
    </xf>
    <xf numFmtId="170" fontId="6" fillId="5" borderId="2" xfId="3" applyNumberFormat="1" applyFont="1" applyFill="1" applyBorder="1" applyAlignment="1" applyProtection="1">
      <alignment horizontal="center"/>
    </xf>
    <xf numFmtId="171" fontId="43" fillId="0" borderId="5" xfId="4" applyNumberFormat="1" applyFont="1" applyFill="1" applyBorder="1" applyAlignment="1" applyProtection="1">
      <alignment horizontal="right"/>
    </xf>
    <xf numFmtId="170" fontId="43" fillId="0" borderId="5" xfId="3" applyNumberFormat="1" applyFont="1" applyBorder="1" applyAlignment="1" applyProtection="1">
      <alignment horizontal="center"/>
    </xf>
    <xf numFmtId="43" fontId="44" fillId="0" borderId="5" xfId="3" applyFont="1" applyFill="1" applyBorder="1" applyAlignment="1" applyProtection="1"/>
    <xf numFmtId="171" fontId="43" fillId="0" borderId="3" xfId="4" applyNumberFormat="1" applyFont="1" applyFill="1" applyBorder="1" applyAlignment="1" applyProtection="1">
      <alignment horizontal="right"/>
    </xf>
    <xf numFmtId="0" fontId="6" fillId="0" borderId="0" xfId="6" applyFont="1" applyAlignment="1">
      <alignment horizontal="right"/>
    </xf>
    <xf numFmtId="170" fontId="6" fillId="0" borderId="12" xfId="3" applyNumberFormat="1" applyFont="1" applyBorder="1" applyAlignment="1" applyProtection="1"/>
    <xf numFmtId="37" fontId="6" fillId="0" borderId="15" xfId="0" applyNumberFormat="1" applyFont="1" applyBorder="1"/>
    <xf numFmtId="37" fontId="6" fillId="0" borderId="2" xfId="17" applyNumberFormat="1" applyFont="1" applyBorder="1" applyAlignment="1" applyProtection="1">
      <alignment horizontal="center"/>
      <protection locked="0"/>
    </xf>
    <xf numFmtId="0" fontId="29" fillId="0" borderId="23" xfId="28" applyBorder="1" applyAlignment="1">
      <alignment horizontal="center"/>
    </xf>
    <xf numFmtId="0" fontId="29" fillId="0" borderId="22" xfId="28" applyBorder="1" applyAlignment="1">
      <alignment horizontal="center"/>
    </xf>
    <xf numFmtId="12" fontId="29" fillId="0" borderId="0" xfId="28" applyNumberFormat="1" applyAlignment="1">
      <alignment horizontal="center" wrapText="1"/>
    </xf>
    <xf numFmtId="12" fontId="29" fillId="0" borderId="23" xfId="28" applyNumberFormat="1" applyBorder="1" applyAlignment="1">
      <alignment horizontal="center" wrapText="1"/>
    </xf>
    <xf numFmtId="12" fontId="29" fillId="0" borderId="22" xfId="28" applyNumberFormat="1" applyBorder="1" applyAlignment="1">
      <alignment horizontal="center" wrapText="1"/>
    </xf>
    <xf numFmtId="12" fontId="46" fillId="14" borderId="45" xfId="28" applyNumberFormat="1" applyFont="1" applyFill="1" applyBorder="1" applyAlignment="1">
      <alignment horizontal="center" wrapText="1"/>
    </xf>
    <xf numFmtId="12" fontId="46" fillId="14" borderId="43" xfId="28" applyNumberFormat="1" applyFont="1" applyFill="1" applyBorder="1" applyAlignment="1">
      <alignment horizontal="center" wrapText="1"/>
    </xf>
    <xf numFmtId="12" fontId="29" fillId="0" borderId="25" xfId="28" applyNumberFormat="1" applyBorder="1" applyAlignment="1">
      <alignment horizontal="center"/>
    </xf>
    <xf numFmtId="12" fontId="29" fillId="0" borderId="9" xfId="28" applyNumberFormat="1" applyBorder="1" applyAlignment="1">
      <alignment horizontal="center"/>
    </xf>
    <xf numFmtId="12" fontId="29" fillId="0" borderId="45" xfId="28" applyNumberFormat="1" applyBorder="1" applyAlignment="1">
      <alignment horizontal="center"/>
    </xf>
    <xf numFmtId="12" fontId="29" fillId="0" borderId="43" xfId="28" applyNumberFormat="1" applyBorder="1" applyAlignment="1">
      <alignment horizontal="center"/>
    </xf>
    <xf numFmtId="12" fontId="30" fillId="0" borderId="45" xfId="28" applyNumberFormat="1" applyFont="1" applyBorder="1" applyAlignment="1">
      <alignment horizontal="center"/>
    </xf>
    <xf numFmtId="12" fontId="30" fillId="0" borderId="43" xfId="28" applyNumberFormat="1" applyFont="1" applyBorder="1" applyAlignment="1">
      <alignment horizontal="center"/>
    </xf>
    <xf numFmtId="39" fontId="46" fillId="14" borderId="44" xfId="28" applyNumberFormat="1" applyFont="1" applyFill="1" applyBorder="1" applyAlignment="1">
      <alignment horizontal="center"/>
    </xf>
    <xf numFmtId="12" fontId="29" fillId="0" borderId="46" xfId="28" applyNumberFormat="1" applyBorder="1" applyAlignment="1">
      <alignment horizontal="center"/>
    </xf>
    <xf numFmtId="12" fontId="29" fillId="0" borderId="44" xfId="28" applyNumberFormat="1" applyBorder="1" applyAlignment="1">
      <alignment horizontal="center"/>
    </xf>
    <xf numFmtId="39" fontId="29" fillId="15" borderId="21" xfId="28" applyNumberFormat="1" applyFill="1" applyBorder="1" applyAlignment="1">
      <alignment horizontal="center" wrapText="1"/>
    </xf>
    <xf numFmtId="171" fontId="6" fillId="4" borderId="35" xfId="8" applyNumberFormat="1" applyFont="1" applyFill="1" applyBorder="1" applyProtection="1">
      <protection locked="0"/>
    </xf>
    <xf numFmtId="14" fontId="6" fillId="4" borderId="35" xfId="8" applyNumberFormat="1" applyFont="1" applyFill="1" applyBorder="1" applyProtection="1">
      <protection locked="0"/>
    </xf>
    <xf numFmtId="170" fontId="6" fillId="4" borderId="35" xfId="27" applyNumberFormat="1" applyFont="1" applyFill="1" applyBorder="1" applyProtection="1">
      <protection locked="0"/>
    </xf>
    <xf numFmtId="170" fontId="6" fillId="4" borderId="34" xfId="27" applyNumberFormat="1" applyFont="1" applyFill="1" applyBorder="1" applyAlignment="1" applyProtection="1">
      <protection locked="0"/>
    </xf>
    <xf numFmtId="14" fontId="23" fillId="0" borderId="5" xfId="6" applyNumberFormat="1" applyFont="1" applyBorder="1" applyAlignment="1">
      <alignment horizontal="right"/>
    </xf>
    <xf numFmtId="44" fontId="14" fillId="4" borderId="0" xfId="4" applyFont="1" applyFill="1" applyAlignment="1">
      <alignment horizontal="right"/>
    </xf>
    <xf numFmtId="0" fontId="6" fillId="0" borderId="15" xfId="0" applyFont="1" applyBorder="1"/>
    <xf numFmtId="171" fontId="6" fillId="0" borderId="0" xfId="0" applyNumberFormat="1" applyFont="1" applyAlignment="1">
      <alignment horizontal="center"/>
    </xf>
    <xf numFmtId="171" fontId="6" fillId="0" borderId="13" xfId="0" applyNumberFormat="1" applyFont="1" applyBorder="1"/>
    <xf numFmtId="170" fontId="6" fillId="0" borderId="1" xfId="0" applyNumberFormat="1" applyFont="1" applyBorder="1"/>
    <xf numFmtId="10" fontId="41" fillId="0" borderId="0" xfId="1" applyNumberFormat="1" applyFont="1" applyFill="1" applyBorder="1" applyProtection="1"/>
    <xf numFmtId="37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6" fillId="4" borderId="2" xfId="3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Alignment="1">
      <alignment horizontal="left"/>
    </xf>
    <xf numFmtId="175" fontId="6" fillId="0" borderId="0" xfId="0" applyNumberFormat="1" applyFont="1" applyAlignment="1">
      <alignment horizontal="left"/>
    </xf>
    <xf numFmtId="170" fontId="6" fillId="0" borderId="19" xfId="3" applyNumberFormat="1" applyFont="1" applyFill="1" applyBorder="1" applyAlignment="1" applyProtection="1">
      <alignment horizontal="center" vertical="top" wrapText="1"/>
    </xf>
    <xf numFmtId="0" fontId="6" fillId="5" borderId="19" xfId="6" applyFont="1" applyFill="1" applyBorder="1" applyAlignment="1">
      <alignment horizontal="center" vertical="center" wrapText="1"/>
    </xf>
    <xf numFmtId="14" fontId="6" fillId="5" borderId="19" xfId="6" applyNumberFormat="1" applyFont="1" applyFill="1" applyBorder="1" applyAlignment="1">
      <alignment horizontal="center" vertical="center" wrapText="1"/>
    </xf>
    <xf numFmtId="170" fontId="6" fillId="5" borderId="19" xfId="3" applyNumberFormat="1" applyFont="1" applyFill="1" applyBorder="1" applyAlignment="1" applyProtection="1">
      <alignment horizontal="center" vertical="center" wrapText="1"/>
    </xf>
    <xf numFmtId="9" fontId="6" fillId="5" borderId="19" xfId="3" applyNumberFormat="1" applyFont="1" applyFill="1" applyBorder="1" applyAlignment="1" applyProtection="1">
      <alignment horizontal="center" vertical="center" wrapText="1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right"/>
    </xf>
    <xf numFmtId="0" fontId="6" fillId="0" borderId="56" xfId="0" applyFont="1" applyBorder="1" applyAlignment="1">
      <alignment horizontal="center"/>
    </xf>
    <xf numFmtId="5" fontId="6" fillId="0" borderId="55" xfId="0" applyNumberFormat="1" applyFont="1" applyBorder="1" applyAlignment="1">
      <alignment horizontal="right"/>
    </xf>
    <xf numFmtId="5" fontId="6" fillId="0" borderId="57" xfId="0" applyNumberFormat="1" applyFont="1" applyBorder="1" applyAlignment="1">
      <alignment horizontal="right"/>
    </xf>
    <xf numFmtId="5" fontId="6" fillId="0" borderId="58" xfId="0" applyNumberFormat="1" applyFont="1" applyBorder="1" applyAlignment="1">
      <alignment horizontal="right"/>
    </xf>
    <xf numFmtId="5" fontId="6" fillId="0" borderId="59" xfId="0" applyNumberFormat="1" applyFont="1" applyBorder="1" applyAlignment="1">
      <alignment horizontal="right"/>
    </xf>
    <xf numFmtId="5" fontId="6" fillId="0" borderId="31" xfId="0" applyNumberFormat="1" applyFont="1" applyBorder="1" applyAlignment="1">
      <alignment horizontal="right"/>
    </xf>
    <xf numFmtId="5" fontId="6" fillId="0" borderId="60" xfId="0" applyNumberFormat="1" applyFont="1" applyBorder="1" applyAlignment="1">
      <alignment horizontal="center"/>
    </xf>
    <xf numFmtId="9" fontId="6" fillId="0" borderId="30" xfId="1" applyFont="1" applyBorder="1" applyAlignment="1" applyProtection="1">
      <alignment horizontal="left"/>
    </xf>
    <xf numFmtId="5" fontId="6" fillId="0" borderId="61" xfId="0" applyNumberFormat="1" applyFont="1" applyBorder="1" applyAlignment="1">
      <alignment horizontal="right"/>
    </xf>
    <xf numFmtId="14" fontId="8" fillId="0" borderId="1" xfId="0" applyNumberFormat="1" applyFont="1" applyBorder="1"/>
    <xf numFmtId="0" fontId="11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8" fillId="0" borderId="27" xfId="0" applyFont="1" applyBorder="1"/>
    <xf numFmtId="10" fontId="6" fillId="0" borderId="20" xfId="0" applyNumberFormat="1" applyFont="1" applyBorder="1"/>
    <xf numFmtId="0" fontId="8" fillId="0" borderId="27" xfId="0" applyFont="1" applyBorder="1" applyAlignment="1">
      <alignment wrapText="1"/>
    </xf>
    <xf numFmtId="0" fontId="6" fillId="18" borderId="0" xfId="0" applyFont="1" applyFill="1"/>
    <xf numFmtId="0" fontId="6" fillId="18" borderId="0" xfId="0" applyFont="1" applyFill="1" applyAlignment="1">
      <alignment horizontal="center"/>
    </xf>
    <xf numFmtId="0" fontId="7" fillId="18" borderId="0" xfId="0" applyFont="1" applyFill="1"/>
    <xf numFmtId="12" fontId="6" fillId="0" borderId="0" xfId="3" applyNumberFormat="1" applyFont="1" applyAlignment="1" applyProtection="1">
      <alignment horizontal="center"/>
    </xf>
    <xf numFmtId="37" fontId="6" fillId="0" borderId="0" xfId="17" applyNumberFormat="1" applyFont="1" applyAlignment="1">
      <alignment horizontal="left"/>
    </xf>
    <xf numFmtId="12" fontId="6" fillId="0" borderId="0" xfId="3" applyNumberFormat="1" applyFont="1" applyFill="1" applyAlignment="1" applyProtection="1">
      <alignment horizontal="center"/>
    </xf>
    <xf numFmtId="37" fontId="6" fillId="0" borderId="0" xfId="17" applyNumberFormat="1" applyFont="1" applyAlignment="1">
      <alignment horizontal="center"/>
    </xf>
    <xf numFmtId="12" fontId="6" fillId="0" borderId="0" xfId="3" applyNumberFormat="1" applyFont="1" applyFill="1" applyBorder="1" applyAlignment="1" applyProtection="1">
      <alignment horizontal="center"/>
    </xf>
    <xf numFmtId="170" fontId="6" fillId="0" borderId="0" xfId="9" applyNumberFormat="1" applyFont="1" applyFill="1" applyBorder="1" applyAlignment="1" applyProtection="1">
      <alignment horizontal="center" wrapText="1"/>
    </xf>
    <xf numFmtId="170" fontId="6" fillId="0" borderId="0" xfId="9" applyNumberFormat="1" applyFont="1" applyFill="1" applyBorder="1" applyAlignment="1" applyProtection="1">
      <alignment horizontal="center"/>
    </xf>
    <xf numFmtId="171" fontId="6" fillId="0" borderId="0" xfId="11" applyNumberFormat="1" applyFont="1" applyFill="1" applyBorder="1" applyAlignment="1" applyProtection="1">
      <alignment horizontal="center"/>
    </xf>
    <xf numFmtId="44" fontId="6" fillId="0" borderId="0" xfId="11" applyFont="1" applyFill="1" applyBorder="1" applyAlignment="1" applyProtection="1">
      <alignment horizontal="center"/>
    </xf>
    <xf numFmtId="170" fontId="6" fillId="0" borderId="0" xfId="9" applyNumberFormat="1" applyFont="1" applyFill="1" applyBorder="1" applyAlignment="1" applyProtection="1">
      <alignment horizontal="left"/>
    </xf>
    <xf numFmtId="12" fontId="6" fillId="0" borderId="0" xfId="3" applyNumberFormat="1" applyFont="1" applyBorder="1" applyAlignment="1" applyProtection="1">
      <alignment horizontal="center" vertical="center"/>
    </xf>
    <xf numFmtId="44" fontId="6" fillId="0" borderId="0" xfId="11" applyFont="1" applyFill="1" applyBorder="1" applyAlignment="1" applyProtection="1">
      <alignment horizontal="left"/>
    </xf>
    <xf numFmtId="10" fontId="6" fillId="0" borderId="0" xfId="18" applyNumberFormat="1" applyFont="1" applyAlignment="1" applyProtection="1">
      <alignment horizontal="right"/>
    </xf>
    <xf numFmtId="171" fontId="6" fillId="0" borderId="0" xfId="8" applyNumberFormat="1" applyFont="1" applyAlignment="1" applyProtection="1">
      <alignment horizontal="right"/>
    </xf>
    <xf numFmtId="170" fontId="6" fillId="0" borderId="0" xfId="9" applyNumberFormat="1" applyFont="1" applyBorder="1" applyAlignment="1" applyProtection="1">
      <alignment horizontal="right"/>
    </xf>
    <xf numFmtId="39" fontId="6" fillId="0" borderId="0" xfId="17" applyNumberFormat="1" applyFont="1" applyAlignment="1">
      <alignment horizontal="right"/>
    </xf>
    <xf numFmtId="9" fontId="6" fillId="0" borderId="0" xfId="1" applyFont="1" applyFill="1" applyAlignment="1" applyProtection="1"/>
    <xf numFmtId="14" fontId="8" fillId="0" borderId="0" xfId="0" applyNumberFormat="1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71" fontId="6" fillId="0" borderId="0" xfId="4" applyNumberFormat="1" applyFont="1" applyFill="1" applyBorder="1" applyProtection="1"/>
    <xf numFmtId="170" fontId="6" fillId="0" borderId="0" xfId="3" applyNumberFormat="1" applyFont="1" applyFill="1" applyBorder="1" applyProtection="1"/>
    <xf numFmtId="0" fontId="6" fillId="18" borderId="0" xfId="0" applyFont="1" applyFill="1" applyAlignment="1">
      <alignment horizontal="center" vertical="center" wrapText="1"/>
    </xf>
    <xf numFmtId="0" fontId="6" fillId="18" borderId="0" xfId="0" applyFont="1" applyFill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0" fontId="23" fillId="0" borderId="0" xfId="0" applyFont="1" applyAlignment="1">
      <alignment horizontal="left"/>
    </xf>
    <xf numFmtId="37" fontId="6" fillId="0" borderId="13" xfId="17" applyNumberFormat="1" applyFont="1" applyBorder="1" applyAlignment="1">
      <alignment horizontal="center"/>
    </xf>
    <xf numFmtId="9" fontId="6" fillId="11" borderId="7" xfId="1" applyFont="1" applyFill="1" applyBorder="1" applyAlignment="1" applyProtection="1">
      <alignment horizontal="right"/>
      <protection locked="0"/>
    </xf>
    <xf numFmtId="9" fontId="22" fillId="0" borderId="15" xfId="0" applyNumberFormat="1" applyFont="1" applyBorder="1" applyAlignment="1">
      <alignment horizontal="center"/>
    </xf>
    <xf numFmtId="173" fontId="6" fillId="4" borderId="7" xfId="1" applyNumberFormat="1" applyFont="1" applyFill="1" applyBorder="1" applyAlignment="1" applyProtection="1">
      <protection locked="0"/>
    </xf>
    <xf numFmtId="173" fontId="22" fillId="0" borderId="15" xfId="0" applyNumberFormat="1" applyFont="1" applyBorder="1" applyAlignment="1">
      <alignment horizontal="center"/>
    </xf>
    <xf numFmtId="171" fontId="6" fillId="0" borderId="16" xfId="4" applyNumberFormat="1" applyFont="1" applyFill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71" fontId="47" fillId="0" borderId="0" xfId="0" applyNumberFormat="1" applyFont="1" applyAlignment="1">
      <alignment horizontal="center" vertical="center"/>
    </xf>
    <xf numFmtId="37" fontId="22" fillId="0" borderId="2" xfId="0" applyNumberFormat="1" applyFont="1" applyBorder="1"/>
    <xf numFmtId="172" fontId="22" fillId="0" borderId="2" xfId="1" applyNumberFormat="1" applyFont="1" applyFill="1" applyBorder="1" applyProtection="1"/>
    <xf numFmtId="7" fontId="12" fillId="0" borderId="14" xfId="17" applyNumberFormat="1" applyFont="1" applyBorder="1"/>
    <xf numFmtId="5" fontId="12" fillId="0" borderId="15" xfId="17" applyNumberFormat="1" applyFont="1" applyBorder="1" applyAlignment="1">
      <alignment horizontal="right"/>
    </xf>
    <xf numFmtId="172" fontId="12" fillId="0" borderId="19" xfId="1" applyNumberFormat="1" applyFont="1" applyFill="1" applyBorder="1" applyAlignment="1" applyProtection="1">
      <alignment horizontal="right"/>
    </xf>
    <xf numFmtId="0" fontId="12" fillId="0" borderId="4" xfId="0" applyFont="1" applyBorder="1"/>
    <xf numFmtId="5" fontId="12" fillId="0" borderId="3" xfId="0" applyNumberFormat="1" applyFont="1" applyBorder="1"/>
    <xf numFmtId="172" fontId="12" fillId="0" borderId="3" xfId="1" applyNumberFormat="1" applyFont="1" applyFill="1" applyBorder="1" applyProtection="1"/>
    <xf numFmtId="174" fontId="6" fillId="0" borderId="0" xfId="0" applyNumberFormat="1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12" fontId="0" fillId="0" borderId="0" xfId="3" applyNumberFormat="1" applyFont="1" applyFill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9" fontId="6" fillId="0" borderId="0" xfId="1" applyFont="1" applyAlignment="1" applyProtection="1"/>
    <xf numFmtId="0" fontId="6" fillId="0" borderId="8" xfId="7" applyFont="1" applyBorder="1" applyAlignment="1">
      <alignment horizontal="center"/>
    </xf>
    <xf numFmtId="0" fontId="8" fillId="0" borderId="8" xfId="7" applyFont="1" applyBorder="1" applyAlignment="1">
      <alignment horizontal="center"/>
    </xf>
    <xf numFmtId="0" fontId="6" fillId="0" borderId="12" xfId="0" applyFont="1" applyBorder="1"/>
    <xf numFmtId="0" fontId="6" fillId="0" borderId="14" xfId="7" applyFont="1" applyBorder="1" applyAlignment="1">
      <alignment horizontal="center"/>
    </xf>
    <xf numFmtId="10" fontId="6" fillId="0" borderId="67" xfId="1" applyNumberFormat="1" applyFont="1" applyFill="1" applyBorder="1" applyProtection="1"/>
    <xf numFmtId="0" fontId="6" fillId="0" borderId="65" xfId="0" applyFont="1" applyBorder="1"/>
    <xf numFmtId="10" fontId="6" fillId="0" borderId="65" xfId="1" applyNumberFormat="1" applyFont="1" applyFill="1" applyBorder="1" applyProtection="1"/>
    <xf numFmtId="10" fontId="6" fillId="0" borderId="70" xfId="1" applyNumberFormat="1" applyFont="1" applyFill="1" applyBorder="1" applyProtection="1"/>
    <xf numFmtId="37" fontId="6" fillId="0" borderId="65" xfId="0" applyNumberFormat="1" applyFont="1" applyBorder="1"/>
    <xf numFmtId="10" fontId="6" fillId="0" borderId="65" xfId="1" applyNumberFormat="1" applyFont="1" applyFill="1" applyBorder="1" applyAlignment="1" applyProtection="1">
      <alignment horizontal="center"/>
    </xf>
    <xf numFmtId="37" fontId="6" fillId="0" borderId="70" xfId="0" applyNumberFormat="1" applyFont="1" applyBorder="1"/>
    <xf numFmtId="0" fontId="29" fillId="18" borderId="0" xfId="28" applyFill="1" applyAlignment="1">
      <alignment horizontal="center"/>
    </xf>
    <xf numFmtId="0" fontId="6" fillId="10" borderId="74" xfId="0" applyFont="1" applyFill="1" applyBorder="1"/>
    <xf numFmtId="0" fontId="7" fillId="20" borderId="74" xfId="0" applyFont="1" applyFill="1" applyBorder="1"/>
    <xf numFmtId="0" fontId="7" fillId="19" borderId="74" xfId="0" applyFont="1" applyFill="1" applyBorder="1"/>
    <xf numFmtId="0" fontId="7" fillId="16" borderId="74" xfId="0" applyFont="1" applyFill="1" applyBorder="1"/>
    <xf numFmtId="0" fontId="7" fillId="17" borderId="74" xfId="0" applyFont="1" applyFill="1" applyBorder="1"/>
    <xf numFmtId="0" fontId="7" fillId="9" borderId="73" xfId="0" applyFont="1" applyFill="1" applyBorder="1"/>
    <xf numFmtId="0" fontId="6" fillId="0" borderId="64" xfId="0" applyFont="1" applyBorder="1" applyAlignment="1">
      <alignment horizontal="right"/>
    </xf>
    <xf numFmtId="0" fontId="6" fillId="0" borderId="66" xfId="0" applyFont="1" applyBorder="1" applyAlignment="1">
      <alignment horizontal="right"/>
    </xf>
    <xf numFmtId="0" fontId="6" fillId="0" borderId="69" xfId="0" applyFont="1" applyBorder="1" applyAlignment="1">
      <alignment horizontal="right"/>
    </xf>
    <xf numFmtId="0" fontId="6" fillId="0" borderId="76" xfId="0" applyFont="1" applyBorder="1" applyAlignment="1">
      <alignment horizontal="right"/>
    </xf>
    <xf numFmtId="0" fontId="47" fillId="0" borderId="0" xfId="0" applyFont="1" applyAlignment="1">
      <alignment horizontal="center"/>
    </xf>
    <xf numFmtId="3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75" fontId="7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5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7" fontId="7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15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5" fontId="8" fillId="0" borderId="0" xfId="0" applyNumberFormat="1" applyFont="1" applyAlignment="1">
      <alignment vertical="center"/>
    </xf>
    <xf numFmtId="5" fontId="49" fillId="0" borderId="0" xfId="0" applyNumberFormat="1" applyFont="1" applyAlignment="1">
      <alignment vertical="center"/>
    </xf>
    <xf numFmtId="10" fontId="8" fillId="0" borderId="0" xfId="1" applyNumberFormat="1" applyFont="1" applyFill="1" applyAlignment="1" applyProtection="1">
      <alignment vertical="center"/>
    </xf>
    <xf numFmtId="10" fontId="8" fillId="0" borderId="0" xfId="0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37" fontId="38" fillId="6" borderId="0" xfId="0" applyNumberFormat="1" applyFont="1" applyFill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0" fontId="8" fillId="0" borderId="0" xfId="1" applyNumberFormat="1" applyFont="1" applyAlignment="1" applyProtection="1">
      <alignment vertical="center"/>
    </xf>
    <xf numFmtId="37" fontId="38" fillId="6" borderId="26" xfId="0" applyNumberFormat="1" applyFont="1" applyFill="1" applyBorder="1" applyAlignment="1">
      <alignment vertical="center"/>
    </xf>
    <xf numFmtId="164" fontId="6" fillId="6" borderId="0" xfId="11" applyNumberFormat="1" applyFont="1" applyFill="1" applyBorder="1" applyAlignment="1" applyProtection="1">
      <alignment horizontal="center"/>
    </xf>
    <xf numFmtId="1" fontId="6" fillId="11" borderId="34" xfId="29" applyNumberFormat="1" applyFont="1" applyFill="1" applyBorder="1" applyAlignment="1" applyProtection="1">
      <alignment horizontal="center"/>
      <protection locked="0"/>
    </xf>
    <xf numFmtId="166" fontId="6" fillId="0" borderId="0" xfId="50" applyNumberFormat="1" applyFont="1" applyAlignment="1">
      <alignment horizontal="center"/>
    </xf>
    <xf numFmtId="166" fontId="6" fillId="21" borderId="0" xfId="50" applyNumberFormat="1" applyFont="1" applyFill="1" applyAlignment="1">
      <alignment horizontal="center"/>
    </xf>
    <xf numFmtId="0" fontId="6" fillId="11" borderId="47" xfId="29" applyFont="1" applyFill="1" applyBorder="1" applyAlignment="1" applyProtection="1">
      <alignment horizontal="right"/>
      <protection locked="0"/>
    </xf>
    <xf numFmtId="0" fontId="6" fillId="11" borderId="47" xfId="29" applyFont="1" applyFill="1" applyBorder="1" applyAlignment="1" applyProtection="1">
      <alignment horizontal="left"/>
      <protection locked="0"/>
    </xf>
    <xf numFmtId="0" fontId="6" fillId="11" borderId="35" xfId="29" applyFont="1" applyFill="1" applyBorder="1" applyAlignment="1" applyProtection="1">
      <alignment horizontal="left"/>
      <protection locked="0"/>
    </xf>
    <xf numFmtId="49" fontId="6" fillId="11" borderId="35" xfId="29" applyNumberFormat="1" applyFont="1" applyFill="1" applyBorder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41" fontId="18" fillId="0" borderId="0" xfId="0" applyNumberFormat="1" applyFont="1" applyProtection="1">
      <protection locked="0"/>
    </xf>
    <xf numFmtId="10" fontId="18" fillId="0" borderId="0" xfId="1" applyNumberFormat="1" applyFont="1" applyProtection="1">
      <protection locked="0"/>
    </xf>
    <xf numFmtId="0" fontId="53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37" fontId="18" fillId="0" borderId="0" xfId="0" applyNumberFormat="1" applyFont="1" applyProtection="1">
      <protection locked="0"/>
    </xf>
    <xf numFmtId="0" fontId="18" fillId="0" borderId="0" xfId="0" applyFont="1" applyAlignment="1" applyProtection="1">
      <alignment horizontal="left" indent="1"/>
      <protection locked="0"/>
    </xf>
    <xf numFmtId="0" fontId="53" fillId="0" borderId="0" xfId="0" applyFont="1" applyAlignment="1" applyProtection="1">
      <alignment horizontal="left" indent="1"/>
      <protection locked="0"/>
    </xf>
    <xf numFmtId="0" fontId="53" fillId="0" borderId="0" xfId="0" applyFont="1" applyAlignment="1" applyProtection="1">
      <alignment horizontal="center"/>
      <protection locked="0"/>
    </xf>
    <xf numFmtId="0" fontId="53" fillId="0" borderId="1" xfId="0" applyFont="1" applyBorder="1" applyProtection="1">
      <protection locked="0"/>
    </xf>
    <xf numFmtId="10" fontId="53" fillId="0" borderId="0" xfId="1" applyNumberFormat="1" applyFont="1" applyFill="1" applyBorder="1" applyProtection="1">
      <protection locked="0"/>
    </xf>
    <xf numFmtId="41" fontId="53" fillId="0" borderId="0" xfId="1" applyNumberFormat="1" applyFont="1" applyFill="1" applyBorder="1" applyProtection="1">
      <protection locked="0"/>
    </xf>
    <xf numFmtId="37" fontId="18" fillId="0" borderId="12" xfId="0" applyNumberFormat="1" applyFont="1" applyBorder="1" applyProtection="1">
      <protection locked="0"/>
    </xf>
    <xf numFmtId="10" fontId="7" fillId="0" borderId="0" xfId="1" applyNumberFormat="1" applyFont="1" applyAlignment="1">
      <alignment vertical="center"/>
    </xf>
    <xf numFmtId="0" fontId="6" fillId="4" borderId="35" xfId="9" applyNumberFormat="1" applyFont="1" applyFill="1" applyBorder="1" applyAlignment="1" applyProtection="1">
      <alignment horizontal="left"/>
      <protection locked="0"/>
    </xf>
    <xf numFmtId="37" fontId="55" fillId="0" borderId="0" xfId="17" applyNumberFormat="1" applyFont="1"/>
    <xf numFmtId="41" fontId="7" fillId="0" borderId="0" xfId="0" applyNumberFormat="1" applyFont="1" applyAlignment="1">
      <alignment vertical="center"/>
    </xf>
    <xf numFmtId="170" fontId="22" fillId="0" borderId="7" xfId="3" applyNumberFormat="1" applyFont="1" applyFill="1" applyBorder="1" applyAlignment="1" applyProtection="1">
      <alignment horizontal="center"/>
    </xf>
    <xf numFmtId="12" fontId="6" fillId="11" borderId="34" xfId="27" applyNumberFormat="1" applyFont="1" applyFill="1" applyBorder="1" applyAlignment="1" applyProtection="1">
      <alignment horizontal="center"/>
      <protection locked="0"/>
    </xf>
    <xf numFmtId="12" fontId="6" fillId="11" borderId="34" xfId="3" applyNumberFormat="1" applyFont="1" applyFill="1" applyBorder="1" applyAlignment="1" applyProtection="1">
      <alignment horizontal="center"/>
      <protection locked="0"/>
    </xf>
    <xf numFmtId="37" fontId="6" fillId="0" borderId="0" xfId="0" applyNumberFormat="1" applyFont="1" applyAlignment="1">
      <alignment horizontal="center" wrapText="1"/>
    </xf>
    <xf numFmtId="176" fontId="18" fillId="0" borderId="0" xfId="0" applyNumberFormat="1" applyFont="1" applyProtection="1">
      <protection locked="0"/>
    </xf>
    <xf numFmtId="41" fontId="53" fillId="0" borderId="12" xfId="0" applyNumberFormat="1" applyFont="1" applyBorder="1" applyProtection="1">
      <protection locked="0"/>
    </xf>
    <xf numFmtId="0" fontId="25" fillId="0" borderId="0" xfId="2" applyFont="1" applyProtection="1">
      <protection locked="0"/>
    </xf>
    <xf numFmtId="0" fontId="25" fillId="0" borderId="1" xfId="2" applyFont="1" applyBorder="1" applyProtection="1">
      <protection locked="0"/>
    </xf>
    <xf numFmtId="41" fontId="11" fillId="0" borderId="0" xfId="2" applyNumberFormat="1" applyFont="1" applyProtection="1">
      <protection locked="0"/>
    </xf>
    <xf numFmtId="0" fontId="25" fillId="0" borderId="1" xfId="2" applyFont="1" applyBorder="1" applyAlignment="1" applyProtection="1">
      <alignment horizontal="center"/>
      <protection locked="0"/>
    </xf>
    <xf numFmtId="0" fontId="25" fillId="0" borderId="0" xfId="2" applyFont="1" applyAlignment="1" applyProtection="1">
      <alignment horizontal="center"/>
      <protection locked="0"/>
    </xf>
    <xf numFmtId="0" fontId="26" fillId="0" borderId="1" xfId="2" applyFont="1" applyBorder="1" applyAlignment="1" applyProtection="1">
      <alignment horizontal="center"/>
      <protection locked="0"/>
    </xf>
    <xf numFmtId="43" fontId="11" fillId="0" borderId="0" xfId="2" applyNumberFormat="1" applyFont="1" applyProtection="1">
      <protection locked="0"/>
    </xf>
    <xf numFmtId="44" fontId="11" fillId="0" borderId="0" xfId="2" applyNumberFormat="1" applyFont="1" applyProtection="1">
      <protection locked="0"/>
    </xf>
    <xf numFmtId="41" fontId="25" fillId="0" borderId="0" xfId="2" applyNumberFormat="1" applyFont="1" applyProtection="1">
      <protection locked="0"/>
    </xf>
    <xf numFmtId="0" fontId="11" fillId="0" borderId="12" xfId="2" applyFont="1" applyBorder="1" applyProtection="1">
      <protection locked="0"/>
    </xf>
    <xf numFmtId="0" fontId="11" fillId="0" borderId="1" xfId="2" applyFont="1" applyBorder="1" applyAlignment="1" applyProtection="1">
      <alignment horizontal="center"/>
      <protection locked="0"/>
    </xf>
    <xf numFmtId="0" fontId="11" fillId="0" borderId="5" xfId="2" applyFont="1" applyBorder="1" applyAlignment="1" applyProtection="1">
      <alignment horizontal="center"/>
      <protection locked="0"/>
    </xf>
    <xf numFmtId="0" fontId="11" fillId="0" borderId="5" xfId="2" applyFont="1" applyBorder="1" applyProtection="1">
      <protection locked="0"/>
    </xf>
    <xf numFmtId="42" fontId="11" fillId="0" borderId="0" xfId="2" applyNumberFormat="1" applyFont="1" applyProtection="1">
      <protection locked="0"/>
    </xf>
    <xf numFmtId="41" fontId="11" fillId="0" borderId="12" xfId="2" applyNumberFormat="1" applyFont="1" applyBorder="1" applyProtection="1">
      <protection locked="0"/>
    </xf>
    <xf numFmtId="42" fontId="25" fillId="0" borderId="0" xfId="2" applyNumberFormat="1" applyFont="1" applyProtection="1">
      <protection locked="0"/>
    </xf>
    <xf numFmtId="37" fontId="57" fillId="0" borderId="0" xfId="17" applyNumberFormat="1" applyFont="1"/>
    <xf numFmtId="37" fontId="25" fillId="0" borderId="0" xfId="17" applyNumberFormat="1" applyFont="1" applyAlignment="1">
      <alignment horizontal="left"/>
    </xf>
    <xf numFmtId="37" fontId="56" fillId="0" borderId="0" xfId="17" applyNumberFormat="1" applyFont="1" applyAlignment="1">
      <alignment horizontal="left"/>
    </xf>
    <xf numFmtId="0" fontId="59" fillId="15" borderId="0" xfId="0" applyFont="1" applyFill="1" applyProtection="1">
      <protection locked="0"/>
    </xf>
    <xf numFmtId="171" fontId="6" fillId="0" borderId="0" xfId="4" applyNumberFormat="1" applyFont="1" applyFill="1" applyAlignment="1" applyProtection="1"/>
    <xf numFmtId="171" fontId="6" fillId="0" borderId="9" xfId="4" applyNumberFormat="1" applyFont="1" applyFill="1" applyBorder="1" applyAlignment="1" applyProtection="1"/>
    <xf numFmtId="170" fontId="6" fillId="0" borderId="20" xfId="3" applyNumberFormat="1" applyFont="1" applyFill="1" applyBorder="1" applyAlignment="1" applyProtection="1"/>
    <xf numFmtId="171" fontId="6" fillId="0" borderId="32" xfId="4" applyNumberFormat="1" applyFont="1" applyFill="1" applyBorder="1" applyAlignment="1" applyProtection="1"/>
    <xf numFmtId="171" fontId="6" fillId="0" borderId="0" xfId="4" applyNumberFormat="1" applyFont="1" applyFill="1" applyBorder="1" applyAlignment="1" applyProtection="1"/>
    <xf numFmtId="171" fontId="6" fillId="0" borderId="12" xfId="4" applyNumberFormat="1" applyFont="1" applyFill="1" applyBorder="1" applyProtection="1"/>
    <xf numFmtId="171" fontId="6" fillId="0" borderId="16" xfId="4" applyNumberFormat="1" applyFont="1" applyFill="1" applyBorder="1" applyProtection="1"/>
    <xf numFmtId="0" fontId="6" fillId="0" borderId="63" xfId="0" applyFont="1" applyBorder="1" applyAlignment="1">
      <alignment horizontal="center"/>
    </xf>
    <xf numFmtId="9" fontId="6" fillId="0" borderId="63" xfId="1" applyFont="1" applyFill="1" applyBorder="1" applyProtection="1"/>
    <xf numFmtId="171" fontId="6" fillId="0" borderId="63" xfId="4" applyNumberFormat="1" applyFont="1" applyFill="1" applyBorder="1" applyProtection="1"/>
    <xf numFmtId="10" fontId="6" fillId="0" borderId="65" xfId="0" applyNumberFormat="1" applyFont="1" applyBorder="1"/>
    <xf numFmtId="0" fontId="6" fillId="0" borderId="65" xfId="3" applyNumberFormat="1" applyFont="1" applyFill="1" applyBorder="1" applyAlignment="1" applyProtection="1"/>
    <xf numFmtId="168" fontId="6" fillId="0" borderId="65" xfId="0" applyNumberFormat="1" applyFont="1" applyBorder="1"/>
    <xf numFmtId="170" fontId="6" fillId="0" borderId="65" xfId="3" applyNumberFormat="1" applyFont="1" applyFill="1" applyBorder="1" applyAlignment="1" applyProtection="1"/>
    <xf numFmtId="10" fontId="6" fillId="0" borderId="75" xfId="0" applyNumberFormat="1" applyFont="1" applyBorder="1"/>
    <xf numFmtId="168" fontId="6" fillId="0" borderId="70" xfId="0" applyNumberFormat="1" applyFont="1" applyBorder="1"/>
    <xf numFmtId="170" fontId="6" fillId="0" borderId="75" xfId="3" applyNumberFormat="1" applyFont="1" applyFill="1" applyBorder="1" applyAlignment="1" applyProtection="1"/>
    <xf numFmtId="168" fontId="6" fillId="0" borderId="0" xfId="0" applyNumberFormat="1" applyFont="1"/>
    <xf numFmtId="10" fontId="6" fillId="0" borderId="71" xfId="0" applyNumberFormat="1" applyFont="1" applyBorder="1"/>
    <xf numFmtId="168" fontId="6" fillId="0" borderId="71" xfId="0" applyNumberFormat="1" applyFont="1" applyBorder="1"/>
    <xf numFmtId="170" fontId="6" fillId="0" borderId="71" xfId="3" applyNumberFormat="1" applyFont="1" applyFill="1" applyBorder="1" applyAlignment="1" applyProtection="1"/>
    <xf numFmtId="10" fontId="6" fillId="0" borderId="70" xfId="0" applyNumberFormat="1" applyFont="1" applyBorder="1"/>
    <xf numFmtId="168" fontId="6" fillId="0" borderId="65" xfId="0" applyNumberFormat="1" applyFont="1" applyBorder="1" applyAlignment="1">
      <alignment horizontal="right"/>
    </xf>
    <xf numFmtId="0" fontId="6" fillId="0" borderId="77" xfId="0" applyFont="1" applyBorder="1" applyAlignment="1">
      <alignment horizontal="center"/>
    </xf>
    <xf numFmtId="173" fontId="6" fillId="0" borderId="78" xfId="1" applyNumberFormat="1" applyFont="1" applyFill="1" applyBorder="1" applyAlignment="1" applyProtection="1">
      <alignment horizontal="center"/>
    </xf>
    <xf numFmtId="10" fontId="6" fillId="0" borderId="16" xfId="0" applyNumberFormat="1" applyFont="1" applyBorder="1"/>
    <xf numFmtId="10" fontId="6" fillId="0" borderId="5" xfId="0" applyNumberFormat="1" applyFont="1" applyBorder="1"/>
    <xf numFmtId="171" fontId="6" fillId="0" borderId="5" xfId="4" applyNumberFormat="1" applyFont="1" applyFill="1" applyBorder="1" applyAlignment="1" applyProtection="1"/>
    <xf numFmtId="173" fontId="6" fillId="0" borderId="0" xfId="1" applyNumberFormat="1" applyFont="1" applyFill="1" applyBorder="1" applyAlignment="1" applyProtection="1">
      <protection locked="0"/>
    </xf>
    <xf numFmtId="0" fontId="6" fillId="0" borderId="76" xfId="0" applyFont="1" applyBorder="1" applyAlignment="1">
      <alignment vertical="center"/>
    </xf>
    <xf numFmtId="42" fontId="7" fillId="0" borderId="71" xfId="0" applyNumberFormat="1" applyFont="1" applyBorder="1" applyAlignment="1">
      <alignment vertical="center"/>
    </xf>
    <xf numFmtId="42" fontId="6" fillId="0" borderId="71" xfId="0" quotePrefix="1" applyNumberFormat="1" applyFont="1" applyBorder="1" applyAlignment="1">
      <alignment horizontal="center" vertical="center"/>
    </xf>
    <xf numFmtId="42" fontId="7" fillId="0" borderId="71" xfId="0" applyNumberFormat="1" applyFont="1" applyBorder="1" applyAlignment="1">
      <alignment horizontal="center" vertical="center"/>
    </xf>
    <xf numFmtId="42" fontId="22" fillId="0" borderId="71" xfId="0" applyNumberFormat="1" applyFont="1" applyBorder="1" applyAlignment="1">
      <alignment horizontal="right" vertical="center"/>
    </xf>
    <xf numFmtId="0" fontId="6" fillId="0" borderId="66" xfId="0" applyFont="1" applyBorder="1" applyAlignment="1">
      <alignment vertical="center"/>
    </xf>
    <xf numFmtId="41" fontId="7" fillId="0" borderId="65" xfId="0" applyNumberFormat="1" applyFont="1" applyBorder="1" applyAlignment="1">
      <alignment vertical="center"/>
    </xf>
    <xf numFmtId="41" fontId="6" fillId="0" borderId="65" xfId="0" quotePrefix="1" applyNumberFormat="1" applyFont="1" applyBorder="1" applyAlignment="1">
      <alignment horizontal="center" vertical="center"/>
    </xf>
    <xf numFmtId="41" fontId="7" fillId="0" borderId="65" xfId="0" applyNumberFormat="1" applyFont="1" applyBorder="1" applyAlignment="1">
      <alignment horizontal="center" vertical="center"/>
    </xf>
    <xf numFmtId="41" fontId="22" fillId="0" borderId="65" xfId="0" quotePrefix="1" applyNumberFormat="1" applyFont="1" applyBorder="1" applyAlignment="1">
      <alignment horizontal="right" vertical="center"/>
    </xf>
    <xf numFmtId="41" fontId="22" fillId="0" borderId="65" xfId="0" applyNumberFormat="1" applyFont="1" applyBorder="1" applyAlignment="1">
      <alignment horizontal="right" vertical="center"/>
    </xf>
    <xf numFmtId="0" fontId="6" fillId="0" borderId="69" xfId="0" applyFont="1" applyBorder="1" applyAlignment="1">
      <alignment vertical="center"/>
    </xf>
    <xf numFmtId="41" fontId="7" fillId="0" borderId="70" xfId="0" applyNumberFormat="1" applyFont="1" applyBorder="1" applyAlignment="1">
      <alignment vertical="center"/>
    </xf>
    <xf numFmtId="41" fontId="7" fillId="0" borderId="70" xfId="0" applyNumberFormat="1" applyFont="1" applyBorder="1" applyAlignment="1">
      <alignment horizontal="center" vertical="center"/>
    </xf>
    <xf numFmtId="41" fontId="7" fillId="0" borderId="70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vertical="center"/>
    </xf>
    <xf numFmtId="42" fontId="7" fillId="0" borderId="0" xfId="0" applyNumberFormat="1" applyFont="1" applyAlignment="1">
      <alignment vertical="center"/>
    </xf>
    <xf numFmtId="42" fontId="7" fillId="0" borderId="6" xfId="0" applyNumberFormat="1" applyFont="1" applyBorder="1" applyAlignment="1">
      <alignment horizontal="center" vertical="center"/>
    </xf>
    <xf numFmtId="42" fontId="7" fillId="0" borderId="0" xfId="0" applyNumberFormat="1" applyFont="1" applyAlignment="1">
      <alignment horizontal="center" vertical="center"/>
    </xf>
    <xf numFmtId="42" fontId="7" fillId="0" borderId="6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3" fontId="6" fillId="0" borderId="76" xfId="0" applyNumberFormat="1" applyFont="1" applyBorder="1" applyAlignment="1">
      <alignment vertical="center"/>
    </xf>
    <xf numFmtId="41" fontId="6" fillId="0" borderId="71" xfId="0" applyNumberFormat="1" applyFont="1" applyBorder="1" applyAlignment="1">
      <alignment vertical="center"/>
    </xf>
    <xf numFmtId="41" fontId="6" fillId="0" borderId="71" xfId="0" applyNumberFormat="1" applyFont="1" applyBorder="1" applyAlignment="1">
      <alignment horizontal="center" vertical="center"/>
    </xf>
    <xf numFmtId="41" fontId="6" fillId="0" borderId="71" xfId="0" applyNumberFormat="1" applyFont="1" applyBorder="1" applyAlignment="1">
      <alignment horizontal="right" vertical="center"/>
    </xf>
    <xf numFmtId="3" fontId="6" fillId="0" borderId="66" xfId="0" applyNumberFormat="1" applyFont="1" applyBorder="1" applyAlignment="1">
      <alignment vertical="center"/>
    </xf>
    <xf numFmtId="41" fontId="6" fillId="0" borderId="65" xfId="0" applyNumberFormat="1" applyFont="1" applyBorder="1" applyAlignment="1">
      <alignment vertical="center"/>
    </xf>
    <xf numFmtId="41" fontId="6" fillId="0" borderId="65" xfId="0" applyNumberFormat="1" applyFont="1" applyBorder="1" applyAlignment="1">
      <alignment horizontal="center" vertical="center"/>
    </xf>
    <xf numFmtId="41" fontId="6" fillId="0" borderId="65" xfId="0" applyNumberFormat="1" applyFont="1" applyBorder="1" applyAlignment="1">
      <alignment horizontal="right" vertical="center"/>
    </xf>
    <xf numFmtId="41" fontId="8" fillId="0" borderId="65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vertical="center"/>
    </xf>
    <xf numFmtId="41" fontId="6" fillId="0" borderId="70" xfId="0" applyNumberFormat="1" applyFont="1" applyBorder="1" applyAlignment="1">
      <alignment vertical="center"/>
    </xf>
    <xf numFmtId="41" fontId="6" fillId="0" borderId="70" xfId="0" applyNumberFormat="1" applyFont="1" applyBorder="1" applyAlignment="1">
      <alignment horizontal="center" vertical="center"/>
    </xf>
    <xf numFmtId="41" fontId="6" fillId="0" borderId="70" xfId="0" applyNumberFormat="1" applyFont="1" applyBorder="1" applyAlignment="1">
      <alignment horizontal="right" vertical="center"/>
    </xf>
    <xf numFmtId="41" fontId="6" fillId="0" borderId="6" xfId="0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6" xfId="0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1" fontId="6" fillId="0" borderId="6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41" fontId="12" fillId="0" borderId="71" xfId="0" applyNumberFormat="1" applyFont="1" applyBorder="1" applyAlignment="1">
      <alignment vertical="center"/>
    </xf>
    <xf numFmtId="41" fontId="8" fillId="0" borderId="7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2" fontId="8" fillId="0" borderId="6" xfId="0" applyNumberFormat="1" applyFont="1" applyBorder="1" applyAlignment="1">
      <alignment vertical="center"/>
    </xf>
    <xf numFmtId="42" fontId="8" fillId="0" borderId="0" xfId="0" applyNumberFormat="1" applyFont="1" applyAlignment="1">
      <alignment vertical="center"/>
    </xf>
    <xf numFmtId="42" fontId="8" fillId="0" borderId="6" xfId="0" applyNumberFormat="1" applyFont="1" applyBorder="1" applyAlignment="1">
      <alignment horizontal="center" vertical="center"/>
    </xf>
    <xf numFmtId="42" fontId="8" fillId="0" borderId="0" xfId="0" applyNumberFormat="1" applyFont="1" applyAlignment="1">
      <alignment horizontal="center" vertical="center"/>
    </xf>
    <xf numFmtId="42" fontId="8" fillId="0" borderId="6" xfId="0" applyNumberFormat="1" applyFont="1" applyBorder="1" applyAlignment="1">
      <alignment horizontal="right" vertical="center"/>
    </xf>
    <xf numFmtId="0" fontId="52" fillId="0" borderId="79" xfId="0" applyFont="1" applyBorder="1" applyAlignment="1">
      <alignment vertical="center"/>
    </xf>
    <xf numFmtId="41" fontId="50" fillId="0" borderId="80" xfId="0" applyNumberFormat="1" applyFont="1" applyBorder="1" applyAlignment="1">
      <alignment vertical="center"/>
    </xf>
    <xf numFmtId="41" fontId="50" fillId="0" borderId="80" xfId="0" applyNumberFormat="1" applyFont="1" applyBorder="1" applyAlignment="1">
      <alignment horizontal="center" vertical="center"/>
    </xf>
    <xf numFmtId="41" fontId="51" fillId="0" borderId="81" xfId="0" applyNumberFormat="1" applyFont="1" applyBorder="1" applyAlignment="1">
      <alignment vertical="center"/>
    </xf>
    <xf numFmtId="42" fontId="40" fillId="0" borderId="71" xfId="0" applyNumberFormat="1" applyFont="1" applyBorder="1" applyAlignment="1">
      <alignment horizontal="right" vertical="center"/>
    </xf>
    <xf numFmtId="37" fontId="7" fillId="0" borderId="66" xfId="0" applyNumberFormat="1" applyFont="1" applyBorder="1" applyAlignment="1">
      <alignment vertical="center"/>
    </xf>
    <xf numFmtId="41" fontId="40" fillId="0" borderId="65" xfId="0" applyNumberFormat="1" applyFont="1" applyBorder="1" applyAlignment="1">
      <alignment horizontal="right" vertical="center"/>
    </xf>
    <xf numFmtId="37" fontId="6" fillId="0" borderId="66" xfId="0" applyNumberFormat="1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41" fontId="40" fillId="0" borderId="70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41" fontId="40" fillId="0" borderId="0" xfId="0" applyNumberFormat="1" applyFont="1" applyAlignment="1">
      <alignment horizontal="right" vertical="center"/>
    </xf>
    <xf numFmtId="10" fontId="7" fillId="0" borderId="71" xfId="0" applyNumberFormat="1" applyFont="1" applyBorder="1" applyAlignment="1">
      <alignment vertical="center"/>
    </xf>
    <xf numFmtId="3" fontId="7" fillId="0" borderId="71" xfId="0" applyNumberFormat="1" applyFont="1" applyBorder="1" applyAlignment="1">
      <alignment vertical="center"/>
    </xf>
    <xf numFmtId="10" fontId="7" fillId="0" borderId="71" xfId="0" applyNumberFormat="1" applyFont="1" applyBorder="1" applyAlignment="1">
      <alignment horizontal="center" vertical="center"/>
    </xf>
    <xf numFmtId="37" fontId="7" fillId="0" borderId="71" xfId="0" applyNumberFormat="1" applyFont="1" applyBorder="1" applyAlignment="1">
      <alignment horizontal="center" vertical="center"/>
    </xf>
    <xf numFmtId="10" fontId="8" fillId="0" borderId="71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3" fontId="6" fillId="0" borderId="65" xfId="0" applyNumberFormat="1" applyFont="1" applyBorder="1" applyAlignment="1">
      <alignment vertical="center"/>
    </xf>
    <xf numFmtId="3" fontId="7" fillId="0" borderId="65" xfId="0" applyNumberFormat="1" applyFont="1" applyBorder="1" applyAlignment="1">
      <alignment vertical="center"/>
    </xf>
    <xf numFmtId="37" fontId="7" fillId="0" borderId="65" xfId="0" applyNumberFormat="1" applyFont="1" applyBorder="1" applyAlignment="1">
      <alignment horizontal="center" vertical="center"/>
    </xf>
    <xf numFmtId="10" fontId="11" fillId="0" borderId="0" xfId="1" applyNumberFormat="1" applyFont="1" applyFill="1" applyAlignment="1" applyProtection="1">
      <alignment vertical="center"/>
    </xf>
    <xf numFmtId="164" fontId="11" fillId="0" borderId="0" xfId="0" applyNumberFormat="1" applyFont="1" applyAlignment="1">
      <alignment vertical="center"/>
    </xf>
    <xf numFmtId="44" fontId="11" fillId="0" borderId="0" xfId="4" applyFont="1" applyFill="1" applyAlignment="1" applyProtection="1">
      <alignment vertical="center"/>
    </xf>
    <xf numFmtId="10" fontId="6" fillId="0" borderId="0" xfId="1" applyNumberFormat="1" applyFont="1" applyFill="1" applyAlignment="1" applyProtection="1">
      <alignment vertical="center"/>
    </xf>
    <xf numFmtId="10" fontId="6" fillId="0" borderId="0" xfId="1" applyNumberFormat="1" applyFont="1" applyFill="1" applyAlignment="1" applyProtection="1">
      <alignment horizontal="center" vertical="center"/>
    </xf>
    <xf numFmtId="173" fontId="6" fillId="0" borderId="0" xfId="1" applyNumberFormat="1" applyFont="1" applyFill="1" applyAlignment="1" applyProtection="1">
      <alignment horizontal="center" vertical="center"/>
    </xf>
    <xf numFmtId="37" fontId="11" fillId="0" borderId="0" xfId="0" applyNumberFormat="1" applyFont="1" applyAlignment="1">
      <alignment vertical="center"/>
    </xf>
    <xf numFmtId="5" fontId="47" fillId="0" borderId="0" xfId="1" applyNumberFormat="1" applyFont="1" applyFill="1" applyAlignment="1" applyProtection="1">
      <alignment vertical="center"/>
    </xf>
    <xf numFmtId="170" fontId="11" fillId="0" borderId="0" xfId="3" applyNumberFormat="1" applyFont="1" applyFill="1" applyBorder="1" applyAlignment="1" applyProtection="1">
      <alignment vertical="center"/>
    </xf>
    <xf numFmtId="170" fontId="48" fillId="0" borderId="0" xfId="3" applyNumberFormat="1" applyFont="1" applyFill="1" applyBorder="1" applyAlignment="1" applyProtection="1">
      <alignment vertical="center"/>
    </xf>
    <xf numFmtId="0" fontId="48" fillId="0" borderId="0" xfId="0" applyFont="1" applyAlignment="1">
      <alignment vertical="center"/>
    </xf>
    <xf numFmtId="5" fontId="11" fillId="0" borderId="0" xfId="0" applyNumberFormat="1" applyFont="1" applyAlignment="1">
      <alignment vertical="center"/>
    </xf>
    <xf numFmtId="10" fontId="11" fillId="0" borderId="0" xfId="1" applyNumberFormat="1" applyFont="1" applyFill="1" applyBorder="1" applyAlignment="1" applyProtection="1">
      <alignment vertical="center"/>
    </xf>
    <xf numFmtId="37" fontId="6" fillId="0" borderId="0" xfId="0" applyNumberFormat="1" applyFont="1" applyAlignment="1">
      <alignment horizontal="center"/>
    </xf>
    <xf numFmtId="5" fontId="6" fillId="0" borderId="0" xfId="1" applyNumberFormat="1" applyFont="1" applyFill="1" applyBorder="1" applyAlignment="1" applyProtection="1">
      <alignment horizontal="center"/>
    </xf>
    <xf numFmtId="5" fontId="6" fillId="0" borderId="0" xfId="0" applyNumberFormat="1" applyFont="1" applyAlignment="1">
      <alignment horizontal="center"/>
    </xf>
    <xf numFmtId="37" fontId="7" fillId="0" borderId="0" xfId="0" applyNumberFormat="1" applyFont="1"/>
    <xf numFmtId="164" fontId="6" fillId="0" borderId="0" xfId="4" applyNumberFormat="1" applyFont="1" applyFill="1" applyBorder="1" applyAlignment="1" applyProtection="1">
      <alignment horizontal="center"/>
    </xf>
    <xf numFmtId="10" fontId="7" fillId="0" borderId="0" xfId="0" applyNumberFormat="1" applyFont="1" applyAlignment="1">
      <alignment horizontal="center"/>
    </xf>
    <xf numFmtId="37" fontId="6" fillId="0" borderId="20" xfId="0" applyNumberFormat="1" applyFont="1" applyBorder="1" applyAlignment="1">
      <alignment horizontal="center" wrapText="1"/>
    </xf>
    <xf numFmtId="44" fontId="6" fillId="0" borderId="0" xfId="4" applyFont="1" applyFill="1" applyBorder="1" applyAlignment="1" applyProtection="1">
      <alignment horizontal="center"/>
    </xf>
    <xf numFmtId="168" fontId="6" fillId="0" borderId="65" xfId="0" applyNumberFormat="1" applyFont="1" applyBorder="1" applyAlignment="1">
      <alignment horizontal="center"/>
    </xf>
    <xf numFmtId="167" fontId="6" fillId="0" borderId="65" xfId="0" applyNumberFormat="1" applyFont="1" applyBorder="1" applyAlignment="1">
      <alignment horizontal="center"/>
    </xf>
    <xf numFmtId="167" fontId="6" fillId="0" borderId="71" xfId="0" applyNumberFormat="1" applyFont="1" applyBorder="1" applyAlignment="1">
      <alignment horizontal="center"/>
    </xf>
    <xf numFmtId="0" fontId="11" fillId="0" borderId="65" xfId="0" applyFont="1" applyBorder="1" applyAlignment="1">
      <alignment horizontal="center"/>
    </xf>
    <xf numFmtId="9" fontId="6" fillId="0" borderId="65" xfId="1" applyFont="1" applyFill="1" applyBorder="1" applyAlignment="1" applyProtection="1">
      <alignment horizontal="center"/>
    </xf>
    <xf numFmtId="10" fontId="6" fillId="0" borderId="0" xfId="1" applyNumberFormat="1" applyFont="1" applyFill="1" applyBorder="1" applyAlignment="1" applyProtection="1">
      <alignment horizontal="center"/>
    </xf>
    <xf numFmtId="168" fontId="6" fillId="0" borderId="70" xfId="0" applyNumberFormat="1" applyFont="1" applyBorder="1" applyAlignment="1">
      <alignment horizontal="center"/>
    </xf>
    <xf numFmtId="168" fontId="6" fillId="0" borderId="0" xfId="0" applyNumberFormat="1" applyFont="1" applyAlignment="1">
      <alignment horizontal="center"/>
    </xf>
    <xf numFmtId="173" fontId="6" fillId="0" borderId="0" xfId="1" applyNumberFormat="1" applyFont="1" applyFill="1" applyBorder="1" applyAlignment="1" applyProtection="1">
      <alignment horizontal="center"/>
    </xf>
    <xf numFmtId="170" fontId="61" fillId="0" borderId="0" xfId="3" applyNumberFormat="1" applyFont="1" applyAlignment="1" applyProtection="1"/>
    <xf numFmtId="37" fontId="8" fillId="0" borderId="0" xfId="17" applyNumberFormat="1" applyFont="1" applyAlignment="1">
      <alignment horizontal="left"/>
    </xf>
    <xf numFmtId="0" fontId="53" fillId="0" borderId="0" xfId="0" applyFont="1" applyAlignment="1" applyProtection="1">
      <alignment horizontal="right"/>
      <protection locked="0"/>
    </xf>
    <xf numFmtId="0" fontId="53" fillId="0" borderId="1" xfId="0" applyFont="1" applyBorder="1" applyAlignment="1" applyProtection="1">
      <alignment horizontal="center"/>
      <protection locked="0"/>
    </xf>
    <xf numFmtId="0" fontId="53" fillId="0" borderId="1" xfId="0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/>
      <protection locked="0"/>
    </xf>
    <xf numFmtId="42" fontId="18" fillId="0" borderId="0" xfId="0" applyNumberFormat="1" applyFont="1" applyProtection="1">
      <protection locked="0"/>
    </xf>
    <xf numFmtId="42" fontId="18" fillId="0" borderId="0" xfId="0" applyNumberFormat="1" applyFont="1" applyAlignment="1" applyProtection="1">
      <alignment horizontal="center"/>
      <protection locked="0"/>
    </xf>
    <xf numFmtId="41" fontId="18" fillId="0" borderId="0" xfId="0" applyNumberFormat="1" applyFont="1" applyAlignment="1" applyProtection="1">
      <alignment horizontal="center"/>
      <protection locked="0"/>
    </xf>
    <xf numFmtId="41" fontId="53" fillId="0" borderId="12" xfId="0" applyNumberFormat="1" applyFont="1" applyBorder="1" applyAlignment="1" applyProtection="1">
      <alignment horizontal="center"/>
      <protection locked="0"/>
    </xf>
    <xf numFmtId="41" fontId="18" fillId="0" borderId="12" xfId="0" applyNumberFormat="1" applyFont="1" applyBorder="1" applyProtection="1">
      <protection locked="0"/>
    </xf>
    <xf numFmtId="41" fontId="18" fillId="0" borderId="12" xfId="0" applyNumberFormat="1" applyFont="1" applyBorder="1" applyAlignment="1" applyProtection="1">
      <alignment horizontal="center"/>
      <protection locked="0"/>
    </xf>
    <xf numFmtId="41" fontId="53" fillId="0" borderId="16" xfId="0" applyNumberFormat="1" applyFont="1" applyBorder="1" applyProtection="1">
      <protection locked="0"/>
    </xf>
    <xf numFmtId="41" fontId="53" fillId="0" borderId="16" xfId="0" applyNumberFormat="1" applyFont="1" applyBorder="1" applyAlignment="1" applyProtection="1">
      <alignment horizontal="center"/>
      <protection locked="0"/>
    </xf>
    <xf numFmtId="41" fontId="53" fillId="0" borderId="0" xfId="0" applyNumberFormat="1" applyFont="1" applyProtection="1">
      <protection locked="0"/>
    </xf>
    <xf numFmtId="41" fontId="53" fillId="0" borderId="0" xfId="0" applyNumberFormat="1" applyFont="1" applyAlignment="1" applyProtection="1">
      <alignment horizontal="center"/>
      <protection locked="0"/>
    </xf>
    <xf numFmtId="10" fontId="18" fillId="0" borderId="0" xfId="0" applyNumberFormat="1" applyFont="1" applyProtection="1">
      <protection locked="0"/>
    </xf>
    <xf numFmtId="0" fontId="58" fillId="0" borderId="0" xfId="0" applyFont="1" applyProtection="1">
      <protection locked="0"/>
    </xf>
    <xf numFmtId="10" fontId="18" fillId="0" borderId="0" xfId="0" applyNumberFormat="1" applyFont="1" applyAlignment="1" applyProtection="1">
      <alignment horizontal="center"/>
      <protection locked="0"/>
    </xf>
    <xf numFmtId="10" fontId="18" fillId="0" borderId="0" xfId="1" applyNumberFormat="1" applyFont="1" applyFill="1" applyBorder="1" applyAlignment="1" applyProtection="1">
      <alignment horizontal="center"/>
      <protection locked="0"/>
    </xf>
    <xf numFmtId="177" fontId="18" fillId="0" borderId="0" xfId="1" applyNumberFormat="1" applyFont="1" applyFill="1" applyAlignment="1" applyProtection="1">
      <alignment horizontal="center"/>
      <protection locked="0"/>
    </xf>
    <xf numFmtId="10" fontId="18" fillId="0" borderId="12" xfId="0" applyNumberFormat="1" applyFont="1" applyBorder="1" applyAlignment="1" applyProtection="1">
      <alignment horizontal="center"/>
      <protection locked="0"/>
    </xf>
    <xf numFmtId="10" fontId="53" fillId="0" borderId="12" xfId="1" applyNumberFormat="1" applyFont="1" applyFill="1" applyBorder="1" applyAlignment="1" applyProtection="1">
      <alignment horizontal="center"/>
      <protection locked="0"/>
    </xf>
    <xf numFmtId="0" fontId="60" fillId="0" borderId="0" xfId="0" applyFont="1" applyProtection="1">
      <protection locked="0"/>
    </xf>
    <xf numFmtId="10" fontId="18" fillId="0" borderId="1" xfId="0" applyNumberFormat="1" applyFont="1" applyBorder="1" applyProtection="1">
      <protection locked="0"/>
    </xf>
    <xf numFmtId="10" fontId="18" fillId="0" borderId="0" xfId="1" applyNumberFormat="1" applyFont="1" applyFill="1" applyProtection="1">
      <protection locked="0"/>
    </xf>
    <xf numFmtId="0" fontId="6" fillId="0" borderId="17" xfId="1" applyNumberFormat="1" applyFont="1" applyFill="1" applyBorder="1" applyAlignment="1" applyProtection="1">
      <alignment horizontal="center" wrapText="1"/>
    </xf>
    <xf numFmtId="0" fontId="6" fillId="0" borderId="0" xfId="1" applyNumberFormat="1" applyFont="1" applyFill="1" applyAlignment="1" applyProtection="1">
      <alignment horizontal="center"/>
    </xf>
    <xf numFmtId="0" fontId="0" fillId="0" borderId="19" xfId="0" applyBorder="1" applyAlignment="1">
      <alignment horizontal="center"/>
    </xf>
    <xf numFmtId="10" fontId="6" fillId="0" borderId="1" xfId="1" applyNumberFormat="1" applyFont="1" applyFill="1" applyBorder="1" applyAlignment="1" applyProtection="1">
      <alignment horizontal="center"/>
    </xf>
    <xf numFmtId="10" fontId="6" fillId="0" borderId="5" xfId="1" applyNumberFormat="1" applyFont="1" applyFill="1" applyBorder="1" applyAlignment="1" applyProtection="1">
      <alignment horizontal="center"/>
    </xf>
    <xf numFmtId="10" fontId="6" fillId="0" borderId="7" xfId="1" applyNumberFormat="1" applyFont="1" applyFill="1" applyBorder="1" applyAlignment="1" applyProtection="1">
      <alignment horizontal="center"/>
    </xf>
    <xf numFmtId="0" fontId="6" fillId="0" borderId="68" xfId="0" applyFont="1" applyBorder="1" applyAlignment="1">
      <alignment horizontal="center"/>
    </xf>
    <xf numFmtId="0" fontId="6" fillId="0" borderId="67" xfId="0" applyFont="1" applyBorder="1" applyAlignment="1">
      <alignment horizontal="left"/>
    </xf>
    <xf numFmtId="37" fontId="6" fillId="0" borderId="67" xfId="0" applyNumberFormat="1" applyFont="1" applyBorder="1"/>
    <xf numFmtId="10" fontId="6" fillId="0" borderId="67" xfId="1" applyNumberFormat="1" applyFont="1" applyFill="1" applyBorder="1" applyAlignment="1" applyProtection="1">
      <alignment horizontal="right"/>
    </xf>
    <xf numFmtId="0" fontId="6" fillId="0" borderId="66" xfId="0" applyFont="1" applyBorder="1" applyAlignment="1">
      <alignment horizontal="center"/>
    </xf>
    <xf numFmtId="0" fontId="6" fillId="0" borderId="65" xfId="0" applyFont="1" applyBorder="1" applyAlignment="1">
      <alignment horizontal="left"/>
    </xf>
    <xf numFmtId="10" fontId="6" fillId="0" borderId="65" xfId="1" applyNumberFormat="1" applyFont="1" applyFill="1" applyBorder="1" applyAlignment="1" applyProtection="1">
      <alignment horizontal="right"/>
    </xf>
    <xf numFmtId="0" fontId="6" fillId="0" borderId="69" xfId="0" applyFont="1" applyBorder="1" applyAlignment="1">
      <alignment horizontal="center"/>
    </xf>
    <xf numFmtId="0" fontId="6" fillId="0" borderId="70" xfId="0" applyFont="1" applyBorder="1" applyAlignment="1">
      <alignment horizontal="left"/>
    </xf>
    <xf numFmtId="10" fontId="6" fillId="0" borderId="70" xfId="1" applyNumberFormat="1" applyFont="1" applyFill="1" applyBorder="1" applyAlignment="1" applyProtection="1">
      <alignment horizontal="right"/>
    </xf>
    <xf numFmtId="37" fontId="6" fillId="0" borderId="10" xfId="0" applyNumberFormat="1" applyFont="1" applyBorder="1"/>
    <xf numFmtId="9" fontId="6" fillId="0" borderId="9" xfId="1" applyFont="1" applyFill="1" applyBorder="1" applyProtection="1"/>
    <xf numFmtId="10" fontId="6" fillId="0" borderId="1" xfId="1" applyNumberFormat="1" applyFont="1" applyFill="1" applyBorder="1" applyProtection="1"/>
    <xf numFmtId="0" fontId="6" fillId="0" borderId="68" xfId="0" applyFont="1" applyBorder="1"/>
    <xf numFmtId="3" fontId="6" fillId="0" borderId="67" xfId="0" applyNumberFormat="1" applyFont="1" applyBorder="1"/>
    <xf numFmtId="0" fontId="6" fillId="0" borderId="67" xfId="0" applyFont="1" applyBorder="1"/>
    <xf numFmtId="0" fontId="6" fillId="0" borderId="66" xfId="0" applyFont="1" applyBorder="1"/>
    <xf numFmtId="169" fontId="6" fillId="0" borderId="66" xfId="0" applyNumberFormat="1" applyFont="1" applyBorder="1" applyAlignment="1">
      <alignment horizontal="right"/>
    </xf>
    <xf numFmtId="3" fontId="6" fillId="0" borderId="65" xfId="0" applyNumberFormat="1" applyFont="1" applyBorder="1"/>
    <xf numFmtId="0" fontId="6" fillId="0" borderId="69" xfId="0" applyFont="1" applyBorder="1"/>
    <xf numFmtId="0" fontId="6" fillId="0" borderId="70" xfId="0" applyFont="1" applyBorder="1"/>
    <xf numFmtId="37" fontId="6" fillId="0" borderId="9" xfId="0" applyNumberFormat="1" applyFont="1" applyBorder="1"/>
    <xf numFmtId="10" fontId="6" fillId="0" borderId="9" xfId="1" applyNumberFormat="1" applyFont="1" applyFill="1" applyBorder="1" applyProtection="1"/>
    <xf numFmtId="10" fontId="6" fillId="0" borderId="0" xfId="0" applyNumberFormat="1" applyFont="1" applyAlignment="1">
      <alignment horizontal="center"/>
    </xf>
    <xf numFmtId="9" fontId="45" fillId="0" borderId="0" xfId="1" applyFont="1" applyFill="1" applyBorder="1" applyProtection="1"/>
    <xf numFmtId="37" fontId="6" fillId="0" borderId="63" xfId="0" applyNumberFormat="1" applyFont="1" applyBorder="1"/>
    <xf numFmtId="10" fontId="6" fillId="0" borderId="71" xfId="1" applyNumberFormat="1" applyFont="1" applyFill="1" applyBorder="1" applyProtection="1"/>
    <xf numFmtId="10" fontId="6" fillId="0" borderId="71" xfId="1" applyNumberFormat="1" applyFont="1" applyFill="1" applyBorder="1" applyAlignment="1" applyProtection="1">
      <alignment horizontal="center"/>
    </xf>
    <xf numFmtId="9" fontId="6" fillId="0" borderId="71" xfId="1" applyFont="1" applyFill="1" applyBorder="1" applyAlignment="1" applyProtection="1">
      <alignment horizontal="center"/>
    </xf>
    <xf numFmtId="10" fontId="6" fillId="0" borderId="71" xfId="1" applyNumberFormat="1" applyFont="1" applyFill="1" applyBorder="1" applyAlignment="1" applyProtection="1"/>
    <xf numFmtId="9" fontId="6" fillId="0" borderId="65" xfId="0" applyNumberFormat="1" applyFont="1" applyBorder="1" applyAlignment="1">
      <alignment horizontal="center"/>
    </xf>
    <xf numFmtId="10" fontId="41" fillId="0" borderId="9" xfId="1" applyNumberFormat="1" applyFont="1" applyFill="1" applyBorder="1" applyProtection="1"/>
    <xf numFmtId="10" fontId="12" fillId="0" borderId="9" xfId="1" applyNumberFormat="1" applyFont="1" applyFill="1" applyBorder="1" applyProtection="1"/>
    <xf numFmtId="10" fontId="12" fillId="0" borderId="0" xfId="1" applyNumberFormat="1" applyFont="1" applyFill="1" applyBorder="1" applyProtection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0" borderId="3" xfId="0" applyNumberFormat="1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170" fontId="6" fillId="11" borderId="13" xfId="3" applyNumberFormat="1" applyFont="1" applyFill="1" applyBorder="1" applyAlignment="1" applyProtection="1">
      <alignment horizontal="center" vertical="center"/>
      <protection locked="0"/>
    </xf>
    <xf numFmtId="170" fontId="6" fillId="11" borderId="2" xfId="3" applyNumberFormat="1" applyFont="1" applyFill="1" applyBorder="1" applyAlignment="1" applyProtection="1">
      <alignment horizontal="center" vertical="center"/>
      <protection locked="0"/>
    </xf>
    <xf numFmtId="170" fontId="6" fillId="11" borderId="15" xfId="3" applyNumberFormat="1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/>
    </xf>
    <xf numFmtId="37" fontId="28" fillId="0" borderId="1" xfId="17" applyNumberFormat="1" applyFont="1" applyBorder="1" applyAlignment="1">
      <alignment horizontal="center"/>
    </xf>
    <xf numFmtId="0" fontId="28" fillId="0" borderId="1" xfId="6" applyFont="1" applyBorder="1" applyAlignment="1">
      <alignment horizontal="center"/>
    </xf>
    <xf numFmtId="37" fontId="23" fillId="0" borderId="5" xfId="17" applyNumberFormat="1" applyFont="1" applyBorder="1"/>
    <xf numFmtId="0" fontId="28" fillId="5" borderId="1" xfId="6" applyFont="1" applyFill="1" applyBorder="1" applyAlignment="1">
      <alignment horizontal="center"/>
    </xf>
    <xf numFmtId="174" fontId="22" fillId="0" borderId="12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37" fontId="8" fillId="6" borderId="0" xfId="17" applyNumberFormat="1" applyFont="1" applyFill="1" applyAlignment="1">
      <alignment horizontal="center" vertical="center"/>
    </xf>
    <xf numFmtId="10" fontId="6" fillId="0" borderId="0" xfId="1" applyNumberFormat="1" applyFont="1" applyFill="1" applyBorder="1" applyAlignment="1" applyProtection="1">
      <alignment horizontal="center" wrapText="1"/>
    </xf>
    <xf numFmtId="10" fontId="6" fillId="0" borderId="1" xfId="1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37" fontId="6" fillId="0" borderId="0" xfId="0" applyNumberFormat="1" applyFont="1" applyAlignment="1">
      <alignment horizontal="center" wrapText="1"/>
    </xf>
    <xf numFmtId="37" fontId="6" fillId="0" borderId="1" xfId="0" applyNumberFormat="1" applyFont="1" applyBorder="1" applyAlignment="1">
      <alignment horizontal="center" wrapText="1"/>
    </xf>
    <xf numFmtId="0" fontId="39" fillId="0" borderId="48" xfId="0" applyFont="1" applyBorder="1" applyAlignment="1">
      <alignment horizontal="center"/>
    </xf>
    <xf numFmtId="0" fontId="39" fillId="0" borderId="49" xfId="0" applyFont="1" applyBorder="1" applyAlignment="1">
      <alignment horizontal="center"/>
    </xf>
    <xf numFmtId="0" fontId="39" fillId="0" borderId="50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25" fillId="0" borderId="1" xfId="2" applyFont="1" applyBorder="1" applyAlignment="1" applyProtection="1">
      <alignment horizontal="center"/>
      <protection locked="0"/>
    </xf>
    <xf numFmtId="0" fontId="53" fillId="0" borderId="0" xfId="0" applyFont="1" applyAlignment="1" applyProtection="1">
      <alignment horizontal="center" wrapText="1"/>
      <protection locked="0"/>
    </xf>
    <xf numFmtId="0" fontId="21" fillId="0" borderId="17" xfId="7" applyFont="1" applyBorder="1" applyAlignment="1">
      <alignment horizontal="center" vertical="top" wrapText="1"/>
    </xf>
    <xf numFmtId="0" fontId="21" fillId="0" borderId="19" xfId="7" applyFont="1" applyBorder="1" applyAlignment="1">
      <alignment horizontal="center" vertical="top" wrapText="1"/>
    </xf>
    <xf numFmtId="0" fontId="29" fillId="0" borderId="25" xfId="28" applyBorder="1" applyAlignment="1">
      <alignment horizontal="center"/>
    </xf>
    <xf numFmtId="0" fontId="29" fillId="0" borderId="9" xfId="28" applyBorder="1" applyAlignment="1">
      <alignment horizontal="center"/>
    </xf>
    <xf numFmtId="0" fontId="29" fillId="0" borderId="24" xfId="28" applyBorder="1" applyAlignment="1">
      <alignment horizontal="center"/>
    </xf>
    <xf numFmtId="0" fontId="21" fillId="0" borderId="11" xfId="7" applyFont="1" applyBorder="1" applyAlignment="1">
      <alignment horizontal="center" vertical="top" wrapText="1"/>
    </xf>
    <xf numFmtId="0" fontId="21" fillId="0" borderId="13" xfId="7" applyFont="1" applyBorder="1" applyAlignment="1">
      <alignment horizontal="center" vertical="top" wrapText="1"/>
    </xf>
    <xf numFmtId="0" fontId="21" fillId="0" borderId="14" xfId="7" applyFont="1" applyBorder="1" applyAlignment="1">
      <alignment horizontal="center" vertical="top" wrapText="1"/>
    </xf>
    <xf numFmtId="0" fontId="21" fillId="0" borderId="15" xfId="7" applyFont="1" applyBorder="1" applyAlignment="1">
      <alignment horizontal="center" vertical="top" wrapText="1"/>
    </xf>
    <xf numFmtId="0" fontId="21" fillId="0" borderId="17" xfId="7" applyFont="1" applyBorder="1" applyAlignment="1">
      <alignment horizontal="center" vertical="top"/>
    </xf>
    <xf numFmtId="0" fontId="21" fillId="0" borderId="19" xfId="7" applyFont="1" applyBorder="1" applyAlignment="1">
      <alignment horizontal="center" vertical="top"/>
    </xf>
    <xf numFmtId="0" fontId="8" fillId="0" borderId="8" xfId="7" applyFont="1" applyBorder="1" applyAlignment="1">
      <alignment horizontal="center"/>
    </xf>
    <xf numFmtId="0" fontId="8" fillId="0" borderId="2" xfId="7" applyFont="1" applyBorder="1" applyAlignment="1">
      <alignment horizontal="center"/>
    </xf>
    <xf numFmtId="0" fontId="6" fillId="0" borderId="8" xfId="7" applyFont="1" applyBorder="1" applyAlignment="1">
      <alignment horizontal="center"/>
    </xf>
    <xf numFmtId="0" fontId="6" fillId="0" borderId="2" xfId="7" applyFont="1" applyBorder="1" applyAlignment="1">
      <alignment horizontal="center"/>
    </xf>
    <xf numFmtId="0" fontId="20" fillId="0" borderId="25" xfId="7" applyFont="1" applyBorder="1" applyAlignment="1">
      <alignment horizontal="center" vertical="center" wrapText="1"/>
    </xf>
    <xf numFmtId="0" fontId="20" fillId="0" borderId="9" xfId="7" applyFont="1" applyBorder="1" applyAlignment="1">
      <alignment horizontal="center" vertical="center" wrapText="1"/>
    </xf>
    <xf numFmtId="0" fontId="20" fillId="0" borderId="24" xfId="7" applyFont="1" applyBorder="1" applyAlignment="1">
      <alignment horizontal="center" vertical="center" wrapText="1"/>
    </xf>
    <xf numFmtId="0" fontId="20" fillId="0" borderId="62" xfId="7" applyFont="1" applyBorder="1" applyAlignment="1">
      <alignment horizontal="center" vertical="center" wrapText="1"/>
    </xf>
    <xf numFmtId="0" fontId="20" fillId="0" borderId="20" xfId="7" applyFont="1" applyBorder="1" applyAlignment="1">
      <alignment horizontal="center" vertical="center" wrapText="1"/>
    </xf>
    <xf numFmtId="0" fontId="20" fillId="0" borderId="21" xfId="7" applyFont="1" applyBorder="1" applyAlignment="1">
      <alignment horizontal="center" vertical="center" wrapText="1"/>
    </xf>
    <xf numFmtId="0" fontId="20" fillId="0" borderId="72" xfId="7" applyFont="1" applyBorder="1" applyAlignment="1">
      <alignment horizontal="center" vertical="center" wrapText="1"/>
    </xf>
    <xf numFmtId="0" fontId="20" fillId="0" borderId="73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/>
    </xf>
    <xf numFmtId="0" fontId="6" fillId="0" borderId="15" xfId="7" applyFont="1" applyBorder="1" applyAlignment="1">
      <alignment horizontal="center"/>
    </xf>
    <xf numFmtId="0" fontId="6" fillId="4" borderId="11" xfId="7" applyFont="1" applyFill="1" applyBorder="1" applyAlignment="1">
      <alignment horizontal="center" vertical="center" wrapText="1"/>
    </xf>
    <xf numFmtId="0" fontId="6" fillId="4" borderId="12" xfId="7" applyFont="1" applyFill="1" applyBorder="1" applyAlignment="1">
      <alignment horizontal="center" vertical="center" wrapText="1"/>
    </xf>
    <xf numFmtId="0" fontId="6" fillId="4" borderId="13" xfId="7" applyFont="1" applyFill="1" applyBorder="1" applyAlignment="1">
      <alignment horizontal="center" vertical="center" wrapText="1"/>
    </xf>
    <xf numFmtId="0" fontId="6" fillId="4" borderId="14" xfId="7" applyFont="1" applyFill="1" applyBorder="1" applyAlignment="1">
      <alignment horizontal="center" vertical="center" wrapText="1"/>
    </xf>
    <xf numFmtId="0" fontId="6" fillId="4" borderId="1" xfId="7" applyFont="1" applyFill="1" applyBorder="1" applyAlignment="1">
      <alignment horizontal="center" vertical="center" wrapText="1"/>
    </xf>
    <xf numFmtId="0" fontId="6" fillId="4" borderId="15" xfId="7" applyFont="1" applyFill="1" applyBorder="1" applyAlignment="1">
      <alignment horizontal="center" vertical="center" wrapText="1"/>
    </xf>
    <xf numFmtId="0" fontId="6" fillId="4" borderId="11" xfId="7" applyFont="1" applyFill="1" applyBorder="1" applyAlignment="1">
      <alignment horizontal="center" vertical="center"/>
    </xf>
    <xf numFmtId="0" fontId="6" fillId="4" borderId="12" xfId="7" applyFont="1" applyFill="1" applyBorder="1" applyAlignment="1">
      <alignment horizontal="center" vertical="center"/>
    </xf>
    <xf numFmtId="0" fontId="6" fillId="4" borderId="13" xfId="7" applyFont="1" applyFill="1" applyBorder="1" applyAlignment="1">
      <alignment horizontal="center" vertical="center"/>
    </xf>
    <xf numFmtId="0" fontId="6" fillId="4" borderId="14" xfId="7" applyFont="1" applyFill="1" applyBorder="1" applyAlignment="1">
      <alignment horizontal="center" vertical="center"/>
    </xf>
    <xf numFmtId="0" fontId="6" fillId="4" borderId="1" xfId="7" applyFont="1" applyFill="1" applyBorder="1" applyAlignment="1">
      <alignment horizontal="center" vertical="center"/>
    </xf>
    <xf numFmtId="0" fontId="6" fillId="4" borderId="15" xfId="7" applyFont="1" applyFill="1" applyBorder="1" applyAlignment="1">
      <alignment horizontal="center" vertical="center"/>
    </xf>
    <xf numFmtId="0" fontId="20" fillId="0" borderId="11" xfId="7" applyFont="1" applyBorder="1" applyAlignment="1">
      <alignment horizontal="center" vertical="center" wrapText="1"/>
    </xf>
    <xf numFmtId="0" fontId="20" fillId="0" borderId="12" xfId="7" applyFont="1" applyBorder="1" applyAlignment="1">
      <alignment horizontal="center" vertical="center" wrapText="1"/>
    </xf>
    <xf numFmtId="0" fontId="20" fillId="0" borderId="13" xfId="7" applyFont="1" applyBorder="1" applyAlignment="1">
      <alignment horizontal="center" vertical="center" wrapText="1"/>
    </xf>
    <xf numFmtId="0" fontId="20" fillId="0" borderId="8" xfId="7" applyFont="1" applyBorder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20" fillId="0" borderId="2" xfId="7" applyFont="1" applyBorder="1" applyAlignment="1">
      <alignment horizontal="center" vertical="center" wrapText="1"/>
    </xf>
  </cellXfs>
  <cellStyles count="52">
    <cellStyle name="Comma" xfId="3" builtinId="3"/>
    <cellStyle name="Comma 2" xfId="9" xr:uid="{00000000-0005-0000-0000-000001000000}"/>
    <cellStyle name="Comma 3" xfId="27" xr:uid="{00000000-0005-0000-0000-000002000000}"/>
    <cellStyle name="Currency" xfId="4" builtinId="4"/>
    <cellStyle name="Currency 2" xfId="8" xr:uid="{00000000-0005-0000-0000-000004000000}"/>
    <cellStyle name="Currency 2 2" xfId="16" xr:uid="{00000000-0005-0000-0000-000005000000}"/>
    <cellStyle name="Currency 2 3" xfId="24" xr:uid="{00000000-0005-0000-0000-000006000000}"/>
    <cellStyle name="Currency 3" xfId="11" xr:uid="{00000000-0005-0000-0000-000007000000}"/>
    <cellStyle name="Currency 4" xfId="12" xr:uid="{00000000-0005-0000-0000-000008000000}"/>
    <cellStyle name="Currency 5" xfId="30" xr:uid="{00000000-0005-0000-0000-000009000000}"/>
    <cellStyle name="Currency 6" xfId="42" xr:uid="{00000000-0005-0000-0000-00000A000000}"/>
    <cellStyle name="Currency 6 2" xfId="48" xr:uid="{A1CCFE8C-E850-4CFA-8D34-8A59FB4B5F94}"/>
    <cellStyle name="Normal" xfId="0" builtinId="0"/>
    <cellStyle name="Normal 10" xfId="40" xr:uid="{00000000-0005-0000-0000-00000C000000}"/>
    <cellStyle name="Normal 11" xfId="41" xr:uid="{00000000-0005-0000-0000-00000D000000}"/>
    <cellStyle name="Normal 11 2" xfId="47" xr:uid="{8D189CFF-EA2C-4063-97B9-1644C7A6E63D}"/>
    <cellStyle name="Normal 12" xfId="49" xr:uid="{1E1C2A38-A736-4884-ABC5-50CFE5AFB6C8}"/>
    <cellStyle name="Normal 13" xfId="50" xr:uid="{EC4D200D-F711-48CA-9FC0-722FF0ECDACD}"/>
    <cellStyle name="Normal 2" xfId="2" xr:uid="{00000000-0005-0000-0000-00000E000000}"/>
    <cellStyle name="Normal 2 2" xfId="15" xr:uid="{00000000-0005-0000-0000-00000F000000}"/>
    <cellStyle name="Normal 3" xfId="5" xr:uid="{00000000-0005-0000-0000-000010000000}"/>
    <cellStyle name="Normal 3 2" xfId="20" xr:uid="{00000000-0005-0000-0000-000011000000}"/>
    <cellStyle name="Normal 3 3" xfId="43" xr:uid="{7F4AC9BB-8542-4C2A-B72C-1C95390D13DA}"/>
    <cellStyle name="Normal 4" xfId="7" xr:uid="{00000000-0005-0000-0000-000012000000}"/>
    <cellStyle name="Normal 5" xfId="14" xr:uid="{00000000-0005-0000-0000-000013000000}"/>
    <cellStyle name="Normal 5 2" xfId="19" xr:uid="{00000000-0005-0000-0000-000014000000}"/>
    <cellStyle name="Normal 5 3" xfId="45" xr:uid="{8862D16C-E675-4F45-B73D-AE01DC1D22C1}"/>
    <cellStyle name="Normal 6" xfId="22" xr:uid="{00000000-0005-0000-0000-000015000000}"/>
    <cellStyle name="Normal 7" xfId="25" xr:uid="{00000000-0005-0000-0000-000016000000}"/>
    <cellStyle name="Normal 8" xfId="28" xr:uid="{00000000-0005-0000-0000-000017000000}"/>
    <cellStyle name="Normal 9" xfId="29" xr:uid="{00000000-0005-0000-0000-000018000000}"/>
    <cellStyle name="Normal 9 2" xfId="46" xr:uid="{A9B33362-CCA0-4ACF-B818-5BFDEE51916F}"/>
    <cellStyle name="Normal_DEPN2K" xfId="6" xr:uid="{00000000-0005-0000-0000-000019000000}"/>
    <cellStyle name="Normal_Rosario Meters 2006" xfId="17" xr:uid="{00000000-0005-0000-0000-00001A000000}"/>
    <cellStyle name="Percent" xfId="1" builtinId="5"/>
    <cellStyle name="Percent 2" xfId="10" xr:uid="{00000000-0005-0000-0000-00001C000000}"/>
    <cellStyle name="Percent 2 2" xfId="21" xr:uid="{00000000-0005-0000-0000-00001D000000}"/>
    <cellStyle name="Percent 2 3" xfId="44" xr:uid="{59294340-FB92-4914-B187-45D3E7B4D0B4}"/>
    <cellStyle name="Percent 3" xfId="13" xr:uid="{00000000-0005-0000-0000-00001E000000}"/>
    <cellStyle name="Percent 3 2" xfId="18" xr:uid="{00000000-0005-0000-0000-00001F000000}"/>
    <cellStyle name="Percent 4" xfId="23" xr:uid="{00000000-0005-0000-0000-000020000000}"/>
    <cellStyle name="Percent 5" xfId="26" xr:uid="{00000000-0005-0000-0000-000021000000}"/>
    <cellStyle name="Percent 6" xfId="51" xr:uid="{098C853B-97D9-4B75-A8F8-542DBC091354}"/>
    <cellStyle name="PS_Comma" xfId="31" xr:uid="{00000000-0005-0000-0000-000022000000}"/>
    <cellStyle name="PSChar" xfId="32" xr:uid="{00000000-0005-0000-0000-000023000000}"/>
    <cellStyle name="PSDate" xfId="33" xr:uid="{00000000-0005-0000-0000-000024000000}"/>
    <cellStyle name="PSDec" xfId="34" xr:uid="{00000000-0005-0000-0000-000025000000}"/>
    <cellStyle name="PSHeading" xfId="35" xr:uid="{00000000-0005-0000-0000-000026000000}"/>
    <cellStyle name="PSInt" xfId="36" xr:uid="{00000000-0005-0000-0000-000027000000}"/>
    <cellStyle name="PSSpacer" xfId="37" xr:uid="{00000000-0005-0000-0000-000028000000}"/>
    <cellStyle name="WM_STANDARD" xfId="38" xr:uid="{00000000-0005-0000-0000-000029000000}"/>
    <cellStyle name="WMI_Standard" xfId="39" xr:uid="{00000000-0005-0000-0000-00002A000000}"/>
  </cellStyles>
  <dxfs count="23"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ECAF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" formatCode="#\ ?/?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" formatCode="#\ ?/?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" formatCode="#\ ?/?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" formatCode="#\ ?/?"/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solid">
          <bgColor theme="4"/>
        </patternFill>
      </fill>
    </dxf>
  </dxfs>
  <tableStyles count="0" defaultTableStyle="TableStyleMedium9" defaultPivotStyle="PivotStyleLight16"/>
  <colors>
    <mruColors>
      <color rgb="FFCC99FF"/>
      <color rgb="FFFC8EDF"/>
      <color rgb="FFDBF5E0"/>
      <color rgb="FFFFFF99"/>
      <color rgb="FFFF6600"/>
      <color rgb="FFFFD5DA"/>
      <color rgb="FFFF5757"/>
      <color rgb="FFCCFFFF"/>
      <color rgb="FFF6CACA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ck.weaver\Desktop\Strohs\New%20folder\Strohs%20WP%20Final.xlsx" TargetMode="External"/><Relationship Id="rId1" Type="http://schemas.openxmlformats.org/officeDocument/2006/relationships/externalLinkPath" Target="/Users/skylar/AppData/Local/Microsoft/Windows/INetCache/Content.Outlook/JSRWTPER/Strohs%20WP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S Linksheet"/>
      <sheetName val="IS Linksheet"/>
      <sheetName val="Restatements"/>
      <sheetName val="RA1 - Jobbing"/>
      <sheetName val="RA2 - Bad Debt"/>
      <sheetName val="RA3 - Depr"/>
      <sheetName val="RA4 - GO Plant"/>
      <sheetName val="RA5 - Revenue Adj"/>
      <sheetName val="RA6 - PFAS"/>
      <sheetName val="Pro Forma"/>
      <sheetName val="PF1 - GO Expense"/>
      <sheetName val="PF2 - RCE"/>
      <sheetName val="PF3 - Power"/>
      <sheetName val="Strohs Plant in Service"/>
      <sheetName val="Strohs CIAC"/>
      <sheetName val="GO Plant"/>
      <sheetName val="IS"/>
      <sheetName val="BS"/>
    </sheetNames>
    <sheetDataSet>
      <sheetData sheetId="0"/>
      <sheetData sheetId="1">
        <row r="7">
          <cell r="D7">
            <v>7140.0374999999767</v>
          </cell>
          <cell r="G7">
            <v>0</v>
          </cell>
        </row>
        <row r="8">
          <cell r="D8">
            <v>0</v>
          </cell>
          <cell r="G8">
            <v>0</v>
          </cell>
        </row>
        <row r="9">
          <cell r="D9">
            <v>0</v>
          </cell>
          <cell r="G9">
            <v>0</v>
          </cell>
        </row>
        <row r="10">
          <cell r="D10">
            <v>0</v>
          </cell>
          <cell r="G10">
            <v>0</v>
          </cell>
        </row>
        <row r="11">
          <cell r="D11">
            <v>-14140.9</v>
          </cell>
          <cell r="G11">
            <v>0</v>
          </cell>
        </row>
        <row r="12">
          <cell r="D12">
            <v>0</v>
          </cell>
          <cell r="G12">
            <v>0</v>
          </cell>
        </row>
        <row r="16">
          <cell r="D16">
            <v>0</v>
          </cell>
          <cell r="G16">
            <v>0</v>
          </cell>
        </row>
        <row r="17">
          <cell r="D17">
            <v>0</v>
          </cell>
          <cell r="G17">
            <v>0</v>
          </cell>
        </row>
        <row r="18">
          <cell r="D18">
            <v>0</v>
          </cell>
          <cell r="G18">
            <v>0</v>
          </cell>
        </row>
        <row r="19">
          <cell r="D19">
            <v>0</v>
          </cell>
          <cell r="G19">
            <v>216</v>
          </cell>
        </row>
        <row r="20">
          <cell r="D20">
            <v>-1002.08</v>
          </cell>
          <cell r="G20">
            <v>0</v>
          </cell>
        </row>
        <row r="21">
          <cell r="D21">
            <v>0</v>
          </cell>
          <cell r="G21">
            <v>0</v>
          </cell>
        </row>
        <row r="22">
          <cell r="D22">
            <v>0</v>
          </cell>
          <cell r="G22">
            <v>0</v>
          </cell>
        </row>
        <row r="23">
          <cell r="D23">
            <v>0</v>
          </cell>
          <cell r="G23">
            <v>0</v>
          </cell>
        </row>
        <row r="24">
          <cell r="D24">
            <v>0</v>
          </cell>
          <cell r="G24">
            <v>0</v>
          </cell>
        </row>
        <row r="25">
          <cell r="D25">
            <v>0</v>
          </cell>
          <cell r="G25">
            <v>0</v>
          </cell>
        </row>
        <row r="26">
          <cell r="D26">
            <v>-26466.95</v>
          </cell>
          <cell r="G26">
            <v>0</v>
          </cell>
        </row>
        <row r="27">
          <cell r="D27">
            <v>0</v>
          </cell>
          <cell r="G27">
            <v>0</v>
          </cell>
        </row>
        <row r="28">
          <cell r="D28">
            <v>0</v>
          </cell>
          <cell r="G28">
            <v>0</v>
          </cell>
        </row>
        <row r="29">
          <cell r="D29">
            <v>0</v>
          </cell>
          <cell r="G29">
            <v>0</v>
          </cell>
        </row>
        <row r="30">
          <cell r="D30">
            <v>0</v>
          </cell>
          <cell r="G30">
            <v>0</v>
          </cell>
        </row>
        <row r="31">
          <cell r="D31">
            <v>0</v>
          </cell>
          <cell r="G31">
            <v>22484.333333333332</v>
          </cell>
        </row>
        <row r="32">
          <cell r="D32">
            <v>0</v>
          </cell>
          <cell r="G32">
            <v>0</v>
          </cell>
        </row>
        <row r="33">
          <cell r="D33">
            <v>0</v>
          </cell>
          <cell r="G33">
            <v>0</v>
          </cell>
        </row>
        <row r="34">
          <cell r="D34">
            <v>1564.21315</v>
          </cell>
          <cell r="G34">
            <v>0</v>
          </cell>
        </row>
        <row r="35">
          <cell r="D35">
            <v>0</v>
          </cell>
          <cell r="G35">
            <v>0</v>
          </cell>
        </row>
        <row r="36">
          <cell r="D36">
            <v>7782.3352996387403</v>
          </cell>
          <cell r="G36">
            <v>0</v>
          </cell>
        </row>
        <row r="37">
          <cell r="D37">
            <v>0</v>
          </cell>
          <cell r="G37">
            <v>0</v>
          </cell>
        </row>
        <row r="38">
          <cell r="D38">
            <v>0</v>
          </cell>
          <cell r="G38">
            <v>0</v>
          </cell>
        </row>
        <row r="39">
          <cell r="D39">
            <v>0</v>
          </cell>
          <cell r="G39">
            <v>0</v>
          </cell>
        </row>
        <row r="40">
          <cell r="D40">
            <v>0</v>
          </cell>
          <cell r="G40">
            <v>0</v>
          </cell>
        </row>
        <row r="41">
          <cell r="D41">
            <v>0</v>
          </cell>
          <cell r="G41">
            <v>-17634.961753246782</v>
          </cell>
        </row>
      </sheetData>
      <sheetData sheetId="2">
        <row r="12">
          <cell r="I12">
            <v>7140.0374999999767</v>
          </cell>
        </row>
        <row r="16">
          <cell r="E16">
            <v>-14140.9</v>
          </cell>
        </row>
        <row r="32">
          <cell r="E32">
            <v>-26466.95</v>
          </cell>
        </row>
        <row r="40">
          <cell r="F40">
            <v>1564.21315</v>
          </cell>
        </row>
        <row r="42">
          <cell r="G42">
            <v>-643.07427226591972</v>
          </cell>
          <cell r="H42">
            <v>8425.4095719046618</v>
          </cell>
        </row>
      </sheetData>
      <sheetData sheetId="3"/>
      <sheetData sheetId="4"/>
      <sheetData sheetId="5"/>
      <sheetData sheetId="6">
        <row r="14">
          <cell r="E14">
            <v>39493.013882000036</v>
          </cell>
        </row>
      </sheetData>
      <sheetData sheetId="7"/>
      <sheetData sheetId="8">
        <row r="13">
          <cell r="H13">
            <v>-1002.08</v>
          </cell>
        </row>
      </sheetData>
      <sheetData sheetId="9">
        <row r="25">
          <cell r="G25">
            <v>216</v>
          </cell>
        </row>
        <row r="37">
          <cell r="F37">
            <v>22484.333333333332</v>
          </cell>
        </row>
        <row r="47">
          <cell r="E47">
            <v>-17634.961753246767</v>
          </cell>
        </row>
      </sheetData>
      <sheetData sheetId="10"/>
      <sheetData sheetId="11"/>
      <sheetData sheetId="12"/>
      <sheetData sheetId="13">
        <row r="11">
          <cell r="C11" t="str">
            <v>Plant, Other (40)</v>
          </cell>
          <cell r="D11" t="str">
            <v>Water Sys Plans - Strohs</v>
          </cell>
          <cell r="E11">
            <v>45231</v>
          </cell>
          <cell r="F11">
            <v>393</v>
          </cell>
          <cell r="G11">
            <v>72</v>
          </cell>
          <cell r="H11">
            <v>0</v>
          </cell>
          <cell r="I11">
            <v>0</v>
          </cell>
          <cell r="J11">
            <v>393</v>
          </cell>
        </row>
        <row r="12">
          <cell r="C12" t="str">
            <v>Plant, Other (40)</v>
          </cell>
          <cell r="D12" t="str">
            <v>Water Sys Plans - Strohs</v>
          </cell>
          <cell r="E12">
            <v>45231</v>
          </cell>
          <cell r="F12">
            <v>1259.4000000000001</v>
          </cell>
          <cell r="G12">
            <v>72</v>
          </cell>
          <cell r="H12">
            <v>0</v>
          </cell>
          <cell r="I12">
            <v>0</v>
          </cell>
          <cell r="J12">
            <v>1259.4000000000001</v>
          </cell>
        </row>
        <row r="13">
          <cell r="C13" t="str">
            <v>Plant, Other (40)</v>
          </cell>
          <cell r="D13" t="str">
            <v>Water Sys Plans - Strohs</v>
          </cell>
          <cell r="E13">
            <v>45231</v>
          </cell>
          <cell r="F13">
            <v>15055.88</v>
          </cell>
          <cell r="G13">
            <v>72</v>
          </cell>
          <cell r="H13">
            <v>0</v>
          </cell>
          <cell r="I13">
            <v>0</v>
          </cell>
          <cell r="J13">
            <v>15055.88</v>
          </cell>
        </row>
        <row r="14">
          <cell r="C14" t="str">
            <v>Plant, Other (40)</v>
          </cell>
          <cell r="D14" t="str">
            <v>Water Sys Plans - Strohs</v>
          </cell>
          <cell r="E14">
            <v>45231</v>
          </cell>
          <cell r="F14">
            <v>10503.69</v>
          </cell>
          <cell r="G14">
            <v>72</v>
          </cell>
          <cell r="H14">
            <v>0</v>
          </cell>
          <cell r="I14">
            <v>0</v>
          </cell>
          <cell r="J14">
            <v>10503.69</v>
          </cell>
        </row>
        <row r="15">
          <cell r="C15" t="str">
            <v>Plant, Other (40)</v>
          </cell>
          <cell r="D15" t="str">
            <v>Water Sys Plans - Strohs</v>
          </cell>
          <cell r="E15">
            <v>45231</v>
          </cell>
          <cell r="F15">
            <v>5237.4799999999996</v>
          </cell>
          <cell r="G15">
            <v>72</v>
          </cell>
          <cell r="H15">
            <v>0</v>
          </cell>
          <cell r="I15">
            <v>0</v>
          </cell>
          <cell r="J15">
            <v>5237.4799999999996</v>
          </cell>
        </row>
        <row r="16">
          <cell r="C16" t="str">
            <v>Plant, Other (40)</v>
          </cell>
          <cell r="D16" t="str">
            <v>Water Sys Plans - Strohs</v>
          </cell>
          <cell r="E16">
            <v>45231</v>
          </cell>
          <cell r="F16">
            <v>41185.5</v>
          </cell>
          <cell r="G16">
            <v>88</v>
          </cell>
          <cell r="H16">
            <v>6</v>
          </cell>
          <cell r="I16">
            <v>2808.1022727272725</v>
          </cell>
          <cell r="J16">
            <v>38888.78</v>
          </cell>
        </row>
        <row r="17">
          <cell r="C17" t="str">
            <v>Plant, Other (40)</v>
          </cell>
          <cell r="D17" t="str">
            <v>Water Sys Plans - Strohs</v>
          </cell>
          <cell r="E17">
            <v>45231</v>
          </cell>
          <cell r="F17">
            <v>803.5</v>
          </cell>
          <cell r="G17">
            <v>72</v>
          </cell>
          <cell r="H17">
            <v>0</v>
          </cell>
          <cell r="I17">
            <v>0</v>
          </cell>
          <cell r="J17">
            <v>803.5</v>
          </cell>
        </row>
        <row r="18">
          <cell r="C18" t="str">
            <v>Plant, Other (40)</v>
          </cell>
          <cell r="D18" t="str">
            <v>Water Sys Plans - Strohs</v>
          </cell>
          <cell r="E18">
            <v>45231</v>
          </cell>
          <cell r="F18">
            <v>7521.28</v>
          </cell>
          <cell r="G18">
            <v>72</v>
          </cell>
          <cell r="H18">
            <v>0</v>
          </cell>
          <cell r="I18">
            <v>0</v>
          </cell>
          <cell r="J18">
            <v>7521.28</v>
          </cell>
        </row>
        <row r="19">
          <cell r="C19" t="str">
            <v>Plant, Other (40)</v>
          </cell>
          <cell r="D19" t="str">
            <v>Water Sys Plans - Strohs</v>
          </cell>
          <cell r="E19">
            <v>45231</v>
          </cell>
          <cell r="F19">
            <v>4542.24</v>
          </cell>
          <cell r="G19">
            <v>72</v>
          </cell>
          <cell r="H19">
            <v>0</v>
          </cell>
          <cell r="I19">
            <v>0</v>
          </cell>
          <cell r="J19">
            <v>4542.24</v>
          </cell>
        </row>
        <row r="20">
          <cell r="C20" t="str">
            <v>Plant, Other (40)</v>
          </cell>
          <cell r="D20" t="str">
            <v>Water Sys Plans - Strohs</v>
          </cell>
          <cell r="E20">
            <v>45231</v>
          </cell>
          <cell r="F20">
            <v>6103.76</v>
          </cell>
          <cell r="G20">
            <v>72</v>
          </cell>
          <cell r="H20">
            <v>0</v>
          </cell>
          <cell r="I20">
            <v>0</v>
          </cell>
          <cell r="J20">
            <v>6103.76</v>
          </cell>
        </row>
        <row r="21">
          <cell r="C21" t="str">
            <v>Plant, Other (40)</v>
          </cell>
          <cell r="D21" t="str">
            <v>Water Sys Plans - Strohs</v>
          </cell>
          <cell r="E21">
            <v>45231</v>
          </cell>
          <cell r="F21">
            <v>376.6</v>
          </cell>
          <cell r="G21">
            <v>72</v>
          </cell>
          <cell r="H21">
            <v>55</v>
          </cell>
          <cell r="I21">
            <v>62.766666666666673</v>
          </cell>
          <cell r="J21">
            <v>94.14</v>
          </cell>
        </row>
        <row r="22">
          <cell r="C22" t="str">
            <v>Plant, Other (40)</v>
          </cell>
          <cell r="D22" t="str">
            <v>Water Sys Plans - Strohs</v>
          </cell>
          <cell r="E22">
            <v>45231</v>
          </cell>
          <cell r="F22">
            <v>1206.83</v>
          </cell>
          <cell r="G22">
            <v>72</v>
          </cell>
          <cell r="H22">
            <v>55</v>
          </cell>
          <cell r="I22">
            <v>201.13833333333332</v>
          </cell>
          <cell r="J22">
            <v>301.69</v>
          </cell>
        </row>
        <row r="23">
          <cell r="C23" t="str">
            <v>Plant, Other (40)</v>
          </cell>
          <cell r="D23" t="str">
            <v>Water Sys Plans - Strohs</v>
          </cell>
          <cell r="E23">
            <v>45231</v>
          </cell>
          <cell r="F23">
            <v>14427.43</v>
          </cell>
          <cell r="G23">
            <v>72</v>
          </cell>
          <cell r="H23">
            <v>55</v>
          </cell>
          <cell r="I23">
            <v>2404.5716666666667</v>
          </cell>
          <cell r="J23">
            <v>3606.84</v>
          </cell>
        </row>
        <row r="24">
          <cell r="C24" t="str">
            <v>Plant, Other (40)</v>
          </cell>
          <cell r="D24" t="str">
            <v>Water Sys Plans - Strohs</v>
          </cell>
          <cell r="E24">
            <v>45231</v>
          </cell>
          <cell r="F24">
            <v>10065.25</v>
          </cell>
          <cell r="G24">
            <v>72</v>
          </cell>
          <cell r="H24">
            <v>55</v>
          </cell>
          <cell r="I24">
            <v>1677.5416666666665</v>
          </cell>
          <cell r="J24">
            <v>2516.3200000000002</v>
          </cell>
        </row>
        <row r="25">
          <cell r="C25" t="str">
            <v>Plant, Other (40)</v>
          </cell>
          <cell r="D25" t="str">
            <v>Water Sys Plans - Strohs</v>
          </cell>
          <cell r="E25">
            <v>45231</v>
          </cell>
          <cell r="F25">
            <v>5018.8599999999997</v>
          </cell>
          <cell r="G25">
            <v>72</v>
          </cell>
          <cell r="H25">
            <v>55</v>
          </cell>
          <cell r="I25">
            <v>836.47666666666657</v>
          </cell>
          <cell r="J25">
            <v>1254.76</v>
          </cell>
        </row>
        <row r="26">
          <cell r="C26" t="str">
            <v>Plant, Other (40)</v>
          </cell>
          <cell r="D26" t="str">
            <v>Water Sys Plans - Strohs</v>
          </cell>
          <cell r="E26">
            <v>45231</v>
          </cell>
          <cell r="F26">
            <v>32413.57</v>
          </cell>
          <cell r="G26">
            <v>72</v>
          </cell>
          <cell r="H26">
            <v>55</v>
          </cell>
          <cell r="I26">
            <v>5402.2616666666672</v>
          </cell>
          <cell r="J26">
            <v>8103.41</v>
          </cell>
        </row>
        <row r="27">
          <cell r="C27" t="str">
            <v>Plant, Other (40)</v>
          </cell>
          <cell r="D27" t="str">
            <v>Water Sys Plans - Strohs</v>
          </cell>
          <cell r="E27">
            <v>45231</v>
          </cell>
          <cell r="F27">
            <v>769.96</v>
          </cell>
          <cell r="G27">
            <v>72</v>
          </cell>
          <cell r="H27">
            <v>55</v>
          </cell>
          <cell r="I27">
            <v>128.32666666666665</v>
          </cell>
          <cell r="J27">
            <v>192.44</v>
          </cell>
        </row>
        <row r="28">
          <cell r="C28" t="str">
            <v>Plant, Other (40)</v>
          </cell>
          <cell r="D28" t="str">
            <v>Water Sys Plans - Strohs</v>
          </cell>
          <cell r="E28">
            <v>45231</v>
          </cell>
          <cell r="F28">
            <v>7207.33</v>
          </cell>
          <cell r="G28">
            <v>72</v>
          </cell>
          <cell r="H28">
            <v>55</v>
          </cell>
          <cell r="I28">
            <v>1201.2216666666668</v>
          </cell>
          <cell r="J28">
            <v>1801.81</v>
          </cell>
        </row>
        <row r="29">
          <cell r="C29" t="str">
            <v>Plant, Other (40)</v>
          </cell>
          <cell r="D29" t="str">
            <v>Water Sys Plans - Strohs</v>
          </cell>
          <cell r="E29">
            <v>45231</v>
          </cell>
          <cell r="F29">
            <v>4352.6400000000003</v>
          </cell>
          <cell r="G29">
            <v>72</v>
          </cell>
          <cell r="H29">
            <v>55</v>
          </cell>
          <cell r="I29">
            <v>725.44</v>
          </cell>
          <cell r="J29">
            <v>1088.1199999999999</v>
          </cell>
        </row>
        <row r="30">
          <cell r="C30" t="str">
            <v>Plant, Other (40)</v>
          </cell>
          <cell r="D30" t="str">
            <v>Water Sys Plans - Strohs</v>
          </cell>
          <cell r="E30">
            <v>45231</v>
          </cell>
          <cell r="F30">
            <v>5848.98</v>
          </cell>
          <cell r="G30">
            <v>72</v>
          </cell>
          <cell r="H30">
            <v>55</v>
          </cell>
          <cell r="I30">
            <v>974.82999999999993</v>
          </cell>
          <cell r="J30">
            <v>1462.29</v>
          </cell>
        </row>
        <row r="31">
          <cell r="C31" t="str">
            <v>Tanks and Wells (25)</v>
          </cell>
          <cell r="D31" t="str">
            <v>WELL #2, AEF314 - Strohs (472)</v>
          </cell>
          <cell r="E31">
            <v>45231</v>
          </cell>
          <cell r="F31">
            <v>20139.939999999999</v>
          </cell>
          <cell r="G31">
            <v>300</v>
          </cell>
          <cell r="H31">
            <v>0</v>
          </cell>
          <cell r="I31">
            <v>0</v>
          </cell>
          <cell r="J31">
            <v>20139.939999999999</v>
          </cell>
        </row>
        <row r="32">
          <cell r="C32" t="str">
            <v>Tanks and Wells (25)</v>
          </cell>
          <cell r="D32" t="str">
            <v>WELL #3, AEF315 - Strohs (472)</v>
          </cell>
          <cell r="E32">
            <v>45231</v>
          </cell>
          <cell r="F32">
            <v>20203.27</v>
          </cell>
          <cell r="G32">
            <v>300</v>
          </cell>
          <cell r="H32">
            <v>0</v>
          </cell>
          <cell r="I32">
            <v>0</v>
          </cell>
          <cell r="J32">
            <v>20203.27</v>
          </cell>
        </row>
        <row r="33">
          <cell r="C33" t="str">
            <v>Tanks and Wells (25)</v>
          </cell>
          <cell r="D33" t="str">
            <v>WELL #4, AEF227 - Strohs (472)</v>
          </cell>
          <cell r="E33">
            <v>45231</v>
          </cell>
          <cell r="F33">
            <v>18556.61</v>
          </cell>
          <cell r="G33">
            <v>300</v>
          </cell>
          <cell r="H33">
            <v>0</v>
          </cell>
          <cell r="I33">
            <v>0</v>
          </cell>
          <cell r="J33">
            <v>18556.61</v>
          </cell>
        </row>
        <row r="34">
          <cell r="C34" t="str">
            <v>Tanks and Wells (25)</v>
          </cell>
          <cell r="D34" t="str">
            <v>WELL #5, AEF313 - Strohs (472)</v>
          </cell>
          <cell r="E34">
            <v>45231</v>
          </cell>
          <cell r="F34">
            <v>24256.59</v>
          </cell>
          <cell r="G34">
            <v>300</v>
          </cell>
          <cell r="H34">
            <v>0</v>
          </cell>
          <cell r="I34">
            <v>0</v>
          </cell>
          <cell r="J34">
            <v>24256.59</v>
          </cell>
        </row>
        <row r="35">
          <cell r="C35" t="str">
            <v>Tanks and Wells (25)</v>
          </cell>
          <cell r="D35" t="str">
            <v>WELL #6, AEF316 - Strohs (472)</v>
          </cell>
          <cell r="E35">
            <v>45231</v>
          </cell>
          <cell r="F35">
            <v>20266.599999999999</v>
          </cell>
          <cell r="G35">
            <v>300</v>
          </cell>
          <cell r="H35">
            <v>0</v>
          </cell>
          <cell r="I35">
            <v>0</v>
          </cell>
          <cell r="J35">
            <v>20266.599999999999</v>
          </cell>
        </row>
        <row r="36">
          <cell r="C36" t="str">
            <v>Tanks and Wells (25)</v>
          </cell>
          <cell r="D36" t="str">
            <v>WELL #7, AEF317 - Strohs (075)</v>
          </cell>
          <cell r="E36">
            <v>45231</v>
          </cell>
          <cell r="F36">
            <v>33303.71</v>
          </cell>
          <cell r="G36">
            <v>386</v>
          </cell>
          <cell r="H36">
            <v>76</v>
          </cell>
          <cell r="I36">
            <v>1035.3484974093265</v>
          </cell>
          <cell r="J36">
            <v>26808.29</v>
          </cell>
        </row>
        <row r="37">
          <cell r="C37" t="str">
            <v>Tanks and Wells (25)</v>
          </cell>
          <cell r="D37" t="str">
            <v>KUNTZ WELL #2, AAB135 - Strohs (472</v>
          </cell>
          <cell r="E37">
            <v>45231</v>
          </cell>
          <cell r="F37">
            <v>35614.79</v>
          </cell>
          <cell r="G37">
            <v>403</v>
          </cell>
          <cell r="H37">
            <v>93</v>
          </cell>
          <cell r="I37">
            <v>1060.4900248138958</v>
          </cell>
          <cell r="J37">
            <v>27484.2</v>
          </cell>
        </row>
        <row r="38">
          <cell r="C38" t="str">
            <v>Tanks and Wells (25)</v>
          </cell>
          <cell r="D38" t="str">
            <v>KUNTZ WELL #1, AAD136 - Strohs (472</v>
          </cell>
          <cell r="E38">
            <v>45231</v>
          </cell>
          <cell r="F38">
            <v>9221.57</v>
          </cell>
          <cell r="G38">
            <v>300</v>
          </cell>
          <cell r="H38">
            <v>0</v>
          </cell>
          <cell r="I38">
            <v>0</v>
          </cell>
          <cell r="J38">
            <v>9221.57</v>
          </cell>
        </row>
        <row r="39">
          <cell r="C39" t="str">
            <v>Tanks and Wells (25)</v>
          </cell>
          <cell r="D39" t="str">
            <v>WELL #1, AAE124 - Strohs (075)</v>
          </cell>
          <cell r="E39">
            <v>45231</v>
          </cell>
          <cell r="F39">
            <v>8933.4</v>
          </cell>
          <cell r="G39">
            <v>300</v>
          </cell>
          <cell r="H39">
            <v>0</v>
          </cell>
          <cell r="I39">
            <v>0</v>
          </cell>
          <cell r="J39">
            <v>8933.4</v>
          </cell>
        </row>
        <row r="40">
          <cell r="C40" t="str">
            <v>Tanks and Wells (25)</v>
          </cell>
          <cell r="D40" t="str">
            <v>Montgomery #2 - Strohs (472)</v>
          </cell>
          <cell r="E40">
            <v>45231</v>
          </cell>
          <cell r="F40">
            <v>8272</v>
          </cell>
          <cell r="G40">
            <v>300</v>
          </cell>
          <cell r="H40">
            <v>7</v>
          </cell>
          <cell r="I40">
            <v>193.01333333333335</v>
          </cell>
          <cell r="J40">
            <v>8106.55</v>
          </cell>
        </row>
        <row r="41">
          <cell r="C41" t="str">
            <v>Tanks and Wells (25)</v>
          </cell>
          <cell r="D41" t="str">
            <v>Wells - Strohs (075)</v>
          </cell>
          <cell r="E41">
            <v>45231</v>
          </cell>
          <cell r="F41">
            <v>2533</v>
          </cell>
          <cell r="G41">
            <v>300</v>
          </cell>
          <cell r="H41">
            <v>20</v>
          </cell>
          <cell r="I41">
            <v>101.32</v>
          </cell>
          <cell r="J41">
            <v>2372.5500000000002</v>
          </cell>
        </row>
        <row r="42">
          <cell r="C42" t="str">
            <v>Tanks and Wells (25)</v>
          </cell>
          <cell r="D42" t="str">
            <v>Wells - Strohs (472)</v>
          </cell>
          <cell r="E42">
            <v>45231</v>
          </cell>
          <cell r="F42">
            <v>113</v>
          </cell>
          <cell r="G42">
            <v>300</v>
          </cell>
          <cell r="H42">
            <v>6</v>
          </cell>
          <cell r="I42">
            <v>2.2599999999999998</v>
          </cell>
          <cell r="J42">
            <v>111.13</v>
          </cell>
        </row>
        <row r="43">
          <cell r="C43" t="str">
            <v>Tanks and Wells (25)</v>
          </cell>
          <cell r="D43" t="str">
            <v>Wells - Strohs (472)</v>
          </cell>
          <cell r="E43">
            <v>45231</v>
          </cell>
          <cell r="F43">
            <v>30</v>
          </cell>
          <cell r="G43">
            <v>300</v>
          </cell>
          <cell r="H43">
            <v>87</v>
          </cell>
          <cell r="I43">
            <v>1.2000000000000002</v>
          </cell>
          <cell r="J43">
            <v>21.4</v>
          </cell>
        </row>
        <row r="44">
          <cell r="C44" t="str">
            <v>Tanks and Wells (25)</v>
          </cell>
          <cell r="D44" t="str">
            <v>Wells - Strohs (075)</v>
          </cell>
          <cell r="E44">
            <v>45231</v>
          </cell>
          <cell r="F44">
            <v>364.96</v>
          </cell>
          <cell r="G44">
            <v>300</v>
          </cell>
          <cell r="H44">
            <v>80</v>
          </cell>
          <cell r="I44">
            <v>14.598399999999998</v>
          </cell>
          <cell r="J44">
            <v>268.89999999999998</v>
          </cell>
        </row>
        <row r="45">
          <cell r="C45" t="str">
            <v>Tanks and Wells (25)</v>
          </cell>
          <cell r="D45" t="str">
            <v>Wells - Strohs (472)</v>
          </cell>
          <cell r="E45">
            <v>45231</v>
          </cell>
          <cell r="F45">
            <v>274.36</v>
          </cell>
          <cell r="G45">
            <v>300</v>
          </cell>
          <cell r="H45">
            <v>85</v>
          </cell>
          <cell r="I45">
            <v>10.974400000000001</v>
          </cell>
          <cell r="J45">
            <v>197.5</v>
          </cell>
        </row>
        <row r="46">
          <cell r="C46" t="str">
            <v>Tanks and Wells (25)</v>
          </cell>
          <cell r="D46" t="str">
            <v>Wells - Strohs (075)</v>
          </cell>
          <cell r="E46">
            <v>45231</v>
          </cell>
          <cell r="F46">
            <v>647.5</v>
          </cell>
          <cell r="G46">
            <v>300</v>
          </cell>
          <cell r="H46">
            <v>133</v>
          </cell>
          <cell r="I46">
            <v>25.9</v>
          </cell>
          <cell r="J46">
            <v>362.62</v>
          </cell>
        </row>
        <row r="47">
          <cell r="C47" t="str">
            <v>Tanks and Wells (25)</v>
          </cell>
          <cell r="D47" t="str">
            <v>Wells - Strohs (472)</v>
          </cell>
          <cell r="E47">
            <v>45231</v>
          </cell>
          <cell r="F47">
            <v>5511.48</v>
          </cell>
          <cell r="G47">
            <v>300</v>
          </cell>
          <cell r="H47">
            <v>265</v>
          </cell>
          <cell r="I47">
            <v>220.45919999999995</v>
          </cell>
          <cell r="J47">
            <v>661.36</v>
          </cell>
        </row>
        <row r="48">
          <cell r="C48" t="str">
            <v>Tanks and Wells (25)</v>
          </cell>
          <cell r="D48" t="str">
            <v>WELL #2, AEF314 - Strohs (472)</v>
          </cell>
          <cell r="E48">
            <v>45231</v>
          </cell>
          <cell r="F48">
            <v>19299.27</v>
          </cell>
          <cell r="G48">
            <v>44</v>
          </cell>
          <cell r="H48">
            <v>27</v>
          </cell>
          <cell r="I48">
            <v>5263.437272727273</v>
          </cell>
          <cell r="J48">
            <v>7895.16</v>
          </cell>
        </row>
        <row r="49">
          <cell r="C49" t="str">
            <v>Tanks and Wells (25)</v>
          </cell>
          <cell r="D49" t="str">
            <v>WELL #3, AEF315 - Strohs (472)</v>
          </cell>
          <cell r="E49">
            <v>45231</v>
          </cell>
          <cell r="F49">
            <v>19359.96</v>
          </cell>
          <cell r="G49">
            <v>44</v>
          </cell>
          <cell r="H49">
            <v>27</v>
          </cell>
          <cell r="I49">
            <v>5279.9890909090909</v>
          </cell>
          <cell r="J49">
            <v>7920</v>
          </cell>
        </row>
        <row r="50">
          <cell r="C50" t="str">
            <v>Tanks and Wells (25)</v>
          </cell>
          <cell r="D50" t="str">
            <v>WELL #4, AEF227 - Strohs (472)</v>
          </cell>
          <cell r="E50">
            <v>45231</v>
          </cell>
          <cell r="F50">
            <v>17782.03</v>
          </cell>
          <cell r="G50">
            <v>44</v>
          </cell>
          <cell r="H50">
            <v>27</v>
          </cell>
          <cell r="I50">
            <v>4849.6445454545456</v>
          </cell>
          <cell r="J50">
            <v>7274.51</v>
          </cell>
        </row>
        <row r="51">
          <cell r="C51" t="str">
            <v>Tanks and Wells (25)</v>
          </cell>
          <cell r="D51" t="str">
            <v>WELL #5, AEF313 - Strohs (472)</v>
          </cell>
          <cell r="E51">
            <v>45231</v>
          </cell>
          <cell r="F51">
            <v>23244.09</v>
          </cell>
          <cell r="G51">
            <v>44</v>
          </cell>
          <cell r="H51">
            <v>27</v>
          </cell>
          <cell r="I51">
            <v>6339.2972727272736</v>
          </cell>
          <cell r="J51">
            <v>9508.94</v>
          </cell>
        </row>
        <row r="52">
          <cell r="C52" t="str">
            <v>Tanks and Wells (25)</v>
          </cell>
          <cell r="D52" t="str">
            <v>WELL #6, AEF316 - Strohs (472)</v>
          </cell>
          <cell r="E52">
            <v>45231</v>
          </cell>
          <cell r="F52">
            <v>19420.650000000001</v>
          </cell>
          <cell r="G52">
            <v>44</v>
          </cell>
          <cell r="H52">
            <v>27</v>
          </cell>
          <cell r="I52">
            <v>5296.5409090909097</v>
          </cell>
          <cell r="J52">
            <v>7944.83</v>
          </cell>
        </row>
        <row r="53">
          <cell r="C53" t="str">
            <v>Tanks and Wells (25)</v>
          </cell>
          <cell r="D53" t="str">
            <v>WELL #7, AEF317 - Strohs (075)</v>
          </cell>
          <cell r="E53">
            <v>45231</v>
          </cell>
          <cell r="F53">
            <v>24776.74</v>
          </cell>
          <cell r="G53">
            <v>44</v>
          </cell>
          <cell r="H53">
            <v>27</v>
          </cell>
          <cell r="I53">
            <v>6757.2927272727275</v>
          </cell>
          <cell r="J53">
            <v>10135.969999999999</v>
          </cell>
        </row>
        <row r="54">
          <cell r="C54" t="str">
            <v>Tanks and Wells (25)</v>
          </cell>
          <cell r="D54" t="str">
            <v>KUNTZ WELL #2, AAB135 - Strohs (472</v>
          </cell>
          <cell r="E54">
            <v>45231</v>
          </cell>
          <cell r="F54">
            <v>25405.38</v>
          </cell>
          <cell r="G54">
            <v>44</v>
          </cell>
          <cell r="H54">
            <v>27</v>
          </cell>
          <cell r="I54">
            <v>6928.74</v>
          </cell>
          <cell r="J54">
            <v>10393.11</v>
          </cell>
        </row>
        <row r="55">
          <cell r="C55" t="str">
            <v>Tanks and Wells (25)</v>
          </cell>
          <cell r="D55" t="str">
            <v>KUNTZ WELL #1, AAD136 - Strohs (472</v>
          </cell>
          <cell r="E55">
            <v>45231</v>
          </cell>
          <cell r="F55">
            <v>8836.65</v>
          </cell>
          <cell r="G55">
            <v>44</v>
          </cell>
          <cell r="H55">
            <v>27</v>
          </cell>
          <cell r="I55">
            <v>2409.9954545454543</v>
          </cell>
          <cell r="J55">
            <v>3614.95</v>
          </cell>
        </row>
        <row r="56">
          <cell r="C56" t="str">
            <v>Tanks and Wells (25)</v>
          </cell>
          <cell r="D56" t="str">
            <v>WELL #1, AAE124 - Strohs (075)</v>
          </cell>
          <cell r="E56">
            <v>45231</v>
          </cell>
          <cell r="F56">
            <v>8560.51</v>
          </cell>
          <cell r="G56">
            <v>44</v>
          </cell>
          <cell r="H56">
            <v>27</v>
          </cell>
          <cell r="I56">
            <v>2334.6845454545455</v>
          </cell>
          <cell r="J56">
            <v>3502.07</v>
          </cell>
        </row>
        <row r="57">
          <cell r="C57" t="str">
            <v>Tanks and Wells (25)</v>
          </cell>
          <cell r="D57" t="str">
            <v>Montgomery #2 - Strohs (472)</v>
          </cell>
          <cell r="E57">
            <v>45231</v>
          </cell>
          <cell r="F57">
            <v>7926.72</v>
          </cell>
          <cell r="G57">
            <v>44</v>
          </cell>
          <cell r="H57">
            <v>27</v>
          </cell>
          <cell r="I57">
            <v>2161.8327272727274</v>
          </cell>
          <cell r="J57">
            <v>3242.71</v>
          </cell>
        </row>
        <row r="58">
          <cell r="C58" t="str">
            <v>Tanks and Wells (25)</v>
          </cell>
          <cell r="D58" t="str">
            <v>Wells - Strohs (075)</v>
          </cell>
          <cell r="E58">
            <v>45231</v>
          </cell>
          <cell r="F58">
            <v>2427.27</v>
          </cell>
          <cell r="G58">
            <v>44</v>
          </cell>
          <cell r="H58">
            <v>27</v>
          </cell>
          <cell r="I58">
            <v>661.98272727272729</v>
          </cell>
          <cell r="J58">
            <v>992.98</v>
          </cell>
        </row>
        <row r="59">
          <cell r="C59" t="str">
            <v>Tanks and Wells (25)</v>
          </cell>
          <cell r="D59" t="str">
            <v>Wells - Strohs (472)</v>
          </cell>
          <cell r="E59">
            <v>45231</v>
          </cell>
          <cell r="F59">
            <v>108.28</v>
          </cell>
          <cell r="G59">
            <v>44</v>
          </cell>
          <cell r="H59">
            <v>27</v>
          </cell>
          <cell r="I59">
            <v>29.530909090909091</v>
          </cell>
          <cell r="J59">
            <v>44.28</v>
          </cell>
        </row>
        <row r="60">
          <cell r="C60" t="str">
            <v>Tanks and Wells (25)</v>
          </cell>
          <cell r="D60" t="str">
            <v>Wells - Strohs (472)</v>
          </cell>
          <cell r="E60">
            <v>45231</v>
          </cell>
          <cell r="F60">
            <v>28.75</v>
          </cell>
          <cell r="G60">
            <v>44</v>
          </cell>
          <cell r="H60">
            <v>27</v>
          </cell>
          <cell r="I60">
            <v>7.8409090909090917</v>
          </cell>
          <cell r="J60">
            <v>11.72</v>
          </cell>
        </row>
        <row r="61">
          <cell r="C61" t="str">
            <v>Tanks and Wells (25)</v>
          </cell>
          <cell r="D61" t="str">
            <v>Wells - Strohs (075)</v>
          </cell>
          <cell r="E61">
            <v>45231</v>
          </cell>
          <cell r="F61">
            <v>349.73</v>
          </cell>
          <cell r="G61">
            <v>44</v>
          </cell>
          <cell r="H61">
            <v>27</v>
          </cell>
          <cell r="I61">
            <v>95.3809090909091</v>
          </cell>
          <cell r="J61">
            <v>143.09</v>
          </cell>
        </row>
        <row r="62">
          <cell r="C62" t="str">
            <v>Tanks and Wells (25)</v>
          </cell>
          <cell r="D62" t="str">
            <v>Wells - Strohs (472)</v>
          </cell>
          <cell r="E62">
            <v>45231</v>
          </cell>
          <cell r="F62">
            <v>262.91000000000003</v>
          </cell>
          <cell r="G62">
            <v>44</v>
          </cell>
          <cell r="H62">
            <v>27</v>
          </cell>
          <cell r="I62">
            <v>71.702727272727273</v>
          </cell>
          <cell r="J62">
            <v>107.56</v>
          </cell>
        </row>
        <row r="63">
          <cell r="C63" t="str">
            <v>Tanks and Wells (25)</v>
          </cell>
          <cell r="D63" t="str">
            <v>Wells - Strohs (075)</v>
          </cell>
          <cell r="E63">
            <v>45231</v>
          </cell>
          <cell r="F63">
            <v>620.47</v>
          </cell>
          <cell r="G63">
            <v>44</v>
          </cell>
          <cell r="H63">
            <v>27</v>
          </cell>
          <cell r="I63">
            <v>169.21909090909091</v>
          </cell>
          <cell r="J63">
            <v>253.81</v>
          </cell>
        </row>
        <row r="64">
          <cell r="C64" t="str">
            <v>Tanks and Wells (25)</v>
          </cell>
          <cell r="D64" t="str">
            <v>Wells - Strohs (472)</v>
          </cell>
          <cell r="E64">
            <v>45231</v>
          </cell>
          <cell r="F64">
            <v>5281.42</v>
          </cell>
          <cell r="G64">
            <v>44</v>
          </cell>
          <cell r="H64">
            <v>27</v>
          </cell>
          <cell r="I64">
            <v>1440.3872727272728</v>
          </cell>
          <cell r="J64">
            <v>2160.5500000000002</v>
          </cell>
        </row>
        <row r="65">
          <cell r="C65" t="str">
            <v>Mains, Tanks and Reservoirs (50)</v>
          </cell>
          <cell r="D65" t="str">
            <v>Mains, Valves - Strohs, Peacock Rlt</v>
          </cell>
          <cell r="E65">
            <v>45231</v>
          </cell>
          <cell r="F65">
            <v>6200</v>
          </cell>
          <cell r="G65">
            <v>600</v>
          </cell>
          <cell r="H65">
            <v>211</v>
          </cell>
          <cell r="I65">
            <v>124</v>
          </cell>
          <cell r="J65">
            <v>4029.96</v>
          </cell>
        </row>
        <row r="66">
          <cell r="C66" t="str">
            <v>Mains, Tanks and Reservoirs (50)</v>
          </cell>
          <cell r="D66" t="str">
            <v>Main Ext - Strohs, 43d Av - 56th St</v>
          </cell>
          <cell r="E66">
            <v>45231</v>
          </cell>
          <cell r="F66">
            <v>54870.71</v>
          </cell>
          <cell r="G66">
            <v>600</v>
          </cell>
          <cell r="H66">
            <v>211</v>
          </cell>
          <cell r="I66">
            <v>1097.4141999999999</v>
          </cell>
          <cell r="J66">
            <v>35665.96</v>
          </cell>
        </row>
        <row r="67">
          <cell r="C67" t="str">
            <v>Mains, Tanks and Reservoirs (50)</v>
          </cell>
          <cell r="D67" t="str">
            <v>Main Ext - Strohs, 38th to 42d (075</v>
          </cell>
          <cell r="E67">
            <v>45231</v>
          </cell>
          <cell r="F67">
            <v>46465</v>
          </cell>
          <cell r="G67">
            <v>600</v>
          </cell>
          <cell r="H67">
            <v>211</v>
          </cell>
          <cell r="I67">
            <v>929.3</v>
          </cell>
          <cell r="J67">
            <v>30202.23</v>
          </cell>
        </row>
        <row r="68">
          <cell r="C68" t="str">
            <v>Mains, Tanks and Reservoirs (50)</v>
          </cell>
          <cell r="D68" t="str">
            <v>Main Ext - Strohs, 38th Av (472)</v>
          </cell>
          <cell r="E68">
            <v>45231</v>
          </cell>
          <cell r="F68">
            <v>24505</v>
          </cell>
          <cell r="G68">
            <v>600</v>
          </cell>
          <cell r="H68">
            <v>211</v>
          </cell>
          <cell r="I68">
            <v>490.1</v>
          </cell>
          <cell r="J68">
            <v>15928.23</v>
          </cell>
        </row>
        <row r="69">
          <cell r="C69" t="str">
            <v>Mains, Tanks and Reservoirs (50)</v>
          </cell>
          <cell r="D69" t="str">
            <v>Mains, misc sizes- Strohs (075)</v>
          </cell>
          <cell r="E69">
            <v>45231</v>
          </cell>
          <cell r="F69">
            <v>54687.82</v>
          </cell>
          <cell r="G69">
            <v>600</v>
          </cell>
          <cell r="H69">
            <v>211</v>
          </cell>
          <cell r="I69">
            <v>1093.7564</v>
          </cell>
          <cell r="J69">
            <v>35547.11</v>
          </cell>
        </row>
        <row r="70">
          <cell r="C70" t="str">
            <v>Mains, Tanks and Reservoirs (50)</v>
          </cell>
          <cell r="D70" t="str">
            <v>Mains, misc sizes- Strohs (472)</v>
          </cell>
          <cell r="E70">
            <v>45231</v>
          </cell>
          <cell r="F70">
            <v>176446.25</v>
          </cell>
          <cell r="G70">
            <v>600</v>
          </cell>
          <cell r="H70">
            <v>211</v>
          </cell>
          <cell r="I70">
            <v>3528.9250000000002</v>
          </cell>
          <cell r="J70">
            <v>91561.86</v>
          </cell>
        </row>
        <row r="71">
          <cell r="C71" t="str">
            <v>Mains, Tanks and Reservoirs (50)</v>
          </cell>
          <cell r="D71" t="str">
            <v>Mains (CIAC) - Strohs</v>
          </cell>
          <cell r="E71">
            <v>45231</v>
          </cell>
          <cell r="F71">
            <v>30336.63</v>
          </cell>
          <cell r="G71">
            <v>600</v>
          </cell>
          <cell r="H71">
            <v>286</v>
          </cell>
          <cell r="I71">
            <v>606.73260000000005</v>
          </cell>
          <cell r="J71">
            <v>15926.73</v>
          </cell>
        </row>
        <row r="72">
          <cell r="C72" t="str">
            <v>Mains, Tanks and Reservoirs (50)</v>
          </cell>
          <cell r="D72" t="str">
            <v>Mains - Strohs (472)</v>
          </cell>
          <cell r="E72">
            <v>45231</v>
          </cell>
          <cell r="F72">
            <v>64957</v>
          </cell>
          <cell r="G72">
            <v>600</v>
          </cell>
          <cell r="H72">
            <v>307</v>
          </cell>
          <cell r="I72">
            <v>1299.1400000000001</v>
          </cell>
          <cell r="J72">
            <v>31828.91</v>
          </cell>
        </row>
        <row r="73">
          <cell r="C73" t="str">
            <v>Mains, Tanks and Reservoirs (50)</v>
          </cell>
          <cell r="D73" t="str">
            <v>Mains - Strohs (472)</v>
          </cell>
          <cell r="E73">
            <v>45231</v>
          </cell>
          <cell r="F73">
            <v>1488</v>
          </cell>
          <cell r="G73">
            <v>600</v>
          </cell>
          <cell r="H73">
            <v>329</v>
          </cell>
          <cell r="I73">
            <v>29.759999999999998</v>
          </cell>
          <cell r="J73">
            <v>674.56</v>
          </cell>
        </row>
        <row r="74">
          <cell r="C74" t="str">
            <v>Mains, Tanks and Reservoirs (50)</v>
          </cell>
          <cell r="D74" t="str">
            <v>Mains - Strohs (075)</v>
          </cell>
          <cell r="E74">
            <v>45231</v>
          </cell>
          <cell r="F74">
            <v>187</v>
          </cell>
          <cell r="G74">
            <v>600</v>
          </cell>
          <cell r="H74">
            <v>295</v>
          </cell>
          <cell r="I74">
            <v>3.7399999999999998</v>
          </cell>
          <cell r="J74">
            <v>95.35</v>
          </cell>
        </row>
        <row r="75">
          <cell r="C75" t="str">
            <v>Mains, Tanks and Reservoirs (50)</v>
          </cell>
          <cell r="D75" t="str">
            <v>Mains - Strohs, Wollochet Shores (0</v>
          </cell>
          <cell r="E75">
            <v>45231</v>
          </cell>
          <cell r="F75">
            <v>21506.54</v>
          </cell>
          <cell r="G75">
            <v>360</v>
          </cell>
          <cell r="H75">
            <v>103</v>
          </cell>
          <cell r="I75">
            <v>716.8846666666667</v>
          </cell>
          <cell r="J75">
            <v>15413.02</v>
          </cell>
        </row>
        <row r="76">
          <cell r="C76" t="str">
            <v>Mains, Tanks and Reservoirs (50)</v>
          </cell>
          <cell r="D76" t="str">
            <v>Mains - Strohs (075)</v>
          </cell>
          <cell r="E76">
            <v>45231</v>
          </cell>
          <cell r="F76">
            <v>916.96</v>
          </cell>
          <cell r="G76">
            <v>360</v>
          </cell>
          <cell r="H76">
            <v>100</v>
          </cell>
          <cell r="I76">
            <v>30.565333333333335</v>
          </cell>
          <cell r="J76">
            <v>664.83</v>
          </cell>
        </row>
        <row r="77">
          <cell r="C77" t="str">
            <v>Mains, Tanks and Reservoirs (50)</v>
          </cell>
          <cell r="D77" t="str">
            <v>Mains - Strohs (472)</v>
          </cell>
          <cell r="E77">
            <v>45231</v>
          </cell>
          <cell r="F77">
            <v>1296</v>
          </cell>
          <cell r="G77">
            <v>600</v>
          </cell>
          <cell r="H77">
            <v>348</v>
          </cell>
          <cell r="I77">
            <v>25.92</v>
          </cell>
          <cell r="J77">
            <v>546.48</v>
          </cell>
        </row>
        <row r="78">
          <cell r="C78" t="str">
            <v>Mains, Tanks and Reservoirs (50)</v>
          </cell>
          <cell r="D78" t="str">
            <v>Mains - Strohs (472)</v>
          </cell>
          <cell r="E78">
            <v>45231</v>
          </cell>
          <cell r="F78">
            <v>14384</v>
          </cell>
          <cell r="G78">
            <v>360</v>
          </cell>
          <cell r="H78">
            <v>121</v>
          </cell>
          <cell r="I78">
            <v>479.4666666666667</v>
          </cell>
          <cell r="J78">
            <v>9589.39</v>
          </cell>
        </row>
        <row r="79">
          <cell r="C79" t="str">
            <v>Mains, Tanks and Reservoirs (50)</v>
          </cell>
          <cell r="D79" t="str">
            <v>Mains - Strohs (075)</v>
          </cell>
          <cell r="E79">
            <v>45231</v>
          </cell>
          <cell r="F79">
            <v>8988.2999999999993</v>
          </cell>
          <cell r="G79">
            <v>360</v>
          </cell>
          <cell r="H79">
            <v>121</v>
          </cell>
          <cell r="I79">
            <v>299.60999999999996</v>
          </cell>
          <cell r="J79">
            <v>5992.23</v>
          </cell>
        </row>
        <row r="80">
          <cell r="C80" t="str">
            <v>Mains, Tanks and Reservoirs (50)</v>
          </cell>
          <cell r="D80" t="str">
            <v>Mains - Strohs (075)</v>
          </cell>
          <cell r="E80">
            <v>45231</v>
          </cell>
          <cell r="F80">
            <v>7495.5</v>
          </cell>
          <cell r="G80">
            <v>360</v>
          </cell>
          <cell r="H80">
            <v>121</v>
          </cell>
          <cell r="I80">
            <v>249.85</v>
          </cell>
          <cell r="J80">
            <v>4996.99</v>
          </cell>
        </row>
        <row r="81">
          <cell r="C81" t="str">
            <v>Mains, Tanks and Reservoirs (50)</v>
          </cell>
          <cell r="D81" t="str">
            <v>Mains (CIAC) - Strohs (472)</v>
          </cell>
          <cell r="E81">
            <v>45231</v>
          </cell>
          <cell r="F81">
            <v>9668.9699999999993</v>
          </cell>
          <cell r="G81">
            <v>360</v>
          </cell>
          <cell r="H81">
            <v>145</v>
          </cell>
          <cell r="I81">
            <v>322.29899999999998</v>
          </cell>
          <cell r="J81">
            <v>5801.4</v>
          </cell>
        </row>
        <row r="82">
          <cell r="C82" t="str">
            <v>Mains, Tanks and Reservoirs (50)</v>
          </cell>
          <cell r="D82" t="str">
            <v>Mains - Strohs (075)</v>
          </cell>
          <cell r="E82">
            <v>45231</v>
          </cell>
          <cell r="F82">
            <v>721.6</v>
          </cell>
          <cell r="G82">
            <v>360</v>
          </cell>
          <cell r="H82">
            <v>145</v>
          </cell>
          <cell r="I82">
            <v>24.053333333333335</v>
          </cell>
          <cell r="J82">
            <v>432.9</v>
          </cell>
        </row>
        <row r="83">
          <cell r="C83" t="str">
            <v>Mains, Tanks and Reservoirs (50)</v>
          </cell>
          <cell r="D83" t="str">
            <v>Mains - Strohs (472)</v>
          </cell>
          <cell r="E83">
            <v>45231</v>
          </cell>
          <cell r="F83">
            <v>14582.24</v>
          </cell>
          <cell r="G83">
            <v>360</v>
          </cell>
          <cell r="H83">
            <v>155</v>
          </cell>
          <cell r="I83">
            <v>486.07466666666664</v>
          </cell>
          <cell r="J83">
            <v>8344.33</v>
          </cell>
        </row>
        <row r="84">
          <cell r="C84" t="str">
            <v>Mains, Tanks and Reservoirs (50)</v>
          </cell>
          <cell r="D84" t="str">
            <v>Mains (CIAC) - Strohs (472)</v>
          </cell>
          <cell r="E84">
            <v>45231</v>
          </cell>
          <cell r="F84">
            <v>287107.02</v>
          </cell>
          <cell r="G84">
            <v>360</v>
          </cell>
          <cell r="H84">
            <v>157</v>
          </cell>
          <cell r="I84">
            <v>9570.2340000000004</v>
          </cell>
          <cell r="J84">
            <v>133864.32000000001</v>
          </cell>
        </row>
        <row r="85">
          <cell r="C85" t="str">
            <v>Mains, Tanks and Reservoirs (50)</v>
          </cell>
          <cell r="D85" t="str">
            <v>Mains (CIAC) - Strohs (075)</v>
          </cell>
          <cell r="E85">
            <v>45231</v>
          </cell>
          <cell r="F85">
            <v>12291.55</v>
          </cell>
          <cell r="G85">
            <v>360</v>
          </cell>
          <cell r="H85">
            <v>157</v>
          </cell>
          <cell r="I85">
            <v>409.71833333333325</v>
          </cell>
          <cell r="J85">
            <v>6965.17</v>
          </cell>
        </row>
        <row r="86">
          <cell r="C86" t="str">
            <v>Mains, Tanks and Reservoirs (50)</v>
          </cell>
          <cell r="D86" t="str">
            <v>Mains - Strohs (472)</v>
          </cell>
          <cell r="E86">
            <v>45231</v>
          </cell>
          <cell r="F86">
            <v>16854.740000000002</v>
          </cell>
          <cell r="G86">
            <v>360</v>
          </cell>
          <cell r="H86">
            <v>169</v>
          </cell>
          <cell r="I86">
            <v>561.82466666666676</v>
          </cell>
          <cell r="J86">
            <v>8989.2099999999991</v>
          </cell>
        </row>
        <row r="87">
          <cell r="C87" t="str">
            <v>Mains, Tanks and Reservoirs (50)</v>
          </cell>
          <cell r="D87" t="str">
            <v>Mains (CIAC) - Strohs (075)</v>
          </cell>
          <cell r="E87">
            <v>45231</v>
          </cell>
          <cell r="F87">
            <v>6653</v>
          </cell>
          <cell r="G87">
            <v>360</v>
          </cell>
          <cell r="H87">
            <v>181</v>
          </cell>
          <cell r="I87">
            <v>221.76666666666665</v>
          </cell>
          <cell r="J87">
            <v>3326.49</v>
          </cell>
        </row>
        <row r="88">
          <cell r="C88" t="str">
            <v>Mains, Tanks and Reservoirs (50)</v>
          </cell>
          <cell r="D88" t="str">
            <v>Mains - Strohs (472)</v>
          </cell>
          <cell r="E88">
            <v>45231</v>
          </cell>
          <cell r="F88">
            <v>3695</v>
          </cell>
          <cell r="G88">
            <v>360</v>
          </cell>
          <cell r="H88">
            <v>193</v>
          </cell>
          <cell r="I88">
            <v>123.16666666666667</v>
          </cell>
          <cell r="J88">
            <v>1724.28</v>
          </cell>
        </row>
        <row r="89">
          <cell r="C89" t="str">
            <v>Mains, Tanks and Reservoirs (50)</v>
          </cell>
          <cell r="D89" t="str">
            <v>Mains (CIAC) - Strohs (075)</v>
          </cell>
          <cell r="E89">
            <v>45231</v>
          </cell>
          <cell r="F89">
            <v>209</v>
          </cell>
          <cell r="G89">
            <v>360</v>
          </cell>
          <cell r="H89">
            <v>193</v>
          </cell>
          <cell r="I89">
            <v>6.9666666666666668</v>
          </cell>
          <cell r="J89">
            <v>97.53</v>
          </cell>
        </row>
        <row r="90">
          <cell r="C90" t="str">
            <v>Mains, Tanks and Reservoirs (50)</v>
          </cell>
          <cell r="D90" t="str">
            <v>Mains - Strohs (075)</v>
          </cell>
          <cell r="E90">
            <v>45231</v>
          </cell>
          <cell r="F90">
            <v>7300.44</v>
          </cell>
          <cell r="G90">
            <v>360</v>
          </cell>
          <cell r="H90">
            <v>193</v>
          </cell>
          <cell r="I90">
            <v>243.34800000000001</v>
          </cell>
          <cell r="J90">
            <v>3406.89</v>
          </cell>
        </row>
        <row r="91">
          <cell r="C91" t="str">
            <v>Mains, Tanks and Reservoirs (50)</v>
          </cell>
          <cell r="D91" t="str">
            <v>Mains - Strohs (472)</v>
          </cell>
          <cell r="E91">
            <v>45231</v>
          </cell>
          <cell r="F91">
            <v>46245.58</v>
          </cell>
          <cell r="G91">
            <v>360</v>
          </cell>
          <cell r="H91">
            <v>205</v>
          </cell>
          <cell r="I91">
            <v>1541.5193333333336</v>
          </cell>
          <cell r="J91">
            <v>20039.75</v>
          </cell>
        </row>
        <row r="92">
          <cell r="C92" t="str">
            <v>Mains, Tanks and Reservoirs (50)</v>
          </cell>
          <cell r="D92" t="str">
            <v>Mains (CIAC) - Strohs (472)</v>
          </cell>
          <cell r="E92">
            <v>45231</v>
          </cell>
          <cell r="F92">
            <v>4447.8100000000004</v>
          </cell>
          <cell r="G92">
            <v>360</v>
          </cell>
          <cell r="H92">
            <v>157</v>
          </cell>
          <cell r="I92">
            <v>148.26033333333336</v>
          </cell>
          <cell r="J92">
            <v>2520.4299999999998</v>
          </cell>
        </row>
        <row r="93">
          <cell r="C93" t="str">
            <v>Mains, Tanks and Reservoirs (50)</v>
          </cell>
          <cell r="D93" t="str">
            <v>PR Station (CIAC) - Strohs (472)</v>
          </cell>
          <cell r="E93">
            <v>45231</v>
          </cell>
          <cell r="F93">
            <v>18990</v>
          </cell>
          <cell r="G93">
            <v>360</v>
          </cell>
          <cell r="H93">
            <v>133</v>
          </cell>
          <cell r="I93">
            <v>633</v>
          </cell>
          <cell r="J93">
            <v>12027</v>
          </cell>
        </row>
        <row r="94">
          <cell r="C94" t="str">
            <v>Mains, Tanks and Reservoirs (50)</v>
          </cell>
          <cell r="D94" t="str">
            <v>PR Valve Gust - Fillmore - Strohs</v>
          </cell>
          <cell r="E94">
            <v>45231</v>
          </cell>
          <cell r="F94">
            <v>2444.19</v>
          </cell>
          <cell r="G94">
            <v>360</v>
          </cell>
          <cell r="H94">
            <v>241</v>
          </cell>
          <cell r="I94">
            <v>81.472999999999999</v>
          </cell>
          <cell r="J94">
            <v>814.74</v>
          </cell>
        </row>
        <row r="95">
          <cell r="C95" t="str">
            <v>Mains, Tanks and Reservoirs (50)</v>
          </cell>
          <cell r="D95" t="str">
            <v>Mains - Strohs (472)</v>
          </cell>
          <cell r="E95">
            <v>45231</v>
          </cell>
          <cell r="F95">
            <v>33655.230000000003</v>
          </cell>
          <cell r="G95">
            <v>360</v>
          </cell>
          <cell r="H95">
            <v>301</v>
          </cell>
          <cell r="I95">
            <v>1121.8410000000001</v>
          </cell>
          <cell r="J95">
            <v>5609.25</v>
          </cell>
        </row>
        <row r="96">
          <cell r="C96" t="str">
            <v>Mains, Tanks and Reservoirs (50)</v>
          </cell>
          <cell r="D96" t="str">
            <v>Mains, Valves - Strohs, Peacock Rlt</v>
          </cell>
          <cell r="E96">
            <v>45231</v>
          </cell>
          <cell r="F96">
            <v>5941.2</v>
          </cell>
          <cell r="G96">
            <v>234</v>
          </cell>
          <cell r="H96">
            <v>217</v>
          </cell>
          <cell r="I96">
            <v>304.67692307692306</v>
          </cell>
          <cell r="J96">
            <v>457.02</v>
          </cell>
        </row>
        <row r="97">
          <cell r="C97" t="str">
            <v>Mains, Tanks and Reservoirs (50)</v>
          </cell>
          <cell r="D97" t="str">
            <v>Main Ext - Strohs, 43d Av - 56th St</v>
          </cell>
          <cell r="E97">
            <v>45231</v>
          </cell>
          <cell r="F97">
            <v>52580.34</v>
          </cell>
          <cell r="G97">
            <v>234</v>
          </cell>
          <cell r="H97">
            <v>217</v>
          </cell>
          <cell r="I97">
            <v>2696.4276923076923</v>
          </cell>
          <cell r="J97">
            <v>4044.61</v>
          </cell>
        </row>
        <row r="98">
          <cell r="C98" t="str">
            <v>Mains, Tanks and Reservoirs (50)</v>
          </cell>
          <cell r="D98" t="str">
            <v>Main Ext - Strohs, 38th to 42d (075</v>
          </cell>
          <cell r="E98">
            <v>45231</v>
          </cell>
          <cell r="F98">
            <v>44525.49</v>
          </cell>
          <cell r="G98">
            <v>234</v>
          </cell>
          <cell r="H98">
            <v>217</v>
          </cell>
          <cell r="I98">
            <v>2283.3584615384616</v>
          </cell>
          <cell r="J98">
            <v>3425.04</v>
          </cell>
        </row>
        <row r="99">
          <cell r="C99" t="str">
            <v>Mains, Tanks and Reservoirs (50)</v>
          </cell>
          <cell r="D99" t="str">
            <v>Main Ext - Strohs, 38th Av (472)</v>
          </cell>
          <cell r="E99">
            <v>45231</v>
          </cell>
          <cell r="F99">
            <v>23482.13</v>
          </cell>
          <cell r="G99">
            <v>234</v>
          </cell>
          <cell r="H99">
            <v>217</v>
          </cell>
          <cell r="I99">
            <v>1204.2117948717951</v>
          </cell>
          <cell r="J99">
            <v>1806.3</v>
          </cell>
        </row>
        <row r="100">
          <cell r="C100" t="str">
            <v>Mains, Tanks and Reservoirs (50)</v>
          </cell>
          <cell r="D100" t="str">
            <v>Mains, misc sizes- Strohs (075)</v>
          </cell>
          <cell r="E100">
            <v>45231</v>
          </cell>
          <cell r="F100">
            <v>52405.08</v>
          </cell>
          <cell r="G100">
            <v>234</v>
          </cell>
          <cell r="H100">
            <v>217</v>
          </cell>
          <cell r="I100">
            <v>2687.44</v>
          </cell>
          <cell r="J100">
            <v>4031.16</v>
          </cell>
        </row>
        <row r="101">
          <cell r="C101" t="str">
            <v>Mains, Tanks and Reservoirs (50)</v>
          </cell>
          <cell r="D101" t="str">
            <v>Mains, misc sizes- Strohs (472)</v>
          </cell>
          <cell r="E101">
            <v>45231</v>
          </cell>
          <cell r="F101">
            <v>131891.91</v>
          </cell>
          <cell r="G101">
            <v>234</v>
          </cell>
          <cell r="H101">
            <v>217</v>
          </cell>
          <cell r="I101">
            <v>6763.6876923076925</v>
          </cell>
          <cell r="J101">
            <v>10145.52</v>
          </cell>
        </row>
        <row r="102">
          <cell r="C102" t="str">
            <v>Mains, Tanks and Reservoirs (50)</v>
          </cell>
          <cell r="D102" t="str">
            <v>Mains (CIAC) - Strohs</v>
          </cell>
          <cell r="E102">
            <v>45231</v>
          </cell>
          <cell r="F102">
            <v>29070.34</v>
          </cell>
          <cell r="G102">
            <v>234</v>
          </cell>
          <cell r="H102">
            <v>217</v>
          </cell>
          <cell r="I102">
            <v>1490.7866666666666</v>
          </cell>
          <cell r="J102">
            <v>2236.17</v>
          </cell>
        </row>
        <row r="103">
          <cell r="C103" t="str">
            <v>Mains, Tanks and Reservoirs (50)</v>
          </cell>
          <cell r="D103" t="str">
            <v>Mains - Strohs (472)</v>
          </cell>
          <cell r="E103">
            <v>45231</v>
          </cell>
          <cell r="F103">
            <v>62245.62</v>
          </cell>
          <cell r="G103">
            <v>234</v>
          </cell>
          <cell r="H103">
            <v>217</v>
          </cell>
          <cell r="I103">
            <v>3192.083076923077</v>
          </cell>
          <cell r="J103">
            <v>4788.16</v>
          </cell>
        </row>
        <row r="104">
          <cell r="C104" t="str">
            <v>Mains, Tanks and Reservoirs (50)</v>
          </cell>
          <cell r="D104" t="str">
            <v>Mains - Strohs (472)</v>
          </cell>
          <cell r="E104">
            <v>45231</v>
          </cell>
          <cell r="F104">
            <v>1425.89</v>
          </cell>
          <cell r="G104">
            <v>234</v>
          </cell>
          <cell r="H104">
            <v>217</v>
          </cell>
          <cell r="I104">
            <v>73.122564102564112</v>
          </cell>
          <cell r="J104">
            <v>109.64</v>
          </cell>
        </row>
        <row r="105">
          <cell r="C105" t="str">
            <v>Mains, Tanks and Reservoirs (50)</v>
          </cell>
          <cell r="D105" t="str">
            <v>Mains - Strohs (075)</v>
          </cell>
          <cell r="E105">
            <v>45231</v>
          </cell>
          <cell r="F105">
            <v>179.19</v>
          </cell>
          <cell r="G105">
            <v>234</v>
          </cell>
          <cell r="H105">
            <v>217</v>
          </cell>
          <cell r="I105">
            <v>9.1892307692307682</v>
          </cell>
          <cell r="J105">
            <v>13.84</v>
          </cell>
        </row>
        <row r="106">
          <cell r="C106" t="str">
            <v>Mains, Tanks and Reservoirs (50)</v>
          </cell>
          <cell r="D106" t="str">
            <v>Mains - Strohs, Wollochet Shores (0</v>
          </cell>
          <cell r="E106">
            <v>45231</v>
          </cell>
          <cell r="F106">
            <v>20608.830000000002</v>
          </cell>
          <cell r="G106">
            <v>234</v>
          </cell>
          <cell r="H106">
            <v>217</v>
          </cell>
          <cell r="I106">
            <v>1056.863076923077</v>
          </cell>
          <cell r="J106">
            <v>1585.27</v>
          </cell>
        </row>
        <row r="107">
          <cell r="C107" t="str">
            <v>Mains, Tanks and Reservoirs (50)</v>
          </cell>
          <cell r="D107" t="str">
            <v>Mains - Strohs (075)</v>
          </cell>
          <cell r="E107">
            <v>45231</v>
          </cell>
          <cell r="F107">
            <v>878.68</v>
          </cell>
          <cell r="G107">
            <v>234</v>
          </cell>
          <cell r="H107">
            <v>217</v>
          </cell>
          <cell r="I107">
            <v>45.060512820512812</v>
          </cell>
          <cell r="J107">
            <v>67.599999999999994</v>
          </cell>
        </row>
        <row r="108">
          <cell r="C108" t="str">
            <v>Mains, Tanks and Reservoirs (50)</v>
          </cell>
          <cell r="D108" t="str">
            <v>Mains - Strohs (472)</v>
          </cell>
          <cell r="E108">
            <v>45231</v>
          </cell>
          <cell r="F108">
            <v>1241.9000000000001</v>
          </cell>
          <cell r="G108">
            <v>234</v>
          </cell>
          <cell r="H108">
            <v>217</v>
          </cell>
          <cell r="I108">
            <v>63.687179487179492</v>
          </cell>
          <cell r="J108">
            <v>95.57</v>
          </cell>
        </row>
        <row r="109">
          <cell r="C109" t="str">
            <v>Mains, Tanks and Reservoirs (50)</v>
          </cell>
          <cell r="D109" t="str">
            <v>Mains - Strohs (472)</v>
          </cell>
          <cell r="E109">
            <v>45231</v>
          </cell>
          <cell r="F109">
            <v>13783.59</v>
          </cell>
          <cell r="G109">
            <v>234</v>
          </cell>
          <cell r="H109">
            <v>217</v>
          </cell>
          <cell r="I109">
            <v>706.85076923076929</v>
          </cell>
          <cell r="J109">
            <v>1060.22</v>
          </cell>
        </row>
        <row r="110">
          <cell r="C110" t="str">
            <v>Mains, Tanks and Reservoirs (50)</v>
          </cell>
          <cell r="D110" t="str">
            <v>Mains - Strohs (075)</v>
          </cell>
          <cell r="E110">
            <v>45231</v>
          </cell>
          <cell r="F110">
            <v>8613.1200000000008</v>
          </cell>
          <cell r="G110">
            <v>234</v>
          </cell>
          <cell r="H110">
            <v>217</v>
          </cell>
          <cell r="I110">
            <v>441.69846153846157</v>
          </cell>
          <cell r="J110">
            <v>662.57</v>
          </cell>
        </row>
        <row r="111">
          <cell r="C111" t="str">
            <v>Mains, Tanks and Reservoirs (50)</v>
          </cell>
          <cell r="D111" t="str">
            <v>Mains - Strohs (075)</v>
          </cell>
          <cell r="E111">
            <v>45231</v>
          </cell>
          <cell r="F111">
            <v>7182.63</v>
          </cell>
          <cell r="G111">
            <v>234</v>
          </cell>
          <cell r="H111">
            <v>217</v>
          </cell>
          <cell r="I111">
            <v>368.34000000000003</v>
          </cell>
          <cell r="J111">
            <v>552.51</v>
          </cell>
        </row>
        <row r="112">
          <cell r="C112" t="str">
            <v>Mains, Tanks and Reservoirs (50)</v>
          </cell>
          <cell r="D112" t="str">
            <v>Mains (CIAC) - Strohs (472)</v>
          </cell>
          <cell r="E112">
            <v>45231</v>
          </cell>
          <cell r="F112">
            <v>9265.3799999999992</v>
          </cell>
          <cell r="G112">
            <v>234</v>
          </cell>
          <cell r="H112">
            <v>217</v>
          </cell>
          <cell r="I112">
            <v>475.1476923076923</v>
          </cell>
          <cell r="J112">
            <v>712.78</v>
          </cell>
        </row>
        <row r="113">
          <cell r="C113" t="str">
            <v>Mains, Tanks and Reservoirs (50)</v>
          </cell>
          <cell r="D113" t="str">
            <v>Mains - Strohs (075)</v>
          </cell>
          <cell r="E113">
            <v>45231</v>
          </cell>
          <cell r="F113">
            <v>691.48</v>
          </cell>
          <cell r="G113">
            <v>234</v>
          </cell>
          <cell r="H113">
            <v>217</v>
          </cell>
          <cell r="I113">
            <v>35.460512820512825</v>
          </cell>
          <cell r="J113">
            <v>53.2</v>
          </cell>
        </row>
        <row r="114">
          <cell r="C114" t="str">
            <v>Mains, Tanks and Reservoirs (50)</v>
          </cell>
          <cell r="D114" t="str">
            <v>Mains - Strohs (472)</v>
          </cell>
          <cell r="E114">
            <v>45231</v>
          </cell>
          <cell r="F114">
            <v>13973.56</v>
          </cell>
          <cell r="G114">
            <v>234</v>
          </cell>
          <cell r="H114">
            <v>217</v>
          </cell>
          <cell r="I114">
            <v>716.59282051282048</v>
          </cell>
          <cell r="J114">
            <v>1074.94</v>
          </cell>
        </row>
        <row r="115">
          <cell r="C115" t="str">
            <v>Mains, Tanks and Reservoirs (50)</v>
          </cell>
          <cell r="D115" t="str">
            <v>Mains (CIAC) - Strohs (472)</v>
          </cell>
          <cell r="E115">
            <v>45231</v>
          </cell>
          <cell r="F115">
            <v>255158.94</v>
          </cell>
          <cell r="G115">
            <v>234</v>
          </cell>
          <cell r="H115">
            <v>217</v>
          </cell>
          <cell r="I115">
            <v>13085.073846153848</v>
          </cell>
          <cell r="J115">
            <v>18905.669999999998</v>
          </cell>
        </row>
        <row r="116">
          <cell r="C116" t="str">
            <v>Mains, Tanks and Reservoirs (50)</v>
          </cell>
          <cell r="D116" t="str">
            <v>Mains (CIAC) - Strohs (075)</v>
          </cell>
          <cell r="E116">
            <v>45231</v>
          </cell>
          <cell r="F116">
            <v>11778.49</v>
          </cell>
          <cell r="G116">
            <v>234</v>
          </cell>
          <cell r="H116">
            <v>217</v>
          </cell>
          <cell r="I116">
            <v>604.02512820512823</v>
          </cell>
          <cell r="J116">
            <v>906.1</v>
          </cell>
        </row>
        <row r="117">
          <cell r="C117" t="str">
            <v>Mains, Tanks and Reservoirs (50)</v>
          </cell>
          <cell r="D117" t="str">
            <v>Mains - Strohs (472)</v>
          </cell>
          <cell r="E117">
            <v>45231</v>
          </cell>
          <cell r="F117">
            <v>16151.2</v>
          </cell>
          <cell r="G117">
            <v>234</v>
          </cell>
          <cell r="H117">
            <v>217</v>
          </cell>
          <cell r="I117">
            <v>828.26666666666665</v>
          </cell>
          <cell r="J117">
            <v>1242.3699999999999</v>
          </cell>
        </row>
        <row r="118">
          <cell r="C118" t="str">
            <v>Mains, Tanks and Reservoirs (50)</v>
          </cell>
          <cell r="D118" t="str">
            <v>Mains (CIAC) - Strohs (075)</v>
          </cell>
          <cell r="E118">
            <v>45231</v>
          </cell>
          <cell r="F118">
            <v>6375.3</v>
          </cell>
          <cell r="G118">
            <v>234</v>
          </cell>
          <cell r="H118">
            <v>217</v>
          </cell>
          <cell r="I118">
            <v>326.93846153846152</v>
          </cell>
          <cell r="J118">
            <v>490.38</v>
          </cell>
        </row>
        <row r="119">
          <cell r="C119" t="str">
            <v>Mains, Tanks and Reservoirs (50)</v>
          </cell>
          <cell r="D119" t="str">
            <v>Mains - Strohs (472)</v>
          </cell>
          <cell r="E119">
            <v>45231</v>
          </cell>
          <cell r="F119">
            <v>3540.77</v>
          </cell>
          <cell r="G119">
            <v>234</v>
          </cell>
          <cell r="H119">
            <v>217</v>
          </cell>
          <cell r="I119">
            <v>181.57794871794871</v>
          </cell>
          <cell r="J119">
            <v>272.35000000000002</v>
          </cell>
        </row>
        <row r="120">
          <cell r="C120" t="str">
            <v>Mains, Tanks and Reservoirs (50)</v>
          </cell>
          <cell r="D120" t="str">
            <v>Mains (CIAC) - Strohs (075)</v>
          </cell>
          <cell r="E120">
            <v>45231</v>
          </cell>
          <cell r="F120">
            <v>200.28</v>
          </cell>
          <cell r="G120">
            <v>234</v>
          </cell>
          <cell r="H120">
            <v>217</v>
          </cell>
          <cell r="I120">
            <v>10.270769230769231</v>
          </cell>
          <cell r="J120">
            <v>15.46</v>
          </cell>
        </row>
        <row r="121">
          <cell r="C121" t="str">
            <v>Mains, Tanks and Reservoirs (50)</v>
          </cell>
          <cell r="D121" t="str">
            <v>Mains - Strohs (075)</v>
          </cell>
          <cell r="E121">
            <v>45231</v>
          </cell>
          <cell r="F121">
            <v>6995.71</v>
          </cell>
          <cell r="G121">
            <v>234</v>
          </cell>
          <cell r="H121">
            <v>217</v>
          </cell>
          <cell r="I121">
            <v>358.75435897435898</v>
          </cell>
          <cell r="J121">
            <v>538.17999999999995</v>
          </cell>
        </row>
        <row r="122">
          <cell r="C122" t="str">
            <v>Mains, Tanks and Reservoirs (50)</v>
          </cell>
          <cell r="D122" t="str">
            <v>Mains - Strohs (472)</v>
          </cell>
          <cell r="E122">
            <v>45231</v>
          </cell>
          <cell r="F122">
            <v>44315.23</v>
          </cell>
          <cell r="G122">
            <v>234</v>
          </cell>
          <cell r="H122">
            <v>217</v>
          </cell>
          <cell r="I122">
            <v>2272.5758974358978</v>
          </cell>
          <cell r="J122">
            <v>3408.85</v>
          </cell>
        </row>
        <row r="123">
          <cell r="C123" t="str">
            <v>Mains, Tanks and Reservoirs (50)</v>
          </cell>
          <cell r="D123" t="str">
            <v>Mains (CIAC) - Strohs (472)</v>
          </cell>
          <cell r="E123">
            <v>45231</v>
          </cell>
          <cell r="F123">
            <v>4262.1499999999996</v>
          </cell>
          <cell r="G123">
            <v>234</v>
          </cell>
          <cell r="H123">
            <v>217</v>
          </cell>
          <cell r="I123">
            <v>218.57179487179485</v>
          </cell>
          <cell r="J123">
            <v>327.8</v>
          </cell>
        </row>
        <row r="124">
          <cell r="C124" t="str">
            <v>Mains, Tanks and Reservoirs (50)</v>
          </cell>
          <cell r="D124" t="str">
            <v>PR Station (CIAC) - Strohs (472)</v>
          </cell>
          <cell r="E124">
            <v>45231</v>
          </cell>
          <cell r="F124">
            <v>18197.330000000002</v>
          </cell>
          <cell r="G124">
            <v>234</v>
          </cell>
          <cell r="H124">
            <v>217</v>
          </cell>
          <cell r="I124">
            <v>933.19641025641033</v>
          </cell>
          <cell r="J124">
            <v>1399.84</v>
          </cell>
        </row>
        <row r="125">
          <cell r="C125" t="str">
            <v>Mains, Tanks and Reservoirs (50)</v>
          </cell>
          <cell r="D125" t="str">
            <v>PR Valve Gust - Fillmore - Strohs</v>
          </cell>
          <cell r="E125">
            <v>45231</v>
          </cell>
          <cell r="F125">
            <v>2342.17</v>
          </cell>
          <cell r="G125">
            <v>234</v>
          </cell>
          <cell r="H125">
            <v>217</v>
          </cell>
          <cell r="I125">
            <v>120.11128205128206</v>
          </cell>
          <cell r="J125">
            <v>180.18</v>
          </cell>
        </row>
        <row r="126">
          <cell r="C126" t="str">
            <v>Mains, Tanks and Reservoirs (50)</v>
          </cell>
          <cell r="D126" t="str">
            <v>Mains - Strohs (472)</v>
          </cell>
          <cell r="E126">
            <v>45231</v>
          </cell>
          <cell r="F126">
            <v>32250.42</v>
          </cell>
          <cell r="G126">
            <v>234</v>
          </cell>
          <cell r="H126">
            <v>217</v>
          </cell>
          <cell r="I126">
            <v>1653.8676923076921</v>
          </cell>
          <cell r="J126">
            <v>2480.77</v>
          </cell>
        </row>
        <row r="127">
          <cell r="C127" t="str">
            <v>Plant, Structures, and Improvements (35)</v>
          </cell>
          <cell r="D127" t="str">
            <v>Pumphouse (CIAC) parcel 3632000100</v>
          </cell>
          <cell r="E127">
            <v>45231</v>
          </cell>
          <cell r="F127">
            <v>20279.28</v>
          </cell>
          <cell r="G127">
            <v>345</v>
          </cell>
          <cell r="H127">
            <v>35</v>
          </cell>
          <cell r="I127">
            <v>705.36626086956517</v>
          </cell>
          <cell r="J127">
            <v>18277.53</v>
          </cell>
        </row>
        <row r="128">
          <cell r="C128" t="str">
            <v>Plant, Structures, and Improvements (35)</v>
          </cell>
          <cell r="D128" t="str">
            <v>Structures (CIAC) - Strohs (472)</v>
          </cell>
          <cell r="E128">
            <v>45231</v>
          </cell>
          <cell r="F128">
            <v>531</v>
          </cell>
          <cell r="G128">
            <v>420</v>
          </cell>
          <cell r="H128">
            <v>129.6</v>
          </cell>
          <cell r="I128">
            <v>15.171428571428571</v>
          </cell>
          <cell r="J128">
            <v>368.36</v>
          </cell>
        </row>
        <row r="129">
          <cell r="C129" t="str">
            <v>Plant, Structures, and Improvements (35)</v>
          </cell>
          <cell r="D129" t="str">
            <v>Peacock Realty fence - asphalt - St</v>
          </cell>
          <cell r="E129">
            <v>45231</v>
          </cell>
          <cell r="F129">
            <v>1437</v>
          </cell>
          <cell r="G129">
            <v>420</v>
          </cell>
          <cell r="H129">
            <v>139</v>
          </cell>
          <cell r="I129">
            <v>41.057142857142857</v>
          </cell>
          <cell r="J129">
            <v>964.82</v>
          </cell>
        </row>
        <row r="130">
          <cell r="C130" t="str">
            <v>Plant, Structures, and Improvements (35)</v>
          </cell>
          <cell r="D130" t="str">
            <v>Structures - Strohs (472)</v>
          </cell>
          <cell r="E130">
            <v>45231</v>
          </cell>
          <cell r="F130">
            <v>547</v>
          </cell>
          <cell r="G130">
            <v>420</v>
          </cell>
          <cell r="H130">
            <v>145</v>
          </cell>
          <cell r="I130">
            <v>15.62857142857143</v>
          </cell>
          <cell r="J130">
            <v>359.43</v>
          </cell>
        </row>
        <row r="131">
          <cell r="C131" t="str">
            <v>Plant, Structures, and Improvements (35)</v>
          </cell>
          <cell r="D131" t="str">
            <v>Structures - Strohs (472)</v>
          </cell>
          <cell r="E131">
            <v>45231</v>
          </cell>
          <cell r="F131">
            <v>1463.4</v>
          </cell>
          <cell r="G131">
            <v>420</v>
          </cell>
          <cell r="H131">
            <v>204</v>
          </cell>
          <cell r="I131">
            <v>41.811428571428571</v>
          </cell>
          <cell r="J131">
            <v>756.03</v>
          </cell>
        </row>
        <row r="132">
          <cell r="C132" t="str">
            <v>Plant, Structures, and Improvements (35)</v>
          </cell>
          <cell r="D132" t="str">
            <v>Structures - Strohs (472)</v>
          </cell>
          <cell r="E132">
            <v>45231</v>
          </cell>
          <cell r="F132">
            <v>766.93</v>
          </cell>
          <cell r="G132">
            <v>420</v>
          </cell>
          <cell r="H132">
            <v>204</v>
          </cell>
          <cell r="I132">
            <v>21.912285714285716</v>
          </cell>
          <cell r="J132">
            <v>396.3</v>
          </cell>
        </row>
        <row r="133">
          <cell r="C133" t="str">
            <v>Plant, Structures, and Improvements (35)</v>
          </cell>
          <cell r="D133" t="str">
            <v>Structures (CIAC) - Strohs (472)</v>
          </cell>
          <cell r="E133">
            <v>45231</v>
          </cell>
          <cell r="F133">
            <v>22455.81</v>
          </cell>
          <cell r="G133">
            <v>420</v>
          </cell>
          <cell r="H133">
            <v>241</v>
          </cell>
          <cell r="I133">
            <v>641.5945714285715</v>
          </cell>
          <cell r="J133">
            <v>8390.44</v>
          </cell>
        </row>
        <row r="134">
          <cell r="C134" t="str">
            <v>Plant, Structures, and Improvements (35)</v>
          </cell>
          <cell r="D134" t="str">
            <v>Structures (CIAC) - Strohs (472)</v>
          </cell>
          <cell r="E134">
            <v>45231</v>
          </cell>
          <cell r="F134">
            <v>1093.95</v>
          </cell>
          <cell r="G134">
            <v>420</v>
          </cell>
          <cell r="H134">
            <v>265</v>
          </cell>
          <cell r="I134">
            <v>31.255714285714287</v>
          </cell>
          <cell r="J134">
            <v>406.26</v>
          </cell>
        </row>
        <row r="135">
          <cell r="C135" t="str">
            <v>Plant, Structures, and Improvements (35)</v>
          </cell>
          <cell r="D135" t="str">
            <v>Structures - Strohs (472)</v>
          </cell>
          <cell r="E135">
            <v>45231</v>
          </cell>
          <cell r="F135">
            <v>1790.25</v>
          </cell>
          <cell r="G135">
            <v>420</v>
          </cell>
          <cell r="H135">
            <v>301</v>
          </cell>
          <cell r="I135">
            <v>51.150000000000006</v>
          </cell>
          <cell r="J135">
            <v>511.47</v>
          </cell>
        </row>
        <row r="136">
          <cell r="C136" t="str">
            <v>Plant, Structures, and Improvements (35)</v>
          </cell>
          <cell r="D136" t="str">
            <v>Structures - Strohs (472)</v>
          </cell>
          <cell r="E136">
            <v>45231</v>
          </cell>
          <cell r="F136">
            <v>1022.03</v>
          </cell>
          <cell r="G136">
            <v>420</v>
          </cell>
          <cell r="H136">
            <v>301</v>
          </cell>
          <cell r="I136">
            <v>29.200857142857142</v>
          </cell>
          <cell r="J136">
            <v>291.95999999999998</v>
          </cell>
        </row>
        <row r="137">
          <cell r="C137" t="str">
            <v>Plant, Structures, and Improvements (35)</v>
          </cell>
          <cell r="D137" t="str">
            <v>Structures (CIAC) - Strohs (472)</v>
          </cell>
          <cell r="E137">
            <v>45231</v>
          </cell>
          <cell r="F137">
            <v>14018.64</v>
          </cell>
          <cell r="G137">
            <v>420</v>
          </cell>
          <cell r="H137">
            <v>316</v>
          </cell>
          <cell r="I137">
            <v>400.53257142857137</v>
          </cell>
          <cell r="J137">
            <v>3504.69</v>
          </cell>
        </row>
        <row r="138">
          <cell r="C138" t="str">
            <v>Plant, Structures, and Improvements (35)</v>
          </cell>
          <cell r="D138" t="str">
            <v>Structures - Strohs (472)</v>
          </cell>
          <cell r="E138">
            <v>45231</v>
          </cell>
          <cell r="F138">
            <v>8670.36</v>
          </cell>
          <cell r="G138">
            <v>420</v>
          </cell>
          <cell r="H138">
            <v>385</v>
          </cell>
          <cell r="I138">
            <v>247.72457142857147</v>
          </cell>
          <cell r="J138">
            <v>743.13</v>
          </cell>
        </row>
        <row r="139">
          <cell r="C139" t="str">
            <v>Plant, Structures, and Improvements (35)</v>
          </cell>
          <cell r="D139" t="str">
            <v>Pumphouse (CIAC) parcel 3632000100</v>
          </cell>
          <cell r="E139">
            <v>45231</v>
          </cell>
          <cell r="F139">
            <v>16894.099999999999</v>
          </cell>
          <cell r="G139">
            <v>241</v>
          </cell>
          <cell r="H139">
            <v>224</v>
          </cell>
          <cell r="I139">
            <v>841.19999999999993</v>
          </cell>
          <cell r="J139">
            <v>1261.8</v>
          </cell>
        </row>
        <row r="140">
          <cell r="C140" t="str">
            <v>Plant, Structures, and Improvements (35)</v>
          </cell>
          <cell r="D140" t="str">
            <v>Structures (CIAC) - Strohs (472)</v>
          </cell>
          <cell r="E140">
            <v>45231</v>
          </cell>
          <cell r="F140">
            <v>508.84</v>
          </cell>
          <cell r="G140">
            <v>241</v>
          </cell>
          <cell r="H140">
            <v>224</v>
          </cell>
          <cell r="I140">
            <v>25.336431535269707</v>
          </cell>
          <cell r="J140">
            <v>37.99</v>
          </cell>
        </row>
        <row r="141">
          <cell r="C141" t="str">
            <v>Plant, Structures, and Improvements (35)</v>
          </cell>
          <cell r="D141" t="str">
            <v>Peacock Realty fence - asphalt - St</v>
          </cell>
          <cell r="E141">
            <v>45231</v>
          </cell>
          <cell r="F141">
            <v>1377.02</v>
          </cell>
          <cell r="G141">
            <v>241</v>
          </cell>
          <cell r="H141">
            <v>224</v>
          </cell>
          <cell r="I141">
            <v>68.565311203319496</v>
          </cell>
          <cell r="J141">
            <v>102.8</v>
          </cell>
        </row>
        <row r="142">
          <cell r="C142" t="str">
            <v>Plant, Structures, and Improvements (35)</v>
          </cell>
          <cell r="D142" t="str">
            <v>Structures - Strohs (472)</v>
          </cell>
          <cell r="E142">
            <v>45231</v>
          </cell>
          <cell r="F142">
            <v>524.16999999999996</v>
          </cell>
          <cell r="G142">
            <v>241</v>
          </cell>
          <cell r="H142">
            <v>224</v>
          </cell>
          <cell r="I142">
            <v>26.099751037344397</v>
          </cell>
          <cell r="J142">
            <v>39.15</v>
          </cell>
        </row>
        <row r="143">
          <cell r="C143" t="str">
            <v>Plant, Structures, and Improvements (35)</v>
          </cell>
          <cell r="D143" t="str">
            <v>Structures - Strohs (472)</v>
          </cell>
          <cell r="E143">
            <v>45231</v>
          </cell>
          <cell r="F143">
            <v>1402.32</v>
          </cell>
          <cell r="G143">
            <v>241</v>
          </cell>
          <cell r="H143">
            <v>224</v>
          </cell>
          <cell r="I143">
            <v>69.825062240663897</v>
          </cell>
          <cell r="J143">
            <v>104.75</v>
          </cell>
        </row>
        <row r="144">
          <cell r="C144" t="str">
            <v>Plant, Structures, and Improvements (35)</v>
          </cell>
          <cell r="D144" t="str">
            <v>Structures - Strohs (472)</v>
          </cell>
          <cell r="E144">
            <v>45231</v>
          </cell>
          <cell r="F144">
            <v>734.92</v>
          </cell>
          <cell r="G144">
            <v>241</v>
          </cell>
          <cell r="H144">
            <v>224</v>
          </cell>
          <cell r="I144">
            <v>36.593526970954358</v>
          </cell>
          <cell r="J144">
            <v>54.9</v>
          </cell>
        </row>
        <row r="145">
          <cell r="C145" t="str">
            <v>Plant, Structures, and Improvements (35)</v>
          </cell>
          <cell r="D145" t="str">
            <v>Structures (CIAC) - Strohs (472)</v>
          </cell>
          <cell r="E145">
            <v>45231</v>
          </cell>
          <cell r="F145">
            <v>18415.63</v>
          </cell>
          <cell r="G145">
            <v>241</v>
          </cell>
          <cell r="H145">
            <v>224</v>
          </cell>
          <cell r="I145">
            <v>916.96082987551881</v>
          </cell>
          <cell r="J145">
            <v>1375.4</v>
          </cell>
        </row>
        <row r="146">
          <cell r="C146" t="str">
            <v>Plant, Structures, and Improvements (35)</v>
          </cell>
          <cell r="D146" t="str">
            <v>Structures (CIAC) - Strohs (472)</v>
          </cell>
          <cell r="E146">
            <v>45231</v>
          </cell>
          <cell r="F146">
            <v>1048.29</v>
          </cell>
          <cell r="G146">
            <v>241</v>
          </cell>
          <cell r="H146">
            <v>224</v>
          </cell>
          <cell r="I146">
            <v>52.197012448132782</v>
          </cell>
          <cell r="J146">
            <v>78.3</v>
          </cell>
        </row>
        <row r="147">
          <cell r="C147" t="str">
            <v>Plant, Structures, and Improvements (35)</v>
          </cell>
          <cell r="D147" t="str">
            <v>Structures - Strohs (472)</v>
          </cell>
          <cell r="E147">
            <v>45231</v>
          </cell>
          <cell r="F147">
            <v>1715.53</v>
          </cell>
          <cell r="G147">
            <v>241</v>
          </cell>
          <cell r="H147">
            <v>224</v>
          </cell>
          <cell r="I147">
            <v>85.420580912863073</v>
          </cell>
          <cell r="J147">
            <v>128.15</v>
          </cell>
        </row>
        <row r="148">
          <cell r="C148" t="str">
            <v>Plant, Structures, and Improvements (35)</v>
          </cell>
          <cell r="D148" t="str">
            <v>Structures - Strohs (472)</v>
          </cell>
          <cell r="E148">
            <v>45231</v>
          </cell>
          <cell r="F148">
            <v>979.37</v>
          </cell>
          <cell r="G148">
            <v>241</v>
          </cell>
          <cell r="H148">
            <v>224</v>
          </cell>
          <cell r="I148">
            <v>48.765311203319506</v>
          </cell>
          <cell r="J148">
            <v>73.099999999999994</v>
          </cell>
        </row>
        <row r="149">
          <cell r="C149" t="str">
            <v>Plant, Structures, and Improvements (35)</v>
          </cell>
          <cell r="D149" t="str">
            <v>Structures (CIAC) - Strohs (472)</v>
          </cell>
          <cell r="E149">
            <v>45231</v>
          </cell>
          <cell r="F149">
            <v>13433.48</v>
          </cell>
          <cell r="G149">
            <v>241</v>
          </cell>
          <cell r="H149">
            <v>224</v>
          </cell>
          <cell r="I149">
            <v>668.8869709543568</v>
          </cell>
          <cell r="J149">
            <v>1003.32</v>
          </cell>
        </row>
        <row r="150">
          <cell r="C150" t="str">
            <v>Plant, Structures, and Improvements (35)</v>
          </cell>
          <cell r="D150" t="str">
            <v>Structures - Strohs (472)</v>
          </cell>
          <cell r="E150">
            <v>45231</v>
          </cell>
          <cell r="F150">
            <v>8308.4500000000007</v>
          </cell>
          <cell r="G150">
            <v>241</v>
          </cell>
          <cell r="H150">
            <v>224</v>
          </cell>
          <cell r="I150">
            <v>413.698755186722</v>
          </cell>
          <cell r="J150">
            <v>620.53</v>
          </cell>
        </row>
        <row r="151">
          <cell r="C151" t="str">
            <v>Plant, Structures, and Improvements (35)</v>
          </cell>
          <cell r="D151" t="str">
            <v>CIAC, Pumping Equip - Strohs</v>
          </cell>
          <cell r="E151">
            <v>45231</v>
          </cell>
          <cell r="F151">
            <v>86712.31</v>
          </cell>
          <cell r="G151">
            <v>273</v>
          </cell>
          <cell r="H151">
            <v>23</v>
          </cell>
          <cell r="I151">
            <v>3811.53010989011</v>
          </cell>
          <cell r="J151">
            <v>79764.710000000006</v>
          </cell>
        </row>
        <row r="152">
          <cell r="C152" t="str">
            <v>Plant, Structures, and Improvements (35)</v>
          </cell>
          <cell r="D152" t="str">
            <v>CIAC, Pumping Equip - Strohs</v>
          </cell>
          <cell r="E152">
            <v>45231</v>
          </cell>
          <cell r="F152">
            <v>1379</v>
          </cell>
          <cell r="G152">
            <v>240</v>
          </cell>
          <cell r="H152">
            <v>0</v>
          </cell>
          <cell r="I152">
            <v>0</v>
          </cell>
          <cell r="J152">
            <v>1379</v>
          </cell>
        </row>
        <row r="153">
          <cell r="C153" t="str">
            <v>Pumping and Water Treatment (20)</v>
          </cell>
          <cell r="D153" t="str">
            <v>Pumping Equip - Strohs</v>
          </cell>
          <cell r="E153">
            <v>45231</v>
          </cell>
          <cell r="F153">
            <v>458.22</v>
          </cell>
          <cell r="G153">
            <v>240</v>
          </cell>
          <cell r="H153">
            <v>0</v>
          </cell>
          <cell r="I153">
            <v>0</v>
          </cell>
          <cell r="J153">
            <v>458.22</v>
          </cell>
        </row>
        <row r="154">
          <cell r="C154" t="str">
            <v>Pumping and Water Treatment (20)</v>
          </cell>
          <cell r="D154" t="str">
            <v>Pumping Equip - Strohs</v>
          </cell>
          <cell r="E154">
            <v>45231</v>
          </cell>
          <cell r="F154">
            <v>1273</v>
          </cell>
          <cell r="G154">
            <v>240</v>
          </cell>
          <cell r="H154">
            <v>0</v>
          </cell>
          <cell r="I154">
            <v>0</v>
          </cell>
          <cell r="J154">
            <v>1273</v>
          </cell>
        </row>
        <row r="155">
          <cell r="C155" t="str">
            <v>Pumping and Water Treatment (20)</v>
          </cell>
          <cell r="D155" t="str">
            <v>Pumping Equip - Strohs</v>
          </cell>
          <cell r="E155">
            <v>45231</v>
          </cell>
          <cell r="F155">
            <v>214</v>
          </cell>
          <cell r="G155">
            <v>240</v>
          </cell>
          <cell r="H155">
            <v>0</v>
          </cell>
          <cell r="I155">
            <v>0</v>
          </cell>
          <cell r="J155">
            <v>214</v>
          </cell>
        </row>
        <row r="156">
          <cell r="C156" t="str">
            <v>Pumping and Water Treatment (20)</v>
          </cell>
          <cell r="D156" t="str">
            <v>Pumping Equip - Strohs</v>
          </cell>
          <cell r="E156">
            <v>45231</v>
          </cell>
          <cell r="F156">
            <v>2938</v>
          </cell>
          <cell r="G156">
            <v>240</v>
          </cell>
          <cell r="H156">
            <v>43</v>
          </cell>
          <cell r="I156">
            <v>146.9</v>
          </cell>
          <cell r="J156">
            <v>2423.83</v>
          </cell>
        </row>
        <row r="157">
          <cell r="C157" t="str">
            <v>Pumping and Water Treatment (20)</v>
          </cell>
          <cell r="D157" t="str">
            <v>Pumping Equip - Strohs</v>
          </cell>
          <cell r="E157">
            <v>45231</v>
          </cell>
          <cell r="F157">
            <v>2133.9</v>
          </cell>
          <cell r="G157">
            <v>240</v>
          </cell>
          <cell r="H157">
            <v>24</v>
          </cell>
          <cell r="I157">
            <v>106.69500000000002</v>
          </cell>
          <cell r="J157">
            <v>1929.39</v>
          </cell>
        </row>
        <row r="158">
          <cell r="C158" t="str">
            <v>Pumping and Water Treatment (20)</v>
          </cell>
          <cell r="D158" t="str">
            <v>Pumping Equip - Strohs</v>
          </cell>
          <cell r="E158">
            <v>45231</v>
          </cell>
          <cell r="F158">
            <v>163.68</v>
          </cell>
          <cell r="G158">
            <v>240</v>
          </cell>
          <cell r="H158">
            <v>29</v>
          </cell>
          <cell r="I158">
            <v>8.1840000000000011</v>
          </cell>
          <cell r="J158">
            <v>144.56</v>
          </cell>
        </row>
        <row r="159">
          <cell r="C159" t="str">
            <v>Pumping and Water Treatment (20)</v>
          </cell>
          <cell r="D159" t="str">
            <v>Pumping Equip - Strohs</v>
          </cell>
          <cell r="E159">
            <v>45231</v>
          </cell>
          <cell r="F159">
            <v>9373.02</v>
          </cell>
          <cell r="G159">
            <v>240</v>
          </cell>
          <cell r="H159">
            <v>37</v>
          </cell>
          <cell r="I159">
            <v>468.65100000000007</v>
          </cell>
          <cell r="J159">
            <v>7967.04</v>
          </cell>
        </row>
        <row r="160">
          <cell r="C160" t="str">
            <v>Pumping and Water Treatment (20)</v>
          </cell>
          <cell r="D160" t="str">
            <v>Pumping Equip - Strohs</v>
          </cell>
          <cell r="E160">
            <v>45231</v>
          </cell>
          <cell r="F160">
            <v>7773.45</v>
          </cell>
          <cell r="G160">
            <v>240</v>
          </cell>
          <cell r="H160">
            <v>73</v>
          </cell>
          <cell r="I160">
            <v>388.67250000000001</v>
          </cell>
          <cell r="J160">
            <v>5441.42</v>
          </cell>
        </row>
        <row r="161">
          <cell r="C161" t="str">
            <v>Pumping and Water Treatment (20)</v>
          </cell>
          <cell r="D161" t="str">
            <v>Pump Equip - Strohs (075)</v>
          </cell>
          <cell r="E161">
            <v>45231</v>
          </cell>
          <cell r="F161">
            <v>1175.42</v>
          </cell>
          <cell r="G161">
            <v>240</v>
          </cell>
          <cell r="H161">
            <v>73</v>
          </cell>
          <cell r="I161">
            <v>58.771000000000001</v>
          </cell>
          <cell r="J161">
            <v>822.83</v>
          </cell>
        </row>
        <row r="162">
          <cell r="C162" t="str">
            <v>Mains, Tanks and Reservoirs (50)</v>
          </cell>
          <cell r="D162" t="str">
            <v>Ck Valves - Montgomery (472)</v>
          </cell>
          <cell r="E162">
            <v>45231</v>
          </cell>
          <cell r="F162">
            <v>2500</v>
          </cell>
          <cell r="G162">
            <v>240</v>
          </cell>
          <cell r="H162">
            <v>73</v>
          </cell>
          <cell r="I162">
            <v>125</v>
          </cell>
          <cell r="J162">
            <v>1750.04</v>
          </cell>
        </row>
        <row r="163">
          <cell r="C163" t="str">
            <v>Pumping and Water Treatment (20)</v>
          </cell>
          <cell r="D163" t="str">
            <v>Pumping Equip - Strohs</v>
          </cell>
          <cell r="E163">
            <v>45231</v>
          </cell>
          <cell r="F163">
            <v>2548.4899999999998</v>
          </cell>
          <cell r="G163">
            <v>240</v>
          </cell>
          <cell r="H163">
            <v>121</v>
          </cell>
          <cell r="I163">
            <v>127.42449999999999</v>
          </cell>
          <cell r="J163">
            <v>1274.26</v>
          </cell>
        </row>
        <row r="164">
          <cell r="C164" t="str">
            <v>Pumping and Water Treatment (20)</v>
          </cell>
          <cell r="D164" t="str">
            <v>CIAC, Pumping Equip - Strohs</v>
          </cell>
          <cell r="E164">
            <v>45231</v>
          </cell>
          <cell r="F164">
            <v>73104.44</v>
          </cell>
          <cell r="G164">
            <v>39</v>
          </cell>
          <cell r="H164">
            <v>22</v>
          </cell>
          <cell r="I164">
            <v>22493.673846153848</v>
          </cell>
          <cell r="J164">
            <v>33740.480000000003</v>
          </cell>
        </row>
        <row r="165">
          <cell r="C165" t="str">
            <v>Pumping and Water Treatment (20)</v>
          </cell>
          <cell r="D165" t="str">
            <v>CIAC, Pumping Equip - Strohs</v>
          </cell>
          <cell r="E165">
            <v>45231</v>
          </cell>
          <cell r="F165">
            <v>1321.44</v>
          </cell>
          <cell r="G165">
            <v>39</v>
          </cell>
          <cell r="H165">
            <v>22</v>
          </cell>
          <cell r="I165">
            <v>406.59692307692313</v>
          </cell>
          <cell r="J165">
            <v>609.86</v>
          </cell>
        </row>
        <row r="166">
          <cell r="C166" t="str">
            <v>Pumping and Water Treatment (20)</v>
          </cell>
          <cell r="D166" t="str">
            <v>Pumping Equip - Strohs</v>
          </cell>
          <cell r="E166">
            <v>45231</v>
          </cell>
          <cell r="F166">
            <v>439.09</v>
          </cell>
          <cell r="G166">
            <v>39</v>
          </cell>
          <cell r="H166">
            <v>22</v>
          </cell>
          <cell r="I166">
            <v>135.10461538461539</v>
          </cell>
          <cell r="J166">
            <v>202.67</v>
          </cell>
        </row>
        <row r="167">
          <cell r="C167" t="str">
            <v>Pumping and Water Treatment (20)</v>
          </cell>
          <cell r="D167" t="str">
            <v>Pumping Equip - Strohs</v>
          </cell>
          <cell r="E167">
            <v>45231</v>
          </cell>
          <cell r="F167">
            <v>1219.8599999999999</v>
          </cell>
          <cell r="G167">
            <v>39</v>
          </cell>
          <cell r="H167">
            <v>22</v>
          </cell>
          <cell r="I167">
            <v>375.34153846153845</v>
          </cell>
          <cell r="J167">
            <v>563.03</v>
          </cell>
        </row>
        <row r="168">
          <cell r="C168" t="str">
            <v>Pumping and Water Treatment (20)</v>
          </cell>
          <cell r="D168" t="str">
            <v>Pumping Equip - Strohs</v>
          </cell>
          <cell r="E168">
            <v>45231</v>
          </cell>
          <cell r="F168">
            <v>205.07</v>
          </cell>
          <cell r="G168">
            <v>39</v>
          </cell>
          <cell r="H168">
            <v>22</v>
          </cell>
          <cell r="I168">
            <v>63.098461538461535</v>
          </cell>
          <cell r="J168">
            <v>94.67</v>
          </cell>
        </row>
        <row r="169">
          <cell r="C169" t="str">
            <v>Pumping and Water Treatment (20)</v>
          </cell>
          <cell r="D169" t="str">
            <v>Pumping Equip - Strohs</v>
          </cell>
          <cell r="E169">
            <v>45231</v>
          </cell>
          <cell r="F169">
            <v>2815.36</v>
          </cell>
          <cell r="G169">
            <v>39</v>
          </cell>
          <cell r="H169">
            <v>22</v>
          </cell>
          <cell r="I169">
            <v>866.26461538461535</v>
          </cell>
          <cell r="J169">
            <v>1299.4100000000001</v>
          </cell>
        </row>
        <row r="170">
          <cell r="C170" t="str">
            <v>Pumping and Water Treatment (20)</v>
          </cell>
          <cell r="D170" t="str">
            <v>Pumping Equip - Strohs</v>
          </cell>
          <cell r="E170">
            <v>45231</v>
          </cell>
          <cell r="F170">
            <v>2044.83</v>
          </cell>
          <cell r="G170">
            <v>39</v>
          </cell>
          <cell r="H170">
            <v>22</v>
          </cell>
          <cell r="I170">
            <v>629.17846153846153</v>
          </cell>
          <cell r="J170">
            <v>943.75</v>
          </cell>
        </row>
        <row r="171">
          <cell r="C171" t="str">
            <v>Pumping and Water Treatment (20)</v>
          </cell>
          <cell r="D171" t="str">
            <v>Pumping Equip - Strohs</v>
          </cell>
          <cell r="E171">
            <v>45231</v>
          </cell>
          <cell r="F171">
            <v>156.85</v>
          </cell>
          <cell r="G171">
            <v>39</v>
          </cell>
          <cell r="H171">
            <v>22</v>
          </cell>
          <cell r="I171">
            <v>48.261538461538464</v>
          </cell>
          <cell r="J171">
            <v>72.37</v>
          </cell>
        </row>
        <row r="172">
          <cell r="C172" t="str">
            <v>Pumping and Water Treatment (20)</v>
          </cell>
          <cell r="D172" t="str">
            <v>Pumping Equip - Strohs</v>
          </cell>
          <cell r="E172">
            <v>45231</v>
          </cell>
          <cell r="F172">
            <v>8981.7800000000007</v>
          </cell>
          <cell r="G172">
            <v>39</v>
          </cell>
          <cell r="H172">
            <v>22</v>
          </cell>
          <cell r="I172">
            <v>2763.6246153846159</v>
          </cell>
          <cell r="J172">
            <v>4145.41</v>
          </cell>
        </row>
        <row r="173">
          <cell r="C173" t="str">
            <v>Pumping and Water Treatment (20)</v>
          </cell>
          <cell r="D173" t="str">
            <v>Pumping Equip - Strohs</v>
          </cell>
          <cell r="E173">
            <v>45231</v>
          </cell>
          <cell r="F173">
            <v>7448.98</v>
          </cell>
          <cell r="G173">
            <v>39</v>
          </cell>
          <cell r="H173">
            <v>22</v>
          </cell>
          <cell r="I173">
            <v>2291.9938461538459</v>
          </cell>
          <cell r="J173">
            <v>3438</v>
          </cell>
        </row>
        <row r="174">
          <cell r="C174" t="str">
            <v>Pumping and Water Treatment (20)</v>
          </cell>
          <cell r="D174" t="str">
            <v>Pump Equip - Strohs (075)</v>
          </cell>
          <cell r="E174">
            <v>45231</v>
          </cell>
          <cell r="F174">
            <v>1126.3599999999999</v>
          </cell>
          <cell r="G174">
            <v>39</v>
          </cell>
          <cell r="H174">
            <v>22</v>
          </cell>
          <cell r="I174">
            <v>346.57230769230762</v>
          </cell>
          <cell r="J174">
            <v>519.85</v>
          </cell>
        </row>
        <row r="175">
          <cell r="C175" t="str">
            <v>Mains, Tanks and Reservoirs (50)</v>
          </cell>
          <cell r="D175" t="str">
            <v>Ck Valves - Montgomery (472)</v>
          </cell>
          <cell r="E175">
            <v>45231</v>
          </cell>
          <cell r="F175">
            <v>2395.65</v>
          </cell>
          <cell r="G175">
            <v>39</v>
          </cell>
          <cell r="H175">
            <v>22</v>
          </cell>
          <cell r="I175">
            <v>737.12307692307695</v>
          </cell>
          <cell r="J175">
            <v>1105.72</v>
          </cell>
        </row>
        <row r="176">
          <cell r="C176" t="str">
            <v>Pumping and Water Treatment (20)</v>
          </cell>
          <cell r="D176" t="str">
            <v>Pumping Equip - Strohs</v>
          </cell>
          <cell r="E176">
            <v>45231</v>
          </cell>
          <cell r="F176">
            <v>2442.11</v>
          </cell>
          <cell r="G176">
            <v>39</v>
          </cell>
          <cell r="H176">
            <v>22</v>
          </cell>
          <cell r="I176">
            <v>751.41846153846154</v>
          </cell>
          <cell r="J176">
            <v>1127.1500000000001</v>
          </cell>
        </row>
        <row r="177">
          <cell r="C177" t="str">
            <v>Equipment (Laboratory, Office, and Shop) (15)</v>
          </cell>
          <cell r="D177" t="str">
            <v>Misc Equip (radio controls) - Stroh</v>
          </cell>
          <cell r="E177">
            <v>45231</v>
          </cell>
          <cell r="F177">
            <v>3707.41</v>
          </cell>
          <cell r="G177">
            <v>240</v>
          </cell>
          <cell r="H177">
            <v>73</v>
          </cell>
          <cell r="I177">
            <v>185.37049999999999</v>
          </cell>
          <cell r="J177">
            <v>2431.0500000000002</v>
          </cell>
        </row>
        <row r="178">
          <cell r="C178" t="str">
            <v>Equipment (Laboratory, Office, and Shop) (15)</v>
          </cell>
          <cell r="D178" t="str">
            <v>Misc Equip (radio controls) - Stroh</v>
          </cell>
          <cell r="E178">
            <v>45231</v>
          </cell>
          <cell r="F178">
            <v>3270.31</v>
          </cell>
          <cell r="G178">
            <v>36</v>
          </cell>
          <cell r="H178">
            <v>19</v>
          </cell>
          <cell r="I178">
            <v>1090.1033333333332</v>
          </cell>
          <cell r="J178">
            <v>1635.13</v>
          </cell>
        </row>
        <row r="179">
          <cell r="C179" t="str">
            <v>Mains, Tanks and Reservoirs (50)</v>
          </cell>
          <cell r="D179" t="str">
            <v>Reservoirs (CIAC) - Strohs</v>
          </cell>
          <cell r="E179">
            <v>45231</v>
          </cell>
          <cell r="F179">
            <v>65527.25</v>
          </cell>
          <cell r="G179">
            <v>424</v>
          </cell>
          <cell r="H179">
            <v>54</v>
          </cell>
          <cell r="I179">
            <v>1854.5448113207549</v>
          </cell>
          <cell r="J179">
            <v>57373.17</v>
          </cell>
        </row>
        <row r="180">
          <cell r="C180" t="str">
            <v>Mains, Tanks and Reservoirs (50)</v>
          </cell>
          <cell r="D180" t="str">
            <v>Reservoirs (CIAC) - Strohs</v>
          </cell>
          <cell r="E180">
            <v>45231</v>
          </cell>
          <cell r="F180">
            <v>25839</v>
          </cell>
          <cell r="G180">
            <v>360</v>
          </cell>
          <cell r="H180">
            <v>79</v>
          </cell>
          <cell r="I180">
            <v>861.30000000000007</v>
          </cell>
          <cell r="J180">
            <v>20240.55</v>
          </cell>
        </row>
        <row r="181">
          <cell r="C181" t="str">
            <v>Mains, Tanks and Reservoirs (50)</v>
          </cell>
          <cell r="D181" t="str">
            <v>Reservoirs - Strohs</v>
          </cell>
          <cell r="E181">
            <v>45231</v>
          </cell>
          <cell r="F181">
            <v>96276.87</v>
          </cell>
          <cell r="G181">
            <v>360</v>
          </cell>
          <cell r="H181">
            <v>91</v>
          </cell>
          <cell r="I181">
            <v>3209.2289999999998</v>
          </cell>
          <cell r="J181">
            <v>62867.28</v>
          </cell>
        </row>
        <row r="182">
          <cell r="C182" t="str">
            <v>Mains, Tanks and Reservoirs (50)</v>
          </cell>
          <cell r="D182" t="str">
            <v>Reservoirs (CIAC) - Strohs</v>
          </cell>
          <cell r="E182">
            <v>45231</v>
          </cell>
          <cell r="F182">
            <v>55127.27</v>
          </cell>
          <cell r="G182">
            <v>360</v>
          </cell>
          <cell r="H182">
            <v>103</v>
          </cell>
          <cell r="I182">
            <v>1837.5756666666666</v>
          </cell>
          <cell r="J182">
            <v>39507.86</v>
          </cell>
        </row>
        <row r="183">
          <cell r="C183" t="str">
            <v>Mains, Tanks and Reservoirs (50)</v>
          </cell>
          <cell r="D183" t="str">
            <v>Reservoirs - Strohs</v>
          </cell>
          <cell r="E183">
            <v>45231</v>
          </cell>
          <cell r="F183">
            <v>537.55999999999995</v>
          </cell>
          <cell r="G183">
            <v>360</v>
          </cell>
          <cell r="H183">
            <v>108</v>
          </cell>
          <cell r="I183">
            <v>17.918666666666663</v>
          </cell>
          <cell r="J183">
            <v>377.74</v>
          </cell>
        </row>
        <row r="184">
          <cell r="C184" t="str">
            <v>Mains, Tanks and Reservoirs (50)</v>
          </cell>
          <cell r="D184" t="str">
            <v>Reservoirs (CIAC) - Strohs</v>
          </cell>
          <cell r="E184">
            <v>45231</v>
          </cell>
          <cell r="F184">
            <v>15000</v>
          </cell>
          <cell r="G184">
            <v>360</v>
          </cell>
          <cell r="H184">
            <v>103</v>
          </cell>
          <cell r="I184">
            <v>500</v>
          </cell>
          <cell r="J184">
            <v>10750.04</v>
          </cell>
        </row>
        <row r="185">
          <cell r="C185" t="str">
            <v>Mains, Tanks and Reservoirs (50)</v>
          </cell>
          <cell r="D185" t="str">
            <v>Reservoirs - Strohs</v>
          </cell>
          <cell r="E185">
            <v>45231</v>
          </cell>
          <cell r="F185">
            <v>3600</v>
          </cell>
          <cell r="G185">
            <v>360</v>
          </cell>
          <cell r="H185">
            <v>103</v>
          </cell>
          <cell r="I185">
            <v>120</v>
          </cell>
          <cell r="J185">
            <v>2580</v>
          </cell>
        </row>
        <row r="186">
          <cell r="C186" t="str">
            <v>Mains, Tanks and Reservoirs (50)</v>
          </cell>
          <cell r="D186" t="str">
            <v>Reservoirs - Strohs</v>
          </cell>
          <cell r="E186">
            <v>45231</v>
          </cell>
          <cell r="F186">
            <v>31000</v>
          </cell>
          <cell r="G186">
            <v>360</v>
          </cell>
          <cell r="H186">
            <v>115</v>
          </cell>
          <cell r="I186">
            <v>1033.3333333333335</v>
          </cell>
          <cell r="J186">
            <v>21183.32</v>
          </cell>
        </row>
        <row r="187">
          <cell r="C187" t="str">
            <v>Mains, Tanks and Reservoirs (50)</v>
          </cell>
          <cell r="D187" t="str">
            <v>Reservoirs - Strohs</v>
          </cell>
          <cell r="E187">
            <v>45231</v>
          </cell>
          <cell r="F187">
            <v>3036.78</v>
          </cell>
          <cell r="G187">
            <v>360</v>
          </cell>
          <cell r="H187">
            <v>145</v>
          </cell>
          <cell r="I187">
            <v>101.22600000000001</v>
          </cell>
          <cell r="J187">
            <v>1822.13</v>
          </cell>
        </row>
        <row r="188">
          <cell r="C188" t="str">
            <v>Mains, Tanks and Reservoirs (50)</v>
          </cell>
          <cell r="D188" t="str">
            <v>Reservoirs (CIAC) - Strohs</v>
          </cell>
          <cell r="E188">
            <v>45231</v>
          </cell>
          <cell r="F188">
            <v>3602.2</v>
          </cell>
          <cell r="G188">
            <v>360</v>
          </cell>
          <cell r="H188">
            <v>205</v>
          </cell>
          <cell r="I188">
            <v>120.07333333333332</v>
          </cell>
          <cell r="J188">
            <v>1561</v>
          </cell>
        </row>
        <row r="189">
          <cell r="C189" t="str">
            <v>Mains, Tanks and Reservoirs (50)</v>
          </cell>
          <cell r="D189" t="str">
            <v>Reservoirs - Strohs</v>
          </cell>
          <cell r="E189">
            <v>45231</v>
          </cell>
          <cell r="F189">
            <v>4105.6000000000004</v>
          </cell>
          <cell r="G189">
            <v>360</v>
          </cell>
          <cell r="H189">
            <v>217</v>
          </cell>
          <cell r="I189">
            <v>136.85333333333335</v>
          </cell>
          <cell r="J189">
            <v>1642.18</v>
          </cell>
        </row>
        <row r="190">
          <cell r="C190" t="str">
            <v>Mains, Tanks and Reservoirs (50)</v>
          </cell>
          <cell r="D190" t="str">
            <v>Reservoirs - Strohs</v>
          </cell>
          <cell r="E190">
            <v>45231</v>
          </cell>
          <cell r="F190">
            <v>3275</v>
          </cell>
          <cell r="G190">
            <v>360</v>
          </cell>
          <cell r="H190">
            <v>217</v>
          </cell>
          <cell r="I190">
            <v>109.16666666666666</v>
          </cell>
          <cell r="J190">
            <v>1310.04</v>
          </cell>
        </row>
        <row r="191">
          <cell r="C191" t="str">
            <v>Mains, Tanks and Reservoirs (50)</v>
          </cell>
          <cell r="D191" t="str">
            <v>Reservoirs - Strohs</v>
          </cell>
          <cell r="E191">
            <v>45231</v>
          </cell>
          <cell r="F191">
            <v>1067.9000000000001</v>
          </cell>
          <cell r="G191">
            <v>360</v>
          </cell>
          <cell r="H191">
            <v>241</v>
          </cell>
          <cell r="I191">
            <v>35.596666666666664</v>
          </cell>
          <cell r="J191">
            <v>356.01</v>
          </cell>
        </row>
        <row r="192">
          <cell r="C192" t="str">
            <v>Mains, Tanks and Reservoirs (50)</v>
          </cell>
          <cell r="D192" t="str">
            <v>Reservoirs - Strohs</v>
          </cell>
          <cell r="E192">
            <v>45231</v>
          </cell>
          <cell r="F192">
            <v>380.93</v>
          </cell>
          <cell r="G192">
            <v>360</v>
          </cell>
          <cell r="H192">
            <v>241</v>
          </cell>
          <cell r="I192">
            <v>12.697666666666667</v>
          </cell>
          <cell r="J192">
            <v>127</v>
          </cell>
        </row>
        <row r="193">
          <cell r="C193" t="str">
            <v>Mains, Tanks and Reservoirs (50)</v>
          </cell>
          <cell r="D193" t="str">
            <v>Reservoirs - Strohs</v>
          </cell>
          <cell r="E193">
            <v>45231</v>
          </cell>
          <cell r="F193">
            <v>1376</v>
          </cell>
          <cell r="G193">
            <v>360</v>
          </cell>
          <cell r="H193">
            <v>301</v>
          </cell>
          <cell r="I193">
            <v>45.866666666666667</v>
          </cell>
          <cell r="J193">
            <v>229.3</v>
          </cell>
        </row>
        <row r="194">
          <cell r="C194" t="str">
            <v>Mains, Tanks and Reservoirs (50)</v>
          </cell>
          <cell r="D194" t="str">
            <v>Reservoirs (CIAC) - Strohs</v>
          </cell>
          <cell r="E194">
            <v>45231</v>
          </cell>
          <cell r="F194">
            <v>53355.85</v>
          </cell>
          <cell r="G194">
            <v>167</v>
          </cell>
          <cell r="H194">
            <v>150</v>
          </cell>
          <cell r="I194">
            <v>3833.953293413173</v>
          </cell>
          <cell r="J194">
            <v>5750.98</v>
          </cell>
        </row>
        <row r="195">
          <cell r="C195" t="str">
            <v>Mains, Tanks and Reservoirs (50)</v>
          </cell>
          <cell r="D195" t="str">
            <v>Reservoirs (CIAC) - Strohs</v>
          </cell>
          <cell r="E195">
            <v>45231</v>
          </cell>
          <cell r="F195">
            <v>24760.45</v>
          </cell>
          <cell r="G195">
            <v>167</v>
          </cell>
          <cell r="H195">
            <v>150</v>
          </cell>
          <cell r="I195">
            <v>1779.1940119760479</v>
          </cell>
          <cell r="J195">
            <v>2668.84</v>
          </cell>
        </row>
        <row r="196">
          <cell r="C196" t="str">
            <v>Mains, Tanks and Reservoirs (50)</v>
          </cell>
          <cell r="D196" t="str">
            <v>Reservoirs - Strohs</v>
          </cell>
          <cell r="E196">
            <v>45231</v>
          </cell>
          <cell r="F196">
            <v>78103.839999999997</v>
          </cell>
          <cell r="G196">
            <v>167</v>
          </cell>
          <cell r="H196">
            <v>150</v>
          </cell>
          <cell r="I196">
            <v>5612.2519760479036</v>
          </cell>
          <cell r="J196">
            <v>8418.41</v>
          </cell>
        </row>
        <row r="197">
          <cell r="C197" t="str">
            <v>Mains, Tanks and Reservoirs (50)</v>
          </cell>
          <cell r="D197" t="str">
            <v>Reservoirs (CIAC) - Strohs</v>
          </cell>
          <cell r="E197">
            <v>45231</v>
          </cell>
          <cell r="F197">
            <v>52826.19</v>
          </cell>
          <cell r="G197">
            <v>167</v>
          </cell>
          <cell r="H197">
            <v>150</v>
          </cell>
          <cell r="I197">
            <v>3795.8938922155689</v>
          </cell>
          <cell r="J197">
            <v>5693.79</v>
          </cell>
        </row>
        <row r="198">
          <cell r="C198" t="str">
            <v>Mains, Tanks and Reservoirs (50)</v>
          </cell>
          <cell r="D198" t="str">
            <v>Reservoirs - Strohs</v>
          </cell>
          <cell r="E198">
            <v>45231</v>
          </cell>
          <cell r="F198">
            <v>515.12</v>
          </cell>
          <cell r="G198">
            <v>167</v>
          </cell>
          <cell r="H198">
            <v>150</v>
          </cell>
          <cell r="I198">
            <v>37.014610778443114</v>
          </cell>
          <cell r="J198">
            <v>55.46</v>
          </cell>
        </row>
        <row r="199">
          <cell r="C199" t="str">
            <v>Mains, Tanks and Reservoirs (50)</v>
          </cell>
          <cell r="D199" t="str">
            <v>Reservoirs (CIAC) - Strohs</v>
          </cell>
          <cell r="E199">
            <v>45231</v>
          </cell>
          <cell r="F199">
            <v>14373.88</v>
          </cell>
          <cell r="G199">
            <v>167</v>
          </cell>
          <cell r="H199">
            <v>150</v>
          </cell>
          <cell r="I199">
            <v>1032.8536526946107</v>
          </cell>
          <cell r="J199">
            <v>1549.27</v>
          </cell>
        </row>
        <row r="200">
          <cell r="C200" t="str">
            <v>Mains, Tanks and Reservoirs (50)</v>
          </cell>
          <cell r="D200" t="str">
            <v>Reservoirs - Strohs</v>
          </cell>
          <cell r="E200">
            <v>45231</v>
          </cell>
          <cell r="F200">
            <v>3449.73</v>
          </cell>
          <cell r="G200">
            <v>167</v>
          </cell>
          <cell r="H200">
            <v>150</v>
          </cell>
          <cell r="I200">
            <v>247.88479041916167</v>
          </cell>
          <cell r="J200">
            <v>371.87</v>
          </cell>
        </row>
        <row r="201">
          <cell r="C201" t="str">
            <v>Mains, Tanks and Reservoirs (50)</v>
          </cell>
          <cell r="D201" t="str">
            <v>Reservoirs - Strohs</v>
          </cell>
          <cell r="E201">
            <v>45231</v>
          </cell>
          <cell r="F201">
            <v>29706.02</v>
          </cell>
          <cell r="G201">
            <v>167</v>
          </cell>
          <cell r="H201">
            <v>150</v>
          </cell>
          <cell r="I201">
            <v>2134.5643113772458</v>
          </cell>
          <cell r="J201">
            <v>3201.84</v>
          </cell>
        </row>
        <row r="202">
          <cell r="C202" t="str">
            <v>Mains, Tanks and Reservoirs (50)</v>
          </cell>
          <cell r="D202" t="str">
            <v>Reservoirs - Strohs</v>
          </cell>
          <cell r="E202">
            <v>45231</v>
          </cell>
          <cell r="F202">
            <v>2910.02</v>
          </cell>
          <cell r="G202">
            <v>167</v>
          </cell>
          <cell r="H202">
            <v>150</v>
          </cell>
          <cell r="I202">
            <v>209.1032335329341</v>
          </cell>
          <cell r="J202">
            <v>313.7</v>
          </cell>
        </row>
        <row r="203">
          <cell r="C203" t="str">
            <v>Mains, Tanks and Reservoirs (50)</v>
          </cell>
          <cell r="D203" t="str">
            <v>Reservoirs (CIAC) - Strohs</v>
          </cell>
          <cell r="E203">
            <v>45231</v>
          </cell>
          <cell r="F203">
            <v>3451.84</v>
          </cell>
          <cell r="G203">
            <v>167</v>
          </cell>
          <cell r="H203">
            <v>150</v>
          </cell>
          <cell r="I203">
            <v>248.03640718562878</v>
          </cell>
          <cell r="J203">
            <v>372.06</v>
          </cell>
        </row>
        <row r="204">
          <cell r="C204" t="str">
            <v>Mains, Tanks and Reservoirs (50)</v>
          </cell>
          <cell r="D204" t="str">
            <v>Reservoirs - Strohs</v>
          </cell>
          <cell r="E204">
            <v>45231</v>
          </cell>
          <cell r="F204">
            <v>3934.23</v>
          </cell>
          <cell r="G204">
            <v>167</v>
          </cell>
          <cell r="H204">
            <v>150</v>
          </cell>
          <cell r="I204">
            <v>282.69916167664667</v>
          </cell>
          <cell r="J204">
            <v>424.07</v>
          </cell>
        </row>
        <row r="205">
          <cell r="C205" t="str">
            <v>Mains, Tanks and Reservoirs (50)</v>
          </cell>
          <cell r="D205" t="str">
            <v>Reservoirs - Strohs</v>
          </cell>
          <cell r="E205">
            <v>45231</v>
          </cell>
          <cell r="F205">
            <v>3138.3</v>
          </cell>
          <cell r="G205">
            <v>167</v>
          </cell>
          <cell r="H205">
            <v>150</v>
          </cell>
          <cell r="I205">
            <v>225.5065868263473</v>
          </cell>
          <cell r="J205">
            <v>338.23</v>
          </cell>
        </row>
        <row r="206">
          <cell r="C206" t="str">
            <v>Mains, Tanks and Reservoirs (50)</v>
          </cell>
          <cell r="D206" t="str">
            <v>Reservoirs - Strohs</v>
          </cell>
          <cell r="E206">
            <v>45231</v>
          </cell>
          <cell r="F206">
            <v>1023.32</v>
          </cell>
          <cell r="G206">
            <v>167</v>
          </cell>
          <cell r="H206">
            <v>150</v>
          </cell>
          <cell r="I206">
            <v>73.531976047904195</v>
          </cell>
          <cell r="J206">
            <v>110.33</v>
          </cell>
        </row>
        <row r="207">
          <cell r="C207" t="str">
            <v>Mains, Tanks and Reservoirs (50)</v>
          </cell>
          <cell r="D207" t="str">
            <v>Reservoirs - Strohs</v>
          </cell>
          <cell r="E207">
            <v>45231</v>
          </cell>
          <cell r="F207">
            <v>365.03</v>
          </cell>
          <cell r="G207">
            <v>167</v>
          </cell>
          <cell r="H207">
            <v>150</v>
          </cell>
          <cell r="I207">
            <v>26.229700598802392</v>
          </cell>
          <cell r="J207">
            <v>39.4</v>
          </cell>
        </row>
        <row r="208">
          <cell r="C208" t="str">
            <v>Mains, Tanks and Reservoirs (50)</v>
          </cell>
          <cell r="D208" t="str">
            <v>Reservoirs - Strohs</v>
          </cell>
          <cell r="E208">
            <v>45231</v>
          </cell>
          <cell r="F208">
            <v>1318.56</v>
          </cell>
          <cell r="G208">
            <v>167</v>
          </cell>
          <cell r="H208">
            <v>150</v>
          </cell>
          <cell r="I208">
            <v>94.746826347305387</v>
          </cell>
          <cell r="J208">
            <v>142.18</v>
          </cell>
        </row>
        <row r="209">
          <cell r="C209" t="str">
            <v>Mains, Tanks and Reservoirs (50)</v>
          </cell>
          <cell r="D209" t="str">
            <v>2.5 Inch Main, 3 lots - Strohs, 400</v>
          </cell>
          <cell r="E209">
            <v>45231</v>
          </cell>
          <cell r="F209">
            <v>8110</v>
          </cell>
          <cell r="G209">
            <v>600</v>
          </cell>
          <cell r="H209">
            <v>211</v>
          </cell>
          <cell r="I209">
            <v>162.20000000000002</v>
          </cell>
          <cell r="J209">
            <v>5271.54</v>
          </cell>
        </row>
        <row r="210">
          <cell r="C210" t="str">
            <v>Mains, Tanks and Reservoirs (50)</v>
          </cell>
          <cell r="D210" t="str">
            <v>2.5 Inch Main, 3 lots - Strohs, 400</v>
          </cell>
          <cell r="E210">
            <v>45231</v>
          </cell>
          <cell r="F210">
            <v>7771.48</v>
          </cell>
          <cell r="G210">
            <v>234</v>
          </cell>
          <cell r="H210">
            <v>217</v>
          </cell>
          <cell r="I210">
            <v>398.53743589743584</v>
          </cell>
          <cell r="J210">
            <v>597.79</v>
          </cell>
        </row>
        <row r="211">
          <cell r="C211" t="str">
            <v>Mains, Tanks and Reservoirs (50)</v>
          </cell>
          <cell r="D211" t="str">
            <v>8 Inch Main - Strohs, 36th StNW - 3</v>
          </cell>
          <cell r="E211">
            <v>45231</v>
          </cell>
          <cell r="F211">
            <v>7815</v>
          </cell>
          <cell r="G211">
            <v>600</v>
          </cell>
          <cell r="H211">
            <v>211</v>
          </cell>
          <cell r="I211">
            <v>156.30000000000001</v>
          </cell>
          <cell r="J211">
            <v>5079.75</v>
          </cell>
        </row>
        <row r="212">
          <cell r="C212" t="str">
            <v>Mains, Tanks and Reservoirs (50)</v>
          </cell>
          <cell r="D212" t="str">
            <v>8 Inch Main - Strohs, 5216 Picnic P</v>
          </cell>
          <cell r="E212">
            <v>45231</v>
          </cell>
          <cell r="F212">
            <v>13500</v>
          </cell>
          <cell r="G212">
            <v>600</v>
          </cell>
          <cell r="H212">
            <v>211</v>
          </cell>
          <cell r="I212">
            <v>270</v>
          </cell>
          <cell r="J212">
            <v>8775</v>
          </cell>
        </row>
        <row r="213">
          <cell r="C213" t="str">
            <v>Mains, Tanks and Reservoirs (50)</v>
          </cell>
          <cell r="D213" t="str">
            <v>8 Inch Main - Strohs, 36th StNW - 3</v>
          </cell>
          <cell r="E213">
            <v>45231</v>
          </cell>
          <cell r="F213">
            <v>7488.79</v>
          </cell>
          <cell r="G213">
            <v>234</v>
          </cell>
          <cell r="H213">
            <v>217</v>
          </cell>
          <cell r="I213">
            <v>384.04051282051284</v>
          </cell>
          <cell r="J213">
            <v>576.02</v>
          </cell>
        </row>
        <row r="214">
          <cell r="C214" t="str">
            <v>Mains, Tanks and Reservoirs (50)</v>
          </cell>
          <cell r="D214" t="str">
            <v>8 Inch Main - Strohs, 5216 Picnic P</v>
          </cell>
          <cell r="E214">
            <v>45231</v>
          </cell>
          <cell r="F214">
            <v>12936.49</v>
          </cell>
          <cell r="G214">
            <v>234</v>
          </cell>
          <cell r="H214">
            <v>217</v>
          </cell>
          <cell r="I214">
            <v>663.40974358974358</v>
          </cell>
          <cell r="J214">
            <v>995.06</v>
          </cell>
        </row>
        <row r="215">
          <cell r="C215" t="str">
            <v>Mains, Tanks and Reservoirs (50)</v>
          </cell>
          <cell r="D215" t="str">
            <v>Main Ext, 10" - Towne Plaza, 5401 O</v>
          </cell>
          <cell r="E215">
            <v>45231</v>
          </cell>
          <cell r="F215">
            <v>89007</v>
          </cell>
          <cell r="G215">
            <v>420</v>
          </cell>
          <cell r="H215">
            <v>337</v>
          </cell>
          <cell r="I215">
            <v>2543.0571428571429</v>
          </cell>
          <cell r="J215">
            <v>17801.38</v>
          </cell>
        </row>
        <row r="216">
          <cell r="C216" t="str">
            <v>Mains, Tanks and Reservoirs (50)</v>
          </cell>
          <cell r="D216" t="str">
            <v>10 Inch PVC Main to bank bldg - Str</v>
          </cell>
          <cell r="E216">
            <v>45231</v>
          </cell>
          <cell r="F216">
            <v>14651</v>
          </cell>
          <cell r="G216">
            <v>600</v>
          </cell>
          <cell r="H216">
            <v>211</v>
          </cell>
          <cell r="I216">
            <v>293.02</v>
          </cell>
          <cell r="J216">
            <v>9523.17</v>
          </cell>
        </row>
        <row r="217">
          <cell r="C217" t="str">
            <v>Mains, Tanks and Reservoirs (50)</v>
          </cell>
          <cell r="D217" t="str">
            <v>10 Inch Main - Strohs, HBR Covenant</v>
          </cell>
          <cell r="E217">
            <v>45231</v>
          </cell>
          <cell r="F217">
            <v>18050</v>
          </cell>
          <cell r="G217">
            <v>360</v>
          </cell>
          <cell r="H217">
            <v>205</v>
          </cell>
          <cell r="I217">
            <v>601.66666666666663</v>
          </cell>
          <cell r="J217">
            <v>7821.68</v>
          </cell>
        </row>
        <row r="218">
          <cell r="C218" t="str">
            <v>Mains, Tanks and Reservoirs (50)</v>
          </cell>
          <cell r="D218" t="str">
            <v>Main - Strohs, HBR Covenant (472)</v>
          </cell>
          <cell r="E218">
            <v>45231</v>
          </cell>
          <cell r="F218">
            <v>1843.75</v>
          </cell>
          <cell r="G218">
            <v>360</v>
          </cell>
          <cell r="H218">
            <v>205</v>
          </cell>
          <cell r="I218">
            <v>61.458333333333329</v>
          </cell>
          <cell r="J218">
            <v>798.94</v>
          </cell>
        </row>
        <row r="219">
          <cell r="C219" t="str">
            <v>Mains, Tanks and Reservoirs (50)</v>
          </cell>
          <cell r="D219" t="str">
            <v>Mains (CIAC) - Strohs (472)</v>
          </cell>
          <cell r="E219">
            <v>45231</v>
          </cell>
          <cell r="F219">
            <v>5805.04</v>
          </cell>
          <cell r="G219">
            <v>360</v>
          </cell>
          <cell r="H219">
            <v>169</v>
          </cell>
          <cell r="I219">
            <v>193.50133333333332</v>
          </cell>
          <cell r="J219">
            <v>3096.04</v>
          </cell>
        </row>
        <row r="220">
          <cell r="C220" t="str">
            <v>Mains, Tanks and Reservoirs (50)</v>
          </cell>
          <cell r="D220" t="str">
            <v>Main Ext, 10" - Towne Plaza, 5401 O</v>
          </cell>
          <cell r="E220">
            <v>45231</v>
          </cell>
          <cell r="F220">
            <v>85291.74</v>
          </cell>
          <cell r="G220">
            <v>234</v>
          </cell>
          <cell r="H220">
            <v>217</v>
          </cell>
          <cell r="I220">
            <v>4373.9353846153854</v>
          </cell>
          <cell r="J220">
            <v>6560.87</v>
          </cell>
        </row>
        <row r="221">
          <cell r="C221" t="str">
            <v>Mains, Tanks and Reservoirs (50)</v>
          </cell>
          <cell r="D221" t="str">
            <v>10 Inch PVC Main to bank bldg - Str</v>
          </cell>
          <cell r="E221">
            <v>45231</v>
          </cell>
          <cell r="F221">
            <v>14039.45</v>
          </cell>
          <cell r="G221">
            <v>234</v>
          </cell>
          <cell r="H221">
            <v>217</v>
          </cell>
          <cell r="I221">
            <v>719.97179487179494</v>
          </cell>
          <cell r="J221">
            <v>1079.99</v>
          </cell>
        </row>
        <row r="222">
          <cell r="C222" t="str">
            <v>Mains, Tanks and Reservoirs (50)</v>
          </cell>
          <cell r="D222" t="str">
            <v>10 Inch Main - Strohs, HBR Covenant</v>
          </cell>
          <cell r="E222">
            <v>45231</v>
          </cell>
          <cell r="F222">
            <v>17296.57</v>
          </cell>
          <cell r="G222">
            <v>234</v>
          </cell>
          <cell r="H222">
            <v>217</v>
          </cell>
          <cell r="I222">
            <v>887.00358974358971</v>
          </cell>
          <cell r="J222">
            <v>1330.54</v>
          </cell>
        </row>
        <row r="223">
          <cell r="C223" t="str">
            <v>Mains, Tanks and Reservoirs (50)</v>
          </cell>
          <cell r="D223" t="str">
            <v>Main - Strohs, HBR Covenant (472)</v>
          </cell>
          <cell r="E223">
            <v>45231</v>
          </cell>
          <cell r="F223">
            <v>1766.79</v>
          </cell>
          <cell r="G223">
            <v>234</v>
          </cell>
          <cell r="H223">
            <v>217</v>
          </cell>
          <cell r="I223">
            <v>90.604615384615386</v>
          </cell>
          <cell r="J223">
            <v>135.9</v>
          </cell>
        </row>
        <row r="224">
          <cell r="C224" t="str">
            <v>Mains, Tanks and Reservoirs (50)</v>
          </cell>
          <cell r="D224" t="str">
            <v>Mains (CIAC) - Strohs (472)</v>
          </cell>
          <cell r="E224">
            <v>45231</v>
          </cell>
          <cell r="F224">
            <v>5562.73</v>
          </cell>
          <cell r="G224">
            <v>234</v>
          </cell>
          <cell r="H224">
            <v>217</v>
          </cell>
          <cell r="I224">
            <v>285.26820512820507</v>
          </cell>
          <cell r="J224">
            <v>427.87</v>
          </cell>
        </row>
        <row r="225">
          <cell r="C225" t="str">
            <v>Mains, Tanks and Reservoirs (50)</v>
          </cell>
          <cell r="D225" t="str">
            <v>12" PVC Main - Strohs, W of 38th to</v>
          </cell>
          <cell r="E225">
            <v>45231</v>
          </cell>
          <cell r="F225">
            <v>79433</v>
          </cell>
          <cell r="G225">
            <v>600</v>
          </cell>
          <cell r="H225">
            <v>211</v>
          </cell>
          <cell r="I225">
            <v>1588.6599999999999</v>
          </cell>
          <cell r="J225">
            <v>51631.47</v>
          </cell>
        </row>
        <row r="226">
          <cell r="C226" t="str">
            <v>Mains, Tanks and Reservoirs (50)</v>
          </cell>
          <cell r="D226" t="str">
            <v>12" PVC Main - Strohs, W of 38th to</v>
          </cell>
          <cell r="E226">
            <v>45231</v>
          </cell>
          <cell r="F226">
            <v>76117.37</v>
          </cell>
          <cell r="G226">
            <v>234</v>
          </cell>
          <cell r="H226">
            <v>217</v>
          </cell>
          <cell r="I226">
            <v>3903.4548717948715</v>
          </cell>
          <cell r="J226">
            <v>5855.21</v>
          </cell>
        </row>
        <row r="227">
          <cell r="C227" t="str">
            <v>Plant, Other (40)</v>
          </cell>
          <cell r="D227" t="str">
            <v>Hydrants - Strohs (472)</v>
          </cell>
          <cell r="E227">
            <v>45231</v>
          </cell>
          <cell r="F227">
            <v>13826.72</v>
          </cell>
          <cell r="G227">
            <v>480</v>
          </cell>
          <cell r="H227">
            <v>68</v>
          </cell>
          <cell r="I227">
            <v>345.66799999999995</v>
          </cell>
          <cell r="J227">
            <v>11896.78</v>
          </cell>
        </row>
        <row r="228">
          <cell r="C228" t="str">
            <v>Plant, Other (40)</v>
          </cell>
          <cell r="D228" t="str">
            <v>Hydrants - Strohs (075)</v>
          </cell>
          <cell r="E228">
            <v>45231</v>
          </cell>
          <cell r="F228">
            <v>31004.1</v>
          </cell>
          <cell r="G228">
            <v>480</v>
          </cell>
          <cell r="H228">
            <v>68</v>
          </cell>
          <cell r="I228">
            <v>775.10249999999996</v>
          </cell>
          <cell r="J228">
            <v>23690.11</v>
          </cell>
        </row>
        <row r="229">
          <cell r="C229" t="str">
            <v>Plant, Other (40)</v>
          </cell>
          <cell r="D229" t="str">
            <v>Hydrants - Strohs (075)</v>
          </cell>
          <cell r="E229">
            <v>45231</v>
          </cell>
          <cell r="F229">
            <v>1015</v>
          </cell>
          <cell r="G229">
            <v>480</v>
          </cell>
          <cell r="H229">
            <v>173</v>
          </cell>
          <cell r="I229">
            <v>25.375</v>
          </cell>
          <cell r="J229">
            <v>651.23</v>
          </cell>
        </row>
        <row r="230">
          <cell r="C230" t="str">
            <v>Plant, Other (40)</v>
          </cell>
          <cell r="D230" t="str">
            <v>Hydrants - Strohs (472)</v>
          </cell>
          <cell r="E230">
            <v>45231</v>
          </cell>
          <cell r="F230">
            <v>3749</v>
          </cell>
          <cell r="G230">
            <v>480</v>
          </cell>
          <cell r="H230">
            <v>198</v>
          </cell>
          <cell r="I230">
            <v>93.724999999999994</v>
          </cell>
          <cell r="J230">
            <v>2210.34</v>
          </cell>
        </row>
        <row r="231">
          <cell r="C231" t="str">
            <v>Plant, Other (40)</v>
          </cell>
          <cell r="D231" t="str">
            <v>Hydrants - Strohs (075)</v>
          </cell>
          <cell r="E231">
            <v>45231</v>
          </cell>
          <cell r="F231">
            <v>720</v>
          </cell>
          <cell r="G231">
            <v>480</v>
          </cell>
          <cell r="H231">
            <v>349</v>
          </cell>
          <cell r="I231">
            <v>18</v>
          </cell>
          <cell r="J231">
            <v>198</v>
          </cell>
        </row>
        <row r="232">
          <cell r="C232" t="str">
            <v>Plant, Other (40)</v>
          </cell>
          <cell r="D232" t="str">
            <v>Hydrants - Strohs (075)</v>
          </cell>
          <cell r="E232">
            <v>45231</v>
          </cell>
          <cell r="F232">
            <v>2900.77</v>
          </cell>
          <cell r="G232">
            <v>360</v>
          </cell>
          <cell r="H232">
            <v>120</v>
          </cell>
          <cell r="I232">
            <v>96.692333333333323</v>
          </cell>
          <cell r="J232">
            <v>1941.93</v>
          </cell>
        </row>
        <row r="233">
          <cell r="C233" t="str">
            <v>Plant, Other (40)</v>
          </cell>
          <cell r="D233" t="str">
            <v>Hydrants - Strohs (472)</v>
          </cell>
          <cell r="E233">
            <v>45231</v>
          </cell>
          <cell r="F233">
            <v>1512.5</v>
          </cell>
          <cell r="G233">
            <v>360</v>
          </cell>
          <cell r="H233">
            <v>123</v>
          </cell>
          <cell r="I233">
            <v>50.416666666666671</v>
          </cell>
          <cell r="J233">
            <v>999.91</v>
          </cell>
        </row>
        <row r="234">
          <cell r="C234" t="str">
            <v>Plant, Other (40)</v>
          </cell>
          <cell r="D234" t="str">
            <v>Hydrants - Strohs (075)</v>
          </cell>
          <cell r="E234">
            <v>45231</v>
          </cell>
          <cell r="F234">
            <v>2821.5</v>
          </cell>
          <cell r="G234">
            <v>360</v>
          </cell>
          <cell r="H234">
            <v>121</v>
          </cell>
          <cell r="I234">
            <v>94.050000000000011</v>
          </cell>
          <cell r="J234">
            <v>1881.03</v>
          </cell>
        </row>
        <row r="235">
          <cell r="C235" t="str">
            <v>Plant, Other (40)</v>
          </cell>
          <cell r="D235" t="str">
            <v>Hydrant (CIAC) - Strohs (472)</v>
          </cell>
          <cell r="E235">
            <v>45231</v>
          </cell>
          <cell r="F235">
            <v>38098.089999999997</v>
          </cell>
          <cell r="G235">
            <v>360</v>
          </cell>
          <cell r="H235">
            <v>157</v>
          </cell>
          <cell r="I235">
            <v>1269.9363333333331</v>
          </cell>
          <cell r="J235">
            <v>18457.91</v>
          </cell>
        </row>
        <row r="236">
          <cell r="C236" t="str">
            <v>Plant, Other (40)</v>
          </cell>
          <cell r="D236" t="str">
            <v>Hydrants - Strohs (472)</v>
          </cell>
          <cell r="E236">
            <v>45231</v>
          </cell>
          <cell r="F236">
            <v>9849.07</v>
          </cell>
          <cell r="G236">
            <v>360</v>
          </cell>
          <cell r="H236">
            <v>301</v>
          </cell>
          <cell r="I236">
            <v>328.30233333333331</v>
          </cell>
          <cell r="J236">
            <v>1641.53</v>
          </cell>
        </row>
        <row r="237">
          <cell r="C237" t="str">
            <v>Plant, Other (40)</v>
          </cell>
          <cell r="D237" t="str">
            <v>Hydrant (CIAC) - Strohs (075)</v>
          </cell>
          <cell r="E237">
            <v>45231</v>
          </cell>
          <cell r="F237">
            <v>20577</v>
          </cell>
          <cell r="G237">
            <v>480</v>
          </cell>
          <cell r="H237">
            <v>433</v>
          </cell>
          <cell r="I237">
            <v>514.42499999999995</v>
          </cell>
          <cell r="J237">
            <v>2057.7199999999998</v>
          </cell>
        </row>
        <row r="238">
          <cell r="C238" t="str">
            <v>Plant, Other (40)</v>
          </cell>
          <cell r="D238" t="str">
            <v>Hydrants - Strohs (472)</v>
          </cell>
          <cell r="E238">
            <v>45231</v>
          </cell>
          <cell r="F238">
            <v>13249.57</v>
          </cell>
          <cell r="G238">
            <v>209</v>
          </cell>
          <cell r="H238">
            <v>192</v>
          </cell>
          <cell r="I238">
            <v>760.74086124401913</v>
          </cell>
          <cell r="J238">
            <v>1141.1300000000001</v>
          </cell>
        </row>
        <row r="239">
          <cell r="C239" t="str">
            <v>Plant, Other (40)</v>
          </cell>
          <cell r="D239" t="str">
            <v>Hydrants - Strohs (075)</v>
          </cell>
          <cell r="E239">
            <v>45231</v>
          </cell>
          <cell r="F239">
            <v>25671.05</v>
          </cell>
          <cell r="G239">
            <v>209</v>
          </cell>
          <cell r="H239">
            <v>192</v>
          </cell>
          <cell r="I239">
            <v>1473.9358851674642</v>
          </cell>
          <cell r="J239">
            <v>2210.9299999999998</v>
          </cell>
        </row>
        <row r="240">
          <cell r="C240" t="str">
            <v>Plant, Other (40)</v>
          </cell>
          <cell r="D240" t="str">
            <v>Hydrants - Strohs (075)</v>
          </cell>
          <cell r="E240">
            <v>45231</v>
          </cell>
          <cell r="F240">
            <v>972.63</v>
          </cell>
          <cell r="G240">
            <v>209</v>
          </cell>
          <cell r="H240">
            <v>192</v>
          </cell>
          <cell r="I240">
            <v>55.844784688995219</v>
          </cell>
          <cell r="J240">
            <v>83.72</v>
          </cell>
        </row>
        <row r="241">
          <cell r="C241" t="str">
            <v>Plant, Other (40)</v>
          </cell>
          <cell r="D241" t="str">
            <v>Hydrants - Strohs (472)</v>
          </cell>
          <cell r="E241">
            <v>45231</v>
          </cell>
          <cell r="F241">
            <v>3592.51</v>
          </cell>
          <cell r="G241">
            <v>209</v>
          </cell>
          <cell r="H241">
            <v>192</v>
          </cell>
          <cell r="I241">
            <v>206.26851674641151</v>
          </cell>
          <cell r="J241">
            <v>309.42</v>
          </cell>
        </row>
        <row r="242">
          <cell r="C242" t="str">
            <v>Plant, Other (40)</v>
          </cell>
          <cell r="D242" t="str">
            <v>Hydrants - Strohs (075)</v>
          </cell>
          <cell r="E242">
            <v>45231</v>
          </cell>
          <cell r="F242">
            <v>689.95</v>
          </cell>
          <cell r="G242">
            <v>209</v>
          </cell>
          <cell r="H242">
            <v>192</v>
          </cell>
          <cell r="I242">
            <v>39.614354066985648</v>
          </cell>
          <cell r="J242">
            <v>59.41</v>
          </cell>
        </row>
        <row r="243">
          <cell r="C243" t="str">
            <v>Plant, Other (40)</v>
          </cell>
          <cell r="D243" t="str">
            <v>Hydrants - Strohs (075)</v>
          </cell>
          <cell r="E243">
            <v>45231</v>
          </cell>
          <cell r="F243">
            <v>2779.69</v>
          </cell>
          <cell r="G243">
            <v>209</v>
          </cell>
          <cell r="H243">
            <v>192</v>
          </cell>
          <cell r="I243">
            <v>159.59942583732058</v>
          </cell>
          <cell r="J243">
            <v>239.4</v>
          </cell>
        </row>
        <row r="244">
          <cell r="C244" t="str">
            <v>Plant, Other (40)</v>
          </cell>
          <cell r="D244" t="str">
            <v>Hydrants - Strohs (472)</v>
          </cell>
          <cell r="E244">
            <v>45231</v>
          </cell>
          <cell r="F244">
            <v>1449.37</v>
          </cell>
          <cell r="G244">
            <v>209</v>
          </cell>
          <cell r="H244">
            <v>192</v>
          </cell>
          <cell r="I244">
            <v>83.217416267942582</v>
          </cell>
          <cell r="J244">
            <v>124.78</v>
          </cell>
        </row>
        <row r="245">
          <cell r="C245" t="str">
            <v>Plant, Other (40)</v>
          </cell>
          <cell r="D245" t="str">
            <v>Hydrants - Strohs (075)</v>
          </cell>
          <cell r="E245">
            <v>45231</v>
          </cell>
          <cell r="F245">
            <v>2703.73</v>
          </cell>
          <cell r="G245">
            <v>209</v>
          </cell>
          <cell r="H245">
            <v>192</v>
          </cell>
          <cell r="I245">
            <v>155.23808612440192</v>
          </cell>
          <cell r="J245">
            <v>232.9</v>
          </cell>
        </row>
        <row r="246">
          <cell r="C246" t="str">
            <v>Plant, Other (40)</v>
          </cell>
          <cell r="D246" t="str">
            <v>Hydrant (CIAC) - Strohs (472)</v>
          </cell>
          <cell r="E246">
            <v>45231</v>
          </cell>
          <cell r="F246">
            <v>30449.47</v>
          </cell>
          <cell r="G246">
            <v>209</v>
          </cell>
          <cell r="H246">
            <v>192</v>
          </cell>
          <cell r="I246">
            <v>1748.2949282296652</v>
          </cell>
          <cell r="J246">
            <v>2622.43</v>
          </cell>
        </row>
        <row r="247">
          <cell r="C247" t="str">
            <v>Plant, Other (40)</v>
          </cell>
          <cell r="D247" t="str">
            <v>Hydrants - Strohs (472)</v>
          </cell>
          <cell r="E247">
            <v>45231</v>
          </cell>
          <cell r="F247">
            <v>9437.9599999999991</v>
          </cell>
          <cell r="G247">
            <v>209</v>
          </cell>
          <cell r="H247">
            <v>192</v>
          </cell>
          <cell r="I247">
            <v>541.89244019138755</v>
          </cell>
          <cell r="J247">
            <v>812.87</v>
          </cell>
        </row>
        <row r="248">
          <cell r="C248" t="str">
            <v>Plant, Other (40)</v>
          </cell>
          <cell r="D248" t="str">
            <v>Hydrant (CIAC) - Strohs (075)</v>
          </cell>
          <cell r="E248">
            <v>45231</v>
          </cell>
          <cell r="F248">
            <v>19718.09</v>
          </cell>
          <cell r="G248">
            <v>209</v>
          </cell>
          <cell r="H248">
            <v>192</v>
          </cell>
          <cell r="I248">
            <v>1132.1391387559809</v>
          </cell>
          <cell r="J248">
            <v>1698.2</v>
          </cell>
        </row>
        <row r="249">
          <cell r="C249" t="str">
            <v>Plant, Other (40)</v>
          </cell>
          <cell r="D249" t="str">
            <v>Fixed Propane Generator - Strohs, G</v>
          </cell>
          <cell r="E249">
            <v>45231</v>
          </cell>
          <cell r="F249">
            <v>823.31</v>
          </cell>
          <cell r="G249">
            <v>120</v>
          </cell>
          <cell r="H249">
            <v>0</v>
          </cell>
          <cell r="I249">
            <v>0</v>
          </cell>
          <cell r="J249">
            <v>823.31</v>
          </cell>
        </row>
        <row r="250">
          <cell r="C250" t="str">
            <v>Plant, Other (40)</v>
          </cell>
          <cell r="D250" t="str">
            <v>Fixed Propane Generator - Strohs, G</v>
          </cell>
          <cell r="E250">
            <v>45231</v>
          </cell>
          <cell r="F250">
            <v>338.17</v>
          </cell>
          <cell r="G250">
            <v>60</v>
          </cell>
          <cell r="H250">
            <v>0</v>
          </cell>
          <cell r="I250">
            <v>0</v>
          </cell>
          <cell r="J250">
            <v>338.17</v>
          </cell>
        </row>
        <row r="251">
          <cell r="C251" t="str">
            <v>Plant, Other (40)</v>
          </cell>
          <cell r="D251" t="str">
            <v>Fixed Propane Generator - Strohs, G</v>
          </cell>
          <cell r="E251">
            <v>45231</v>
          </cell>
          <cell r="F251">
            <v>700.49</v>
          </cell>
          <cell r="G251">
            <v>8</v>
          </cell>
          <cell r="H251">
            <v>0</v>
          </cell>
          <cell r="I251">
            <v>0</v>
          </cell>
          <cell r="J251">
            <v>700.49</v>
          </cell>
        </row>
        <row r="252">
          <cell r="C252" t="str">
            <v>Plant, Other (40)</v>
          </cell>
          <cell r="D252" t="str">
            <v>Fixed Propane Generator - Strohs, G</v>
          </cell>
          <cell r="E252">
            <v>45231</v>
          </cell>
          <cell r="F252">
            <v>324.05</v>
          </cell>
          <cell r="G252">
            <v>8</v>
          </cell>
          <cell r="H252">
            <v>0</v>
          </cell>
          <cell r="I252">
            <v>0</v>
          </cell>
          <cell r="J252">
            <v>324.05</v>
          </cell>
        </row>
        <row r="253">
          <cell r="C253" t="str">
            <v>Plant, Other (40)</v>
          </cell>
          <cell r="D253" t="str">
            <v>Winco 30kw portable Diesel Generato</v>
          </cell>
          <cell r="E253">
            <v>45231</v>
          </cell>
          <cell r="F253">
            <v>1593.81</v>
          </cell>
          <cell r="G253">
            <v>120</v>
          </cell>
          <cell r="H253">
            <v>0</v>
          </cell>
          <cell r="I253">
            <v>0</v>
          </cell>
          <cell r="J253">
            <v>1593.81</v>
          </cell>
        </row>
        <row r="254">
          <cell r="C254" t="str">
            <v>Plant, Other (40)</v>
          </cell>
          <cell r="D254" t="str">
            <v>Powermate Portable Gas Generator -</v>
          </cell>
          <cell r="E254">
            <v>45231</v>
          </cell>
          <cell r="F254">
            <v>395.67</v>
          </cell>
          <cell r="G254">
            <v>120</v>
          </cell>
          <cell r="H254">
            <v>0</v>
          </cell>
          <cell r="I254">
            <v>0</v>
          </cell>
          <cell r="J254">
            <v>395.67</v>
          </cell>
        </row>
        <row r="255">
          <cell r="C255" t="str">
            <v>Plant, Other (40)</v>
          </cell>
          <cell r="D255" t="str">
            <v>Portable Generator - Strohs, NW Sho</v>
          </cell>
          <cell r="E255">
            <v>45231</v>
          </cell>
          <cell r="F255">
            <v>411.82</v>
          </cell>
          <cell r="G255">
            <v>120</v>
          </cell>
          <cell r="H255">
            <v>0</v>
          </cell>
          <cell r="I255">
            <v>0</v>
          </cell>
          <cell r="J255">
            <v>411.82</v>
          </cell>
        </row>
        <row r="256">
          <cell r="C256" t="str">
            <v>Plant, Other (40)</v>
          </cell>
          <cell r="D256" t="str">
            <v>Winco 30kw portable Diesel Generato</v>
          </cell>
          <cell r="E256">
            <v>45231</v>
          </cell>
          <cell r="F256">
            <v>1344.4</v>
          </cell>
          <cell r="G256">
            <v>10</v>
          </cell>
          <cell r="H256">
            <v>0</v>
          </cell>
          <cell r="I256">
            <v>0</v>
          </cell>
          <cell r="J256">
            <v>1344.4</v>
          </cell>
        </row>
        <row r="257">
          <cell r="C257" t="str">
            <v>Plant, Other (40)</v>
          </cell>
          <cell r="D257" t="str">
            <v>Powermate Portable Gas Generator -</v>
          </cell>
          <cell r="E257">
            <v>45231</v>
          </cell>
          <cell r="F257">
            <v>379.15</v>
          </cell>
          <cell r="G257">
            <v>10</v>
          </cell>
          <cell r="H257">
            <v>0</v>
          </cell>
          <cell r="I257">
            <v>0</v>
          </cell>
          <cell r="J257">
            <v>379.15</v>
          </cell>
        </row>
        <row r="258">
          <cell r="C258" t="str">
            <v>Plant, Other (40)</v>
          </cell>
          <cell r="D258" t="str">
            <v>Portable Generator - Strohs, NW Sho</v>
          </cell>
          <cell r="E258">
            <v>45231</v>
          </cell>
          <cell r="F258">
            <v>394.63</v>
          </cell>
          <cell r="G258">
            <v>8</v>
          </cell>
          <cell r="H258">
            <v>0</v>
          </cell>
          <cell r="I258">
            <v>0</v>
          </cell>
          <cell r="J258">
            <v>394.63</v>
          </cell>
        </row>
        <row r="259">
          <cell r="C259" t="str">
            <v>Plant, Other (40)</v>
          </cell>
          <cell r="D259" t="str">
            <v>Misc Equip - Strohs</v>
          </cell>
          <cell r="E259">
            <v>45231</v>
          </cell>
          <cell r="F259">
            <v>6263</v>
          </cell>
          <cell r="G259">
            <v>360</v>
          </cell>
          <cell r="H259">
            <v>163</v>
          </cell>
          <cell r="I259">
            <v>208.76666666666665</v>
          </cell>
          <cell r="J259">
            <v>3444.69</v>
          </cell>
        </row>
        <row r="260">
          <cell r="C260" t="str">
            <v>Plant, Other (40)</v>
          </cell>
          <cell r="D260" t="str">
            <v>Misc Equip (CIAC) - Strohs</v>
          </cell>
          <cell r="E260">
            <v>45231</v>
          </cell>
          <cell r="F260">
            <v>8110.24</v>
          </cell>
          <cell r="G260">
            <v>360</v>
          </cell>
          <cell r="H260">
            <v>145</v>
          </cell>
          <cell r="I260">
            <v>270.3413333333333</v>
          </cell>
          <cell r="J260">
            <v>4866.16</v>
          </cell>
        </row>
        <row r="261">
          <cell r="C261" t="str">
            <v>Plant, Other (40)</v>
          </cell>
          <cell r="D261" t="str">
            <v>Misc Equip - Strohs</v>
          </cell>
          <cell r="E261">
            <v>45231</v>
          </cell>
          <cell r="F261">
            <v>3108.31</v>
          </cell>
          <cell r="G261">
            <v>360</v>
          </cell>
          <cell r="H261">
            <v>205</v>
          </cell>
          <cell r="I261">
            <v>103.61033333333333</v>
          </cell>
          <cell r="J261">
            <v>1346.88</v>
          </cell>
        </row>
        <row r="262">
          <cell r="C262" t="str">
            <v>Plant, Other (40)</v>
          </cell>
          <cell r="D262" t="str">
            <v>Misc Equip - Strohs</v>
          </cell>
          <cell r="E262">
            <v>45231</v>
          </cell>
          <cell r="F262">
            <v>798.07</v>
          </cell>
          <cell r="G262">
            <v>360</v>
          </cell>
          <cell r="H262">
            <v>205</v>
          </cell>
          <cell r="I262">
            <v>26.602333333333334</v>
          </cell>
          <cell r="J262">
            <v>345.87</v>
          </cell>
        </row>
        <row r="263">
          <cell r="C263" t="str">
            <v>Plant, Other (40)</v>
          </cell>
          <cell r="D263" t="str">
            <v>Misc Equip - Strohs</v>
          </cell>
          <cell r="E263">
            <v>45231</v>
          </cell>
          <cell r="F263">
            <v>4953.8999999999996</v>
          </cell>
          <cell r="G263">
            <v>360</v>
          </cell>
          <cell r="H263">
            <v>205</v>
          </cell>
          <cell r="I263">
            <v>165.13</v>
          </cell>
          <cell r="J263">
            <v>2146.6799999999998</v>
          </cell>
        </row>
        <row r="264">
          <cell r="C264" t="str">
            <v>Plant, Other (40)</v>
          </cell>
          <cell r="D264" t="str">
            <v>Misc Equip - Strohs</v>
          </cell>
          <cell r="E264">
            <v>45231</v>
          </cell>
          <cell r="F264">
            <v>1438.32</v>
          </cell>
          <cell r="G264">
            <v>360</v>
          </cell>
          <cell r="H264">
            <v>205</v>
          </cell>
          <cell r="I264">
            <v>47.943999999999996</v>
          </cell>
          <cell r="J264">
            <v>623.33000000000004</v>
          </cell>
        </row>
        <row r="265">
          <cell r="C265" t="str">
            <v>Plant, Other (40)</v>
          </cell>
          <cell r="D265" t="str">
            <v>Misc Equip - Strohs, HBR Cov Church</v>
          </cell>
          <cell r="E265">
            <v>45231</v>
          </cell>
          <cell r="F265">
            <v>16833.39</v>
          </cell>
          <cell r="G265">
            <v>360</v>
          </cell>
          <cell r="H265">
            <v>217</v>
          </cell>
          <cell r="I265">
            <v>561.11300000000006</v>
          </cell>
          <cell r="J265">
            <v>5495.69</v>
          </cell>
        </row>
        <row r="266">
          <cell r="C266" t="str">
            <v>Plant, Other (40)</v>
          </cell>
          <cell r="D266" t="str">
            <v>Misc Equip - Strohs</v>
          </cell>
          <cell r="E266">
            <v>45231</v>
          </cell>
          <cell r="F266">
            <v>2073.08</v>
          </cell>
          <cell r="G266">
            <v>360</v>
          </cell>
          <cell r="H266">
            <v>217</v>
          </cell>
          <cell r="I266">
            <v>69.102666666666664</v>
          </cell>
          <cell r="J266">
            <v>829.25</v>
          </cell>
        </row>
        <row r="267">
          <cell r="C267" t="str">
            <v>Plant, Other (40)</v>
          </cell>
          <cell r="D267" t="str">
            <v>Sample Station - Strohs</v>
          </cell>
          <cell r="E267">
            <v>45231</v>
          </cell>
          <cell r="F267">
            <v>1252.0999999999999</v>
          </cell>
          <cell r="G267">
            <v>360</v>
          </cell>
          <cell r="H267">
            <v>217</v>
          </cell>
          <cell r="I267">
            <v>41.736666666666665</v>
          </cell>
          <cell r="J267">
            <v>500.87</v>
          </cell>
        </row>
        <row r="268">
          <cell r="C268" t="str">
            <v>Plant, Other (40)</v>
          </cell>
          <cell r="D268" t="str">
            <v>Misc Equip - Strohs</v>
          </cell>
          <cell r="E268">
            <v>45231</v>
          </cell>
          <cell r="F268">
            <v>6001.57</v>
          </cell>
          <cell r="G268">
            <v>213</v>
          </cell>
          <cell r="H268">
            <v>196</v>
          </cell>
          <cell r="I268">
            <v>338.11661971830983</v>
          </cell>
          <cell r="J268">
            <v>507.22</v>
          </cell>
        </row>
        <row r="269">
          <cell r="C269" t="str">
            <v>Plant, Other (40)</v>
          </cell>
          <cell r="D269" t="str">
            <v>Misc Equip (CIAC) - Strohs</v>
          </cell>
          <cell r="E269">
            <v>45231</v>
          </cell>
          <cell r="F269">
            <v>7771.71</v>
          </cell>
          <cell r="G269">
            <v>213</v>
          </cell>
          <cell r="H269">
            <v>196</v>
          </cell>
          <cell r="I269">
            <v>437.84281690140847</v>
          </cell>
          <cell r="J269">
            <v>656.8</v>
          </cell>
        </row>
        <row r="270">
          <cell r="C270" t="str">
            <v>Plant, Other (40)</v>
          </cell>
          <cell r="D270" t="str">
            <v>Misc Equip - Strohs</v>
          </cell>
          <cell r="E270">
            <v>45231</v>
          </cell>
          <cell r="F270">
            <v>2978.57</v>
          </cell>
          <cell r="G270">
            <v>213</v>
          </cell>
          <cell r="H270">
            <v>196</v>
          </cell>
          <cell r="I270">
            <v>167.80676056338029</v>
          </cell>
          <cell r="J270">
            <v>251.66</v>
          </cell>
        </row>
        <row r="271">
          <cell r="C271" t="str">
            <v>Plant, Other (40)</v>
          </cell>
          <cell r="D271" t="str">
            <v>Misc Equip - Strohs</v>
          </cell>
          <cell r="E271">
            <v>45231</v>
          </cell>
          <cell r="F271">
            <v>764.76</v>
          </cell>
          <cell r="G271">
            <v>213</v>
          </cell>
          <cell r="H271">
            <v>196</v>
          </cell>
          <cell r="I271">
            <v>43.08507042253521</v>
          </cell>
          <cell r="J271">
            <v>64.62</v>
          </cell>
        </row>
        <row r="272">
          <cell r="C272" t="str">
            <v>Plant, Other (40)</v>
          </cell>
          <cell r="D272" t="str">
            <v>Misc Equip - Strohs</v>
          </cell>
          <cell r="E272">
            <v>45231</v>
          </cell>
          <cell r="F272">
            <v>4747.12</v>
          </cell>
          <cell r="G272">
            <v>213</v>
          </cell>
          <cell r="H272">
            <v>196</v>
          </cell>
          <cell r="I272">
            <v>267.44338028169011</v>
          </cell>
          <cell r="J272">
            <v>401.2</v>
          </cell>
        </row>
        <row r="273">
          <cell r="C273" t="str">
            <v>Plant, Other (40)</v>
          </cell>
          <cell r="D273" t="str">
            <v>Misc Equip - Strohs</v>
          </cell>
          <cell r="E273">
            <v>45231</v>
          </cell>
          <cell r="F273">
            <v>1378.28</v>
          </cell>
          <cell r="G273">
            <v>213</v>
          </cell>
          <cell r="H273">
            <v>196</v>
          </cell>
          <cell r="I273">
            <v>77.649577464788734</v>
          </cell>
          <cell r="J273">
            <v>116.46</v>
          </cell>
        </row>
        <row r="274">
          <cell r="C274" t="str">
            <v>Plant, Other (40)</v>
          </cell>
          <cell r="D274" t="str">
            <v>Misc Equip - Strohs, HBR Cov Church</v>
          </cell>
          <cell r="E274">
            <v>45231</v>
          </cell>
          <cell r="F274">
            <v>12716.49</v>
          </cell>
          <cell r="G274">
            <v>213</v>
          </cell>
          <cell r="H274">
            <v>196</v>
          </cell>
          <cell r="I274">
            <v>716.42197183098597</v>
          </cell>
          <cell r="J274">
            <v>1074.6099999999999</v>
          </cell>
        </row>
        <row r="275">
          <cell r="C275" t="str">
            <v>Plant, Other (40)</v>
          </cell>
          <cell r="D275" t="str">
            <v>Misc Equip - Strohs</v>
          </cell>
          <cell r="E275">
            <v>45231</v>
          </cell>
          <cell r="F275">
            <v>1986.55</v>
          </cell>
          <cell r="G275">
            <v>213</v>
          </cell>
          <cell r="H275">
            <v>196</v>
          </cell>
          <cell r="I275">
            <v>111.91830985915493</v>
          </cell>
          <cell r="J275">
            <v>167.92</v>
          </cell>
        </row>
        <row r="276">
          <cell r="C276" t="str">
            <v>Plant, Other (40)</v>
          </cell>
          <cell r="D276" t="str">
            <v>Sample Station - Strohs</v>
          </cell>
          <cell r="E276">
            <v>45231</v>
          </cell>
          <cell r="F276">
            <v>1199.8399999999999</v>
          </cell>
          <cell r="G276">
            <v>213</v>
          </cell>
          <cell r="H276">
            <v>196</v>
          </cell>
          <cell r="I276">
            <v>67.596619718309853</v>
          </cell>
          <cell r="J276">
            <v>101.36</v>
          </cell>
        </row>
        <row r="277">
          <cell r="C277" t="str">
            <v>Land, Water Rights, and Organization (0)</v>
          </cell>
          <cell r="D277" t="str">
            <v>Land - Strohs, parcel 3632000100 (4</v>
          </cell>
          <cell r="E277">
            <v>45231</v>
          </cell>
          <cell r="F277">
            <v>2695.12</v>
          </cell>
          <cell r="G277" t="str">
            <v>n/a</v>
          </cell>
          <cell r="H277" t="str">
            <v>n/a</v>
          </cell>
          <cell r="I277">
            <v>0</v>
          </cell>
          <cell r="J277">
            <v>0</v>
          </cell>
        </row>
        <row r="278">
          <cell r="C278" t="str">
            <v>Land, Water Rights, and Organization (0)</v>
          </cell>
          <cell r="D278" t="str">
            <v>Land - Strohs, parcel 3632000090 (4</v>
          </cell>
          <cell r="E278">
            <v>45231</v>
          </cell>
          <cell r="F278">
            <v>14520.63</v>
          </cell>
          <cell r="G278" t="str">
            <v>n/a</v>
          </cell>
          <cell r="H278" t="str">
            <v>n/a</v>
          </cell>
          <cell r="I278">
            <v>0</v>
          </cell>
          <cell r="J278">
            <v>0</v>
          </cell>
        </row>
        <row r="279">
          <cell r="C279" t="str">
            <v>Land, Water Rights, and Organization (0)</v>
          </cell>
          <cell r="D279" t="str">
            <v>Land - Strohs, parcel 221203052 (47</v>
          </cell>
          <cell r="E279">
            <v>45231</v>
          </cell>
          <cell r="F279">
            <v>942.9</v>
          </cell>
          <cell r="G279" t="str">
            <v>n/a</v>
          </cell>
          <cell r="H279" t="str">
            <v>n/a</v>
          </cell>
          <cell r="I279">
            <v>0</v>
          </cell>
          <cell r="J279">
            <v>0</v>
          </cell>
        </row>
        <row r="280">
          <cell r="C280" t="str">
            <v>Land, Water Rights, and Organization (0)</v>
          </cell>
          <cell r="D280" t="str">
            <v>Land - Strohs, parcel 221184046 (47</v>
          </cell>
          <cell r="E280">
            <v>45231</v>
          </cell>
          <cell r="F280">
            <v>5217.37</v>
          </cell>
          <cell r="G280" t="str">
            <v>n/a</v>
          </cell>
          <cell r="H280" t="str">
            <v>n/a</v>
          </cell>
          <cell r="I280">
            <v>0</v>
          </cell>
          <cell r="J280">
            <v>0</v>
          </cell>
        </row>
        <row r="281">
          <cell r="C281" t="str">
            <v>Land, Water Rights, and Organization (0)</v>
          </cell>
          <cell r="D281" t="str">
            <v>Land - Strohs, parcel 221184040 (47</v>
          </cell>
          <cell r="E281">
            <v>45231</v>
          </cell>
          <cell r="F281">
            <v>9743.2800000000007</v>
          </cell>
          <cell r="G281" t="str">
            <v>n/a</v>
          </cell>
          <cell r="H281" t="str">
            <v>n/a</v>
          </cell>
          <cell r="I281">
            <v>0</v>
          </cell>
          <cell r="J281">
            <v>0</v>
          </cell>
        </row>
        <row r="282">
          <cell r="C282" t="str">
            <v>Land, Water Rights, and Organization (0)</v>
          </cell>
          <cell r="D282" t="str">
            <v>Land - Strohs, parcel 221172118 (07</v>
          </cell>
          <cell r="E282">
            <v>45231</v>
          </cell>
          <cell r="F282">
            <v>2828.7</v>
          </cell>
          <cell r="G282" t="str">
            <v>n/a</v>
          </cell>
          <cell r="H282" t="str">
            <v>n/a</v>
          </cell>
          <cell r="I282">
            <v>0</v>
          </cell>
          <cell r="J282">
            <v>0</v>
          </cell>
        </row>
        <row r="283">
          <cell r="C283" t="str">
            <v>Land, Water Rights, and Organization (0)</v>
          </cell>
          <cell r="D283" t="str">
            <v>Land - Strohs, parcel 3632000100 (4</v>
          </cell>
          <cell r="E283">
            <v>45231</v>
          </cell>
          <cell r="F283">
            <v>2582.62</v>
          </cell>
          <cell r="G283" t="str">
            <v>n/a</v>
          </cell>
          <cell r="H283" t="str">
            <v>n/a</v>
          </cell>
          <cell r="I283">
            <v>0</v>
          </cell>
          <cell r="J283">
            <v>0</v>
          </cell>
        </row>
        <row r="284">
          <cell r="C284" t="str">
            <v>Land, Water Rights, and Organization (0)</v>
          </cell>
          <cell r="D284" t="str">
            <v>Land - Strohs, parcel 3632000090 (4</v>
          </cell>
          <cell r="E284">
            <v>45231</v>
          </cell>
          <cell r="F284">
            <v>13914.52</v>
          </cell>
          <cell r="G284" t="str">
            <v>n/a</v>
          </cell>
          <cell r="H284" t="str">
            <v>n/a</v>
          </cell>
          <cell r="I284">
            <v>0</v>
          </cell>
          <cell r="J284">
            <v>0</v>
          </cell>
        </row>
        <row r="285">
          <cell r="C285" t="str">
            <v>Land, Water Rights, and Organization (0)</v>
          </cell>
          <cell r="D285" t="str">
            <v>Land - Strohs, parcel 221203052 (47</v>
          </cell>
          <cell r="E285">
            <v>45231</v>
          </cell>
          <cell r="F285">
            <v>903.54</v>
          </cell>
          <cell r="G285" t="str">
            <v>n/a</v>
          </cell>
          <cell r="H285" t="str">
            <v>n/a</v>
          </cell>
          <cell r="I285">
            <v>0</v>
          </cell>
          <cell r="J285">
            <v>0</v>
          </cell>
        </row>
        <row r="286">
          <cell r="C286" t="str">
            <v>Land, Water Rights, and Organization (0)</v>
          </cell>
          <cell r="D286" t="str">
            <v>Land - Strohs, parcel 221184046 (47</v>
          </cell>
          <cell r="E286">
            <v>45231</v>
          </cell>
          <cell r="F286">
            <v>4999.59</v>
          </cell>
          <cell r="G286" t="str">
            <v>n/a</v>
          </cell>
          <cell r="H286" t="str">
            <v>n/a</v>
          </cell>
          <cell r="I286">
            <v>0</v>
          </cell>
          <cell r="J286">
            <v>4999.59</v>
          </cell>
        </row>
        <row r="287">
          <cell r="C287" t="str">
            <v>Land, Water Rights, and Organization (0)</v>
          </cell>
          <cell r="D287" t="str">
            <v>Land - Strohs, parcel 221184040 (47</v>
          </cell>
          <cell r="E287">
            <v>45231</v>
          </cell>
          <cell r="F287">
            <v>9336.58</v>
          </cell>
          <cell r="G287" t="str">
            <v>n/a</v>
          </cell>
          <cell r="H287" t="str">
            <v>n/a</v>
          </cell>
          <cell r="I287">
            <v>0</v>
          </cell>
          <cell r="J287">
            <v>0</v>
          </cell>
        </row>
        <row r="288">
          <cell r="C288" t="str">
            <v>Land, Water Rights, and Organization (0)</v>
          </cell>
          <cell r="D288" t="str">
            <v>Land - Strohs, parcel 221172118 (07</v>
          </cell>
          <cell r="E288">
            <v>45231</v>
          </cell>
          <cell r="F288">
            <v>2710.63</v>
          </cell>
          <cell r="G288" t="str">
            <v>n/a</v>
          </cell>
          <cell r="H288" t="str">
            <v>n/a</v>
          </cell>
          <cell r="I288">
            <v>0</v>
          </cell>
          <cell r="J288">
            <v>0</v>
          </cell>
        </row>
        <row r="289">
          <cell r="C289" t="str">
            <v>Service Connection (30)</v>
          </cell>
          <cell r="D289" t="str">
            <v>Services - Strohs (472)</v>
          </cell>
          <cell r="E289">
            <v>45231</v>
          </cell>
          <cell r="F289">
            <v>7689</v>
          </cell>
          <cell r="G289">
            <v>360</v>
          </cell>
          <cell r="H289">
            <v>143</v>
          </cell>
          <cell r="I289">
            <v>256.3</v>
          </cell>
          <cell r="J289">
            <v>4656.1400000000003</v>
          </cell>
        </row>
        <row r="290">
          <cell r="C290" t="str">
            <v>Service Connection (30)</v>
          </cell>
          <cell r="D290" t="str">
            <v>Services (CIAC) - Strohs</v>
          </cell>
          <cell r="E290">
            <v>45231</v>
          </cell>
          <cell r="F290">
            <v>584.89</v>
          </cell>
          <cell r="G290">
            <v>360</v>
          </cell>
          <cell r="H290">
            <v>193</v>
          </cell>
          <cell r="I290">
            <v>19.496333333333332</v>
          </cell>
          <cell r="J290">
            <v>272.89</v>
          </cell>
        </row>
        <row r="291">
          <cell r="C291" t="str">
            <v>Service Connection (30)</v>
          </cell>
          <cell r="D291" t="str">
            <v>Services (CIAC) - Strohs</v>
          </cell>
          <cell r="E291">
            <v>45231</v>
          </cell>
          <cell r="F291">
            <v>670.78</v>
          </cell>
          <cell r="G291">
            <v>360</v>
          </cell>
          <cell r="H291">
            <v>193</v>
          </cell>
          <cell r="I291">
            <v>22.359333333333332</v>
          </cell>
          <cell r="J291">
            <v>312.99</v>
          </cell>
        </row>
        <row r="292">
          <cell r="C292" t="str">
            <v>Service Connection (30)</v>
          </cell>
          <cell r="D292" t="str">
            <v>Services (CIAC) - Strohs</v>
          </cell>
          <cell r="E292">
            <v>45231</v>
          </cell>
          <cell r="F292">
            <v>928</v>
          </cell>
          <cell r="G292">
            <v>360</v>
          </cell>
          <cell r="H292">
            <v>193</v>
          </cell>
          <cell r="I292">
            <v>30.933333333333337</v>
          </cell>
          <cell r="J292">
            <v>433.1</v>
          </cell>
        </row>
        <row r="293">
          <cell r="C293" t="str">
            <v>Service Connection (30)</v>
          </cell>
          <cell r="D293" t="str">
            <v>Services - Strohs (075)</v>
          </cell>
          <cell r="E293">
            <v>45231</v>
          </cell>
          <cell r="F293">
            <v>975.85</v>
          </cell>
          <cell r="G293">
            <v>360</v>
          </cell>
          <cell r="H293">
            <v>205</v>
          </cell>
          <cell r="I293">
            <v>32.528333333333336</v>
          </cell>
          <cell r="J293">
            <v>422.86</v>
          </cell>
        </row>
        <row r="294">
          <cell r="C294" t="str">
            <v>Service Connection (30)</v>
          </cell>
          <cell r="D294" t="str">
            <v>Services - Strohs (075)</v>
          </cell>
          <cell r="E294">
            <v>45231</v>
          </cell>
          <cell r="F294">
            <v>3159.38</v>
          </cell>
          <cell r="G294">
            <v>360</v>
          </cell>
          <cell r="H294">
            <v>169</v>
          </cell>
          <cell r="I294">
            <v>105.31266666666667</v>
          </cell>
          <cell r="J294">
            <v>1685.05</v>
          </cell>
        </row>
        <row r="295">
          <cell r="C295" t="str">
            <v>Service Connection (30)</v>
          </cell>
          <cell r="D295" t="str">
            <v>Services - Strohs (472)</v>
          </cell>
          <cell r="E295">
            <v>45231</v>
          </cell>
          <cell r="F295">
            <v>744.99</v>
          </cell>
          <cell r="G295">
            <v>360</v>
          </cell>
          <cell r="H295">
            <v>133</v>
          </cell>
          <cell r="I295">
            <v>24.832999999999998</v>
          </cell>
          <cell r="J295">
            <v>471.83</v>
          </cell>
        </row>
        <row r="296">
          <cell r="C296" t="str">
            <v>Service Connection (30)</v>
          </cell>
          <cell r="D296" t="str">
            <v>Services (CIAC) - Strohs</v>
          </cell>
          <cell r="E296">
            <v>45231</v>
          </cell>
          <cell r="F296">
            <v>5961.2</v>
          </cell>
          <cell r="G296">
            <v>360</v>
          </cell>
          <cell r="H296">
            <v>289</v>
          </cell>
          <cell r="I296">
            <v>198.70666666666665</v>
          </cell>
          <cell r="J296">
            <v>1192.25</v>
          </cell>
        </row>
        <row r="297">
          <cell r="C297" t="str">
            <v>Service Connection (30)</v>
          </cell>
          <cell r="D297" t="str">
            <v>Services (CIAC) - Strohs</v>
          </cell>
          <cell r="E297">
            <v>45231</v>
          </cell>
          <cell r="F297">
            <v>1006</v>
          </cell>
          <cell r="G297">
            <v>360</v>
          </cell>
          <cell r="H297">
            <v>301</v>
          </cell>
          <cell r="I297">
            <v>33.533333333333331</v>
          </cell>
          <cell r="J297">
            <v>167.61</v>
          </cell>
        </row>
        <row r="298">
          <cell r="C298" t="str">
            <v>Service Connection (30)</v>
          </cell>
          <cell r="D298" t="str">
            <v>Services (CIAC) - Strohs, 3516 53d</v>
          </cell>
          <cell r="E298">
            <v>45231</v>
          </cell>
          <cell r="F298">
            <v>1014</v>
          </cell>
          <cell r="G298">
            <v>360</v>
          </cell>
          <cell r="H298">
            <v>313</v>
          </cell>
          <cell r="I298">
            <v>33.800000000000004</v>
          </cell>
          <cell r="J298">
            <v>135.24</v>
          </cell>
        </row>
        <row r="299">
          <cell r="C299" t="str">
            <v>Service Connection (30)</v>
          </cell>
          <cell r="D299" t="str">
            <v>Services (CIAC) - Strohs</v>
          </cell>
          <cell r="E299">
            <v>45231</v>
          </cell>
          <cell r="F299">
            <v>1561.45</v>
          </cell>
          <cell r="G299">
            <v>360</v>
          </cell>
          <cell r="H299">
            <v>325</v>
          </cell>
          <cell r="I299">
            <v>52.048333333333332</v>
          </cell>
          <cell r="J299">
            <v>156.18</v>
          </cell>
        </row>
        <row r="300">
          <cell r="C300" t="str">
            <v>Service Connection (30)</v>
          </cell>
          <cell r="D300" t="str">
            <v>Service (CIAC) - Strohs, 3305 38th</v>
          </cell>
          <cell r="E300">
            <v>45231</v>
          </cell>
          <cell r="F300">
            <v>4331.76</v>
          </cell>
          <cell r="G300">
            <v>360</v>
          </cell>
          <cell r="H300">
            <v>337</v>
          </cell>
          <cell r="I300">
            <v>144.392</v>
          </cell>
          <cell r="J300">
            <v>288.75</v>
          </cell>
        </row>
        <row r="301">
          <cell r="C301" t="str">
            <v>Service Connection (30)</v>
          </cell>
          <cell r="D301" t="str">
            <v>Services - Strohs (472)</v>
          </cell>
          <cell r="E301">
            <v>45231</v>
          </cell>
          <cell r="F301">
            <v>85608.53</v>
          </cell>
          <cell r="G301">
            <v>459</v>
          </cell>
          <cell r="H301">
            <v>89</v>
          </cell>
          <cell r="I301">
            <v>2238.131503267974</v>
          </cell>
          <cell r="J301">
            <v>69175.850000000006</v>
          </cell>
        </row>
        <row r="302">
          <cell r="C302" t="str">
            <v>Service Connection (30)</v>
          </cell>
          <cell r="D302" t="str">
            <v>Services - Strohs (075)</v>
          </cell>
          <cell r="E302">
            <v>45231</v>
          </cell>
          <cell r="F302">
            <v>800</v>
          </cell>
          <cell r="G302">
            <v>360</v>
          </cell>
          <cell r="H302">
            <v>88</v>
          </cell>
          <cell r="I302">
            <v>26.666666666666668</v>
          </cell>
          <cell r="J302">
            <v>606.64</v>
          </cell>
        </row>
        <row r="303">
          <cell r="C303" t="str">
            <v>Service Connection (30)</v>
          </cell>
          <cell r="D303" t="str">
            <v>Services - Strohs (472)</v>
          </cell>
          <cell r="E303">
            <v>45231</v>
          </cell>
          <cell r="F303">
            <v>2548</v>
          </cell>
          <cell r="G303">
            <v>360</v>
          </cell>
          <cell r="H303">
            <v>103</v>
          </cell>
          <cell r="I303">
            <v>84.933333333333337</v>
          </cell>
          <cell r="J303">
            <v>1826.1</v>
          </cell>
        </row>
        <row r="304">
          <cell r="C304" t="str">
            <v>Service Connection (30)</v>
          </cell>
          <cell r="D304" t="str">
            <v>Services - Strohs (472)</v>
          </cell>
          <cell r="E304">
            <v>45231</v>
          </cell>
          <cell r="F304">
            <v>263</v>
          </cell>
          <cell r="G304">
            <v>360</v>
          </cell>
          <cell r="H304">
            <v>238</v>
          </cell>
          <cell r="I304">
            <v>8.7666666666666657</v>
          </cell>
          <cell r="J304">
            <v>89.85</v>
          </cell>
        </row>
        <row r="305">
          <cell r="C305" t="str">
            <v>Service Connection (30)</v>
          </cell>
          <cell r="D305" t="str">
            <v>Services - Strohs (472)</v>
          </cell>
          <cell r="E305">
            <v>45231</v>
          </cell>
          <cell r="F305">
            <v>312.5</v>
          </cell>
          <cell r="G305">
            <v>360</v>
          </cell>
          <cell r="H305">
            <v>169</v>
          </cell>
          <cell r="I305">
            <v>10.416666666666668</v>
          </cell>
          <cell r="J305">
            <v>166.69</v>
          </cell>
        </row>
        <row r="306">
          <cell r="C306" t="str">
            <v>Service Connection (30)</v>
          </cell>
          <cell r="D306" t="str">
            <v>Services - Strohs (075)</v>
          </cell>
          <cell r="E306">
            <v>45231</v>
          </cell>
          <cell r="F306">
            <v>702.5</v>
          </cell>
          <cell r="G306">
            <v>360</v>
          </cell>
          <cell r="H306">
            <v>113</v>
          </cell>
          <cell r="I306">
            <v>23.416666666666664</v>
          </cell>
          <cell r="J306">
            <v>483.93</v>
          </cell>
        </row>
        <row r="307">
          <cell r="C307" t="str">
            <v>Service Connection (30)</v>
          </cell>
          <cell r="D307" t="str">
            <v>Services - Strohs (472)</v>
          </cell>
          <cell r="E307">
            <v>45231</v>
          </cell>
          <cell r="F307">
            <v>217</v>
          </cell>
          <cell r="G307">
            <v>360</v>
          </cell>
          <cell r="H307">
            <v>218</v>
          </cell>
          <cell r="I307">
            <v>7.2333333333333325</v>
          </cell>
          <cell r="J307">
            <v>86.16</v>
          </cell>
        </row>
        <row r="308">
          <cell r="C308" t="str">
            <v>Service Connection (30)</v>
          </cell>
          <cell r="D308" t="str">
            <v>Services - Strohs (075)</v>
          </cell>
          <cell r="E308">
            <v>45231</v>
          </cell>
          <cell r="F308">
            <v>1425.23</v>
          </cell>
          <cell r="G308">
            <v>360</v>
          </cell>
          <cell r="H308">
            <v>143</v>
          </cell>
          <cell r="I308">
            <v>47.507666666666665</v>
          </cell>
          <cell r="J308">
            <v>863.07</v>
          </cell>
        </row>
        <row r="309">
          <cell r="C309" t="str">
            <v>Service Connection (30)</v>
          </cell>
          <cell r="D309" t="str">
            <v>Services - Strohs (075)</v>
          </cell>
          <cell r="E309">
            <v>45231</v>
          </cell>
          <cell r="F309">
            <v>2251.42</v>
          </cell>
          <cell r="G309">
            <v>360</v>
          </cell>
          <cell r="H309">
            <v>145</v>
          </cell>
          <cell r="I309">
            <v>75.047333333333341</v>
          </cell>
          <cell r="J309">
            <v>1350.8</v>
          </cell>
        </row>
        <row r="310">
          <cell r="C310" t="str">
            <v>Service Connection (30)</v>
          </cell>
          <cell r="D310" t="str">
            <v>Services - Strohs (075)</v>
          </cell>
          <cell r="E310">
            <v>45231</v>
          </cell>
          <cell r="F310">
            <v>792.73</v>
          </cell>
          <cell r="G310">
            <v>360</v>
          </cell>
          <cell r="H310">
            <v>160</v>
          </cell>
          <cell r="I310">
            <v>26.424333333333337</v>
          </cell>
          <cell r="J310">
            <v>442.58</v>
          </cell>
        </row>
        <row r="311">
          <cell r="C311" t="str">
            <v>Service Connection (30)</v>
          </cell>
          <cell r="D311" t="str">
            <v>Services - Strohs (075)</v>
          </cell>
          <cell r="E311">
            <v>45231</v>
          </cell>
          <cell r="F311">
            <v>6758.54</v>
          </cell>
          <cell r="G311">
            <v>360</v>
          </cell>
          <cell r="H311">
            <v>193</v>
          </cell>
          <cell r="I311">
            <v>225.28466666666668</v>
          </cell>
          <cell r="J311">
            <v>3153.94</v>
          </cell>
        </row>
        <row r="312">
          <cell r="C312" t="str">
            <v>Service Connection (30)</v>
          </cell>
          <cell r="D312" t="str">
            <v>Services - Strohs (472)</v>
          </cell>
          <cell r="E312">
            <v>45231</v>
          </cell>
          <cell r="F312">
            <v>500</v>
          </cell>
          <cell r="G312">
            <v>360</v>
          </cell>
          <cell r="H312">
            <v>217</v>
          </cell>
          <cell r="I312">
            <v>16.666666666666664</v>
          </cell>
          <cell r="J312">
            <v>200.01</v>
          </cell>
        </row>
        <row r="313">
          <cell r="C313" t="str">
            <v>Service Connection (30)</v>
          </cell>
          <cell r="D313" t="str">
            <v>Services - Strohs (075)</v>
          </cell>
          <cell r="E313">
            <v>45231</v>
          </cell>
          <cell r="F313">
            <v>3695</v>
          </cell>
          <cell r="G313">
            <v>360</v>
          </cell>
          <cell r="H313">
            <v>229</v>
          </cell>
          <cell r="I313">
            <v>123.16666666666667</v>
          </cell>
          <cell r="J313">
            <v>1354.78</v>
          </cell>
        </row>
        <row r="314">
          <cell r="C314" t="str">
            <v>Service Connection (30)</v>
          </cell>
          <cell r="D314" t="str">
            <v>Services - Strohs (472)</v>
          </cell>
          <cell r="E314">
            <v>45231</v>
          </cell>
          <cell r="F314">
            <v>3258.04</v>
          </cell>
          <cell r="G314">
            <v>360</v>
          </cell>
          <cell r="H314">
            <v>241</v>
          </cell>
          <cell r="I314">
            <v>108.60133333333333</v>
          </cell>
          <cell r="J314">
            <v>1086.01</v>
          </cell>
        </row>
        <row r="315">
          <cell r="C315" t="str">
            <v>Service Connection (30)</v>
          </cell>
          <cell r="D315" t="str">
            <v>Services - Strohs (472)</v>
          </cell>
          <cell r="E315">
            <v>45231</v>
          </cell>
          <cell r="F315">
            <v>8613.52</v>
          </cell>
          <cell r="G315">
            <v>360</v>
          </cell>
          <cell r="H315">
            <v>261</v>
          </cell>
          <cell r="I315">
            <v>287.11733333333336</v>
          </cell>
          <cell r="J315">
            <v>2392.69</v>
          </cell>
        </row>
        <row r="316">
          <cell r="C316" t="str">
            <v>Service Connection (30)</v>
          </cell>
          <cell r="D316" t="str">
            <v>Services - Strohs (075)</v>
          </cell>
          <cell r="E316">
            <v>45231</v>
          </cell>
          <cell r="F316">
            <v>2424.11</v>
          </cell>
          <cell r="G316">
            <v>360</v>
          </cell>
          <cell r="H316">
            <v>289</v>
          </cell>
          <cell r="I316">
            <v>80.803666666666672</v>
          </cell>
          <cell r="J316">
            <v>484.77</v>
          </cell>
        </row>
        <row r="317">
          <cell r="C317" t="str">
            <v>Service Connection (30)</v>
          </cell>
          <cell r="D317" t="str">
            <v>Services (CIAC) - Strohs (472)</v>
          </cell>
          <cell r="E317">
            <v>45231</v>
          </cell>
          <cell r="F317">
            <v>7458.34</v>
          </cell>
          <cell r="G317">
            <v>360</v>
          </cell>
          <cell r="H317">
            <v>289</v>
          </cell>
          <cell r="I317">
            <v>248.61133333333333</v>
          </cell>
          <cell r="J317">
            <v>1491.7</v>
          </cell>
        </row>
        <row r="318">
          <cell r="C318" t="str">
            <v>Service Connection (30)</v>
          </cell>
          <cell r="D318" t="str">
            <v>Services (CIAC) - Stroh (075)</v>
          </cell>
          <cell r="E318">
            <v>45231</v>
          </cell>
          <cell r="F318">
            <v>3924</v>
          </cell>
          <cell r="G318">
            <v>360</v>
          </cell>
          <cell r="H318">
            <v>301</v>
          </cell>
          <cell r="I318">
            <v>130.80000000000001</v>
          </cell>
          <cell r="J318">
            <v>654</v>
          </cell>
        </row>
        <row r="319">
          <cell r="C319" t="str">
            <v>Service Connection (30)</v>
          </cell>
          <cell r="D319" t="str">
            <v>Services (CIAC) - Strohs (472)</v>
          </cell>
          <cell r="E319">
            <v>45231</v>
          </cell>
          <cell r="F319">
            <v>2456</v>
          </cell>
          <cell r="G319">
            <v>360</v>
          </cell>
          <cell r="H319">
            <v>313</v>
          </cell>
          <cell r="I319">
            <v>81.86666666666666</v>
          </cell>
          <cell r="J319">
            <v>327.44</v>
          </cell>
        </row>
        <row r="320">
          <cell r="C320" t="str">
            <v>Service Connection (30)</v>
          </cell>
          <cell r="D320" t="str">
            <v>Services - Strohs (075)</v>
          </cell>
          <cell r="E320">
            <v>45231</v>
          </cell>
          <cell r="F320">
            <v>2628</v>
          </cell>
          <cell r="G320">
            <v>360</v>
          </cell>
          <cell r="H320">
            <v>313</v>
          </cell>
          <cell r="I320">
            <v>87.6</v>
          </cell>
          <cell r="J320">
            <v>350.4</v>
          </cell>
        </row>
        <row r="321">
          <cell r="C321" t="str">
            <v>Service Connection (30)</v>
          </cell>
          <cell r="D321" t="str">
            <v>Services - Strohs (472)</v>
          </cell>
          <cell r="E321">
            <v>45231</v>
          </cell>
          <cell r="F321">
            <v>500.48</v>
          </cell>
          <cell r="G321">
            <v>360</v>
          </cell>
          <cell r="H321">
            <v>325</v>
          </cell>
          <cell r="I321">
            <v>16.682666666666666</v>
          </cell>
          <cell r="J321">
            <v>50.05</v>
          </cell>
        </row>
        <row r="322">
          <cell r="C322" t="str">
            <v>Service Connection (30)</v>
          </cell>
          <cell r="D322" t="str">
            <v>Services - Strohs (075)</v>
          </cell>
          <cell r="E322">
            <v>45231</v>
          </cell>
          <cell r="F322">
            <v>2477</v>
          </cell>
          <cell r="G322">
            <v>420</v>
          </cell>
          <cell r="H322">
            <v>162</v>
          </cell>
          <cell r="I322">
            <v>70.771428571428572</v>
          </cell>
          <cell r="J322">
            <v>1527.51</v>
          </cell>
        </row>
        <row r="323">
          <cell r="C323" t="str">
            <v>Service Connection (30)</v>
          </cell>
          <cell r="D323" t="str">
            <v>Services - Strohs (472)</v>
          </cell>
          <cell r="E323">
            <v>45231</v>
          </cell>
          <cell r="F323">
            <v>5140.1899999999996</v>
          </cell>
          <cell r="G323">
            <v>420</v>
          </cell>
          <cell r="H323">
            <v>169</v>
          </cell>
          <cell r="I323">
            <v>146.86257142857141</v>
          </cell>
          <cell r="J323">
            <v>3084.13</v>
          </cell>
        </row>
        <row r="324">
          <cell r="C324" t="str">
            <v>Service Connection (30)</v>
          </cell>
          <cell r="D324" t="str">
            <v>Services - Strohs (075)</v>
          </cell>
          <cell r="E324">
            <v>45231</v>
          </cell>
          <cell r="F324">
            <v>3925</v>
          </cell>
          <cell r="G324">
            <v>420</v>
          </cell>
          <cell r="H324">
            <v>223</v>
          </cell>
          <cell r="I324">
            <v>112.14285714285714</v>
          </cell>
          <cell r="J324">
            <v>1850.41</v>
          </cell>
        </row>
        <row r="325">
          <cell r="C325" t="str">
            <v>Service Connection (30)</v>
          </cell>
          <cell r="D325" t="str">
            <v>Services - Strohs (472)</v>
          </cell>
          <cell r="E325">
            <v>45231</v>
          </cell>
          <cell r="F325">
            <v>1560.45</v>
          </cell>
          <cell r="G325">
            <v>420</v>
          </cell>
          <cell r="H325">
            <v>203</v>
          </cell>
          <cell r="I325">
            <v>44.584285714285713</v>
          </cell>
          <cell r="J325">
            <v>810.01</v>
          </cell>
        </row>
        <row r="326">
          <cell r="C326" t="str">
            <v>Service Connection (30)</v>
          </cell>
          <cell r="D326" t="str">
            <v>Services - Strohs (075)</v>
          </cell>
          <cell r="E326">
            <v>45231</v>
          </cell>
          <cell r="F326">
            <v>5267.34</v>
          </cell>
          <cell r="G326">
            <v>420</v>
          </cell>
          <cell r="H326">
            <v>206</v>
          </cell>
          <cell r="I326">
            <v>150.49542857142859</v>
          </cell>
          <cell r="J326">
            <v>2696.36</v>
          </cell>
        </row>
        <row r="327">
          <cell r="C327" t="str">
            <v>Service Connection (30)</v>
          </cell>
          <cell r="D327" t="str">
            <v>Services - Strohs (472)</v>
          </cell>
          <cell r="E327">
            <v>45231</v>
          </cell>
          <cell r="F327">
            <v>402.15</v>
          </cell>
          <cell r="G327">
            <v>420</v>
          </cell>
          <cell r="H327">
            <v>229</v>
          </cell>
          <cell r="I327">
            <v>11.489999999999998</v>
          </cell>
          <cell r="J327">
            <v>183.87</v>
          </cell>
        </row>
        <row r="328">
          <cell r="C328" t="str">
            <v>Service Connection (30)</v>
          </cell>
          <cell r="D328" t="str">
            <v>Services - Strohs (472)</v>
          </cell>
          <cell r="E328">
            <v>45231</v>
          </cell>
          <cell r="F328">
            <v>1335.47</v>
          </cell>
          <cell r="G328">
            <v>420</v>
          </cell>
          <cell r="H328">
            <v>206</v>
          </cell>
          <cell r="I328">
            <v>38.156285714285715</v>
          </cell>
          <cell r="J328">
            <v>683.64</v>
          </cell>
        </row>
        <row r="329">
          <cell r="C329" t="str">
            <v>Service Connection (30)</v>
          </cell>
          <cell r="D329" t="str">
            <v>Services - Strohs (075)</v>
          </cell>
          <cell r="E329">
            <v>45231</v>
          </cell>
          <cell r="F329">
            <v>10886.68</v>
          </cell>
          <cell r="G329">
            <v>360</v>
          </cell>
          <cell r="H329">
            <v>193</v>
          </cell>
          <cell r="I329">
            <v>362.88933333333335</v>
          </cell>
          <cell r="J329">
            <v>5080.4399999999996</v>
          </cell>
        </row>
        <row r="330">
          <cell r="C330" t="str">
            <v>Service Connection (30)</v>
          </cell>
          <cell r="D330" t="str">
            <v>Services - Strohs, 3510 53d St (075</v>
          </cell>
          <cell r="E330">
            <v>45231</v>
          </cell>
          <cell r="F330">
            <v>2200.39</v>
          </cell>
          <cell r="G330">
            <v>360</v>
          </cell>
          <cell r="H330">
            <v>205</v>
          </cell>
          <cell r="I330">
            <v>73.346333333333334</v>
          </cell>
          <cell r="J330">
            <v>953.47</v>
          </cell>
        </row>
        <row r="331">
          <cell r="C331" t="str">
            <v>Service Connection (30)</v>
          </cell>
          <cell r="D331" t="str">
            <v>Services (CIAC) Fox Run, upsized -</v>
          </cell>
          <cell r="E331">
            <v>45231</v>
          </cell>
          <cell r="F331">
            <v>12913</v>
          </cell>
          <cell r="G331">
            <v>360</v>
          </cell>
          <cell r="H331">
            <v>277</v>
          </cell>
          <cell r="I331">
            <v>430.43333333333339</v>
          </cell>
          <cell r="J331">
            <v>3013.04</v>
          </cell>
        </row>
        <row r="332">
          <cell r="C332" t="str">
            <v>Service Connection (30)</v>
          </cell>
          <cell r="D332" t="str">
            <v>Services - Strohs (472)</v>
          </cell>
          <cell r="E332">
            <v>45231</v>
          </cell>
          <cell r="F332">
            <v>3981.78</v>
          </cell>
          <cell r="G332">
            <v>360</v>
          </cell>
          <cell r="H332">
            <v>289</v>
          </cell>
          <cell r="I332">
            <v>132.726</v>
          </cell>
          <cell r="J332">
            <v>796.35</v>
          </cell>
        </row>
        <row r="333">
          <cell r="C333" t="str">
            <v>Service Connection (30)</v>
          </cell>
          <cell r="D333" t="str">
            <v>Services (CIAC) - Stroh (075)</v>
          </cell>
          <cell r="E333">
            <v>45231</v>
          </cell>
          <cell r="F333">
            <v>1500</v>
          </cell>
          <cell r="G333">
            <v>360</v>
          </cell>
          <cell r="H333">
            <v>301</v>
          </cell>
          <cell r="I333">
            <v>50</v>
          </cell>
          <cell r="J333">
            <v>250.04</v>
          </cell>
        </row>
        <row r="334">
          <cell r="C334" t="str">
            <v>Service Connection (30)</v>
          </cell>
          <cell r="D334" t="str">
            <v>Services - Strohs (472)</v>
          </cell>
          <cell r="E334">
            <v>45231</v>
          </cell>
          <cell r="F334">
            <v>1407</v>
          </cell>
          <cell r="G334">
            <v>360</v>
          </cell>
          <cell r="H334">
            <v>313</v>
          </cell>
          <cell r="I334">
            <v>46.9</v>
          </cell>
          <cell r="J334">
            <v>187.62</v>
          </cell>
        </row>
        <row r="335">
          <cell r="C335" t="str">
            <v>Service Connection (30)</v>
          </cell>
          <cell r="D335" t="str">
            <v>Services - Strohs (472)</v>
          </cell>
          <cell r="E335">
            <v>45231</v>
          </cell>
          <cell r="F335">
            <v>7121.88</v>
          </cell>
          <cell r="G335">
            <v>360</v>
          </cell>
          <cell r="H335">
            <v>325</v>
          </cell>
          <cell r="I335">
            <v>237.39600000000002</v>
          </cell>
          <cell r="J335">
            <v>712.15</v>
          </cell>
        </row>
        <row r="336">
          <cell r="C336" t="str">
            <v>Service Connection (30)</v>
          </cell>
          <cell r="D336" t="str">
            <v>Services (CIAC) - Stroh (075)</v>
          </cell>
          <cell r="E336">
            <v>45231</v>
          </cell>
          <cell r="F336">
            <v>300</v>
          </cell>
          <cell r="G336">
            <v>360</v>
          </cell>
          <cell r="H336">
            <v>337</v>
          </cell>
          <cell r="I336">
            <v>10</v>
          </cell>
          <cell r="J336">
            <v>19.96</v>
          </cell>
        </row>
        <row r="337">
          <cell r="C337" t="str">
            <v>Service Connection (30)</v>
          </cell>
          <cell r="D337" t="str">
            <v>Services (CIAC) - Stroh (075)</v>
          </cell>
          <cell r="E337">
            <v>45231</v>
          </cell>
          <cell r="F337">
            <v>1303.3</v>
          </cell>
          <cell r="G337">
            <v>360</v>
          </cell>
          <cell r="H337">
            <v>169</v>
          </cell>
          <cell r="I337">
            <v>43.443333333333328</v>
          </cell>
          <cell r="J337">
            <v>695.09</v>
          </cell>
        </row>
        <row r="338">
          <cell r="C338" t="str">
            <v>Service Connection (30)</v>
          </cell>
          <cell r="D338" t="str">
            <v>Service (CIAC) - Strohs, 3909 38th</v>
          </cell>
          <cell r="E338">
            <v>45231</v>
          </cell>
          <cell r="F338">
            <v>4713</v>
          </cell>
          <cell r="G338">
            <v>360</v>
          </cell>
          <cell r="H338">
            <v>339</v>
          </cell>
          <cell r="I338">
            <v>157.1</v>
          </cell>
          <cell r="J338">
            <v>288</v>
          </cell>
        </row>
        <row r="339">
          <cell r="C339" t="str">
            <v>Service Connection (30)</v>
          </cell>
          <cell r="D339" t="str">
            <v>Service (CIAC) - Strohs, 3909 38th</v>
          </cell>
          <cell r="E339">
            <v>45231</v>
          </cell>
          <cell r="F339">
            <v>4516.2700000000004</v>
          </cell>
          <cell r="G339">
            <v>235</v>
          </cell>
          <cell r="H339">
            <v>218</v>
          </cell>
          <cell r="I339">
            <v>230.61804255319151</v>
          </cell>
          <cell r="J339">
            <v>345.95</v>
          </cell>
        </row>
        <row r="340">
          <cell r="C340" t="str">
            <v>Service Connection (30)</v>
          </cell>
          <cell r="D340" t="str">
            <v>Services - Strohs (472)</v>
          </cell>
          <cell r="E340">
            <v>45231</v>
          </cell>
          <cell r="F340">
            <v>7368.05</v>
          </cell>
          <cell r="G340">
            <v>235</v>
          </cell>
          <cell r="H340">
            <v>218</v>
          </cell>
          <cell r="I340">
            <v>376.24085106382978</v>
          </cell>
          <cell r="J340">
            <v>564.32000000000005</v>
          </cell>
        </row>
        <row r="341">
          <cell r="C341" t="str">
            <v>Service Connection (30)</v>
          </cell>
          <cell r="D341" t="str">
            <v>Services (CIAC) - Strohs</v>
          </cell>
          <cell r="E341">
            <v>45231</v>
          </cell>
          <cell r="F341">
            <v>560.48</v>
          </cell>
          <cell r="G341">
            <v>235</v>
          </cell>
          <cell r="H341">
            <v>218</v>
          </cell>
          <cell r="I341">
            <v>28.620255319148935</v>
          </cell>
          <cell r="J341">
            <v>42.94</v>
          </cell>
        </row>
        <row r="342">
          <cell r="C342" t="str">
            <v>Service Connection (30)</v>
          </cell>
          <cell r="D342" t="str">
            <v>Services (CIAC) - Strohs</v>
          </cell>
          <cell r="E342">
            <v>45231</v>
          </cell>
          <cell r="F342">
            <v>642.78</v>
          </cell>
          <cell r="G342">
            <v>235</v>
          </cell>
          <cell r="H342">
            <v>218</v>
          </cell>
          <cell r="I342">
            <v>32.822808510638296</v>
          </cell>
          <cell r="J342">
            <v>49.29</v>
          </cell>
        </row>
        <row r="343">
          <cell r="C343" t="str">
            <v>Service Connection (30)</v>
          </cell>
          <cell r="D343" t="str">
            <v>Services (CIAC) - Strohs</v>
          </cell>
          <cell r="E343">
            <v>45231</v>
          </cell>
          <cell r="F343">
            <v>889.26</v>
          </cell>
          <cell r="G343">
            <v>235</v>
          </cell>
          <cell r="H343">
            <v>218</v>
          </cell>
          <cell r="I343">
            <v>45.409021276595745</v>
          </cell>
          <cell r="J343">
            <v>68.06</v>
          </cell>
        </row>
        <row r="344">
          <cell r="C344" t="str">
            <v>Service Connection (30)</v>
          </cell>
          <cell r="D344" t="str">
            <v>Services - Strohs (075)</v>
          </cell>
          <cell r="E344">
            <v>45231</v>
          </cell>
          <cell r="F344">
            <v>935.12</v>
          </cell>
          <cell r="G344">
            <v>235</v>
          </cell>
          <cell r="H344">
            <v>218</v>
          </cell>
          <cell r="I344">
            <v>47.750808510638301</v>
          </cell>
          <cell r="J344">
            <v>71.64</v>
          </cell>
        </row>
        <row r="345">
          <cell r="C345" t="str">
            <v>Service Connection (30)</v>
          </cell>
          <cell r="D345" t="str">
            <v>Services - Strohs (075)</v>
          </cell>
          <cell r="E345">
            <v>45231</v>
          </cell>
          <cell r="F345">
            <v>3027.5</v>
          </cell>
          <cell r="G345">
            <v>235</v>
          </cell>
          <cell r="H345">
            <v>218</v>
          </cell>
          <cell r="I345">
            <v>154.59574468085106</v>
          </cell>
          <cell r="J345">
            <v>231.85</v>
          </cell>
        </row>
        <row r="346">
          <cell r="C346" t="str">
            <v>Service Connection (30)</v>
          </cell>
          <cell r="D346" t="str">
            <v>Services - Strohs (472)</v>
          </cell>
          <cell r="E346">
            <v>45231</v>
          </cell>
          <cell r="F346">
            <v>713.89</v>
          </cell>
          <cell r="G346">
            <v>235</v>
          </cell>
          <cell r="H346">
            <v>218</v>
          </cell>
          <cell r="I346">
            <v>36.453957446808509</v>
          </cell>
          <cell r="J346">
            <v>54.71</v>
          </cell>
        </row>
        <row r="347">
          <cell r="C347" t="str">
            <v>Service Connection (30)</v>
          </cell>
          <cell r="D347" t="str">
            <v>Services (CIAC) - Strohs</v>
          </cell>
          <cell r="E347">
            <v>45231</v>
          </cell>
          <cell r="F347">
            <v>5712.37</v>
          </cell>
          <cell r="G347">
            <v>235</v>
          </cell>
          <cell r="H347">
            <v>218</v>
          </cell>
          <cell r="I347">
            <v>291.69548936170213</v>
          </cell>
          <cell r="J347">
            <v>437.57</v>
          </cell>
        </row>
        <row r="348">
          <cell r="C348" t="str">
            <v>Service Connection (30)</v>
          </cell>
          <cell r="D348" t="str">
            <v>Services (CIAC) - Strohs</v>
          </cell>
          <cell r="E348">
            <v>45231</v>
          </cell>
          <cell r="F348">
            <v>964.01</v>
          </cell>
          <cell r="G348">
            <v>235</v>
          </cell>
          <cell r="H348">
            <v>218</v>
          </cell>
          <cell r="I348">
            <v>49.22604255319149</v>
          </cell>
          <cell r="J348">
            <v>73.81</v>
          </cell>
        </row>
        <row r="349">
          <cell r="C349" t="str">
            <v>Service Connection (30)</v>
          </cell>
          <cell r="D349" t="str">
            <v>Services (CIAC) - Strohs, 3516 53d</v>
          </cell>
          <cell r="E349">
            <v>45231</v>
          </cell>
          <cell r="F349">
            <v>971.67</v>
          </cell>
          <cell r="G349">
            <v>235</v>
          </cell>
          <cell r="H349">
            <v>218</v>
          </cell>
          <cell r="I349">
            <v>49.617191489361701</v>
          </cell>
          <cell r="J349">
            <v>74.38</v>
          </cell>
        </row>
        <row r="350">
          <cell r="C350" t="str">
            <v>Service Connection (30)</v>
          </cell>
          <cell r="D350" t="str">
            <v>Services (CIAC) - Strohs</v>
          </cell>
          <cell r="E350">
            <v>45231</v>
          </cell>
          <cell r="F350">
            <v>1496.27</v>
          </cell>
          <cell r="G350">
            <v>235</v>
          </cell>
          <cell r="H350">
            <v>218</v>
          </cell>
          <cell r="I350">
            <v>76.405276595744681</v>
          </cell>
          <cell r="J350">
            <v>114.65</v>
          </cell>
        </row>
        <row r="351">
          <cell r="C351" t="str">
            <v>Service Connection (30)</v>
          </cell>
          <cell r="D351" t="str">
            <v>Service (CIAC) - Strohs, 3305 38th</v>
          </cell>
          <cell r="E351">
            <v>45231</v>
          </cell>
          <cell r="F351">
            <v>4150.95</v>
          </cell>
          <cell r="G351">
            <v>235</v>
          </cell>
          <cell r="H351">
            <v>218</v>
          </cell>
          <cell r="I351">
            <v>211.96340425531912</v>
          </cell>
          <cell r="J351">
            <v>317.89999999999998</v>
          </cell>
        </row>
        <row r="352">
          <cell r="C352" t="str">
            <v>Service Connection (30)</v>
          </cell>
          <cell r="D352" t="str">
            <v>Services - Strohs (472)</v>
          </cell>
          <cell r="E352">
            <v>45231</v>
          </cell>
          <cell r="F352">
            <v>64320.25</v>
          </cell>
          <cell r="G352">
            <v>235</v>
          </cell>
          <cell r="H352">
            <v>218</v>
          </cell>
          <cell r="I352">
            <v>3284.4382978723406</v>
          </cell>
          <cell r="J352">
            <v>4926.62</v>
          </cell>
        </row>
        <row r="353">
          <cell r="C353" t="str">
            <v>Service Connection (30)</v>
          </cell>
          <cell r="D353" t="str">
            <v>Services - Strohs (075)</v>
          </cell>
          <cell r="E353">
            <v>45231</v>
          </cell>
          <cell r="F353">
            <v>766.61</v>
          </cell>
          <cell r="G353">
            <v>235</v>
          </cell>
          <cell r="H353">
            <v>218</v>
          </cell>
          <cell r="I353">
            <v>39.146042553191492</v>
          </cell>
          <cell r="J353">
            <v>58.69</v>
          </cell>
        </row>
        <row r="354">
          <cell r="C354" t="str">
            <v>Service Connection (30)</v>
          </cell>
          <cell r="D354" t="str">
            <v>Services - Strohs (472)</v>
          </cell>
          <cell r="E354">
            <v>45231</v>
          </cell>
          <cell r="F354">
            <v>2441.64</v>
          </cell>
          <cell r="G354">
            <v>235</v>
          </cell>
          <cell r="H354">
            <v>218</v>
          </cell>
          <cell r="I354">
            <v>124.67948936170214</v>
          </cell>
          <cell r="J354">
            <v>187.02</v>
          </cell>
        </row>
        <row r="355">
          <cell r="C355" t="str">
            <v>Service Connection (30)</v>
          </cell>
          <cell r="D355" t="str">
            <v>Services - Strohs (472)</v>
          </cell>
          <cell r="E355">
            <v>45231</v>
          </cell>
          <cell r="F355">
            <v>252.02</v>
          </cell>
          <cell r="G355">
            <v>235</v>
          </cell>
          <cell r="H355">
            <v>218</v>
          </cell>
          <cell r="I355">
            <v>12.869106382978725</v>
          </cell>
          <cell r="J355">
            <v>19.27</v>
          </cell>
        </row>
        <row r="356">
          <cell r="C356" t="str">
            <v>Service Connection (30)</v>
          </cell>
          <cell r="D356" t="str">
            <v>Services - Strohs (472)</v>
          </cell>
          <cell r="E356">
            <v>45231</v>
          </cell>
          <cell r="F356">
            <v>299.45999999999998</v>
          </cell>
          <cell r="G356">
            <v>235</v>
          </cell>
          <cell r="H356">
            <v>218</v>
          </cell>
          <cell r="I356">
            <v>15.291574468085106</v>
          </cell>
          <cell r="J356">
            <v>22.88</v>
          </cell>
        </row>
        <row r="357">
          <cell r="C357" t="str">
            <v>Service Connection (30)</v>
          </cell>
          <cell r="D357" t="str">
            <v>Services - Strohs (075)</v>
          </cell>
          <cell r="E357">
            <v>45231</v>
          </cell>
          <cell r="F357">
            <v>673.18</v>
          </cell>
          <cell r="G357">
            <v>235</v>
          </cell>
          <cell r="H357">
            <v>218</v>
          </cell>
          <cell r="I357">
            <v>34.375148936170206</v>
          </cell>
          <cell r="J357">
            <v>51.5</v>
          </cell>
        </row>
        <row r="358">
          <cell r="C358" t="str">
            <v>Service Connection (30)</v>
          </cell>
          <cell r="D358" t="str">
            <v>Services - Strohs (472)</v>
          </cell>
          <cell r="E358">
            <v>45231</v>
          </cell>
          <cell r="F358">
            <v>207.94</v>
          </cell>
          <cell r="G358">
            <v>235</v>
          </cell>
          <cell r="H358">
            <v>218</v>
          </cell>
          <cell r="I358">
            <v>10.618212765957447</v>
          </cell>
          <cell r="J358">
            <v>15.9</v>
          </cell>
        </row>
        <row r="359">
          <cell r="C359" t="str">
            <v>Service Connection (30)</v>
          </cell>
          <cell r="D359" t="str">
            <v>Services - Strohs (075)</v>
          </cell>
          <cell r="E359">
            <v>45231</v>
          </cell>
          <cell r="F359">
            <v>1365.74</v>
          </cell>
          <cell r="G359">
            <v>235</v>
          </cell>
          <cell r="H359">
            <v>218</v>
          </cell>
          <cell r="I359">
            <v>69.739914893617026</v>
          </cell>
          <cell r="J359">
            <v>104.59</v>
          </cell>
        </row>
        <row r="360">
          <cell r="C360" t="str">
            <v>Service Connection (30)</v>
          </cell>
          <cell r="D360" t="str">
            <v>Services - Strohs (075)</v>
          </cell>
          <cell r="E360">
            <v>45231</v>
          </cell>
          <cell r="F360">
            <v>2157.44</v>
          </cell>
          <cell r="G360">
            <v>235</v>
          </cell>
          <cell r="H360">
            <v>218</v>
          </cell>
          <cell r="I360">
            <v>110.16714893617021</v>
          </cell>
          <cell r="J360">
            <v>165.24</v>
          </cell>
        </row>
        <row r="361">
          <cell r="C361" t="str">
            <v>Service Connection (30)</v>
          </cell>
          <cell r="D361" t="str">
            <v>Services - Strohs (075)</v>
          </cell>
          <cell r="E361">
            <v>45231</v>
          </cell>
          <cell r="F361">
            <v>759.64</v>
          </cell>
          <cell r="G361">
            <v>235</v>
          </cell>
          <cell r="H361">
            <v>218</v>
          </cell>
          <cell r="I361">
            <v>38.790127659574466</v>
          </cell>
          <cell r="J361">
            <v>58.15</v>
          </cell>
        </row>
        <row r="362">
          <cell r="C362" t="str">
            <v>Service Connection (30)</v>
          </cell>
          <cell r="D362" t="str">
            <v>Services - Strohs (075)</v>
          </cell>
          <cell r="E362">
            <v>45231</v>
          </cell>
          <cell r="F362">
            <v>6476.43</v>
          </cell>
          <cell r="G362">
            <v>235</v>
          </cell>
          <cell r="H362">
            <v>218</v>
          </cell>
          <cell r="I362">
            <v>330.71131914893618</v>
          </cell>
          <cell r="J362">
            <v>496.08</v>
          </cell>
        </row>
        <row r="363">
          <cell r="C363" t="str">
            <v>Service Connection (30)</v>
          </cell>
          <cell r="D363" t="str">
            <v>Services - Strohs (472)</v>
          </cell>
          <cell r="E363">
            <v>45231</v>
          </cell>
          <cell r="F363">
            <v>479.13</v>
          </cell>
          <cell r="G363">
            <v>235</v>
          </cell>
          <cell r="H363">
            <v>218</v>
          </cell>
          <cell r="I363">
            <v>24.466212765957451</v>
          </cell>
          <cell r="J363">
            <v>36.71</v>
          </cell>
        </row>
        <row r="364">
          <cell r="C364" t="str">
            <v>Service Connection (30)</v>
          </cell>
          <cell r="D364" t="str">
            <v>Services - Strohs (075)</v>
          </cell>
          <cell r="E364">
            <v>45231</v>
          </cell>
          <cell r="F364">
            <v>3540.77</v>
          </cell>
          <cell r="G364">
            <v>235</v>
          </cell>
          <cell r="H364">
            <v>218</v>
          </cell>
          <cell r="I364">
            <v>180.80527659574469</v>
          </cell>
          <cell r="J364">
            <v>271.25</v>
          </cell>
        </row>
        <row r="365">
          <cell r="C365" t="str">
            <v>Service Connection (30)</v>
          </cell>
          <cell r="D365" t="str">
            <v>Services - Strohs (472)</v>
          </cell>
          <cell r="E365">
            <v>45231</v>
          </cell>
          <cell r="F365">
            <v>3122.05</v>
          </cell>
          <cell r="G365">
            <v>235</v>
          </cell>
          <cell r="H365">
            <v>218</v>
          </cell>
          <cell r="I365">
            <v>159.42382978723407</v>
          </cell>
          <cell r="J365">
            <v>239.2</v>
          </cell>
        </row>
        <row r="366">
          <cell r="C366" t="str">
            <v>Service Connection (30)</v>
          </cell>
          <cell r="D366" t="str">
            <v>Services - Strohs (472)</v>
          </cell>
          <cell r="E366">
            <v>45231</v>
          </cell>
          <cell r="F366">
            <v>8253.98</v>
          </cell>
          <cell r="G366">
            <v>235</v>
          </cell>
          <cell r="H366">
            <v>218</v>
          </cell>
          <cell r="I366">
            <v>421.47982978723405</v>
          </cell>
          <cell r="J366">
            <v>632.17999999999995</v>
          </cell>
        </row>
        <row r="367">
          <cell r="C367" t="str">
            <v>Service Connection (30)</v>
          </cell>
          <cell r="D367" t="str">
            <v>Services - Strohs (075)</v>
          </cell>
          <cell r="E367">
            <v>45231</v>
          </cell>
          <cell r="F367">
            <v>2322.92</v>
          </cell>
          <cell r="G367">
            <v>235</v>
          </cell>
          <cell r="H367">
            <v>218</v>
          </cell>
          <cell r="I367">
            <v>118.61719148936172</v>
          </cell>
          <cell r="J367">
            <v>177.88</v>
          </cell>
        </row>
        <row r="368">
          <cell r="C368" t="str">
            <v>Service Connection (30)</v>
          </cell>
          <cell r="D368" t="str">
            <v>Services (CIAC) - Strohs (472)</v>
          </cell>
          <cell r="E368">
            <v>45231</v>
          </cell>
          <cell r="F368">
            <v>7147.02</v>
          </cell>
          <cell r="G368">
            <v>235</v>
          </cell>
          <cell r="H368">
            <v>218</v>
          </cell>
          <cell r="I368">
            <v>364.95421276595744</v>
          </cell>
          <cell r="J368">
            <v>547.39</v>
          </cell>
        </row>
        <row r="369">
          <cell r="C369" t="str">
            <v>Service Connection (30)</v>
          </cell>
          <cell r="D369" t="str">
            <v>Services (CIAC) - Stroh (075)</v>
          </cell>
          <cell r="E369">
            <v>45231</v>
          </cell>
          <cell r="F369">
            <v>3760.21</v>
          </cell>
          <cell r="G369">
            <v>235</v>
          </cell>
          <cell r="H369">
            <v>218</v>
          </cell>
          <cell r="I369">
            <v>192.01072340425532</v>
          </cell>
          <cell r="J369">
            <v>288</v>
          </cell>
        </row>
        <row r="370">
          <cell r="C370" t="str">
            <v>Service Connection (30)</v>
          </cell>
          <cell r="D370" t="str">
            <v>Services (CIAC) - Strohs (472)</v>
          </cell>
          <cell r="E370">
            <v>45231</v>
          </cell>
          <cell r="F370">
            <v>2353.48</v>
          </cell>
          <cell r="G370">
            <v>235</v>
          </cell>
          <cell r="H370">
            <v>218</v>
          </cell>
          <cell r="I370">
            <v>120.17770212765959</v>
          </cell>
          <cell r="J370">
            <v>180.23</v>
          </cell>
        </row>
        <row r="371">
          <cell r="C371" t="str">
            <v>Service Connection (30)</v>
          </cell>
          <cell r="D371" t="str">
            <v>Services - Strohs (075)</v>
          </cell>
          <cell r="E371">
            <v>45231</v>
          </cell>
          <cell r="F371">
            <v>2518.3000000000002</v>
          </cell>
          <cell r="G371">
            <v>235</v>
          </cell>
          <cell r="H371">
            <v>218</v>
          </cell>
          <cell r="I371">
            <v>128.59404255319149</v>
          </cell>
          <cell r="J371">
            <v>192.94</v>
          </cell>
        </row>
        <row r="372">
          <cell r="C372" t="str">
            <v>Service Connection (30)</v>
          </cell>
          <cell r="D372" t="str">
            <v>Services - Strohs (472)</v>
          </cell>
          <cell r="E372">
            <v>45231</v>
          </cell>
          <cell r="F372">
            <v>479.59</v>
          </cell>
          <cell r="G372">
            <v>235</v>
          </cell>
          <cell r="H372">
            <v>218</v>
          </cell>
          <cell r="I372">
            <v>24.489702127659569</v>
          </cell>
          <cell r="J372">
            <v>36.72</v>
          </cell>
        </row>
        <row r="373">
          <cell r="C373" t="str">
            <v>Service Connection (30)</v>
          </cell>
          <cell r="D373" t="str">
            <v>Services - Strohs (075)</v>
          </cell>
          <cell r="E373">
            <v>45231</v>
          </cell>
          <cell r="F373">
            <v>2373.61</v>
          </cell>
          <cell r="G373">
            <v>235</v>
          </cell>
          <cell r="H373">
            <v>218</v>
          </cell>
          <cell r="I373">
            <v>121.20561702127659</v>
          </cell>
          <cell r="J373">
            <v>181.8</v>
          </cell>
        </row>
        <row r="374">
          <cell r="C374" t="str">
            <v>Service Connection (30)</v>
          </cell>
          <cell r="D374" t="str">
            <v>Services - Strohs (472)</v>
          </cell>
          <cell r="E374">
            <v>45231</v>
          </cell>
          <cell r="F374">
            <v>4925.63</v>
          </cell>
          <cell r="G374">
            <v>235</v>
          </cell>
          <cell r="H374">
            <v>218</v>
          </cell>
          <cell r="I374">
            <v>251.52153191489361</v>
          </cell>
          <cell r="J374">
            <v>377.28</v>
          </cell>
        </row>
        <row r="375">
          <cell r="C375" t="str">
            <v>Service Connection (30)</v>
          </cell>
          <cell r="D375" t="str">
            <v>Services - Strohs (075)</v>
          </cell>
          <cell r="E375">
            <v>45231</v>
          </cell>
          <cell r="F375">
            <v>3761.17</v>
          </cell>
          <cell r="G375">
            <v>235</v>
          </cell>
          <cell r="H375">
            <v>218</v>
          </cell>
          <cell r="I375">
            <v>192.05974468085108</v>
          </cell>
          <cell r="J375">
            <v>288.08999999999997</v>
          </cell>
        </row>
        <row r="376">
          <cell r="C376" t="str">
            <v>Service Connection (30)</v>
          </cell>
          <cell r="D376" t="str">
            <v>Services - Strohs (472)</v>
          </cell>
          <cell r="E376">
            <v>45231</v>
          </cell>
          <cell r="F376">
            <v>1495.31</v>
          </cell>
          <cell r="G376">
            <v>235</v>
          </cell>
          <cell r="H376">
            <v>218</v>
          </cell>
          <cell r="I376">
            <v>76.356255319148929</v>
          </cell>
          <cell r="J376">
            <v>114.5</v>
          </cell>
        </row>
        <row r="377">
          <cell r="C377" t="str">
            <v>Service Connection (30)</v>
          </cell>
          <cell r="D377" t="str">
            <v>Services - Strohs (075)</v>
          </cell>
          <cell r="E377">
            <v>45231</v>
          </cell>
          <cell r="F377">
            <v>5047.47</v>
          </cell>
          <cell r="G377">
            <v>235</v>
          </cell>
          <cell r="H377">
            <v>218</v>
          </cell>
          <cell r="I377">
            <v>257.7431489361702</v>
          </cell>
          <cell r="J377">
            <v>386.63</v>
          </cell>
        </row>
        <row r="378">
          <cell r="C378" t="str">
            <v>Service Connection (30)</v>
          </cell>
          <cell r="D378" t="str">
            <v>Services - Strohs (472)</v>
          </cell>
          <cell r="E378">
            <v>45231</v>
          </cell>
          <cell r="F378">
            <v>385.36</v>
          </cell>
          <cell r="G378">
            <v>235</v>
          </cell>
          <cell r="H378">
            <v>218</v>
          </cell>
          <cell r="I378">
            <v>19.677957446808513</v>
          </cell>
          <cell r="J378">
            <v>29.52</v>
          </cell>
        </row>
        <row r="379">
          <cell r="C379" t="str">
            <v>Service Connection (30)</v>
          </cell>
          <cell r="D379" t="str">
            <v>Services - Strohs (472)</v>
          </cell>
          <cell r="E379">
            <v>45231</v>
          </cell>
          <cell r="F379">
            <v>1279.73</v>
          </cell>
          <cell r="G379">
            <v>235</v>
          </cell>
          <cell r="H379">
            <v>218</v>
          </cell>
          <cell r="I379">
            <v>65.34791489361703</v>
          </cell>
          <cell r="J379">
            <v>98.08</v>
          </cell>
        </row>
        <row r="380">
          <cell r="C380" t="str">
            <v>Service Connection (30)</v>
          </cell>
          <cell r="D380" t="str">
            <v>Services - Strohs (075)</v>
          </cell>
          <cell r="E380">
            <v>45231</v>
          </cell>
          <cell r="F380">
            <v>10432.26</v>
          </cell>
          <cell r="G380">
            <v>235</v>
          </cell>
          <cell r="H380">
            <v>218</v>
          </cell>
          <cell r="I380">
            <v>532.71114893617028</v>
          </cell>
          <cell r="J380">
            <v>799.03</v>
          </cell>
        </row>
        <row r="381">
          <cell r="C381" t="str">
            <v>Service Connection (30)</v>
          </cell>
          <cell r="D381" t="str">
            <v>Services - Strohs, 3510 53d St (075</v>
          </cell>
          <cell r="E381">
            <v>45231</v>
          </cell>
          <cell r="F381">
            <v>2108.54</v>
          </cell>
          <cell r="G381">
            <v>235</v>
          </cell>
          <cell r="H381">
            <v>218</v>
          </cell>
          <cell r="I381">
            <v>107.67012765957448</v>
          </cell>
          <cell r="J381">
            <v>161.47</v>
          </cell>
        </row>
        <row r="382">
          <cell r="C382" t="str">
            <v>Service Connection (30)</v>
          </cell>
          <cell r="D382" t="str">
            <v>Services (CIAC) Fox Run, upsized -</v>
          </cell>
          <cell r="E382">
            <v>45231</v>
          </cell>
          <cell r="F382">
            <v>12374</v>
          </cell>
          <cell r="G382">
            <v>235</v>
          </cell>
          <cell r="H382">
            <v>218</v>
          </cell>
          <cell r="I382">
            <v>631.86382978723407</v>
          </cell>
          <cell r="J382">
            <v>947.86</v>
          </cell>
        </row>
        <row r="383">
          <cell r="C383" t="str">
            <v>Service Connection (30)</v>
          </cell>
          <cell r="D383" t="str">
            <v>Services - Strohs (472)</v>
          </cell>
          <cell r="E383">
            <v>45231</v>
          </cell>
          <cell r="F383">
            <v>3815.58</v>
          </cell>
          <cell r="G383">
            <v>235</v>
          </cell>
          <cell r="H383">
            <v>218</v>
          </cell>
          <cell r="I383">
            <v>194.83812765957447</v>
          </cell>
          <cell r="J383">
            <v>292.3</v>
          </cell>
        </row>
        <row r="384">
          <cell r="C384" t="str">
            <v>Service Connection (30)</v>
          </cell>
          <cell r="D384" t="str">
            <v>Services (CIAC) - Stroh (075)</v>
          </cell>
          <cell r="E384">
            <v>45231</v>
          </cell>
          <cell r="F384">
            <v>1437.39</v>
          </cell>
          <cell r="G384">
            <v>235</v>
          </cell>
          <cell r="H384">
            <v>218</v>
          </cell>
          <cell r="I384">
            <v>73.398638297872338</v>
          </cell>
          <cell r="J384">
            <v>110.14</v>
          </cell>
        </row>
        <row r="385">
          <cell r="C385" t="str">
            <v>Service Connection (30)</v>
          </cell>
          <cell r="D385" t="str">
            <v>Services - Strohs (472)</v>
          </cell>
          <cell r="E385">
            <v>45231</v>
          </cell>
          <cell r="F385">
            <v>1348.27</v>
          </cell>
          <cell r="G385">
            <v>235</v>
          </cell>
          <cell r="H385">
            <v>218</v>
          </cell>
          <cell r="I385">
            <v>68.847829787234048</v>
          </cell>
          <cell r="J385">
            <v>103.31</v>
          </cell>
        </row>
        <row r="386">
          <cell r="C386" t="str">
            <v>Service Connection (30)</v>
          </cell>
          <cell r="D386" t="str">
            <v>Services - Strohs (472)</v>
          </cell>
          <cell r="E386">
            <v>45231</v>
          </cell>
          <cell r="F386">
            <v>6824.6</v>
          </cell>
          <cell r="G386">
            <v>235</v>
          </cell>
          <cell r="H386">
            <v>218</v>
          </cell>
          <cell r="I386">
            <v>348.49021276595744</v>
          </cell>
          <cell r="J386">
            <v>522.72</v>
          </cell>
        </row>
        <row r="387">
          <cell r="C387" t="str">
            <v>Service Connection (30)</v>
          </cell>
          <cell r="D387" t="str">
            <v>Services (CIAC) - Stroh (075)</v>
          </cell>
          <cell r="E387">
            <v>45231</v>
          </cell>
          <cell r="F387">
            <v>287.48</v>
          </cell>
          <cell r="G387">
            <v>235</v>
          </cell>
          <cell r="H387">
            <v>218</v>
          </cell>
          <cell r="I387">
            <v>14.679829787234045</v>
          </cell>
          <cell r="J387">
            <v>21.98</v>
          </cell>
        </row>
        <row r="388">
          <cell r="C388" t="str">
            <v>Service Connection (30)</v>
          </cell>
          <cell r="D388" t="str">
            <v>Services (CIAC) - Stroh (075)</v>
          </cell>
          <cell r="E388">
            <v>45231</v>
          </cell>
          <cell r="F388">
            <v>1248.9000000000001</v>
          </cell>
          <cell r="G388">
            <v>235</v>
          </cell>
          <cell r="H388">
            <v>218</v>
          </cell>
          <cell r="I388">
            <v>63.773617021276593</v>
          </cell>
          <cell r="J388">
            <v>95.6</v>
          </cell>
        </row>
        <row r="389">
          <cell r="C389" t="str">
            <v>Meters (20)</v>
          </cell>
          <cell r="D389" t="str">
            <v>Meters - Strohs (472)</v>
          </cell>
          <cell r="E389">
            <v>45231</v>
          </cell>
          <cell r="F389">
            <v>38602.83</v>
          </cell>
          <cell r="G389">
            <v>420</v>
          </cell>
          <cell r="H389">
            <v>43</v>
          </cell>
          <cell r="I389">
            <v>1102.9380000000001</v>
          </cell>
          <cell r="J389">
            <v>30272.39</v>
          </cell>
        </row>
        <row r="390">
          <cell r="C390" t="str">
            <v>Meters (20)</v>
          </cell>
          <cell r="D390" t="str">
            <v>Meters - Strohs (472)</v>
          </cell>
          <cell r="E390">
            <v>45231</v>
          </cell>
          <cell r="F390">
            <v>5729.68</v>
          </cell>
          <cell r="G390">
            <v>420</v>
          </cell>
          <cell r="H390">
            <v>109</v>
          </cell>
          <cell r="I390">
            <v>163.70514285714287</v>
          </cell>
          <cell r="J390">
            <v>4256.32</v>
          </cell>
        </row>
        <row r="391">
          <cell r="C391" t="str">
            <v>Meters (20)</v>
          </cell>
          <cell r="D391" t="str">
            <v>Meters - Strohs (075)</v>
          </cell>
          <cell r="E391">
            <v>45231</v>
          </cell>
          <cell r="F391">
            <v>3523</v>
          </cell>
          <cell r="G391">
            <v>420</v>
          </cell>
          <cell r="H391">
            <v>126</v>
          </cell>
          <cell r="I391">
            <v>100.65714285714284</v>
          </cell>
          <cell r="J391">
            <v>2474.5100000000002</v>
          </cell>
        </row>
        <row r="392">
          <cell r="C392" t="str">
            <v>Meters (20)</v>
          </cell>
          <cell r="D392" t="str">
            <v>Meters - Strohs (472)</v>
          </cell>
          <cell r="E392">
            <v>45231</v>
          </cell>
          <cell r="F392">
            <v>5249</v>
          </cell>
          <cell r="G392">
            <v>420</v>
          </cell>
          <cell r="H392">
            <v>139</v>
          </cell>
          <cell r="I392">
            <v>149.97142857142856</v>
          </cell>
          <cell r="J392">
            <v>3524.36</v>
          </cell>
        </row>
        <row r="393">
          <cell r="C393" t="str">
            <v>Meters (20)</v>
          </cell>
          <cell r="D393" t="str">
            <v>Meters - Strohs (075)</v>
          </cell>
          <cell r="E393">
            <v>45231</v>
          </cell>
          <cell r="F393">
            <v>4509</v>
          </cell>
          <cell r="G393">
            <v>420</v>
          </cell>
          <cell r="H393">
            <v>151</v>
          </cell>
          <cell r="I393">
            <v>128.82857142857142</v>
          </cell>
          <cell r="J393">
            <v>2898.7</v>
          </cell>
        </row>
        <row r="394">
          <cell r="C394" t="str">
            <v>Meters (20)</v>
          </cell>
          <cell r="D394" t="str">
            <v>Meters - Strohs (472)</v>
          </cell>
          <cell r="E394">
            <v>45231</v>
          </cell>
          <cell r="F394">
            <v>270</v>
          </cell>
          <cell r="G394">
            <v>420</v>
          </cell>
          <cell r="H394">
            <v>230</v>
          </cell>
          <cell r="I394">
            <v>7.7142857142857153</v>
          </cell>
          <cell r="J394">
            <v>122.75</v>
          </cell>
        </row>
        <row r="395">
          <cell r="C395" t="str">
            <v>Meters (20)</v>
          </cell>
          <cell r="D395" t="str">
            <v>Meters - Strohs (075)</v>
          </cell>
          <cell r="E395">
            <v>45231</v>
          </cell>
          <cell r="F395">
            <v>1506</v>
          </cell>
          <cell r="G395">
            <v>420</v>
          </cell>
          <cell r="H395">
            <v>253</v>
          </cell>
          <cell r="I395">
            <v>43.028571428571432</v>
          </cell>
          <cell r="J395">
            <v>602.46</v>
          </cell>
        </row>
        <row r="396">
          <cell r="C396" t="str">
            <v>Meters (20)</v>
          </cell>
          <cell r="D396" t="str">
            <v>Meters - Strohs (472)</v>
          </cell>
          <cell r="E396">
            <v>45231</v>
          </cell>
          <cell r="F396">
            <v>3457.46</v>
          </cell>
          <cell r="G396">
            <v>360</v>
          </cell>
          <cell r="H396">
            <v>205</v>
          </cell>
          <cell r="I396">
            <v>115.24866666666668</v>
          </cell>
          <cell r="J396">
            <v>1498.18</v>
          </cell>
        </row>
        <row r="397">
          <cell r="C397" t="str">
            <v>Meters (20)</v>
          </cell>
          <cell r="D397" t="str">
            <v>Meters - Strohs (075)</v>
          </cell>
          <cell r="E397">
            <v>45231</v>
          </cell>
          <cell r="F397">
            <v>1015.57</v>
          </cell>
          <cell r="G397">
            <v>360</v>
          </cell>
          <cell r="H397">
            <v>205</v>
          </cell>
          <cell r="I397">
            <v>33.852333333333334</v>
          </cell>
          <cell r="J397">
            <v>440.07</v>
          </cell>
        </row>
        <row r="398">
          <cell r="C398" t="str">
            <v>Meters (20)</v>
          </cell>
          <cell r="D398" t="str">
            <v>Meters - Strohs (075)</v>
          </cell>
          <cell r="E398">
            <v>45231</v>
          </cell>
          <cell r="F398">
            <v>1633.91</v>
          </cell>
          <cell r="G398">
            <v>360</v>
          </cell>
          <cell r="H398">
            <v>205</v>
          </cell>
          <cell r="I398">
            <v>54.463666666666668</v>
          </cell>
          <cell r="J398">
            <v>708.05</v>
          </cell>
        </row>
        <row r="399">
          <cell r="C399" t="str">
            <v>Meters (20)</v>
          </cell>
          <cell r="D399" t="str">
            <v>Meters - Strohs (075)</v>
          </cell>
          <cell r="E399">
            <v>45231</v>
          </cell>
          <cell r="F399">
            <v>848.17</v>
          </cell>
          <cell r="G399">
            <v>360</v>
          </cell>
          <cell r="H399">
            <v>205</v>
          </cell>
          <cell r="I399">
            <v>28.272333333333336</v>
          </cell>
          <cell r="J399">
            <v>367.59</v>
          </cell>
        </row>
        <row r="400">
          <cell r="C400" t="str">
            <v>Meters (20)</v>
          </cell>
          <cell r="D400" t="str">
            <v>Meters - Strohs (472)</v>
          </cell>
          <cell r="E400">
            <v>45231</v>
          </cell>
          <cell r="F400">
            <v>235.99</v>
          </cell>
          <cell r="G400">
            <v>360</v>
          </cell>
          <cell r="H400">
            <v>216</v>
          </cell>
          <cell r="I400">
            <v>7.8663333333333334</v>
          </cell>
          <cell r="J400">
            <v>95.11</v>
          </cell>
        </row>
        <row r="401">
          <cell r="C401" t="str">
            <v>Meters (20)</v>
          </cell>
          <cell r="D401" t="str">
            <v>Meters - Strohs (075)</v>
          </cell>
          <cell r="E401">
            <v>45231</v>
          </cell>
          <cell r="F401">
            <v>768.05</v>
          </cell>
          <cell r="G401">
            <v>360</v>
          </cell>
          <cell r="H401">
            <v>217</v>
          </cell>
          <cell r="I401">
            <v>25.601666666666667</v>
          </cell>
          <cell r="J401">
            <v>307.17</v>
          </cell>
        </row>
        <row r="402">
          <cell r="C402" t="str">
            <v>Meters (20)</v>
          </cell>
          <cell r="D402" t="str">
            <v>Meters - Strohs (472)</v>
          </cell>
          <cell r="E402">
            <v>45231</v>
          </cell>
          <cell r="F402">
            <v>1075.8499999999999</v>
          </cell>
          <cell r="G402">
            <v>360</v>
          </cell>
          <cell r="H402">
            <v>229</v>
          </cell>
          <cell r="I402">
            <v>35.861666666666665</v>
          </cell>
          <cell r="J402">
            <v>394.5</v>
          </cell>
        </row>
        <row r="403">
          <cell r="C403" t="str">
            <v>Meters (20)</v>
          </cell>
          <cell r="D403" t="str">
            <v>Meters - Strohs (472)</v>
          </cell>
          <cell r="E403">
            <v>45231</v>
          </cell>
          <cell r="F403">
            <v>1039.93</v>
          </cell>
          <cell r="G403">
            <v>360</v>
          </cell>
          <cell r="H403">
            <v>241</v>
          </cell>
          <cell r="I403">
            <v>34.664333333333332</v>
          </cell>
          <cell r="J403">
            <v>346.66</v>
          </cell>
        </row>
        <row r="404">
          <cell r="C404" t="str">
            <v>Meters (20)</v>
          </cell>
          <cell r="D404" t="str">
            <v>Meters - Strohs (075)</v>
          </cell>
          <cell r="E404">
            <v>45231</v>
          </cell>
          <cell r="F404">
            <v>2085.59</v>
          </cell>
          <cell r="G404">
            <v>360</v>
          </cell>
          <cell r="H404">
            <v>241</v>
          </cell>
          <cell r="I404">
            <v>69.51966666666668</v>
          </cell>
          <cell r="J404">
            <v>695.15</v>
          </cell>
        </row>
        <row r="405">
          <cell r="C405" t="str">
            <v>Meters (20)</v>
          </cell>
          <cell r="D405" t="str">
            <v>Meters - Strohs (075)</v>
          </cell>
          <cell r="E405">
            <v>45231</v>
          </cell>
          <cell r="F405">
            <v>1408.7</v>
          </cell>
          <cell r="G405">
            <v>360</v>
          </cell>
          <cell r="H405">
            <v>241</v>
          </cell>
          <cell r="I405">
            <v>46.956666666666671</v>
          </cell>
          <cell r="J405">
            <v>469.53</v>
          </cell>
        </row>
        <row r="406">
          <cell r="C406" t="str">
            <v>Meters (20)</v>
          </cell>
          <cell r="D406" t="str">
            <v>Meters (CIAC, Fox Run) - Strohs (47</v>
          </cell>
          <cell r="E406">
            <v>45231</v>
          </cell>
          <cell r="F406">
            <v>12858.41</v>
          </cell>
          <cell r="G406">
            <v>360</v>
          </cell>
          <cell r="H406">
            <v>265</v>
          </cell>
          <cell r="I406">
            <v>428.61366666666669</v>
          </cell>
          <cell r="J406">
            <v>3428.94</v>
          </cell>
        </row>
        <row r="407">
          <cell r="C407" t="str">
            <v>Meters (20)</v>
          </cell>
          <cell r="D407" t="str">
            <v>Meters - Strohs (472)</v>
          </cell>
          <cell r="E407">
            <v>45231</v>
          </cell>
          <cell r="F407">
            <v>724</v>
          </cell>
          <cell r="G407">
            <v>360</v>
          </cell>
          <cell r="H407">
            <v>301</v>
          </cell>
          <cell r="I407">
            <v>24.133333333333333</v>
          </cell>
          <cell r="J407">
            <v>120.65</v>
          </cell>
        </row>
        <row r="408">
          <cell r="C408" t="str">
            <v>Meters (20)</v>
          </cell>
          <cell r="D408" t="str">
            <v>Meters - Strohs (472)</v>
          </cell>
          <cell r="E408">
            <v>45231</v>
          </cell>
          <cell r="F408">
            <v>31588.58</v>
          </cell>
          <cell r="G408">
            <v>360</v>
          </cell>
          <cell r="H408">
            <v>325</v>
          </cell>
          <cell r="I408">
            <v>1052.9526666666666</v>
          </cell>
          <cell r="J408">
            <v>2873.42</v>
          </cell>
        </row>
        <row r="409">
          <cell r="C409" t="str">
            <v>Meters (20)</v>
          </cell>
          <cell r="D409" t="str">
            <v>Meters - Strohs (075)</v>
          </cell>
          <cell r="E409">
            <v>45231</v>
          </cell>
          <cell r="F409">
            <v>20850.91</v>
          </cell>
          <cell r="G409">
            <v>360</v>
          </cell>
          <cell r="H409">
            <v>333</v>
          </cell>
          <cell r="I409">
            <v>695.03033333333337</v>
          </cell>
          <cell r="J409">
            <v>1621.75</v>
          </cell>
        </row>
        <row r="410">
          <cell r="C410" t="str">
            <v>Meters (20)</v>
          </cell>
          <cell r="D410" t="str">
            <v>Meters - Strohs (472)</v>
          </cell>
          <cell r="E410">
            <v>45231</v>
          </cell>
          <cell r="F410">
            <v>30671.48</v>
          </cell>
          <cell r="G410">
            <v>234</v>
          </cell>
          <cell r="H410">
            <v>217</v>
          </cell>
          <cell r="I410">
            <v>1572.8964102564105</v>
          </cell>
          <cell r="J410">
            <v>2359.3200000000002</v>
          </cell>
        </row>
        <row r="411">
          <cell r="C411" t="str">
            <v>Meters (20)</v>
          </cell>
          <cell r="D411" t="str">
            <v>Meters - Strohs (472)</v>
          </cell>
          <cell r="E411">
            <v>45231</v>
          </cell>
          <cell r="F411">
            <v>5490.52</v>
          </cell>
          <cell r="G411">
            <v>234</v>
          </cell>
          <cell r="H411">
            <v>217</v>
          </cell>
          <cell r="I411">
            <v>281.56512820512825</v>
          </cell>
          <cell r="J411">
            <v>422.35</v>
          </cell>
        </row>
        <row r="412">
          <cell r="C412" t="str">
            <v>Meters (20)</v>
          </cell>
          <cell r="D412" t="str">
            <v>Meters - Strohs (075)</v>
          </cell>
          <cell r="E412">
            <v>45231</v>
          </cell>
          <cell r="F412">
            <v>3375.95</v>
          </cell>
          <cell r="G412">
            <v>234</v>
          </cell>
          <cell r="H412">
            <v>217</v>
          </cell>
          <cell r="I412">
            <v>173.12564102564102</v>
          </cell>
          <cell r="J412">
            <v>259.73</v>
          </cell>
        </row>
        <row r="413">
          <cell r="C413" t="str">
            <v>Meters (20)</v>
          </cell>
          <cell r="D413" t="str">
            <v>Meters - Strohs (472)</v>
          </cell>
          <cell r="E413">
            <v>45231</v>
          </cell>
          <cell r="F413">
            <v>5029.8999999999996</v>
          </cell>
          <cell r="G413">
            <v>234</v>
          </cell>
          <cell r="H413">
            <v>217</v>
          </cell>
          <cell r="I413">
            <v>257.94358974358971</v>
          </cell>
          <cell r="J413">
            <v>386.98</v>
          </cell>
        </row>
        <row r="414">
          <cell r="C414" t="str">
            <v>Meters (20)</v>
          </cell>
          <cell r="D414" t="str">
            <v>Meters - Strohs (075)</v>
          </cell>
          <cell r="E414">
            <v>45231</v>
          </cell>
          <cell r="F414">
            <v>4320.79</v>
          </cell>
          <cell r="G414">
            <v>234</v>
          </cell>
          <cell r="H414">
            <v>217</v>
          </cell>
          <cell r="I414">
            <v>221.57897435897436</v>
          </cell>
          <cell r="J414">
            <v>332.35</v>
          </cell>
        </row>
        <row r="415">
          <cell r="C415" t="str">
            <v>Meters (20)</v>
          </cell>
          <cell r="D415" t="str">
            <v>Meters - Strohs (472)</v>
          </cell>
          <cell r="E415">
            <v>45231</v>
          </cell>
          <cell r="F415">
            <v>258.73</v>
          </cell>
          <cell r="G415">
            <v>234</v>
          </cell>
          <cell r="H415">
            <v>217</v>
          </cell>
          <cell r="I415">
            <v>13.26820512820513</v>
          </cell>
          <cell r="J415">
            <v>19.96</v>
          </cell>
        </row>
        <row r="416">
          <cell r="C416" t="str">
            <v>Meters (20)</v>
          </cell>
          <cell r="D416" t="str">
            <v>Meters - Strohs (075)</v>
          </cell>
          <cell r="E416">
            <v>45231</v>
          </cell>
          <cell r="F416">
            <v>1443.14</v>
          </cell>
          <cell r="G416">
            <v>234</v>
          </cell>
          <cell r="H416">
            <v>217</v>
          </cell>
          <cell r="I416">
            <v>74.007179487179485</v>
          </cell>
          <cell r="J416">
            <v>111.05</v>
          </cell>
        </row>
        <row r="417">
          <cell r="C417" t="str">
            <v>Meters (20)</v>
          </cell>
          <cell r="D417" t="str">
            <v>Meters - Strohs (472)</v>
          </cell>
          <cell r="E417">
            <v>45231</v>
          </cell>
          <cell r="F417">
            <v>3313.14</v>
          </cell>
          <cell r="G417">
            <v>234</v>
          </cell>
          <cell r="H417">
            <v>217</v>
          </cell>
          <cell r="I417">
            <v>169.90461538461537</v>
          </cell>
          <cell r="J417">
            <v>254.87</v>
          </cell>
        </row>
        <row r="418">
          <cell r="C418" t="str">
            <v>Meters (20)</v>
          </cell>
          <cell r="D418" t="str">
            <v>Meters - Strohs (075)</v>
          </cell>
          <cell r="E418">
            <v>45231</v>
          </cell>
          <cell r="F418">
            <v>973.18</v>
          </cell>
          <cell r="G418">
            <v>234</v>
          </cell>
          <cell r="H418">
            <v>217</v>
          </cell>
          <cell r="I418">
            <v>49.906666666666666</v>
          </cell>
          <cell r="J418">
            <v>74.87</v>
          </cell>
        </row>
        <row r="419">
          <cell r="C419" t="str">
            <v>Meters (20)</v>
          </cell>
          <cell r="D419" t="str">
            <v>Meters - Strohs (075)</v>
          </cell>
          <cell r="E419">
            <v>45231</v>
          </cell>
          <cell r="F419">
            <v>1565.71</v>
          </cell>
          <cell r="G419">
            <v>234</v>
          </cell>
          <cell r="H419">
            <v>217</v>
          </cell>
          <cell r="I419">
            <v>80.292820512820512</v>
          </cell>
          <cell r="J419">
            <v>120.43</v>
          </cell>
        </row>
        <row r="420">
          <cell r="C420" t="str">
            <v>Meters (20)</v>
          </cell>
          <cell r="D420" t="str">
            <v>Meters - Strohs (075)</v>
          </cell>
          <cell r="E420">
            <v>45231</v>
          </cell>
          <cell r="F420">
            <v>812.77</v>
          </cell>
          <cell r="G420">
            <v>234</v>
          </cell>
          <cell r="H420">
            <v>217</v>
          </cell>
          <cell r="I420">
            <v>41.680512820512817</v>
          </cell>
          <cell r="J420">
            <v>62.48</v>
          </cell>
        </row>
        <row r="421">
          <cell r="C421" t="str">
            <v>Meters (20)</v>
          </cell>
          <cell r="D421" t="str">
            <v>Meters - Strohs (472)</v>
          </cell>
          <cell r="E421">
            <v>45231</v>
          </cell>
          <cell r="F421">
            <v>226.14</v>
          </cell>
          <cell r="G421">
            <v>234</v>
          </cell>
          <cell r="H421">
            <v>217</v>
          </cell>
          <cell r="I421">
            <v>11.596923076923076</v>
          </cell>
          <cell r="J421">
            <v>17.440000000000001</v>
          </cell>
        </row>
        <row r="422">
          <cell r="C422" t="str">
            <v>Meters (20)</v>
          </cell>
          <cell r="D422" t="str">
            <v>Meters - Strohs (075)</v>
          </cell>
          <cell r="E422">
            <v>45231</v>
          </cell>
          <cell r="F422">
            <v>735.99</v>
          </cell>
          <cell r="G422">
            <v>234</v>
          </cell>
          <cell r="H422">
            <v>217</v>
          </cell>
          <cell r="I422">
            <v>37.743076923076927</v>
          </cell>
          <cell r="J422">
            <v>56.67</v>
          </cell>
        </row>
        <row r="423">
          <cell r="C423" t="str">
            <v>Meters (20)</v>
          </cell>
          <cell r="D423" t="str">
            <v>Meters - Strohs (472)</v>
          </cell>
          <cell r="E423">
            <v>45231</v>
          </cell>
          <cell r="F423">
            <v>1030.94</v>
          </cell>
          <cell r="G423">
            <v>234</v>
          </cell>
          <cell r="H423">
            <v>217</v>
          </cell>
          <cell r="I423">
            <v>52.868717948717951</v>
          </cell>
          <cell r="J423">
            <v>79.36</v>
          </cell>
        </row>
        <row r="424">
          <cell r="C424" t="str">
            <v>Meters (20)</v>
          </cell>
          <cell r="D424" t="str">
            <v>Meters - Strohs (472)</v>
          </cell>
          <cell r="E424">
            <v>45231</v>
          </cell>
          <cell r="F424">
            <v>996.52</v>
          </cell>
          <cell r="G424">
            <v>234</v>
          </cell>
          <cell r="H424">
            <v>217</v>
          </cell>
          <cell r="I424">
            <v>51.103589743589751</v>
          </cell>
          <cell r="J424">
            <v>76.67</v>
          </cell>
        </row>
        <row r="425">
          <cell r="C425" t="str">
            <v>Meters (20)</v>
          </cell>
          <cell r="D425" t="str">
            <v>Meters - Strohs (075)</v>
          </cell>
          <cell r="E425">
            <v>45231</v>
          </cell>
          <cell r="F425">
            <v>1998.53</v>
          </cell>
          <cell r="G425">
            <v>234</v>
          </cell>
          <cell r="H425">
            <v>217</v>
          </cell>
          <cell r="I425">
            <v>102.48871794871795</v>
          </cell>
          <cell r="J425">
            <v>153.72</v>
          </cell>
        </row>
        <row r="426">
          <cell r="C426" t="str">
            <v>Meters (20)</v>
          </cell>
          <cell r="D426" t="str">
            <v>Meters - Strohs (075)</v>
          </cell>
          <cell r="E426">
            <v>45231</v>
          </cell>
          <cell r="F426">
            <v>1349.9</v>
          </cell>
          <cell r="G426">
            <v>234</v>
          </cell>
          <cell r="H426">
            <v>217</v>
          </cell>
          <cell r="I426">
            <v>69.225641025641039</v>
          </cell>
          <cell r="J426">
            <v>103.85</v>
          </cell>
        </row>
        <row r="427">
          <cell r="C427" t="str">
            <v>Meters (20)</v>
          </cell>
          <cell r="D427" t="str">
            <v>Meters (CIAC, Fox Run) - Strohs (47</v>
          </cell>
          <cell r="E427">
            <v>45231</v>
          </cell>
          <cell r="F427">
            <v>12321.68</v>
          </cell>
          <cell r="G427">
            <v>234</v>
          </cell>
          <cell r="H427">
            <v>217</v>
          </cell>
          <cell r="I427">
            <v>631.88102564102564</v>
          </cell>
          <cell r="J427">
            <v>947.86</v>
          </cell>
        </row>
        <row r="428">
          <cell r="C428" t="str">
            <v>Meters (20)</v>
          </cell>
          <cell r="D428" t="str">
            <v>Meters - Strohs (472)</v>
          </cell>
          <cell r="E428">
            <v>45231</v>
          </cell>
          <cell r="F428">
            <v>693.78</v>
          </cell>
          <cell r="G428">
            <v>234</v>
          </cell>
          <cell r="H428">
            <v>217</v>
          </cell>
          <cell r="I428">
            <v>35.578461538461539</v>
          </cell>
          <cell r="J428">
            <v>53.34</v>
          </cell>
        </row>
        <row r="429">
          <cell r="C429" t="str">
            <v>Meters (20)</v>
          </cell>
          <cell r="D429" t="str">
            <v>Meters - Strohs (472)</v>
          </cell>
          <cell r="E429">
            <v>45231</v>
          </cell>
          <cell r="F429">
            <v>26014.77</v>
          </cell>
          <cell r="G429">
            <v>234</v>
          </cell>
          <cell r="H429">
            <v>217</v>
          </cell>
          <cell r="I429">
            <v>1334.0907692307692</v>
          </cell>
          <cell r="J429">
            <v>2001.08</v>
          </cell>
        </row>
        <row r="430">
          <cell r="C430" t="str">
            <v>Meters (20)</v>
          </cell>
          <cell r="D430" t="str">
            <v>Meters - Strohs (075)</v>
          </cell>
          <cell r="E430">
            <v>45231</v>
          </cell>
          <cell r="F430">
            <v>19980.57</v>
          </cell>
          <cell r="G430">
            <v>234</v>
          </cell>
          <cell r="H430">
            <v>217</v>
          </cell>
          <cell r="I430">
            <v>1024.6446153846152</v>
          </cell>
          <cell r="J430">
            <v>1537.01</v>
          </cell>
        </row>
        <row r="431">
          <cell r="C431" t="str">
            <v>Land, Water Rights, and Organization (0)</v>
          </cell>
          <cell r="D431" t="str">
            <v>Franchises - Strohs</v>
          </cell>
          <cell r="E431">
            <v>45231</v>
          </cell>
          <cell r="F431">
            <v>351.97</v>
          </cell>
          <cell r="G431" t="str">
            <v>n/a</v>
          </cell>
          <cell r="H431" t="str">
            <v>n/a</v>
          </cell>
          <cell r="I431">
            <v>0</v>
          </cell>
          <cell r="J431">
            <v>0</v>
          </cell>
        </row>
        <row r="432">
          <cell r="C432" t="str">
            <v>Meters (20)</v>
          </cell>
          <cell r="D432" t="str">
            <v>Meters - STROH</v>
          </cell>
          <cell r="E432">
            <v>45139</v>
          </cell>
          <cell r="F432">
            <v>762.84</v>
          </cell>
          <cell r="G432">
            <v>240</v>
          </cell>
          <cell r="H432">
            <v>232</v>
          </cell>
          <cell r="I432">
            <v>38.142000000000003</v>
          </cell>
          <cell r="J432">
            <v>28.75</v>
          </cell>
        </row>
        <row r="433">
          <cell r="C433" t="str">
            <v>Pumping and Water Treatment (20)</v>
          </cell>
          <cell r="D433" t="str">
            <v>Service - STROH</v>
          </cell>
          <cell r="E433">
            <v>45139</v>
          </cell>
          <cell r="F433">
            <v>762.81</v>
          </cell>
          <cell r="G433">
            <v>360</v>
          </cell>
          <cell r="H433">
            <v>352</v>
          </cell>
          <cell r="I433">
            <v>25.426999999999996</v>
          </cell>
          <cell r="J433">
            <v>19.21</v>
          </cell>
        </row>
        <row r="434">
          <cell r="C434" t="str">
            <v>Service Connection (30)</v>
          </cell>
          <cell r="D434" t="str">
            <v>Service - STROH</v>
          </cell>
          <cell r="E434">
            <v>45200</v>
          </cell>
          <cell r="F434">
            <v>616.91</v>
          </cell>
          <cell r="G434">
            <v>360</v>
          </cell>
          <cell r="H434">
            <v>346</v>
          </cell>
          <cell r="I434">
            <v>20.563666666666663</v>
          </cell>
          <cell r="J434">
            <v>24.75</v>
          </cell>
        </row>
        <row r="435">
          <cell r="C435" t="str">
            <v>Meters (20)</v>
          </cell>
          <cell r="D435" t="str">
            <v>Meters - STROH</v>
          </cell>
          <cell r="E435">
            <v>45292</v>
          </cell>
          <cell r="F435">
            <v>11665.79</v>
          </cell>
          <cell r="G435">
            <v>240</v>
          </cell>
          <cell r="H435">
            <v>229</v>
          </cell>
          <cell r="I435">
            <v>583.28949999999998</v>
          </cell>
          <cell r="J435">
            <v>563.47</v>
          </cell>
        </row>
        <row r="436">
          <cell r="C436" t="str">
            <v>Service Connection (30)</v>
          </cell>
          <cell r="D436" t="str">
            <v>Services - STROH</v>
          </cell>
          <cell r="E436">
            <v>45292</v>
          </cell>
          <cell r="F436">
            <v>1114.8900000000001</v>
          </cell>
          <cell r="G436">
            <v>360</v>
          </cell>
          <cell r="H436">
            <v>349</v>
          </cell>
          <cell r="I436">
            <v>37.163000000000004</v>
          </cell>
          <cell r="J436">
            <v>38.22</v>
          </cell>
        </row>
        <row r="437">
          <cell r="C437" t="str">
            <v>Meters (20)</v>
          </cell>
          <cell r="D437" t="str">
            <v>Meters - STROH</v>
          </cell>
          <cell r="E437">
            <v>45292</v>
          </cell>
          <cell r="F437">
            <v>1671.24</v>
          </cell>
          <cell r="G437">
            <v>240</v>
          </cell>
          <cell r="H437">
            <v>229</v>
          </cell>
          <cell r="I437">
            <v>83.561999999999998</v>
          </cell>
          <cell r="J437">
            <v>55.22</v>
          </cell>
        </row>
        <row r="438">
          <cell r="C438" t="str">
            <v>Meters (20)</v>
          </cell>
          <cell r="D438" t="str">
            <v>Meters - STROH</v>
          </cell>
          <cell r="E438">
            <v>45292</v>
          </cell>
          <cell r="F438">
            <v>1620.93</v>
          </cell>
          <cell r="G438">
            <v>240</v>
          </cell>
          <cell r="H438">
            <v>236</v>
          </cell>
          <cell r="I438">
            <v>81.046499999999995</v>
          </cell>
          <cell r="J438">
            <v>32.31</v>
          </cell>
        </row>
        <row r="439">
          <cell r="C439" t="str">
            <v>Service Connection (30)</v>
          </cell>
          <cell r="D439" t="str">
            <v>Services - STROH</v>
          </cell>
          <cell r="E439">
            <v>45292</v>
          </cell>
          <cell r="F439">
            <v>749.47</v>
          </cell>
          <cell r="G439">
            <v>360</v>
          </cell>
          <cell r="H439">
            <v>356</v>
          </cell>
          <cell r="I439">
            <v>24.982333333333337</v>
          </cell>
          <cell r="J439">
            <v>10.75</v>
          </cell>
        </row>
        <row r="440">
          <cell r="C440" t="str">
            <v>Meters (20)</v>
          </cell>
          <cell r="D440" t="str">
            <v>Meters - STROH</v>
          </cell>
          <cell r="E440">
            <v>45292</v>
          </cell>
          <cell r="F440">
            <v>14348.08</v>
          </cell>
          <cell r="G440">
            <v>240</v>
          </cell>
          <cell r="H440">
            <v>229</v>
          </cell>
          <cell r="I440">
            <v>717.404</v>
          </cell>
          <cell r="J440">
            <v>127.67</v>
          </cell>
        </row>
        <row r="441">
          <cell r="C441" t="str">
            <v>Pumping and Water Treatment (20)</v>
          </cell>
          <cell r="D441" t="str">
            <v>30HP Pump -STROH- Well7/SO6</v>
          </cell>
          <cell r="E441">
            <v>45352</v>
          </cell>
          <cell r="F441">
            <v>46261.67</v>
          </cell>
          <cell r="G441">
            <v>240</v>
          </cell>
          <cell r="H441">
            <v>231</v>
          </cell>
          <cell r="I441">
            <v>2313.0834999999997</v>
          </cell>
          <cell r="J441">
            <v>1927.6</v>
          </cell>
        </row>
        <row r="442">
          <cell r="C442" t="str">
            <v>Pumping and Water Treatment (20)</v>
          </cell>
          <cell r="D442" t="str">
            <v>10HP pump,motor -STROH-</v>
          </cell>
          <cell r="E442">
            <v>45352</v>
          </cell>
          <cell r="F442">
            <v>6301.56</v>
          </cell>
          <cell r="G442">
            <v>240</v>
          </cell>
          <cell r="H442">
            <v>231</v>
          </cell>
          <cell r="I442">
            <v>315.07800000000003</v>
          </cell>
          <cell r="J442">
            <v>262.60000000000002</v>
          </cell>
        </row>
        <row r="443">
          <cell r="C443" t="str">
            <v>Service Connection (30)</v>
          </cell>
          <cell r="D443" t="str">
            <v>3ft of 2in PVC -STROH-</v>
          </cell>
          <cell r="E443">
            <v>45352</v>
          </cell>
          <cell r="F443">
            <v>2647.54</v>
          </cell>
          <cell r="G443">
            <v>360</v>
          </cell>
          <cell r="H443">
            <v>351</v>
          </cell>
          <cell r="I443">
            <v>88.251333333333335</v>
          </cell>
          <cell r="J443">
            <v>73.5</v>
          </cell>
        </row>
        <row r="444">
          <cell r="C444" t="str">
            <v>Service Connection (30)</v>
          </cell>
          <cell r="D444" t="str">
            <v>6ft on 2.5in PVC -STROH-</v>
          </cell>
          <cell r="E444">
            <v>45352</v>
          </cell>
          <cell r="F444">
            <v>1758.14</v>
          </cell>
          <cell r="G444">
            <v>480</v>
          </cell>
          <cell r="H444">
            <v>471</v>
          </cell>
          <cell r="I444">
            <v>43.953499999999998</v>
          </cell>
          <cell r="J444">
            <v>36.6</v>
          </cell>
        </row>
        <row r="445">
          <cell r="C445" t="str">
            <v>Mains, Tanks and Reservoirs (50)</v>
          </cell>
          <cell r="D445" t="str">
            <v>Tank, Anchor points &amp; vent -STROH</v>
          </cell>
          <cell r="E445">
            <v>45352</v>
          </cell>
          <cell r="F445">
            <v>4798.9399999999996</v>
          </cell>
          <cell r="G445">
            <v>360</v>
          </cell>
          <cell r="H445">
            <v>351</v>
          </cell>
          <cell r="I445">
            <v>159.96466666666663</v>
          </cell>
          <cell r="J445">
            <v>133.30000000000001</v>
          </cell>
        </row>
        <row r="446">
          <cell r="C446" t="str">
            <v>Service Connection (30)</v>
          </cell>
          <cell r="D446" t="str">
            <v>2 Inch Blowoff -STROH-</v>
          </cell>
          <cell r="E446">
            <v>45383</v>
          </cell>
          <cell r="F446">
            <v>4771.28</v>
          </cell>
          <cell r="G446">
            <v>480</v>
          </cell>
          <cell r="H446">
            <v>472</v>
          </cell>
          <cell r="I446">
            <v>119.282</v>
          </cell>
          <cell r="J446">
            <v>89.46</v>
          </cell>
        </row>
        <row r="447">
          <cell r="C447" t="str">
            <v>Mains, Tanks and Reservoirs (50)</v>
          </cell>
          <cell r="D447" t="str">
            <v>4ft of 2in PVC Main -STROH-</v>
          </cell>
          <cell r="E447">
            <v>45383</v>
          </cell>
          <cell r="F447">
            <v>1451.94</v>
          </cell>
          <cell r="G447">
            <v>480</v>
          </cell>
          <cell r="H447">
            <v>472</v>
          </cell>
          <cell r="I447">
            <v>36.298500000000004</v>
          </cell>
          <cell r="J447">
            <v>27.18</v>
          </cell>
        </row>
        <row r="448">
          <cell r="C448" t="str">
            <v>Pumping and Water Treatment (20)</v>
          </cell>
          <cell r="D448" t="str">
            <v>Sampling Station -STROH-</v>
          </cell>
          <cell r="E448">
            <v>45383</v>
          </cell>
          <cell r="F448">
            <v>5368.79</v>
          </cell>
          <cell r="G448">
            <v>240</v>
          </cell>
          <cell r="H448">
            <v>232</v>
          </cell>
          <cell r="I448">
            <v>268.43950000000001</v>
          </cell>
          <cell r="J448">
            <v>201.33</v>
          </cell>
        </row>
        <row r="449">
          <cell r="C449" t="str">
            <v>Mains, Tanks and Reservoirs (50)</v>
          </cell>
          <cell r="D449" t="str">
            <v>TapPush - STROH - Par#0221207010</v>
          </cell>
          <cell r="E449">
            <v>45383</v>
          </cell>
          <cell r="F449">
            <v>9459.64</v>
          </cell>
          <cell r="G449">
            <v>360</v>
          </cell>
          <cell r="H449">
            <v>352</v>
          </cell>
          <cell r="I449">
            <v>315.32133333333331</v>
          </cell>
          <cell r="J449">
            <v>236.52</v>
          </cell>
        </row>
        <row r="450">
          <cell r="C450" t="str">
            <v>Pumping and Water Treatment (20)</v>
          </cell>
          <cell r="D450" t="str">
            <v>2HP pump -STROH-</v>
          </cell>
          <cell r="E450">
            <v>45413</v>
          </cell>
          <cell r="F450">
            <v>2811.77</v>
          </cell>
          <cell r="G450">
            <v>240</v>
          </cell>
          <cell r="H450">
            <v>233</v>
          </cell>
          <cell r="I450">
            <v>140.58850000000001</v>
          </cell>
          <cell r="J450">
            <v>93.76</v>
          </cell>
        </row>
        <row r="451">
          <cell r="C451" t="str">
            <v>Plant, Other (40)</v>
          </cell>
          <cell r="D451" t="str">
            <v>HYDRANT RING -STROH-</v>
          </cell>
          <cell r="E451">
            <v>45444</v>
          </cell>
          <cell r="F451">
            <v>5514.04</v>
          </cell>
          <cell r="G451">
            <v>480</v>
          </cell>
          <cell r="H451">
            <v>474</v>
          </cell>
          <cell r="I451">
            <v>137.851</v>
          </cell>
          <cell r="J451">
            <v>80.430000000000007</v>
          </cell>
        </row>
        <row r="452">
          <cell r="C452" t="str">
            <v>Plant, Other (40)</v>
          </cell>
          <cell r="D452" t="str">
            <v>Hydrant -STROH-</v>
          </cell>
          <cell r="E452">
            <v>45474</v>
          </cell>
          <cell r="F452">
            <v>19769.099999999999</v>
          </cell>
          <cell r="G452">
            <v>480</v>
          </cell>
          <cell r="H452">
            <v>475</v>
          </cell>
          <cell r="I452">
            <v>494.22749999999996</v>
          </cell>
          <cell r="J452">
            <v>247.14</v>
          </cell>
        </row>
        <row r="453">
          <cell r="C453" t="str">
            <v>Meters (20)</v>
          </cell>
          <cell r="D453" t="str">
            <v>Source Meter -STROH- (SO8)</v>
          </cell>
          <cell r="E453">
            <v>45474</v>
          </cell>
          <cell r="F453">
            <v>925.94</v>
          </cell>
          <cell r="G453">
            <v>240</v>
          </cell>
          <cell r="H453">
            <v>235</v>
          </cell>
          <cell r="I453">
            <v>46.297000000000004</v>
          </cell>
          <cell r="J453">
            <v>23.16</v>
          </cell>
        </row>
        <row r="454">
          <cell r="C454" t="str">
            <v>Meters (20)</v>
          </cell>
          <cell r="D454" t="str">
            <v>Source meter - STROH- (SO5)</v>
          </cell>
          <cell r="E454">
            <v>45474</v>
          </cell>
          <cell r="F454">
            <v>1030.4000000000001</v>
          </cell>
          <cell r="G454">
            <v>240</v>
          </cell>
          <cell r="H454">
            <v>235</v>
          </cell>
          <cell r="I454">
            <v>51.52000000000001</v>
          </cell>
          <cell r="J454">
            <v>25.74</v>
          </cell>
        </row>
        <row r="455">
          <cell r="C455" t="str">
            <v>Mains, Tanks and Reservoirs (50)</v>
          </cell>
          <cell r="D455" t="str">
            <v>Main Ex - Stroh - Par# 0221194053</v>
          </cell>
          <cell r="E455">
            <v>45566</v>
          </cell>
          <cell r="F455">
            <v>283035.67</v>
          </cell>
          <cell r="G455">
            <v>360</v>
          </cell>
          <cell r="H455">
            <v>358</v>
          </cell>
          <cell r="I455">
            <v>9434.5223333333324</v>
          </cell>
          <cell r="J455">
            <v>2358.63</v>
          </cell>
        </row>
        <row r="456">
          <cell r="C456" t="str">
            <v>Plant, Other (40)</v>
          </cell>
          <cell r="D456" t="str">
            <v>Hydra - Stroh - Par# 0221194053</v>
          </cell>
          <cell r="E456">
            <v>45566</v>
          </cell>
          <cell r="F456">
            <v>13489.02</v>
          </cell>
          <cell r="G456">
            <v>480</v>
          </cell>
          <cell r="H456">
            <v>478</v>
          </cell>
          <cell r="I456">
            <v>337.22550000000001</v>
          </cell>
          <cell r="J456">
            <v>84.3</v>
          </cell>
        </row>
        <row r="457">
          <cell r="C457" t="str">
            <v>Service Connection (30)</v>
          </cell>
          <cell r="D457" t="str">
            <v>Svc - Stroh - Par# 0221194053</v>
          </cell>
          <cell r="E457">
            <v>45566</v>
          </cell>
          <cell r="F457">
            <v>10376.16</v>
          </cell>
          <cell r="G457">
            <v>360</v>
          </cell>
          <cell r="H457">
            <v>358</v>
          </cell>
          <cell r="I457">
            <v>345.87200000000001</v>
          </cell>
          <cell r="J457">
            <v>86.46</v>
          </cell>
        </row>
        <row r="458">
          <cell r="C458" t="str">
            <v>Service Connection (30)</v>
          </cell>
          <cell r="D458" t="str">
            <v>Svc - Stroh - Par# 0221194053</v>
          </cell>
          <cell r="E458">
            <v>45566</v>
          </cell>
          <cell r="F458">
            <v>6225.7</v>
          </cell>
          <cell r="G458">
            <v>360</v>
          </cell>
          <cell r="H458">
            <v>358</v>
          </cell>
          <cell r="I458">
            <v>207.52333333333334</v>
          </cell>
          <cell r="J458">
            <v>51.87</v>
          </cell>
        </row>
        <row r="459">
          <cell r="C459" t="str">
            <v>Plant, Other (40)</v>
          </cell>
          <cell r="D459" t="str">
            <v>2024 Sanitary Survey -STROH-</v>
          </cell>
          <cell r="E459">
            <v>45566</v>
          </cell>
          <cell r="F459">
            <v>2110.17</v>
          </cell>
          <cell r="G459">
            <v>60</v>
          </cell>
          <cell r="H459">
            <v>58</v>
          </cell>
          <cell r="I459">
            <v>422.03399999999999</v>
          </cell>
          <cell r="J459">
            <v>105.51</v>
          </cell>
        </row>
        <row r="460">
          <cell r="C460" t="str">
            <v>Service Connection (30)</v>
          </cell>
          <cell r="D460" t="str">
            <v>2ft of 2in PVC -STROH-</v>
          </cell>
          <cell r="E460">
            <v>45597</v>
          </cell>
          <cell r="F460">
            <v>5294.4</v>
          </cell>
          <cell r="G460">
            <v>480</v>
          </cell>
          <cell r="H460">
            <v>479</v>
          </cell>
          <cell r="I460">
            <v>132.35999999999999</v>
          </cell>
          <cell r="J460">
            <v>22.06</v>
          </cell>
        </row>
        <row r="461">
          <cell r="C461" t="str">
            <v>Land, Water Rights, and Organization (0)</v>
          </cell>
          <cell r="D461" t="str">
            <v>Strohs water system</v>
          </cell>
          <cell r="E461">
            <v>45292</v>
          </cell>
          <cell r="F461">
            <v>0</v>
          </cell>
          <cell r="G461">
            <v>240</v>
          </cell>
          <cell r="H461">
            <v>229</v>
          </cell>
          <cell r="I461">
            <v>0</v>
          </cell>
          <cell r="J461">
            <v>0</v>
          </cell>
        </row>
        <row r="462">
          <cell r="C462" t="str">
            <v>Service Connection (30)</v>
          </cell>
          <cell r="D462" t="str">
            <v>Service - STROH</v>
          </cell>
          <cell r="E462">
            <v>45200</v>
          </cell>
          <cell r="F462">
            <v>-32.630000000000003</v>
          </cell>
          <cell r="G462">
            <v>360</v>
          </cell>
          <cell r="H462">
            <v>346</v>
          </cell>
          <cell r="I462">
            <v>-1.0876666666666668</v>
          </cell>
          <cell r="J462">
            <v>-1.3</v>
          </cell>
        </row>
        <row r="463">
          <cell r="C463" t="str">
            <v>Meters (20)</v>
          </cell>
          <cell r="D463" t="str">
            <v>Meters - STROH</v>
          </cell>
          <cell r="E463">
            <v>45292</v>
          </cell>
          <cell r="F463">
            <v>-372.13</v>
          </cell>
          <cell r="G463">
            <v>240</v>
          </cell>
          <cell r="H463">
            <v>229</v>
          </cell>
          <cell r="I463">
            <v>-18.6065</v>
          </cell>
          <cell r="J463">
            <v>-17.940000000000001</v>
          </cell>
        </row>
        <row r="464">
          <cell r="C464" t="str">
            <v>Service Connection (30)</v>
          </cell>
          <cell r="D464" t="str">
            <v>Services - STROH</v>
          </cell>
          <cell r="E464">
            <v>45292</v>
          </cell>
          <cell r="F464">
            <v>-35.56</v>
          </cell>
          <cell r="G464">
            <v>360</v>
          </cell>
          <cell r="H464">
            <v>349</v>
          </cell>
          <cell r="I464">
            <v>-1.1853333333333333</v>
          </cell>
          <cell r="J464">
            <v>-1.23</v>
          </cell>
        </row>
        <row r="465">
          <cell r="C465" t="str">
            <v>Meters (20)</v>
          </cell>
          <cell r="D465" t="str">
            <v>Meters - STROH</v>
          </cell>
          <cell r="E465">
            <v>45292</v>
          </cell>
          <cell r="F465">
            <v>-33.56</v>
          </cell>
          <cell r="G465">
            <v>240</v>
          </cell>
          <cell r="H465">
            <v>229</v>
          </cell>
          <cell r="I465">
            <v>-1.6779999999999999</v>
          </cell>
          <cell r="J465">
            <v>-1.0900000000000001</v>
          </cell>
        </row>
        <row r="466">
          <cell r="C466" t="str">
            <v>Meters (20)</v>
          </cell>
          <cell r="D466" t="str">
            <v>Meters - STROH</v>
          </cell>
          <cell r="E466">
            <v>45292</v>
          </cell>
          <cell r="F466">
            <v>-25.26</v>
          </cell>
          <cell r="G466">
            <v>240</v>
          </cell>
          <cell r="H466">
            <v>236</v>
          </cell>
          <cell r="I466">
            <v>-1.2630000000000001</v>
          </cell>
          <cell r="J466">
            <v>-0.52</v>
          </cell>
        </row>
        <row r="467">
          <cell r="C467" t="str">
            <v>Service Connection (30)</v>
          </cell>
          <cell r="D467" t="str">
            <v>Services - STROH</v>
          </cell>
          <cell r="E467">
            <v>45292</v>
          </cell>
          <cell r="F467">
            <v>-11.68</v>
          </cell>
          <cell r="G467">
            <v>360</v>
          </cell>
          <cell r="H467">
            <v>356</v>
          </cell>
          <cell r="I467">
            <v>-0.38933333333333331</v>
          </cell>
          <cell r="J467">
            <v>-0.16</v>
          </cell>
        </row>
        <row r="468">
          <cell r="C468" t="str">
            <v>Meters (20)</v>
          </cell>
          <cell r="D468" t="str">
            <v>Meters - STROH</v>
          </cell>
          <cell r="E468">
            <v>45292</v>
          </cell>
          <cell r="F468">
            <v>-457.82</v>
          </cell>
          <cell r="G468">
            <v>240</v>
          </cell>
          <cell r="H468">
            <v>229</v>
          </cell>
          <cell r="I468">
            <v>-22.891000000000002</v>
          </cell>
          <cell r="J468">
            <v>-4.07</v>
          </cell>
        </row>
        <row r="469">
          <cell r="C469" t="str">
            <v>Pumping and Water Treatment (20)</v>
          </cell>
          <cell r="D469" t="str">
            <v>30HP Pump -STROH- Well7/SO6</v>
          </cell>
          <cell r="E469">
            <v>45352</v>
          </cell>
          <cell r="F469">
            <v>-2185.7199999999998</v>
          </cell>
          <cell r="G469">
            <v>240</v>
          </cell>
          <cell r="H469">
            <v>231</v>
          </cell>
          <cell r="I469">
            <v>-109.286</v>
          </cell>
          <cell r="J469">
            <v>-91.1</v>
          </cell>
        </row>
        <row r="470">
          <cell r="C470" t="str">
            <v>Pumping and Water Treatment (20)</v>
          </cell>
          <cell r="D470" t="str">
            <v>10HP pump,motor -STROH-</v>
          </cell>
          <cell r="E470">
            <v>45352</v>
          </cell>
          <cell r="F470">
            <v>-132.87</v>
          </cell>
          <cell r="G470">
            <v>240</v>
          </cell>
          <cell r="H470">
            <v>231</v>
          </cell>
          <cell r="I470">
            <v>-6.6435000000000004</v>
          </cell>
          <cell r="J470">
            <v>-5.5</v>
          </cell>
        </row>
        <row r="471">
          <cell r="C471" t="str">
            <v>Service Connection (30)</v>
          </cell>
          <cell r="D471" t="str">
            <v>3ft of 2in PVC -STROH-</v>
          </cell>
          <cell r="E471">
            <v>45352</v>
          </cell>
          <cell r="F471">
            <v>-278.36</v>
          </cell>
          <cell r="G471">
            <v>360</v>
          </cell>
          <cell r="H471">
            <v>351</v>
          </cell>
          <cell r="I471">
            <v>-9.2786666666666662</v>
          </cell>
          <cell r="J471">
            <v>-7.7</v>
          </cell>
        </row>
        <row r="472">
          <cell r="C472" t="str">
            <v>Service Connection (30)</v>
          </cell>
          <cell r="D472" t="str">
            <v>6ft on 2.5in PVC -STROH-</v>
          </cell>
          <cell r="E472">
            <v>45352</v>
          </cell>
          <cell r="F472">
            <v>-261.61</v>
          </cell>
          <cell r="G472">
            <v>480</v>
          </cell>
          <cell r="H472">
            <v>471</v>
          </cell>
          <cell r="I472">
            <v>-6.5402500000000003</v>
          </cell>
          <cell r="J472">
            <v>-5.46</v>
          </cell>
        </row>
        <row r="473">
          <cell r="C473">
            <v>0</v>
          </cell>
          <cell r="D473" t="str">
            <v>Tank, Anchor points &amp; vent -STROH</v>
          </cell>
          <cell r="E473">
            <v>45352</v>
          </cell>
          <cell r="F473">
            <v>-75.739999999999995</v>
          </cell>
          <cell r="G473">
            <v>360</v>
          </cell>
          <cell r="H473">
            <v>351</v>
          </cell>
          <cell r="I473">
            <v>-2.5246666666666666</v>
          </cell>
          <cell r="J473">
            <v>-2.1</v>
          </cell>
        </row>
        <row r="474">
          <cell r="C474" t="str">
            <v>Service Connection (30)</v>
          </cell>
          <cell r="D474" t="str">
            <v>2 Inch Blowoff -STROH-</v>
          </cell>
          <cell r="E474">
            <v>45383</v>
          </cell>
          <cell r="F474">
            <v>-635.79999999999995</v>
          </cell>
          <cell r="G474">
            <v>480</v>
          </cell>
          <cell r="H474">
            <v>472</v>
          </cell>
          <cell r="I474">
            <v>-15.895</v>
          </cell>
          <cell r="J474">
            <v>-11.88</v>
          </cell>
        </row>
        <row r="475">
          <cell r="C475" t="str">
            <v>Mains, Tanks and Reservoirs (50)</v>
          </cell>
          <cell r="D475" t="str">
            <v>4ft of 2in PVC Main -STROH-</v>
          </cell>
          <cell r="E475">
            <v>45383</v>
          </cell>
          <cell r="F475">
            <v>-232.52</v>
          </cell>
          <cell r="G475">
            <v>480</v>
          </cell>
          <cell r="H475">
            <v>472</v>
          </cell>
          <cell r="I475">
            <v>-5.8129999999999997</v>
          </cell>
          <cell r="J475">
            <v>-4.32</v>
          </cell>
        </row>
        <row r="476">
          <cell r="C476">
            <v>0</v>
          </cell>
          <cell r="D476" t="str">
            <v>Sampling Station -STROH-</v>
          </cell>
          <cell r="E476">
            <v>45383</v>
          </cell>
          <cell r="F476">
            <v>-322.08999999999997</v>
          </cell>
          <cell r="G476">
            <v>240</v>
          </cell>
          <cell r="H476">
            <v>232</v>
          </cell>
          <cell r="I476">
            <v>-16.104499999999998</v>
          </cell>
          <cell r="J476">
            <v>-12.06</v>
          </cell>
        </row>
        <row r="477">
          <cell r="C477" t="str">
            <v>Mains, Tanks and Reservoirs (50)</v>
          </cell>
          <cell r="D477" t="str">
            <v>TapPush - STROH - Par#0221207010</v>
          </cell>
          <cell r="E477">
            <v>45383</v>
          </cell>
          <cell r="F477">
            <v>-269.07</v>
          </cell>
          <cell r="G477">
            <v>360</v>
          </cell>
          <cell r="H477">
            <v>352</v>
          </cell>
          <cell r="I477">
            <v>-8.9689999999999994</v>
          </cell>
          <cell r="J477">
            <v>-6.75</v>
          </cell>
        </row>
        <row r="478">
          <cell r="C478" t="str">
            <v>Pumping and Water Treatment (20)</v>
          </cell>
          <cell r="D478" t="str">
            <v>2HP pump -STROH-</v>
          </cell>
          <cell r="E478">
            <v>45413</v>
          </cell>
          <cell r="F478">
            <v>-72.69</v>
          </cell>
          <cell r="G478">
            <v>240</v>
          </cell>
          <cell r="H478">
            <v>233</v>
          </cell>
          <cell r="I478">
            <v>-3.6345000000000001</v>
          </cell>
          <cell r="J478">
            <v>-2.4</v>
          </cell>
        </row>
        <row r="479">
          <cell r="C479" t="str">
            <v>Plant, Other (40)</v>
          </cell>
          <cell r="D479" t="str">
            <v>HYDRANT RING -STROH-</v>
          </cell>
          <cell r="E479">
            <v>45444</v>
          </cell>
          <cell r="F479">
            <v>-403.99</v>
          </cell>
          <cell r="G479">
            <v>480</v>
          </cell>
          <cell r="H479">
            <v>474</v>
          </cell>
          <cell r="I479">
            <v>-10.09975</v>
          </cell>
          <cell r="J479">
            <v>-5.88</v>
          </cell>
        </row>
        <row r="480">
          <cell r="C480" t="str">
            <v>Plant, Other (40)</v>
          </cell>
          <cell r="D480" t="str">
            <v>Hydrant -STROH-</v>
          </cell>
          <cell r="E480">
            <v>45474</v>
          </cell>
          <cell r="F480">
            <v>-924.53</v>
          </cell>
          <cell r="G480">
            <v>480</v>
          </cell>
          <cell r="H480">
            <v>475</v>
          </cell>
          <cell r="I480">
            <v>-23.113249999999997</v>
          </cell>
          <cell r="J480">
            <v>-11.58</v>
          </cell>
        </row>
        <row r="481">
          <cell r="C481" t="str">
            <v>Meters (20)</v>
          </cell>
          <cell r="D481" t="str">
            <v>Source Meter -STROH- (SO8)</v>
          </cell>
          <cell r="E481">
            <v>45474</v>
          </cell>
          <cell r="F481">
            <v>-14.14</v>
          </cell>
          <cell r="G481">
            <v>240</v>
          </cell>
          <cell r="H481">
            <v>235</v>
          </cell>
          <cell r="I481">
            <v>-0.70699999999999996</v>
          </cell>
          <cell r="J481">
            <v>-0.36</v>
          </cell>
        </row>
        <row r="482">
          <cell r="C482" t="str">
            <v>Meters (20)</v>
          </cell>
          <cell r="D482" t="str">
            <v>Source meter - STROH- (SO5)</v>
          </cell>
          <cell r="E482">
            <v>45474</v>
          </cell>
          <cell r="F482">
            <v>-22.29</v>
          </cell>
          <cell r="G482">
            <v>240</v>
          </cell>
          <cell r="H482">
            <v>235</v>
          </cell>
          <cell r="I482">
            <v>-1.1145</v>
          </cell>
          <cell r="J482">
            <v>-0.54</v>
          </cell>
        </row>
        <row r="483">
          <cell r="C483" t="str">
            <v>Mains, Tanks and Reservoirs (50)</v>
          </cell>
          <cell r="D483" t="str">
            <v>Main Ex - Stroh - Par# 0221194053</v>
          </cell>
          <cell r="E483">
            <v>45566</v>
          </cell>
          <cell r="F483">
            <v>-834.59</v>
          </cell>
          <cell r="G483">
            <v>360</v>
          </cell>
          <cell r="H483">
            <v>358</v>
          </cell>
          <cell r="I483">
            <v>-27.81966666666667</v>
          </cell>
          <cell r="J483">
            <v>-6.96</v>
          </cell>
        </row>
        <row r="484">
          <cell r="C484" t="str">
            <v>Plant, Other (40)</v>
          </cell>
          <cell r="D484" t="str">
            <v>Hydra - Stroh - Par# 0221194053</v>
          </cell>
          <cell r="E484">
            <v>45566</v>
          </cell>
          <cell r="F484">
            <v>-39.78</v>
          </cell>
          <cell r="G484">
            <v>480</v>
          </cell>
          <cell r="H484">
            <v>478</v>
          </cell>
          <cell r="I484">
            <v>-0.99450000000000005</v>
          </cell>
          <cell r="J484">
            <v>-0.24</v>
          </cell>
        </row>
        <row r="485">
          <cell r="C485" t="str">
            <v>Service Connection (30)</v>
          </cell>
          <cell r="D485" t="str">
            <v>Svc - Stroh - Par# 0221194053</v>
          </cell>
          <cell r="E485">
            <v>45566</v>
          </cell>
          <cell r="F485">
            <v>-30.6</v>
          </cell>
          <cell r="G485">
            <v>360</v>
          </cell>
          <cell r="H485">
            <v>358</v>
          </cell>
          <cell r="I485">
            <v>-1.02</v>
          </cell>
          <cell r="J485">
            <v>-0.26</v>
          </cell>
        </row>
        <row r="486">
          <cell r="C486" t="str">
            <v>Service Connection (30)</v>
          </cell>
          <cell r="D486" t="str">
            <v>Svc - Stroh - Par# 0221194053</v>
          </cell>
          <cell r="E486">
            <v>45566</v>
          </cell>
          <cell r="F486">
            <v>-18.36</v>
          </cell>
          <cell r="G486">
            <v>360</v>
          </cell>
          <cell r="H486">
            <v>358</v>
          </cell>
          <cell r="I486">
            <v>-0.61199999999999999</v>
          </cell>
          <cell r="J486">
            <v>-0.15</v>
          </cell>
        </row>
        <row r="487">
          <cell r="C487">
            <v>0</v>
          </cell>
          <cell r="D487" t="str">
            <v>2024 Sanitary Survey -STROH-</v>
          </cell>
          <cell r="E487">
            <v>45566</v>
          </cell>
          <cell r="F487">
            <v>-70.3</v>
          </cell>
          <cell r="G487">
            <v>60</v>
          </cell>
          <cell r="H487">
            <v>58</v>
          </cell>
          <cell r="I487">
            <v>-14.059999999999999</v>
          </cell>
          <cell r="J487">
            <v>-3.51</v>
          </cell>
        </row>
        <row r="488">
          <cell r="C488" t="str">
            <v>Service Connection (30)</v>
          </cell>
          <cell r="D488" t="str">
            <v>2ft of 2in PVC -STROH-</v>
          </cell>
          <cell r="E488">
            <v>45597</v>
          </cell>
          <cell r="F488">
            <v>-401.69</v>
          </cell>
          <cell r="G488">
            <v>480</v>
          </cell>
          <cell r="H488">
            <v>479</v>
          </cell>
          <cell r="I488">
            <v>-10.042249999999999</v>
          </cell>
          <cell r="J488">
            <v>-1.68</v>
          </cell>
        </row>
        <row r="489">
          <cell r="C489" t="str">
            <v>Land, Water Rights, and Organization (0)</v>
          </cell>
          <cell r="D489" t="str">
            <v>Strohs water system</v>
          </cell>
          <cell r="E489">
            <v>45292</v>
          </cell>
          <cell r="F489">
            <v>0</v>
          </cell>
          <cell r="G489">
            <v>240</v>
          </cell>
          <cell r="H489">
            <v>229</v>
          </cell>
          <cell r="I489">
            <v>0</v>
          </cell>
          <cell r="J489">
            <v>0</v>
          </cell>
        </row>
        <row r="490">
          <cell r="C490" t="str">
            <v>Mains, Tanks and Reservoirs (50)</v>
          </cell>
          <cell r="D490" t="str">
            <v>TapPush - STROH - Par#0221207010</v>
          </cell>
          <cell r="E490">
            <v>45383</v>
          </cell>
          <cell r="F490">
            <v>269.07</v>
          </cell>
          <cell r="G490">
            <v>360</v>
          </cell>
          <cell r="H490">
            <v>352</v>
          </cell>
          <cell r="I490">
            <v>8.9689999999999994</v>
          </cell>
          <cell r="J490">
            <v>6.75</v>
          </cell>
        </row>
        <row r="491">
          <cell r="C491" t="str">
            <v>Mains, Tanks and Reservoirs (50)</v>
          </cell>
          <cell r="D491" t="str">
            <v>Main Ex - Stroh - Par# 0221194053</v>
          </cell>
          <cell r="E491">
            <v>45566</v>
          </cell>
          <cell r="F491">
            <v>923.33</v>
          </cell>
          <cell r="G491">
            <v>360</v>
          </cell>
          <cell r="H491">
            <v>358</v>
          </cell>
          <cell r="I491">
            <v>30.777666666666669</v>
          </cell>
          <cell r="J491">
            <v>7.68</v>
          </cell>
        </row>
      </sheetData>
      <sheetData sheetId="14">
        <row r="11">
          <cell r="C11" t="str">
            <v>Tanks and Wells (25)</v>
          </cell>
          <cell r="D11" t="str">
            <v>WELL #3, AEF315 - Strohs TCA 472</v>
          </cell>
          <cell r="E11">
            <v>45231</v>
          </cell>
          <cell r="F11">
            <v>13716.62</v>
          </cell>
          <cell r="G11">
            <v>360</v>
          </cell>
          <cell r="H11">
            <v>0</v>
          </cell>
          <cell r="I11">
            <v>0</v>
          </cell>
          <cell r="J11">
            <v>13716.62</v>
          </cell>
        </row>
        <row r="12">
          <cell r="C12" t="str">
            <v>Tanks and Wells (25)</v>
          </cell>
          <cell r="D12" t="str">
            <v>WELL #4, AEF227 - Strohs TCA 472</v>
          </cell>
          <cell r="E12">
            <v>45231</v>
          </cell>
          <cell r="F12">
            <v>12598.65</v>
          </cell>
          <cell r="G12">
            <v>360</v>
          </cell>
          <cell r="H12">
            <v>0</v>
          </cell>
          <cell r="I12">
            <v>0</v>
          </cell>
          <cell r="J12">
            <v>12598.65</v>
          </cell>
        </row>
        <row r="13">
          <cell r="C13" t="str">
            <v>Tanks and Wells (25)</v>
          </cell>
          <cell r="D13" t="str">
            <v>WELL #5, AEF313 - Strohs TCA 472</v>
          </cell>
          <cell r="E13">
            <v>45231</v>
          </cell>
          <cell r="F13">
            <v>16468.55</v>
          </cell>
          <cell r="G13">
            <v>360</v>
          </cell>
          <cell r="H13">
            <v>0</v>
          </cell>
          <cell r="I13">
            <v>0</v>
          </cell>
          <cell r="J13">
            <v>16468.55</v>
          </cell>
        </row>
        <row r="14">
          <cell r="C14" t="str">
            <v>Tanks and Wells (25)</v>
          </cell>
          <cell r="D14" t="str">
            <v>WELL #6, AEF316 - Strohs TCA 472</v>
          </cell>
          <cell r="E14">
            <v>45231</v>
          </cell>
          <cell r="F14">
            <v>13759.62</v>
          </cell>
          <cell r="G14">
            <v>360</v>
          </cell>
          <cell r="H14">
            <v>0</v>
          </cell>
          <cell r="I14">
            <v>0</v>
          </cell>
          <cell r="J14">
            <v>13759.62</v>
          </cell>
        </row>
        <row r="15">
          <cell r="C15" t="str">
            <v>Tanks and Wells (25)</v>
          </cell>
          <cell r="D15" t="str">
            <v>WELL #7, AEF317 - Strohs TCA 75</v>
          </cell>
          <cell r="E15">
            <v>45231</v>
          </cell>
          <cell r="F15">
            <v>17554.439999999999</v>
          </cell>
          <cell r="G15">
            <v>360</v>
          </cell>
          <cell r="H15">
            <v>0</v>
          </cell>
          <cell r="I15">
            <v>0</v>
          </cell>
          <cell r="J15">
            <v>17554.439999999999</v>
          </cell>
        </row>
        <row r="16">
          <cell r="C16" t="str">
            <v>Tanks and Wells (25)</v>
          </cell>
          <cell r="D16" t="str">
            <v>WELL #2, AEF314 - Strohs TCA 472</v>
          </cell>
          <cell r="E16">
            <v>45231</v>
          </cell>
          <cell r="F16">
            <v>18524.650000000001</v>
          </cell>
          <cell r="G16">
            <v>360</v>
          </cell>
          <cell r="H16">
            <v>0</v>
          </cell>
          <cell r="I16">
            <v>0</v>
          </cell>
          <cell r="J16">
            <v>18524.650000000001</v>
          </cell>
        </row>
        <row r="17">
          <cell r="C17" t="str">
            <v>Mains, Tanks and Reservoirs (50)</v>
          </cell>
          <cell r="D17" t="str">
            <v>Mains (CIAC) - Strohs</v>
          </cell>
          <cell r="E17">
            <v>45231</v>
          </cell>
          <cell r="F17">
            <v>174886.96</v>
          </cell>
          <cell r="G17">
            <v>360</v>
          </cell>
          <cell r="H17">
            <v>50</v>
          </cell>
          <cell r="I17">
            <v>5829.565333333333</v>
          </cell>
          <cell r="J17">
            <v>151082.92000000001</v>
          </cell>
        </row>
        <row r="18">
          <cell r="C18" t="str">
            <v>Mains, Tanks and Reservoirs (50)</v>
          </cell>
          <cell r="D18" t="str">
            <v>Mains (CIAC) - Strohs</v>
          </cell>
          <cell r="E18">
            <v>45231</v>
          </cell>
          <cell r="F18">
            <v>20034.55</v>
          </cell>
          <cell r="G18">
            <v>360</v>
          </cell>
          <cell r="H18">
            <v>55</v>
          </cell>
          <cell r="I18">
            <v>667.81833333333327</v>
          </cell>
          <cell r="J18">
            <v>17029.349999999999</v>
          </cell>
        </row>
        <row r="19">
          <cell r="C19" t="str">
            <v>Mains, Tanks and Reservoirs (50)</v>
          </cell>
          <cell r="D19" t="str">
            <v>Mains (CIAC) - Strohs</v>
          </cell>
          <cell r="E19">
            <v>45231</v>
          </cell>
          <cell r="F19">
            <v>64591.199999999997</v>
          </cell>
          <cell r="G19">
            <v>360</v>
          </cell>
          <cell r="H19">
            <v>67</v>
          </cell>
          <cell r="I19">
            <v>2153.04</v>
          </cell>
          <cell r="J19">
            <v>52749.48</v>
          </cell>
        </row>
        <row r="20">
          <cell r="C20" t="str">
            <v>Mains, Tanks and Reservoirs (50)</v>
          </cell>
          <cell r="D20" t="str">
            <v>Mains (CIAC) - Strohs</v>
          </cell>
          <cell r="E20">
            <v>45231</v>
          </cell>
          <cell r="F20">
            <v>187</v>
          </cell>
          <cell r="G20">
            <v>360</v>
          </cell>
          <cell r="H20">
            <v>170</v>
          </cell>
          <cell r="I20">
            <v>6.2333333333333343</v>
          </cell>
          <cell r="J20">
            <v>99.22</v>
          </cell>
        </row>
        <row r="21">
          <cell r="C21" t="str">
            <v>Mains, Tanks and Reservoirs (50)</v>
          </cell>
          <cell r="D21" t="str">
            <v>Mains (CIAC) - Strohs</v>
          </cell>
          <cell r="E21">
            <v>45231</v>
          </cell>
          <cell r="F21">
            <v>916.96</v>
          </cell>
          <cell r="G21">
            <v>360</v>
          </cell>
          <cell r="H21">
            <v>100</v>
          </cell>
          <cell r="I21">
            <v>30.565333333333335</v>
          </cell>
          <cell r="J21">
            <v>664.83</v>
          </cell>
        </row>
        <row r="22">
          <cell r="C22" t="str">
            <v>Mains, Tanks and Reservoirs (50)</v>
          </cell>
          <cell r="D22" t="str">
            <v>Mains (CIAC) - Strohs</v>
          </cell>
          <cell r="E22">
            <v>45231</v>
          </cell>
          <cell r="F22">
            <v>23369.59</v>
          </cell>
          <cell r="G22">
            <v>360</v>
          </cell>
          <cell r="H22">
            <v>96</v>
          </cell>
          <cell r="I22">
            <v>778.98633333333339</v>
          </cell>
          <cell r="J22">
            <v>17202.669999999998</v>
          </cell>
        </row>
        <row r="23">
          <cell r="C23" t="str">
            <v>Mains, Tanks and Reservoirs (50)</v>
          </cell>
          <cell r="D23" t="str">
            <v>Mains (CIAC) - Strohs</v>
          </cell>
          <cell r="E23">
            <v>45231</v>
          </cell>
          <cell r="F23">
            <v>334.87</v>
          </cell>
          <cell r="G23">
            <v>360</v>
          </cell>
          <cell r="H23">
            <v>118</v>
          </cell>
          <cell r="I23">
            <v>11.162333333333333</v>
          </cell>
          <cell r="J23">
            <v>226.03</v>
          </cell>
        </row>
        <row r="24">
          <cell r="C24" t="str">
            <v>Mains, Tanks and Reservoirs (50)</v>
          </cell>
          <cell r="D24" t="str">
            <v>Mains (CIAC) - Strohs</v>
          </cell>
          <cell r="E24">
            <v>45231</v>
          </cell>
          <cell r="F24">
            <v>14798.54</v>
          </cell>
          <cell r="G24">
            <v>360</v>
          </cell>
          <cell r="H24">
            <v>205</v>
          </cell>
          <cell r="I24">
            <v>493.28466666666674</v>
          </cell>
          <cell r="J24">
            <v>6412.74</v>
          </cell>
        </row>
        <row r="25">
          <cell r="C25" t="str">
            <v>Mains, Tanks and Reservoirs (50)</v>
          </cell>
          <cell r="D25" t="str">
            <v>Mains (CIAC) - Strohs</v>
          </cell>
          <cell r="E25">
            <v>45231</v>
          </cell>
          <cell r="F25">
            <v>9247.34</v>
          </cell>
          <cell r="G25">
            <v>360</v>
          </cell>
          <cell r="H25">
            <v>205</v>
          </cell>
          <cell r="I25">
            <v>308.24466666666666</v>
          </cell>
          <cell r="J25">
            <v>4007.22</v>
          </cell>
        </row>
        <row r="26">
          <cell r="C26" t="str">
            <v>Mains, Tanks and Reservoirs (50)</v>
          </cell>
          <cell r="D26" t="str">
            <v>Mains (CIAC) - Strohs</v>
          </cell>
          <cell r="E26">
            <v>45231</v>
          </cell>
          <cell r="F26">
            <v>7711.52</v>
          </cell>
          <cell r="G26">
            <v>360</v>
          </cell>
          <cell r="H26">
            <v>205</v>
          </cell>
          <cell r="I26">
            <v>257.05066666666664</v>
          </cell>
          <cell r="J26">
            <v>3341.65</v>
          </cell>
        </row>
        <row r="27">
          <cell r="C27" t="str">
            <v>Mains, Tanks and Reservoirs (50)</v>
          </cell>
          <cell r="D27" t="str">
            <v>Mains (CIAC) - Strohs</v>
          </cell>
          <cell r="E27">
            <v>45231</v>
          </cell>
          <cell r="F27">
            <v>2984.37</v>
          </cell>
          <cell r="G27">
            <v>360</v>
          </cell>
          <cell r="H27">
            <v>205</v>
          </cell>
          <cell r="I27">
            <v>99.478999999999999</v>
          </cell>
          <cell r="J27">
            <v>1293.23</v>
          </cell>
        </row>
        <row r="28">
          <cell r="C28" t="str">
            <v>Mains, Tanks and Reservoirs (50)</v>
          </cell>
          <cell r="D28" t="str">
            <v>Mains (CIAC) - Strohs</v>
          </cell>
          <cell r="E28">
            <v>45231</v>
          </cell>
          <cell r="F28">
            <v>1556.09</v>
          </cell>
          <cell r="G28">
            <v>360</v>
          </cell>
          <cell r="H28">
            <v>205</v>
          </cell>
          <cell r="I28">
            <v>51.869666666666667</v>
          </cell>
          <cell r="J28">
            <v>674.27</v>
          </cell>
        </row>
        <row r="29">
          <cell r="C29" t="str">
            <v>Mains, Tanks and Reservoirs (50)</v>
          </cell>
          <cell r="D29" t="str">
            <v>Mains (CIAC) - Strohs</v>
          </cell>
          <cell r="E29">
            <v>45231</v>
          </cell>
          <cell r="F29">
            <v>2902.81</v>
          </cell>
          <cell r="G29">
            <v>360</v>
          </cell>
          <cell r="H29">
            <v>205</v>
          </cell>
          <cell r="I29">
            <v>96.760333333333321</v>
          </cell>
          <cell r="J29">
            <v>1257.8399999999999</v>
          </cell>
        </row>
        <row r="30">
          <cell r="C30" t="str">
            <v>Mains, Tanks and Reservoirs (50)</v>
          </cell>
          <cell r="D30" t="str">
            <v>Mains (CIAC) - Strohs</v>
          </cell>
          <cell r="E30">
            <v>45231</v>
          </cell>
          <cell r="F30">
            <v>9668.67</v>
          </cell>
          <cell r="G30">
            <v>360</v>
          </cell>
          <cell r="H30">
            <v>133</v>
          </cell>
          <cell r="I30">
            <v>322.28899999999999</v>
          </cell>
          <cell r="J30">
            <v>6123.52</v>
          </cell>
        </row>
        <row r="31">
          <cell r="C31" t="str">
            <v>Mains, Tanks and Reservoirs (50)</v>
          </cell>
          <cell r="D31" t="str">
            <v>Mains ENG (CIAC) - Strohs</v>
          </cell>
          <cell r="E31">
            <v>45231</v>
          </cell>
          <cell r="F31">
            <v>2100</v>
          </cell>
          <cell r="G31">
            <v>360</v>
          </cell>
          <cell r="H31">
            <v>145</v>
          </cell>
          <cell r="I31">
            <v>70</v>
          </cell>
          <cell r="J31">
            <v>1259.96</v>
          </cell>
        </row>
        <row r="32">
          <cell r="C32" t="str">
            <v>Mains, Tanks and Reservoirs (50)</v>
          </cell>
          <cell r="D32" t="str">
            <v>Mains (CIAC) - Strohs</v>
          </cell>
          <cell r="E32">
            <v>45231</v>
          </cell>
          <cell r="F32">
            <v>226822.78</v>
          </cell>
          <cell r="G32">
            <v>360</v>
          </cell>
          <cell r="H32">
            <v>157</v>
          </cell>
          <cell r="I32">
            <v>7560.7593333333334</v>
          </cell>
          <cell r="J32">
            <v>128532.87</v>
          </cell>
        </row>
        <row r="33">
          <cell r="C33" t="str">
            <v>Mains, Tanks and Reservoirs (50)</v>
          </cell>
          <cell r="D33" t="str">
            <v>Mains (CIAC) - Strohs</v>
          </cell>
          <cell r="E33">
            <v>45231</v>
          </cell>
          <cell r="F33">
            <v>12180.37</v>
          </cell>
          <cell r="G33">
            <v>360</v>
          </cell>
          <cell r="H33">
            <v>157</v>
          </cell>
          <cell r="I33">
            <v>406.01233333333334</v>
          </cell>
          <cell r="J33">
            <v>6902.15</v>
          </cell>
        </row>
        <row r="34">
          <cell r="C34" t="str">
            <v>Mains, Tanks and Reservoirs (50)</v>
          </cell>
          <cell r="D34" t="str">
            <v>Mains (CIAC) - Strohs</v>
          </cell>
          <cell r="E34">
            <v>45231</v>
          </cell>
          <cell r="F34">
            <v>2052</v>
          </cell>
          <cell r="G34">
            <v>360</v>
          </cell>
          <cell r="H34">
            <v>145</v>
          </cell>
          <cell r="I34">
            <v>68.400000000000006</v>
          </cell>
          <cell r="J34">
            <v>1231.2</v>
          </cell>
        </row>
        <row r="35">
          <cell r="C35" t="str">
            <v>Mains, Tanks and Reservoirs (50)</v>
          </cell>
          <cell r="D35" t="str">
            <v>Mains (CIAC) - Strohs</v>
          </cell>
          <cell r="E35">
            <v>45231</v>
          </cell>
          <cell r="F35">
            <v>16188.13</v>
          </cell>
          <cell r="G35">
            <v>360</v>
          </cell>
          <cell r="H35">
            <v>169</v>
          </cell>
          <cell r="I35">
            <v>539.60433333333322</v>
          </cell>
          <cell r="J35">
            <v>8633.7099999999991</v>
          </cell>
        </row>
        <row r="36">
          <cell r="C36" t="str">
            <v>Mains, Tanks and Reservoirs (50)</v>
          </cell>
          <cell r="D36" t="str">
            <v>PR Station (CIAC) - Strohs</v>
          </cell>
          <cell r="E36">
            <v>45231</v>
          </cell>
          <cell r="F36">
            <v>13392.67</v>
          </cell>
          <cell r="G36">
            <v>360</v>
          </cell>
          <cell r="H36">
            <v>169</v>
          </cell>
          <cell r="I36">
            <v>446.42233333333337</v>
          </cell>
          <cell r="J36">
            <v>7142.73</v>
          </cell>
        </row>
        <row r="37">
          <cell r="C37" t="str">
            <v>Mains, Tanks and Reservoirs (50)</v>
          </cell>
          <cell r="D37" t="str">
            <v>Mains (CIAC) - Strohs</v>
          </cell>
          <cell r="E37">
            <v>45231</v>
          </cell>
          <cell r="F37">
            <v>6653.43</v>
          </cell>
          <cell r="G37">
            <v>360</v>
          </cell>
          <cell r="H37">
            <v>181</v>
          </cell>
          <cell r="I37">
            <v>221.78100000000001</v>
          </cell>
          <cell r="J37">
            <v>3326.69</v>
          </cell>
        </row>
        <row r="38">
          <cell r="C38" t="str">
            <v>Mains, Tanks and Reservoirs (50)</v>
          </cell>
          <cell r="D38" t="str">
            <v>Mains (CIAC) - Strohs</v>
          </cell>
          <cell r="E38">
            <v>45231</v>
          </cell>
          <cell r="F38">
            <v>3071.88</v>
          </cell>
          <cell r="G38">
            <v>360</v>
          </cell>
          <cell r="H38">
            <v>193</v>
          </cell>
          <cell r="I38">
            <v>102.39599999999999</v>
          </cell>
          <cell r="J38">
            <v>1433.5</v>
          </cell>
        </row>
        <row r="39">
          <cell r="C39" t="str">
            <v>Mains, Tanks and Reservoirs (50)</v>
          </cell>
          <cell r="D39" t="str">
            <v>Mains (CIAC) - Strohs</v>
          </cell>
          <cell r="E39">
            <v>45231</v>
          </cell>
          <cell r="F39">
            <v>1344.83</v>
          </cell>
          <cell r="G39">
            <v>360</v>
          </cell>
          <cell r="H39">
            <v>204</v>
          </cell>
          <cell r="I39">
            <v>44.827666666666659</v>
          </cell>
          <cell r="J39">
            <v>586.54999999999995</v>
          </cell>
        </row>
        <row r="40">
          <cell r="C40" t="str">
            <v>Mains, Tanks and Reservoirs (50)</v>
          </cell>
          <cell r="D40" t="str">
            <v>Mains (CIAC) - Strohs</v>
          </cell>
          <cell r="E40">
            <v>45231</v>
          </cell>
          <cell r="F40">
            <v>48479</v>
          </cell>
          <cell r="G40">
            <v>360</v>
          </cell>
          <cell r="H40">
            <v>205</v>
          </cell>
          <cell r="I40">
            <v>1615.9666666666667</v>
          </cell>
          <cell r="J40">
            <v>21007.52</v>
          </cell>
        </row>
        <row r="41">
          <cell r="C41" t="str">
            <v>Mains, Tanks and Reservoirs (50)</v>
          </cell>
          <cell r="D41" t="str">
            <v>Mains (CIAC) - Strohs</v>
          </cell>
          <cell r="E41">
            <v>45231</v>
          </cell>
          <cell r="F41">
            <v>18921.72</v>
          </cell>
          <cell r="G41">
            <v>360</v>
          </cell>
          <cell r="H41">
            <v>205</v>
          </cell>
          <cell r="I41">
            <v>630.72400000000005</v>
          </cell>
          <cell r="J41">
            <v>8199.41</v>
          </cell>
        </row>
        <row r="42">
          <cell r="C42" t="str">
            <v>Mains, Tanks and Reservoirs (50)</v>
          </cell>
          <cell r="D42" t="str">
            <v>Mains (CIAC) - Strohs</v>
          </cell>
          <cell r="E42">
            <v>45231</v>
          </cell>
          <cell r="F42">
            <v>1932.79</v>
          </cell>
          <cell r="G42">
            <v>360</v>
          </cell>
          <cell r="H42">
            <v>205</v>
          </cell>
          <cell r="I42">
            <v>64.426333333333332</v>
          </cell>
          <cell r="J42">
            <v>837.56</v>
          </cell>
        </row>
        <row r="43">
          <cell r="C43" t="str">
            <v>Mains, Tanks and Reservoirs (50)</v>
          </cell>
          <cell r="D43" t="str">
            <v>Mains (CIAC, Towne Plaza II) - Stro</v>
          </cell>
          <cell r="E43">
            <v>45231</v>
          </cell>
          <cell r="F43">
            <v>89007</v>
          </cell>
          <cell r="G43">
            <v>360</v>
          </cell>
          <cell r="H43">
            <v>277</v>
          </cell>
          <cell r="I43">
            <v>2966.9</v>
          </cell>
          <cell r="J43">
            <v>20768.28</v>
          </cell>
        </row>
        <row r="44">
          <cell r="C44" t="str">
            <v>Plant, Structures, and Improvements (35)</v>
          </cell>
          <cell r="D44" t="str">
            <v>Structures (CIAC) - Strohs</v>
          </cell>
          <cell r="E44">
            <v>45231</v>
          </cell>
          <cell r="F44">
            <v>12631.1</v>
          </cell>
          <cell r="G44">
            <v>360</v>
          </cell>
          <cell r="H44">
            <v>0</v>
          </cell>
          <cell r="I44">
            <v>0</v>
          </cell>
          <cell r="J44">
            <v>12631.1</v>
          </cell>
        </row>
        <row r="45">
          <cell r="C45" t="str">
            <v>Plant, Structures, and Improvements (35)</v>
          </cell>
          <cell r="D45" t="str">
            <v>Structures (CIAC) - Strohs</v>
          </cell>
          <cell r="E45">
            <v>45231</v>
          </cell>
          <cell r="F45">
            <v>528.01</v>
          </cell>
          <cell r="G45">
            <v>360</v>
          </cell>
          <cell r="H45">
            <v>109</v>
          </cell>
          <cell r="I45">
            <v>17.600333333333335</v>
          </cell>
          <cell r="J45">
            <v>369.65</v>
          </cell>
        </row>
        <row r="46">
          <cell r="C46" t="str">
            <v>Plant, Structures, and Improvements (35)</v>
          </cell>
          <cell r="D46" t="str">
            <v>Structures (CIAC) - Strohs</v>
          </cell>
          <cell r="E46">
            <v>45231</v>
          </cell>
          <cell r="F46">
            <v>1146.78</v>
          </cell>
          <cell r="G46">
            <v>360</v>
          </cell>
          <cell r="H46">
            <v>205</v>
          </cell>
          <cell r="I46">
            <v>38.225999999999999</v>
          </cell>
          <cell r="J46">
            <v>497</v>
          </cell>
        </row>
        <row r="47">
          <cell r="C47" t="str">
            <v>Pumping and Water Treatment (20)</v>
          </cell>
          <cell r="D47" t="str">
            <v>Pumping Equip (CIAC) - Strohs</v>
          </cell>
          <cell r="E47">
            <v>45231</v>
          </cell>
          <cell r="F47">
            <v>54657.49</v>
          </cell>
          <cell r="G47">
            <v>360</v>
          </cell>
          <cell r="H47">
            <v>0</v>
          </cell>
          <cell r="I47">
            <v>0</v>
          </cell>
          <cell r="J47">
            <v>54657.49</v>
          </cell>
        </row>
        <row r="48">
          <cell r="C48" t="str">
            <v>Pumping and Water Treatment (20)</v>
          </cell>
          <cell r="D48" t="str">
            <v>Pumping Equip (CIAC) - Strohs</v>
          </cell>
          <cell r="E48">
            <v>45231</v>
          </cell>
          <cell r="F48">
            <v>1371.23</v>
          </cell>
          <cell r="G48">
            <v>360</v>
          </cell>
          <cell r="H48">
            <v>0</v>
          </cell>
          <cell r="I48">
            <v>0</v>
          </cell>
          <cell r="J48">
            <v>1371.23</v>
          </cell>
        </row>
        <row r="49">
          <cell r="C49" t="str">
            <v>Equipment (Laboratory, Office, and Shop) (15)</v>
          </cell>
          <cell r="D49" t="str">
            <v>Radio Controls (CIAC) - Strohs</v>
          </cell>
          <cell r="E49">
            <v>45231</v>
          </cell>
          <cell r="F49">
            <v>3383.53</v>
          </cell>
          <cell r="G49">
            <v>360</v>
          </cell>
          <cell r="H49">
            <v>265</v>
          </cell>
          <cell r="I49">
            <v>112.78433333333334</v>
          </cell>
          <cell r="J49">
            <v>902.29</v>
          </cell>
        </row>
        <row r="50">
          <cell r="C50" t="str">
            <v>Mains, Tanks and Reservoirs (50)</v>
          </cell>
          <cell r="D50" t="str">
            <v>Reservoirs (CIAC) - Strohs</v>
          </cell>
          <cell r="E50">
            <v>45231</v>
          </cell>
          <cell r="F50">
            <v>39892.19</v>
          </cell>
          <cell r="G50">
            <v>360</v>
          </cell>
          <cell r="H50">
            <v>0</v>
          </cell>
          <cell r="I50">
            <v>0</v>
          </cell>
          <cell r="J50">
            <v>39892.19</v>
          </cell>
        </row>
        <row r="51">
          <cell r="C51" t="str">
            <v>Mains, Tanks and Reservoirs (50)</v>
          </cell>
          <cell r="D51" t="str">
            <v>Reservoirs (CIAC) - Strohs</v>
          </cell>
          <cell r="E51">
            <v>45231</v>
          </cell>
          <cell r="F51">
            <v>7200</v>
          </cell>
          <cell r="G51">
            <v>360</v>
          </cell>
          <cell r="H51">
            <v>79</v>
          </cell>
          <cell r="I51">
            <v>240</v>
          </cell>
          <cell r="J51">
            <v>5640</v>
          </cell>
        </row>
        <row r="52">
          <cell r="C52" t="str">
            <v>Mains, Tanks and Reservoirs (50)</v>
          </cell>
          <cell r="D52" t="str">
            <v>Reservoirs (CIAC) - Strohs</v>
          </cell>
          <cell r="E52">
            <v>45231</v>
          </cell>
          <cell r="F52">
            <v>39000</v>
          </cell>
          <cell r="G52">
            <v>360</v>
          </cell>
          <cell r="H52">
            <v>103</v>
          </cell>
          <cell r="I52">
            <v>1300</v>
          </cell>
          <cell r="J52">
            <v>27949.96</v>
          </cell>
        </row>
        <row r="53">
          <cell r="C53" t="str">
            <v>Mains, Tanks and Reservoirs (50)</v>
          </cell>
          <cell r="D53" t="str">
            <v>Reservoirs (CIAC) - Strohs</v>
          </cell>
          <cell r="E53">
            <v>45231</v>
          </cell>
          <cell r="F53">
            <v>1724</v>
          </cell>
          <cell r="G53">
            <v>360</v>
          </cell>
          <cell r="H53">
            <v>169</v>
          </cell>
          <cell r="I53">
            <v>57.466666666666669</v>
          </cell>
          <cell r="J53">
            <v>919.48</v>
          </cell>
        </row>
        <row r="54">
          <cell r="C54" t="str">
            <v>Mains, Tanks and Reservoirs (50)</v>
          </cell>
          <cell r="D54" t="str">
            <v>Reservoirs (CIAC) - Strohs</v>
          </cell>
          <cell r="E54">
            <v>45231</v>
          </cell>
          <cell r="F54">
            <v>3776.17</v>
          </cell>
          <cell r="G54">
            <v>360</v>
          </cell>
          <cell r="H54">
            <v>205</v>
          </cell>
          <cell r="I54">
            <v>125.87233333333334</v>
          </cell>
          <cell r="J54">
            <v>1636.35</v>
          </cell>
        </row>
        <row r="55">
          <cell r="C55" t="str">
            <v>Plant, Other (40)</v>
          </cell>
          <cell r="D55" t="str">
            <v>Hydrant (CIAC) - Strohs</v>
          </cell>
          <cell r="E55">
            <v>45231</v>
          </cell>
          <cell r="F55">
            <v>32814.339999999997</v>
          </cell>
          <cell r="G55">
            <v>360</v>
          </cell>
          <cell r="H55">
            <v>50</v>
          </cell>
          <cell r="I55">
            <v>1093.8113333333331</v>
          </cell>
          <cell r="J55">
            <v>28347.93</v>
          </cell>
        </row>
        <row r="56">
          <cell r="C56" t="str">
            <v>Plant, Other (40)</v>
          </cell>
          <cell r="D56" t="str">
            <v>Hydrant (CIAC) - Strohs</v>
          </cell>
          <cell r="E56">
            <v>45231</v>
          </cell>
          <cell r="F56">
            <v>31488.400000000001</v>
          </cell>
          <cell r="G56">
            <v>360</v>
          </cell>
          <cell r="H56">
            <v>157</v>
          </cell>
          <cell r="I56">
            <v>1049.6133333333335</v>
          </cell>
          <cell r="J56">
            <v>17843.46</v>
          </cell>
        </row>
        <row r="57">
          <cell r="C57" t="str">
            <v>Plant, Other (40)</v>
          </cell>
          <cell r="D57" t="str">
            <v>Hydrant (CIAC) - Strohs</v>
          </cell>
          <cell r="E57">
            <v>45231</v>
          </cell>
          <cell r="F57">
            <v>20577</v>
          </cell>
          <cell r="G57">
            <v>480</v>
          </cell>
          <cell r="H57">
            <v>433</v>
          </cell>
          <cell r="I57">
            <v>514.42499999999995</v>
          </cell>
          <cell r="J57">
            <v>2057.7199999999998</v>
          </cell>
        </row>
        <row r="58">
          <cell r="C58">
            <v>0</v>
          </cell>
          <cell r="D58" t="str">
            <v>Misc Equip (CIAC) - Strohs</v>
          </cell>
          <cell r="E58">
            <v>45231</v>
          </cell>
          <cell r="F58">
            <v>3258.43</v>
          </cell>
          <cell r="G58">
            <v>360</v>
          </cell>
          <cell r="H58">
            <v>205</v>
          </cell>
          <cell r="I58">
            <v>108.61433333333333</v>
          </cell>
          <cell r="J58">
            <v>1411.97</v>
          </cell>
        </row>
        <row r="59">
          <cell r="C59">
            <v>0</v>
          </cell>
          <cell r="D59" t="str">
            <v>Misc Equip (CIAC) - Strohs</v>
          </cell>
          <cell r="E59">
            <v>45231</v>
          </cell>
          <cell r="F59">
            <v>836.61</v>
          </cell>
          <cell r="G59">
            <v>360</v>
          </cell>
          <cell r="H59">
            <v>205</v>
          </cell>
          <cell r="I59">
            <v>27.887</v>
          </cell>
          <cell r="J59">
            <v>362.48</v>
          </cell>
        </row>
        <row r="60">
          <cell r="C60">
            <v>0</v>
          </cell>
          <cell r="D60" t="str">
            <v>Misc Equip (CIAC) - Strohs</v>
          </cell>
          <cell r="E60">
            <v>45231</v>
          </cell>
          <cell r="F60">
            <v>5193.1499999999996</v>
          </cell>
          <cell r="G60">
            <v>360</v>
          </cell>
          <cell r="H60">
            <v>205</v>
          </cell>
          <cell r="I60">
            <v>173.10499999999999</v>
          </cell>
          <cell r="J60">
            <v>2250.42</v>
          </cell>
        </row>
        <row r="61">
          <cell r="C61">
            <v>0</v>
          </cell>
          <cell r="D61" t="str">
            <v>Misc Equip (CIAC) - Strohs</v>
          </cell>
          <cell r="E61">
            <v>45231</v>
          </cell>
          <cell r="F61">
            <v>1507.78</v>
          </cell>
          <cell r="G61">
            <v>360</v>
          </cell>
          <cell r="H61">
            <v>205</v>
          </cell>
          <cell r="I61">
            <v>50.259333333333331</v>
          </cell>
          <cell r="J61">
            <v>653.39</v>
          </cell>
        </row>
        <row r="62">
          <cell r="C62">
            <v>0</v>
          </cell>
          <cell r="D62" t="str">
            <v>Misc Equip (CIAC) - Strohs, HBR Cov</v>
          </cell>
          <cell r="E62">
            <v>45231</v>
          </cell>
          <cell r="F62">
            <v>14983.6</v>
          </cell>
          <cell r="G62">
            <v>360</v>
          </cell>
          <cell r="H62">
            <v>217</v>
          </cell>
          <cell r="I62">
            <v>499.45333333333338</v>
          </cell>
          <cell r="J62">
            <v>5993.43</v>
          </cell>
        </row>
        <row r="63">
          <cell r="C63" t="str">
            <v>Service Connection (30)</v>
          </cell>
          <cell r="D63" t="str">
            <v>Services (CIAC) - Strohs</v>
          </cell>
          <cell r="E63">
            <v>45231</v>
          </cell>
          <cell r="F63">
            <v>48089.87</v>
          </cell>
          <cell r="G63">
            <v>360</v>
          </cell>
          <cell r="H63">
            <v>50</v>
          </cell>
          <cell r="I63">
            <v>1602.9956666666667</v>
          </cell>
          <cell r="J63">
            <v>41544.269999999997</v>
          </cell>
        </row>
        <row r="64">
          <cell r="C64" t="str">
            <v>Service Connection (30)</v>
          </cell>
          <cell r="D64" t="str">
            <v>Services (CIAC) - Strohs</v>
          </cell>
          <cell r="E64">
            <v>45231</v>
          </cell>
          <cell r="F64">
            <v>2333</v>
          </cell>
          <cell r="G64">
            <v>360</v>
          </cell>
          <cell r="H64">
            <v>102</v>
          </cell>
          <cell r="I64">
            <v>77.766666666666666</v>
          </cell>
          <cell r="J64">
            <v>1678.46</v>
          </cell>
        </row>
        <row r="65">
          <cell r="C65" t="str">
            <v>Service Connection (30)</v>
          </cell>
          <cell r="D65" t="str">
            <v>Services (CIAC) - Strohs</v>
          </cell>
          <cell r="E65">
            <v>45231</v>
          </cell>
          <cell r="F65">
            <v>619.72</v>
          </cell>
          <cell r="G65">
            <v>360</v>
          </cell>
          <cell r="H65">
            <v>93</v>
          </cell>
          <cell r="I65">
            <v>20.657333333333334</v>
          </cell>
          <cell r="J65">
            <v>461.33</v>
          </cell>
        </row>
        <row r="66">
          <cell r="C66" t="str">
            <v>Service Connection (30)</v>
          </cell>
          <cell r="D66" t="str">
            <v>Services (CIAC) - Strohs</v>
          </cell>
          <cell r="E66">
            <v>45231</v>
          </cell>
          <cell r="F66">
            <v>9725.94</v>
          </cell>
          <cell r="G66">
            <v>360</v>
          </cell>
          <cell r="H66">
            <v>115</v>
          </cell>
          <cell r="I66">
            <v>324.19799999999998</v>
          </cell>
          <cell r="J66">
            <v>6646.1</v>
          </cell>
        </row>
        <row r="67">
          <cell r="C67" t="str">
            <v>Service Connection (30)</v>
          </cell>
          <cell r="D67" t="str">
            <v>Services (CIAC) - Strohs</v>
          </cell>
          <cell r="E67">
            <v>45231</v>
          </cell>
          <cell r="F67">
            <v>3540.11</v>
          </cell>
          <cell r="G67">
            <v>360</v>
          </cell>
          <cell r="H67">
            <v>115</v>
          </cell>
          <cell r="I67">
            <v>118.00366666666666</v>
          </cell>
          <cell r="J67">
            <v>2419.0300000000002</v>
          </cell>
        </row>
        <row r="68">
          <cell r="C68" t="str">
            <v>Service Connection (30)</v>
          </cell>
          <cell r="D68" t="str">
            <v>Services (CIAC) - Strohs</v>
          </cell>
          <cell r="E68">
            <v>45231</v>
          </cell>
          <cell r="F68">
            <v>1431.84</v>
          </cell>
          <cell r="G68">
            <v>360</v>
          </cell>
          <cell r="H68">
            <v>204</v>
          </cell>
          <cell r="I68">
            <v>47.727999999999994</v>
          </cell>
          <cell r="J68">
            <v>624.48</v>
          </cell>
        </row>
        <row r="69">
          <cell r="C69" t="str">
            <v>Service Connection (30)</v>
          </cell>
          <cell r="D69" t="str">
            <v>Services (CIAC) - Strohs</v>
          </cell>
          <cell r="E69">
            <v>45231</v>
          </cell>
          <cell r="F69">
            <v>2100</v>
          </cell>
          <cell r="G69">
            <v>360</v>
          </cell>
          <cell r="H69">
            <v>205</v>
          </cell>
          <cell r="I69">
            <v>70</v>
          </cell>
          <cell r="J69">
            <v>909.96</v>
          </cell>
        </row>
        <row r="70">
          <cell r="C70" t="str">
            <v>Service Connection (30)</v>
          </cell>
          <cell r="D70" t="str">
            <v>Services (CIAC) - Strohs</v>
          </cell>
          <cell r="E70">
            <v>45231</v>
          </cell>
          <cell r="F70">
            <v>155.96</v>
          </cell>
          <cell r="G70">
            <v>360</v>
          </cell>
          <cell r="H70">
            <v>141</v>
          </cell>
          <cell r="I70">
            <v>5.198666666666667</v>
          </cell>
          <cell r="J70">
            <v>95.27</v>
          </cell>
        </row>
        <row r="71">
          <cell r="C71" t="str">
            <v>Service Connection (30)</v>
          </cell>
          <cell r="D71" t="str">
            <v>Services (CIAC) - Strohs</v>
          </cell>
          <cell r="E71">
            <v>45231</v>
          </cell>
          <cell r="F71">
            <v>2484.5300000000002</v>
          </cell>
          <cell r="G71">
            <v>360</v>
          </cell>
          <cell r="H71">
            <v>133</v>
          </cell>
          <cell r="I71">
            <v>82.817666666666668</v>
          </cell>
          <cell r="J71">
            <v>1573.52</v>
          </cell>
        </row>
        <row r="72">
          <cell r="C72" t="str">
            <v>Service Connection (30)</v>
          </cell>
          <cell r="D72" t="str">
            <v>Services (CIAC) - Strohs</v>
          </cell>
          <cell r="E72">
            <v>45231</v>
          </cell>
          <cell r="F72">
            <v>737.51</v>
          </cell>
          <cell r="G72">
            <v>360</v>
          </cell>
          <cell r="H72">
            <v>142</v>
          </cell>
          <cell r="I72">
            <v>24.583666666666666</v>
          </cell>
          <cell r="J72">
            <v>448.67</v>
          </cell>
        </row>
        <row r="73">
          <cell r="C73" t="str">
            <v>Service Connection (30)</v>
          </cell>
          <cell r="D73" t="str">
            <v>Services (CIAC) - Strohs</v>
          </cell>
          <cell r="E73">
            <v>45231</v>
          </cell>
          <cell r="F73">
            <v>4584.53</v>
          </cell>
          <cell r="G73">
            <v>360</v>
          </cell>
          <cell r="H73">
            <v>145</v>
          </cell>
          <cell r="I73">
            <v>152.81766666666667</v>
          </cell>
          <cell r="J73">
            <v>2750.69</v>
          </cell>
        </row>
        <row r="74">
          <cell r="C74" t="str">
            <v>Service Connection (30)</v>
          </cell>
          <cell r="D74" t="str">
            <v>Services (CIAC) - Strohs</v>
          </cell>
          <cell r="E74">
            <v>45231</v>
          </cell>
          <cell r="F74">
            <v>1800</v>
          </cell>
          <cell r="G74">
            <v>360</v>
          </cell>
          <cell r="H74">
            <v>157</v>
          </cell>
          <cell r="I74">
            <v>60</v>
          </cell>
          <cell r="J74">
            <v>1020</v>
          </cell>
        </row>
        <row r="75">
          <cell r="C75" t="str">
            <v>Service Connection (30)</v>
          </cell>
          <cell r="D75" t="str">
            <v>Services (CIAC) - Strohs</v>
          </cell>
          <cell r="E75">
            <v>45231</v>
          </cell>
          <cell r="F75">
            <v>1120.3599999999999</v>
          </cell>
          <cell r="G75">
            <v>360</v>
          </cell>
          <cell r="H75">
            <v>169</v>
          </cell>
          <cell r="I75">
            <v>37.345333333333329</v>
          </cell>
          <cell r="J75">
            <v>597.5</v>
          </cell>
        </row>
        <row r="76">
          <cell r="C76" t="str">
            <v>Service Connection (30)</v>
          </cell>
          <cell r="D76" t="str">
            <v>Services (CIAC) - Strohs</v>
          </cell>
          <cell r="E76">
            <v>45231</v>
          </cell>
          <cell r="F76">
            <v>2100</v>
          </cell>
          <cell r="G76">
            <v>360</v>
          </cell>
          <cell r="H76">
            <v>169</v>
          </cell>
          <cell r="I76">
            <v>70</v>
          </cell>
          <cell r="J76">
            <v>1119.96</v>
          </cell>
        </row>
        <row r="77">
          <cell r="C77" t="str">
            <v>Service Connection (30)</v>
          </cell>
          <cell r="D77" t="str">
            <v>Services (CIAC) - Strohs</v>
          </cell>
          <cell r="E77">
            <v>45231</v>
          </cell>
          <cell r="F77">
            <v>1200</v>
          </cell>
          <cell r="G77">
            <v>360</v>
          </cell>
          <cell r="H77">
            <v>181</v>
          </cell>
          <cell r="I77">
            <v>40</v>
          </cell>
          <cell r="J77">
            <v>599.96</v>
          </cell>
        </row>
        <row r="78">
          <cell r="C78" t="str">
            <v>Service Connection (30)</v>
          </cell>
          <cell r="D78" t="str">
            <v>Services (CIAC) - Strohs</v>
          </cell>
          <cell r="E78">
            <v>45231</v>
          </cell>
          <cell r="F78">
            <v>1200</v>
          </cell>
          <cell r="G78">
            <v>360</v>
          </cell>
          <cell r="H78">
            <v>193</v>
          </cell>
          <cell r="I78">
            <v>40</v>
          </cell>
          <cell r="J78">
            <v>559.96</v>
          </cell>
        </row>
        <row r="79">
          <cell r="C79" t="str">
            <v>Service Connection (30)</v>
          </cell>
          <cell r="D79" t="str">
            <v>Services (CIAC) - Strohs</v>
          </cell>
          <cell r="E79">
            <v>45231</v>
          </cell>
          <cell r="F79">
            <v>300</v>
          </cell>
          <cell r="G79">
            <v>360</v>
          </cell>
          <cell r="H79">
            <v>205</v>
          </cell>
          <cell r="I79">
            <v>10</v>
          </cell>
          <cell r="J79">
            <v>129.96</v>
          </cell>
        </row>
        <row r="80">
          <cell r="C80" t="str">
            <v>Service Connection (30)</v>
          </cell>
          <cell r="D80" t="str">
            <v>Services (CIAC) - Strohs</v>
          </cell>
          <cell r="E80">
            <v>45231</v>
          </cell>
          <cell r="F80">
            <v>900</v>
          </cell>
          <cell r="G80">
            <v>360</v>
          </cell>
          <cell r="H80">
            <v>205</v>
          </cell>
          <cell r="I80">
            <v>30</v>
          </cell>
          <cell r="J80">
            <v>390</v>
          </cell>
        </row>
        <row r="81">
          <cell r="C81" t="str">
            <v>Service Connection (30)</v>
          </cell>
          <cell r="D81" t="str">
            <v>Services (CIAC) - Strohs</v>
          </cell>
          <cell r="E81">
            <v>45231</v>
          </cell>
          <cell r="F81">
            <v>1200</v>
          </cell>
          <cell r="G81">
            <v>360</v>
          </cell>
          <cell r="H81">
            <v>217</v>
          </cell>
          <cell r="I81">
            <v>40</v>
          </cell>
          <cell r="J81">
            <v>479.96</v>
          </cell>
        </row>
        <row r="82">
          <cell r="C82" t="str">
            <v>Service Connection (30)</v>
          </cell>
          <cell r="D82" t="str">
            <v>Services (CIAC) - Strohs</v>
          </cell>
          <cell r="E82">
            <v>45231</v>
          </cell>
          <cell r="F82">
            <v>300</v>
          </cell>
          <cell r="G82">
            <v>360</v>
          </cell>
          <cell r="H82">
            <v>229</v>
          </cell>
          <cell r="I82">
            <v>10</v>
          </cell>
          <cell r="J82">
            <v>109.96</v>
          </cell>
        </row>
        <row r="83">
          <cell r="C83" t="str">
            <v>Service Connection (30)</v>
          </cell>
          <cell r="D83" t="str">
            <v>Services (CIAC) - Strohs</v>
          </cell>
          <cell r="E83">
            <v>45231</v>
          </cell>
          <cell r="F83">
            <v>640.38</v>
          </cell>
          <cell r="G83">
            <v>360</v>
          </cell>
          <cell r="H83">
            <v>229</v>
          </cell>
          <cell r="I83">
            <v>21.346</v>
          </cell>
          <cell r="J83">
            <v>234.82</v>
          </cell>
        </row>
        <row r="84">
          <cell r="C84" t="str">
            <v>Service Connection (30)</v>
          </cell>
          <cell r="D84" t="str">
            <v>Services (CIAC) - Strohs</v>
          </cell>
          <cell r="E84">
            <v>45231</v>
          </cell>
          <cell r="F84">
            <v>1200</v>
          </cell>
          <cell r="G84">
            <v>360</v>
          </cell>
          <cell r="H84">
            <v>241</v>
          </cell>
          <cell r="I84">
            <v>40</v>
          </cell>
          <cell r="J84">
            <v>399.96</v>
          </cell>
        </row>
        <row r="85">
          <cell r="C85" t="str">
            <v>Service Connection (30)</v>
          </cell>
          <cell r="D85" t="str">
            <v>Services (CIAC) - Strohs</v>
          </cell>
          <cell r="E85">
            <v>45231</v>
          </cell>
          <cell r="F85">
            <v>210.56</v>
          </cell>
          <cell r="G85">
            <v>360</v>
          </cell>
          <cell r="H85">
            <v>241</v>
          </cell>
          <cell r="I85">
            <v>7.0186666666666664</v>
          </cell>
          <cell r="J85">
            <v>70.16</v>
          </cell>
        </row>
        <row r="86">
          <cell r="C86" t="str">
            <v>Service Connection (30)</v>
          </cell>
          <cell r="D86" t="str">
            <v>Services (CIAC) - Strohs</v>
          </cell>
          <cell r="E86">
            <v>45231</v>
          </cell>
          <cell r="F86">
            <v>2477.14</v>
          </cell>
          <cell r="G86">
            <v>360</v>
          </cell>
          <cell r="H86">
            <v>241</v>
          </cell>
          <cell r="I86">
            <v>82.571333333333328</v>
          </cell>
          <cell r="J86">
            <v>825.7</v>
          </cell>
        </row>
        <row r="87">
          <cell r="C87" t="str">
            <v>Service Connection (30)</v>
          </cell>
          <cell r="D87" t="str">
            <v>Services (CIAC) - Strohs</v>
          </cell>
          <cell r="E87">
            <v>45231</v>
          </cell>
          <cell r="F87">
            <v>300</v>
          </cell>
          <cell r="G87">
            <v>360</v>
          </cell>
          <cell r="H87">
            <v>253</v>
          </cell>
          <cell r="I87">
            <v>10</v>
          </cell>
          <cell r="J87">
            <v>89.96</v>
          </cell>
        </row>
        <row r="88">
          <cell r="C88" t="str">
            <v>Service Connection (30)</v>
          </cell>
          <cell r="D88" t="str">
            <v>Services (CIAC) - Strohs</v>
          </cell>
          <cell r="E88">
            <v>45231</v>
          </cell>
          <cell r="F88">
            <v>7698.94</v>
          </cell>
          <cell r="G88">
            <v>360</v>
          </cell>
          <cell r="H88">
            <v>253</v>
          </cell>
          <cell r="I88">
            <v>256.63133333333332</v>
          </cell>
          <cell r="J88">
            <v>2309.73</v>
          </cell>
        </row>
        <row r="89">
          <cell r="C89" t="str">
            <v>Service Connection (30)</v>
          </cell>
          <cell r="D89" t="str">
            <v>Services (CIAC) - Strohs</v>
          </cell>
          <cell r="E89">
            <v>45231</v>
          </cell>
          <cell r="F89">
            <v>384.53</v>
          </cell>
          <cell r="G89">
            <v>360</v>
          </cell>
          <cell r="H89">
            <v>265</v>
          </cell>
          <cell r="I89">
            <v>12.817666666666664</v>
          </cell>
          <cell r="J89">
            <v>102.57</v>
          </cell>
        </row>
        <row r="90">
          <cell r="C90" t="str">
            <v>Service Connection (30)</v>
          </cell>
          <cell r="D90" t="str">
            <v>Services (CIAC) Fox Run, upsized -</v>
          </cell>
          <cell r="E90">
            <v>45231</v>
          </cell>
          <cell r="F90">
            <v>12913.88</v>
          </cell>
          <cell r="G90">
            <v>360</v>
          </cell>
          <cell r="H90">
            <v>277</v>
          </cell>
          <cell r="I90">
            <v>430.46266666666668</v>
          </cell>
          <cell r="J90">
            <v>3013.21</v>
          </cell>
        </row>
        <row r="91">
          <cell r="C91" t="str">
            <v>Service Connection (30)</v>
          </cell>
          <cell r="D91" t="str">
            <v>Services (CIAC) - Strohs</v>
          </cell>
          <cell r="E91">
            <v>45231</v>
          </cell>
          <cell r="F91">
            <v>5961.2</v>
          </cell>
          <cell r="G91">
            <v>360</v>
          </cell>
          <cell r="H91">
            <v>289</v>
          </cell>
          <cell r="I91">
            <v>198.70666666666665</v>
          </cell>
          <cell r="J91">
            <v>1192.25</v>
          </cell>
        </row>
        <row r="92">
          <cell r="C92" t="str">
            <v>Service Connection (30)</v>
          </cell>
          <cell r="D92" t="str">
            <v>Services (CIAC) - Stroh</v>
          </cell>
          <cell r="E92">
            <v>45231</v>
          </cell>
          <cell r="F92">
            <v>3981.78</v>
          </cell>
          <cell r="G92">
            <v>360</v>
          </cell>
          <cell r="H92">
            <v>289</v>
          </cell>
          <cell r="I92">
            <v>132.726</v>
          </cell>
          <cell r="J92">
            <v>796.35</v>
          </cell>
        </row>
        <row r="93">
          <cell r="C93" t="str">
            <v>Service Connection (30)</v>
          </cell>
          <cell r="D93" t="str">
            <v>Services (CIAC) - Stroh</v>
          </cell>
          <cell r="E93">
            <v>45231</v>
          </cell>
          <cell r="F93">
            <v>8229.31</v>
          </cell>
          <cell r="G93">
            <v>360</v>
          </cell>
          <cell r="H93">
            <v>289</v>
          </cell>
          <cell r="I93">
            <v>274.31033333333335</v>
          </cell>
          <cell r="J93">
            <v>1645.87</v>
          </cell>
        </row>
        <row r="94">
          <cell r="C94" t="str">
            <v>Service Connection (30)</v>
          </cell>
          <cell r="D94" t="str">
            <v>Services (CIAC) - Strohs</v>
          </cell>
          <cell r="E94">
            <v>45231</v>
          </cell>
          <cell r="F94">
            <v>1006</v>
          </cell>
          <cell r="G94">
            <v>360</v>
          </cell>
          <cell r="H94">
            <v>289</v>
          </cell>
          <cell r="I94">
            <v>33.533333333333331</v>
          </cell>
          <cell r="J94">
            <v>201.14</v>
          </cell>
        </row>
        <row r="95">
          <cell r="C95" t="str">
            <v>Service Connection (30)</v>
          </cell>
          <cell r="D95" t="str">
            <v>Services (CIAC) - Strohs</v>
          </cell>
          <cell r="E95">
            <v>45231</v>
          </cell>
          <cell r="F95">
            <v>1500</v>
          </cell>
          <cell r="G95">
            <v>360</v>
          </cell>
          <cell r="H95">
            <v>301</v>
          </cell>
          <cell r="I95">
            <v>50</v>
          </cell>
          <cell r="J95">
            <v>250.04</v>
          </cell>
        </row>
        <row r="96">
          <cell r="C96" t="str">
            <v>Service Connection (30)</v>
          </cell>
          <cell r="D96" t="str">
            <v>Services (CIAC) - Strohs, 3516 53d</v>
          </cell>
          <cell r="E96">
            <v>45231</v>
          </cell>
          <cell r="F96">
            <v>1014.01</v>
          </cell>
          <cell r="G96">
            <v>360</v>
          </cell>
          <cell r="H96">
            <v>313</v>
          </cell>
          <cell r="I96">
            <v>33.800333333333334</v>
          </cell>
          <cell r="J96">
            <v>135.24</v>
          </cell>
        </row>
        <row r="97">
          <cell r="C97" t="str">
            <v>Service Connection (30)</v>
          </cell>
          <cell r="D97" t="str">
            <v>Services (CIAC) - Strohs</v>
          </cell>
          <cell r="E97">
            <v>45231</v>
          </cell>
          <cell r="F97">
            <v>1407</v>
          </cell>
          <cell r="G97">
            <v>360</v>
          </cell>
          <cell r="H97">
            <v>313</v>
          </cell>
          <cell r="I97">
            <v>46.9</v>
          </cell>
          <cell r="J97">
            <v>187.62</v>
          </cell>
        </row>
        <row r="98">
          <cell r="C98" t="str">
            <v>Service Connection (30)</v>
          </cell>
          <cell r="D98" t="str">
            <v>Services (CIAC) - Strohs</v>
          </cell>
          <cell r="E98">
            <v>45231</v>
          </cell>
          <cell r="F98">
            <v>2456</v>
          </cell>
          <cell r="G98">
            <v>360</v>
          </cell>
          <cell r="H98">
            <v>313</v>
          </cell>
          <cell r="I98">
            <v>81.86666666666666</v>
          </cell>
          <cell r="J98">
            <v>327.44</v>
          </cell>
        </row>
        <row r="99">
          <cell r="C99" t="str">
            <v>Service Connection (30)</v>
          </cell>
          <cell r="D99" t="str">
            <v>Services (CIAC) - Strohs</v>
          </cell>
          <cell r="E99">
            <v>45231</v>
          </cell>
          <cell r="F99">
            <v>1561.45</v>
          </cell>
          <cell r="G99">
            <v>360</v>
          </cell>
          <cell r="H99">
            <v>325</v>
          </cell>
          <cell r="I99">
            <v>52.048333333333332</v>
          </cell>
          <cell r="J99">
            <v>156.18</v>
          </cell>
        </row>
        <row r="100">
          <cell r="C100" t="str">
            <v>Service Connection (30)</v>
          </cell>
          <cell r="D100" t="str">
            <v>Services (CIAC) - Strohs</v>
          </cell>
          <cell r="E100">
            <v>45231</v>
          </cell>
          <cell r="F100">
            <v>7121.88</v>
          </cell>
          <cell r="G100">
            <v>360</v>
          </cell>
          <cell r="H100">
            <v>325</v>
          </cell>
          <cell r="I100">
            <v>237.39600000000002</v>
          </cell>
          <cell r="J100">
            <v>712.15</v>
          </cell>
        </row>
        <row r="101">
          <cell r="C101" t="str">
            <v>Service Connection (30)</v>
          </cell>
          <cell r="D101" t="str">
            <v>Service (CIAC) - Strohs, 3305 38th</v>
          </cell>
          <cell r="E101">
            <v>45231</v>
          </cell>
          <cell r="F101">
            <v>4331.76</v>
          </cell>
          <cell r="G101">
            <v>360</v>
          </cell>
          <cell r="H101">
            <v>337</v>
          </cell>
          <cell r="I101">
            <v>144.392</v>
          </cell>
          <cell r="J101">
            <v>288.75</v>
          </cell>
        </row>
        <row r="102">
          <cell r="C102" t="str">
            <v>Service Connection (30)</v>
          </cell>
          <cell r="D102" t="str">
            <v>Services (CIAC) - Strohs</v>
          </cell>
          <cell r="E102">
            <v>45231</v>
          </cell>
          <cell r="F102">
            <v>300</v>
          </cell>
          <cell r="G102">
            <v>360</v>
          </cell>
          <cell r="H102">
            <v>337</v>
          </cell>
          <cell r="I102">
            <v>10</v>
          </cell>
          <cell r="J102">
            <v>19.96</v>
          </cell>
        </row>
        <row r="103">
          <cell r="C103" t="str">
            <v>Service Connection (30)</v>
          </cell>
          <cell r="D103" t="str">
            <v>Service (CIAC) - Strohs, 3909 38th</v>
          </cell>
          <cell r="E103">
            <v>45231</v>
          </cell>
          <cell r="F103">
            <v>4713</v>
          </cell>
          <cell r="G103">
            <v>360</v>
          </cell>
          <cell r="H103">
            <v>339</v>
          </cell>
          <cell r="I103">
            <v>157.1</v>
          </cell>
          <cell r="J103">
            <v>288</v>
          </cell>
        </row>
        <row r="104">
          <cell r="C104" t="str">
            <v>Service Connection (30)</v>
          </cell>
          <cell r="D104" t="str">
            <v>Services (CIAC) - Strohs</v>
          </cell>
          <cell r="E104">
            <v>45231</v>
          </cell>
          <cell r="F104">
            <v>1078.49</v>
          </cell>
          <cell r="G104">
            <v>360</v>
          </cell>
          <cell r="H104">
            <v>145</v>
          </cell>
          <cell r="I104">
            <v>35.949666666666666</v>
          </cell>
          <cell r="J104">
            <v>647.15</v>
          </cell>
        </row>
        <row r="105">
          <cell r="C105" t="str">
            <v>Meters (20)</v>
          </cell>
          <cell r="D105" t="str">
            <v>Meters (CIAC, Fox Run) - Strohs</v>
          </cell>
          <cell r="E105">
            <v>45231</v>
          </cell>
          <cell r="F105">
            <v>12704.66</v>
          </cell>
          <cell r="G105">
            <v>360</v>
          </cell>
          <cell r="H105">
            <v>265</v>
          </cell>
          <cell r="I105">
            <v>423.48866666666663</v>
          </cell>
          <cell r="J105">
            <v>3387.9</v>
          </cell>
        </row>
        <row r="106">
          <cell r="C106">
            <v>0</v>
          </cell>
          <cell r="D106" t="str">
            <v>PR Station (CIAC) - Strohs</v>
          </cell>
          <cell r="E106">
            <v>45231</v>
          </cell>
          <cell r="F106">
            <v>4846.26</v>
          </cell>
          <cell r="G106">
            <v>360</v>
          </cell>
          <cell r="H106">
            <v>169</v>
          </cell>
          <cell r="I106">
            <v>161.54200000000003</v>
          </cell>
          <cell r="J106">
            <v>2584.65</v>
          </cell>
        </row>
        <row r="107">
          <cell r="C107" t="str">
            <v>Mains, Tanks and Reservoirs (50)</v>
          </cell>
          <cell r="D107" t="str">
            <v>Mains (CIAC) - Strohs</v>
          </cell>
          <cell r="E107">
            <v>45231</v>
          </cell>
          <cell r="F107">
            <v>78731.03</v>
          </cell>
          <cell r="G107">
            <v>360</v>
          </cell>
          <cell r="H107">
            <v>50</v>
          </cell>
          <cell r="I107">
            <v>2624.3676666666665</v>
          </cell>
          <cell r="J107">
            <v>68014.89</v>
          </cell>
        </row>
        <row r="108">
          <cell r="C108" t="str">
            <v>Mains, Tanks and Reservoirs (50)</v>
          </cell>
          <cell r="D108" t="str">
            <v>Mains (CIAC) - Strohs</v>
          </cell>
          <cell r="E108">
            <v>45231</v>
          </cell>
          <cell r="F108">
            <v>13380.7</v>
          </cell>
          <cell r="G108">
            <v>360</v>
          </cell>
          <cell r="H108">
            <v>50</v>
          </cell>
          <cell r="I108">
            <v>446.02333333333331</v>
          </cell>
          <cell r="J108">
            <v>11559.45</v>
          </cell>
        </row>
        <row r="109">
          <cell r="C109" t="str">
            <v>Mains, Tanks and Reservoirs (50)</v>
          </cell>
          <cell r="D109" t="str">
            <v>Mains (CIAC) - Strohs</v>
          </cell>
          <cell r="E109">
            <v>45231</v>
          </cell>
          <cell r="F109">
            <v>54204.53</v>
          </cell>
          <cell r="G109">
            <v>360</v>
          </cell>
          <cell r="H109">
            <v>50</v>
          </cell>
          <cell r="I109">
            <v>1806.8176666666666</v>
          </cell>
          <cell r="J109">
            <v>46826.69</v>
          </cell>
        </row>
        <row r="110">
          <cell r="C110" t="str">
            <v>Mains, Tanks and Reservoirs (50)</v>
          </cell>
          <cell r="D110" t="str">
            <v>TapPush - STROH - Par#0221207010</v>
          </cell>
          <cell r="E110">
            <v>45383</v>
          </cell>
          <cell r="F110">
            <v>3323.32</v>
          </cell>
          <cell r="G110">
            <v>360</v>
          </cell>
          <cell r="H110">
            <v>352</v>
          </cell>
          <cell r="I110">
            <v>110.77733333333335</v>
          </cell>
          <cell r="J110">
            <v>91.38</v>
          </cell>
        </row>
        <row r="111">
          <cell r="C111" t="str">
            <v>Mains, Tanks and Reservoirs (50)</v>
          </cell>
          <cell r="D111" t="str">
            <v>Main Ex - Stroh - Par# 0221194053</v>
          </cell>
          <cell r="E111">
            <v>45566</v>
          </cell>
          <cell r="F111">
            <v>283035.67</v>
          </cell>
          <cell r="G111">
            <v>360</v>
          </cell>
          <cell r="H111">
            <v>358</v>
          </cell>
          <cell r="I111">
            <v>9434.5223333333324</v>
          </cell>
          <cell r="J111">
            <v>2358.63</v>
          </cell>
        </row>
        <row r="112">
          <cell r="C112" t="str">
            <v>Plant, Other (40)</v>
          </cell>
          <cell r="D112" t="str">
            <v>Hydra - Stroh - Par# 0221194053</v>
          </cell>
          <cell r="E112">
            <v>45566</v>
          </cell>
          <cell r="F112">
            <v>13489.02</v>
          </cell>
          <cell r="G112">
            <v>480</v>
          </cell>
          <cell r="H112">
            <v>478</v>
          </cell>
          <cell r="I112">
            <v>337.22550000000001</v>
          </cell>
          <cell r="J112">
            <v>84.3</v>
          </cell>
        </row>
        <row r="113">
          <cell r="C113" t="str">
            <v>Service Connection (30)</v>
          </cell>
          <cell r="D113" t="str">
            <v>Svc - Stroh - Par# 0221194053</v>
          </cell>
          <cell r="E113">
            <v>45566</v>
          </cell>
          <cell r="F113">
            <v>10376.16</v>
          </cell>
          <cell r="G113">
            <v>360</v>
          </cell>
          <cell r="H113">
            <v>358</v>
          </cell>
          <cell r="I113">
            <v>345.87200000000001</v>
          </cell>
          <cell r="J113">
            <v>86.46</v>
          </cell>
        </row>
        <row r="114">
          <cell r="C114" t="str">
            <v>Service Connection (30)</v>
          </cell>
          <cell r="D114" t="str">
            <v>Svc - Stroh - Par# 0221194053</v>
          </cell>
          <cell r="E114">
            <v>45566</v>
          </cell>
          <cell r="F114">
            <v>6225.7</v>
          </cell>
          <cell r="G114">
            <v>360</v>
          </cell>
          <cell r="H114">
            <v>358</v>
          </cell>
          <cell r="I114">
            <v>207.52333333333334</v>
          </cell>
          <cell r="J114">
            <v>51.87</v>
          </cell>
        </row>
      </sheetData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7000000}" name="CapacityFactor_Sch13" displayName="CapacityFactor_Sch13" ref="B6:F21" totalsRowShown="0" headerRowDxfId="22" tableBorderDxfId="21">
  <autoFilter ref="B6:F21" xr:uid="{00000000-0009-0000-0100-00001F000000}"/>
  <tableColumns count="5">
    <tableColumn id="1" xr3:uid="{00000000-0010-0000-1700-000001000000}" name="Meter_Size" dataDxfId="20" dataCellStyle="Normal 8"/>
    <tableColumn id="2" xr3:uid="{00000000-0010-0000-1700-000002000000}" name="AWWA (capacity)" dataDxfId="19" dataCellStyle="Normal 8"/>
    <tableColumn id="3" xr3:uid="{00000000-0010-0000-1700-000003000000}" name="5/8-Inch" dataDxfId="18" dataCellStyle="Normal 8">
      <calculatedColumnFormula>C7/$C$7</calculatedColumnFormula>
    </tableColumn>
    <tableColumn id="4" xr3:uid="{00000000-0010-0000-1700-000004000000}" name="3/4-Inch" dataDxfId="17" dataCellStyle="Normal 8">
      <calculatedColumnFormula>D7/$D$8</calculatedColumnFormula>
    </tableColumn>
    <tableColumn id="5" xr3:uid="{00000000-0010-0000-1700-000005000000}" name="1-Inch" dataDxfId="16" dataCellStyle="Normal 8">
      <calculatedColumnFormula>D7/$D$9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59999389629810485"/>
    <pageSetUpPr fitToPage="1"/>
  </sheetPr>
  <dimension ref="A1:CE2008"/>
  <sheetViews>
    <sheetView showGridLines="0" tabSelected="1" showOutlineSymbols="0" zoomScale="80" zoomScaleNormal="80" zoomScaleSheetLayoutView="75" workbookViewId="0">
      <selection activeCell="BM5" sqref="BM5"/>
    </sheetView>
  </sheetViews>
  <sheetFormatPr defaultColWidth="10.6640625" defaultRowHeight="15.75" x14ac:dyDescent="0.25"/>
  <cols>
    <col min="1" max="1" width="27.6640625" style="3" bestFit="1" customWidth="1"/>
    <col min="2" max="2" width="28.6640625" style="23" customWidth="1"/>
    <col min="3" max="3" width="7.77734375" style="3" customWidth="1"/>
    <col min="4" max="4" width="34.5546875" style="3" customWidth="1"/>
    <col min="5" max="5" width="10.88671875" style="3" bestFit="1" customWidth="1"/>
    <col min="6" max="6" width="35" style="3" customWidth="1"/>
    <col min="7" max="7" width="10.88671875" style="3" bestFit="1" customWidth="1"/>
    <col min="8" max="8" width="9.109375" style="3" bestFit="1" customWidth="1"/>
    <col min="9" max="9" width="47.5546875" style="3" customWidth="1"/>
    <col min="10" max="10" width="12.5546875" style="3" customWidth="1"/>
    <col min="11" max="11" width="11" style="3" customWidth="1"/>
    <col min="12" max="12" width="3.5546875" style="3" customWidth="1"/>
    <col min="13" max="13" width="9.33203125" style="3" customWidth="1"/>
    <col min="14" max="14" width="10.5546875" style="3" bestFit="1" customWidth="1"/>
    <col min="15" max="15" width="10.88671875" style="3" bestFit="1" customWidth="1"/>
    <col min="16" max="16" width="11.5546875" style="3" customWidth="1"/>
    <col min="17" max="17" width="25" style="3" bestFit="1" customWidth="1"/>
    <col min="18" max="18" width="21.33203125" style="3" bestFit="1" customWidth="1"/>
    <col min="19" max="19" width="10.5546875" style="3" bestFit="1" customWidth="1"/>
    <col min="20" max="20" width="8.6640625" style="3" customWidth="1"/>
    <col min="21" max="21" width="3.6640625" style="3" customWidth="1"/>
    <col min="22" max="22" width="38.77734375" style="148" bestFit="1" customWidth="1"/>
    <col min="23" max="23" width="15.77734375" style="148" customWidth="1"/>
    <col min="24" max="24" width="11.44140625" style="151" customWidth="1"/>
    <col min="25" max="25" width="13.109375" style="156" bestFit="1" customWidth="1"/>
    <col min="26" max="26" width="9" style="208" bestFit="1" customWidth="1"/>
    <col min="27" max="27" width="6.77734375" style="208" customWidth="1"/>
    <col min="28" max="28" width="8.44140625" style="208" bestFit="1" customWidth="1"/>
    <col min="29" max="32" width="10.77734375" style="156" customWidth="1"/>
    <col min="33" max="33" width="3.21875" style="148" customWidth="1"/>
    <col min="34" max="34" width="36.21875" style="148" bestFit="1" customWidth="1"/>
    <col min="35" max="35" width="18.44140625" style="148" customWidth="1"/>
    <col min="36" max="36" width="10.44140625" style="148" customWidth="1"/>
    <col min="37" max="37" width="9.88671875" style="148" customWidth="1"/>
    <col min="38" max="38" width="6.44140625" style="148" bestFit="1" customWidth="1"/>
    <col min="39" max="39" width="8.44140625" style="148" customWidth="1"/>
    <col min="40" max="40" width="7.44140625" style="148" customWidth="1"/>
    <col min="41" max="44" width="11.77734375" style="148" customWidth="1"/>
    <col min="45" max="45" width="3.6640625" style="148" customWidth="1"/>
    <col min="46" max="46" width="35.109375" style="148" customWidth="1"/>
    <col min="47" max="47" width="6.33203125" style="123" customWidth="1"/>
    <col min="48" max="48" width="2.88671875" style="123" customWidth="1"/>
    <col min="49" max="50" width="9" style="123" customWidth="1"/>
    <col min="51" max="51" width="10.33203125" style="123" customWidth="1"/>
    <col min="52" max="52" width="13.44140625" style="335" customWidth="1"/>
    <col min="53" max="53" width="13.44140625" style="121" bestFit="1" customWidth="1"/>
    <col min="54" max="56" width="9.77734375" style="141" customWidth="1"/>
    <col min="57" max="61" width="9.5546875" style="141" bestFit="1" customWidth="1"/>
    <col min="62" max="65" width="9.77734375" style="141" customWidth="1"/>
    <col min="66" max="66" width="2.6640625" style="3" customWidth="1"/>
    <col min="67" max="67" width="12.21875" style="3" bestFit="1" customWidth="1"/>
    <col min="68" max="68" width="10.6640625" style="3" customWidth="1"/>
    <col min="69" max="69" width="2.77734375" style="3" customWidth="1"/>
    <col min="70" max="71" width="10.6640625" style="3" customWidth="1"/>
    <col min="72" max="74" width="8.77734375" style="3" bestFit="1" customWidth="1"/>
    <col min="75" max="76" width="10.6640625" style="3" customWidth="1"/>
    <col min="77" max="77" width="7.88671875" style="3" bestFit="1" customWidth="1"/>
    <col min="78" max="264" width="10.6640625" style="3" customWidth="1"/>
    <col min="265" max="16384" width="10.6640625" style="3"/>
  </cols>
  <sheetData>
    <row r="1" spans="1:76" s="2" customFormat="1" ht="30.75" x14ac:dyDescent="0.45">
      <c r="A1" s="705">
        <v>1</v>
      </c>
      <c r="B1" s="705"/>
      <c r="D1" s="705">
        <v>2</v>
      </c>
      <c r="E1" s="705"/>
      <c r="F1" s="705"/>
      <c r="G1" s="705"/>
      <c r="I1" s="705">
        <v>3</v>
      </c>
      <c r="J1" s="705"/>
      <c r="K1" s="705"/>
      <c r="L1" s="705"/>
      <c r="M1" s="705"/>
      <c r="N1" s="705"/>
      <c r="P1" s="705">
        <v>4</v>
      </c>
      <c r="Q1" s="705"/>
      <c r="R1" s="705"/>
      <c r="S1" s="705"/>
      <c r="T1" s="705"/>
      <c r="V1" s="707" t="s">
        <v>376</v>
      </c>
      <c r="W1" s="707"/>
      <c r="X1" s="707"/>
      <c r="Y1" s="707"/>
      <c r="Z1" s="707"/>
      <c r="AA1" s="707"/>
      <c r="AB1" s="707"/>
      <c r="AC1" s="707"/>
      <c r="AD1" s="707"/>
      <c r="AE1" s="707"/>
      <c r="AF1" s="707"/>
      <c r="AG1" s="152"/>
      <c r="AH1" s="709" t="s">
        <v>377</v>
      </c>
      <c r="AI1" s="709"/>
      <c r="AJ1" s="709"/>
      <c r="AK1" s="709"/>
      <c r="AL1" s="709"/>
      <c r="AM1" s="709"/>
      <c r="AN1" s="709"/>
      <c r="AO1" s="709"/>
      <c r="AP1" s="709"/>
      <c r="AQ1" s="709"/>
      <c r="AR1" s="709"/>
      <c r="AS1" s="152"/>
      <c r="AT1" s="152"/>
      <c r="AU1" s="122"/>
      <c r="AV1" s="122"/>
      <c r="AW1" s="122"/>
      <c r="AX1" s="122"/>
      <c r="AY1" s="122"/>
      <c r="AZ1" s="706">
        <v>6</v>
      </c>
      <c r="BA1" s="706"/>
      <c r="BB1" s="706"/>
      <c r="BC1" s="706"/>
      <c r="BD1" s="706"/>
      <c r="BE1" s="706"/>
      <c r="BF1" s="706"/>
      <c r="BG1" s="706"/>
      <c r="BH1" s="706"/>
      <c r="BI1" s="706"/>
      <c r="BJ1" s="706"/>
      <c r="BK1" s="706"/>
      <c r="BL1" s="706"/>
      <c r="BM1" s="706"/>
      <c r="BO1" s="705">
        <v>7</v>
      </c>
      <c r="BP1" s="705"/>
      <c r="BR1" s="705">
        <v>8</v>
      </c>
      <c r="BS1" s="705"/>
    </row>
    <row r="2" spans="1:76" ht="15.95" customHeight="1" x14ac:dyDescent="0.25">
      <c r="A2" s="105" t="s">
        <v>189</v>
      </c>
      <c r="B2" s="105"/>
      <c r="D2" s="105" t="s">
        <v>159</v>
      </c>
      <c r="E2" s="112"/>
      <c r="F2" s="107"/>
      <c r="G2" s="107"/>
      <c r="I2" s="105" t="s">
        <v>196</v>
      </c>
      <c r="J2" s="105"/>
      <c r="K2" s="105"/>
      <c r="L2" s="236"/>
      <c r="M2" s="236"/>
      <c r="N2" s="105"/>
      <c r="P2" s="105" t="s">
        <v>316</v>
      </c>
      <c r="Q2" s="105"/>
      <c r="R2" s="105"/>
      <c r="S2" s="105"/>
      <c r="T2" s="105"/>
      <c r="V2" s="136" t="s">
        <v>379</v>
      </c>
      <c r="W2" s="136"/>
      <c r="X2" s="136"/>
      <c r="Y2" s="160"/>
      <c r="Z2" s="205"/>
      <c r="AA2" s="205"/>
      <c r="AB2" s="205"/>
      <c r="AC2" s="160"/>
      <c r="AE2" s="296" t="s">
        <v>352</v>
      </c>
      <c r="AF2" s="136">
        <f>B8</f>
        <v>45657</v>
      </c>
      <c r="AH2" s="252" t="s">
        <v>380</v>
      </c>
      <c r="AI2" s="252"/>
      <c r="AJ2" s="252"/>
      <c r="AK2" s="252"/>
      <c r="AL2" s="252"/>
      <c r="AM2" s="253"/>
      <c r="AN2" s="254"/>
      <c r="AO2" s="253"/>
      <c r="AP2" s="252"/>
      <c r="AQ2" s="252" t="s">
        <v>352</v>
      </c>
      <c r="AR2" s="252">
        <f>+AF2</f>
        <v>45657</v>
      </c>
      <c r="AZ2" s="708" t="s">
        <v>338</v>
      </c>
      <c r="BA2" s="708"/>
      <c r="BB2" s="708"/>
      <c r="BC2" s="708"/>
      <c r="BD2" s="708"/>
      <c r="BE2" s="708"/>
      <c r="BF2" s="708"/>
      <c r="BG2" s="708"/>
      <c r="BH2" s="708"/>
      <c r="BI2" s="708"/>
      <c r="BJ2" s="708"/>
      <c r="BK2" s="708"/>
      <c r="BL2" s="708"/>
      <c r="BM2" s="708"/>
      <c r="BO2" s="363" t="s">
        <v>472</v>
      </c>
      <c r="BR2" s="363" t="s">
        <v>473</v>
      </c>
    </row>
    <row r="3" spans="1:76" s="6" customFormat="1" ht="15.95" customHeight="1" x14ac:dyDescent="0.25">
      <c r="A3" s="4" t="s">
        <v>2</v>
      </c>
      <c r="B3" s="5" t="s">
        <v>3</v>
      </c>
      <c r="D3" s="4" t="s">
        <v>151</v>
      </c>
      <c r="E3" s="7" t="s">
        <v>4</v>
      </c>
      <c r="F3" s="8" t="s">
        <v>5</v>
      </c>
      <c r="G3" s="5" t="s">
        <v>6</v>
      </c>
      <c r="I3" s="4" t="s">
        <v>7</v>
      </c>
      <c r="J3" s="8" t="s">
        <v>8</v>
      </c>
      <c r="K3" s="9" t="s">
        <v>67</v>
      </c>
      <c r="L3" s="9"/>
      <c r="M3" s="9"/>
      <c r="N3" s="117" t="s">
        <v>68</v>
      </c>
      <c r="P3" s="118" t="s">
        <v>78</v>
      </c>
      <c r="Q3" s="10" t="s">
        <v>79</v>
      </c>
      <c r="R3" s="10" t="s">
        <v>80</v>
      </c>
      <c r="S3" s="10" t="s">
        <v>81</v>
      </c>
      <c r="T3" s="104" t="s">
        <v>82</v>
      </c>
      <c r="V3" s="250" t="s">
        <v>83</v>
      </c>
      <c r="W3" s="11" t="s">
        <v>84</v>
      </c>
      <c r="X3" s="11" t="s">
        <v>85</v>
      </c>
      <c r="Y3" s="131" t="s">
        <v>87</v>
      </c>
      <c r="Z3" s="138" t="s">
        <v>93</v>
      </c>
      <c r="AA3" s="206" t="s">
        <v>94</v>
      </c>
      <c r="AB3" s="138" t="s">
        <v>95</v>
      </c>
      <c r="AC3" s="138" t="s">
        <v>197</v>
      </c>
      <c r="AD3" s="138" t="s">
        <v>202</v>
      </c>
      <c r="AE3" s="138" t="s">
        <v>201</v>
      </c>
      <c r="AF3" s="139" t="s">
        <v>200</v>
      </c>
      <c r="AH3" s="255" t="s">
        <v>83</v>
      </c>
      <c r="AI3" s="256" t="s">
        <v>84</v>
      </c>
      <c r="AJ3" s="256" t="s">
        <v>85</v>
      </c>
      <c r="AK3" s="257" t="s">
        <v>87</v>
      </c>
      <c r="AL3" s="258" t="s">
        <v>93</v>
      </c>
      <c r="AM3" s="259" t="s">
        <v>94</v>
      </c>
      <c r="AN3" s="258" t="s">
        <v>95</v>
      </c>
      <c r="AO3" s="258" t="s">
        <v>197</v>
      </c>
      <c r="AP3" s="258" t="s">
        <v>202</v>
      </c>
      <c r="AQ3" s="258" t="s">
        <v>201</v>
      </c>
      <c r="AR3" s="260" t="s">
        <v>200</v>
      </c>
      <c r="AS3" s="148"/>
      <c r="AT3" s="148"/>
      <c r="AU3" s="124"/>
      <c r="AV3" s="124"/>
      <c r="AW3" s="124"/>
      <c r="AX3" s="124"/>
      <c r="AY3" s="124"/>
      <c r="AZ3" s="119" t="s">
        <v>198</v>
      </c>
      <c r="BA3" s="119" t="s">
        <v>199</v>
      </c>
      <c r="BB3" s="119" t="s">
        <v>215</v>
      </c>
      <c r="BC3" s="119" t="s">
        <v>216</v>
      </c>
      <c r="BD3" s="119" t="s">
        <v>217</v>
      </c>
      <c r="BE3" s="119" t="s">
        <v>220</v>
      </c>
      <c r="BF3" s="119" t="s">
        <v>221</v>
      </c>
      <c r="BG3" s="119" t="s">
        <v>222</v>
      </c>
      <c r="BH3" s="119" t="s">
        <v>223</v>
      </c>
      <c r="BI3" s="119" t="s">
        <v>224</v>
      </c>
      <c r="BJ3" s="119" t="s">
        <v>225</v>
      </c>
      <c r="BK3" s="119" t="s">
        <v>227</v>
      </c>
      <c r="BL3" s="119" t="s">
        <v>226</v>
      </c>
      <c r="BM3" s="119" t="s">
        <v>231</v>
      </c>
      <c r="BO3" s="119" t="s">
        <v>474</v>
      </c>
      <c r="BP3" s="364" t="s">
        <v>475</v>
      </c>
      <c r="BR3" s="119" t="s">
        <v>476</v>
      </c>
      <c r="BS3" s="364" t="s">
        <v>477</v>
      </c>
    </row>
    <row r="4" spans="1:76" s="6" customFormat="1" ht="31.5" customHeight="1" x14ac:dyDescent="0.25">
      <c r="A4" s="12" t="s">
        <v>10</v>
      </c>
      <c r="B4" s="13" t="s">
        <v>211</v>
      </c>
      <c r="D4" s="12" t="s">
        <v>10</v>
      </c>
      <c r="E4" s="6" t="s">
        <v>315</v>
      </c>
      <c r="F4" s="12" t="s">
        <v>10</v>
      </c>
      <c r="G4" s="68" t="s">
        <v>315</v>
      </c>
      <c r="I4" s="12" t="s">
        <v>10</v>
      </c>
      <c r="J4" s="14" t="s">
        <v>11</v>
      </c>
      <c r="K4" s="14" t="s">
        <v>248</v>
      </c>
      <c r="L4" s="15"/>
      <c r="M4" s="15" t="s">
        <v>373</v>
      </c>
      <c r="N4" s="15" t="s">
        <v>203</v>
      </c>
      <c r="O4" s="409" t="s">
        <v>491</v>
      </c>
      <c r="P4" s="12" t="s">
        <v>97</v>
      </c>
      <c r="Q4" s="12" t="s">
        <v>10</v>
      </c>
      <c r="R4" s="12" t="s">
        <v>317</v>
      </c>
      <c r="S4" s="16" t="s">
        <v>318</v>
      </c>
      <c r="T4" s="17" t="s">
        <v>319</v>
      </c>
      <c r="V4" s="109" t="s">
        <v>249</v>
      </c>
      <c r="W4" s="109" t="s">
        <v>320</v>
      </c>
      <c r="X4" s="132" t="s">
        <v>144</v>
      </c>
      <c r="Y4" s="155" t="s">
        <v>262</v>
      </c>
      <c r="Z4" s="207" t="s">
        <v>145</v>
      </c>
      <c r="AA4" s="308" t="s">
        <v>146</v>
      </c>
      <c r="AB4" s="207" t="s">
        <v>378</v>
      </c>
      <c r="AC4" s="155" t="s">
        <v>266</v>
      </c>
      <c r="AD4" s="155" t="s">
        <v>264</v>
      </c>
      <c r="AE4" s="155" t="s">
        <v>265</v>
      </c>
      <c r="AF4" s="155" t="s">
        <v>178</v>
      </c>
      <c r="AG4" s="148"/>
      <c r="AH4" s="309" t="s">
        <v>249</v>
      </c>
      <c r="AI4" s="309" t="s">
        <v>320</v>
      </c>
      <c r="AJ4" s="310" t="s">
        <v>144</v>
      </c>
      <c r="AK4" s="311" t="s">
        <v>262</v>
      </c>
      <c r="AL4" s="312" t="s">
        <v>145</v>
      </c>
      <c r="AM4" s="311" t="s">
        <v>146</v>
      </c>
      <c r="AN4" s="312" t="s">
        <v>378</v>
      </c>
      <c r="AO4" s="311" t="s">
        <v>422</v>
      </c>
      <c r="AP4" s="311" t="s">
        <v>423</v>
      </c>
      <c r="AQ4" s="311" t="s">
        <v>423</v>
      </c>
      <c r="AR4" s="311" t="s">
        <v>369</v>
      </c>
      <c r="AS4" s="148"/>
      <c r="AT4" s="148"/>
      <c r="AU4" s="124"/>
      <c r="AV4" s="124"/>
      <c r="AW4" s="124"/>
      <c r="AX4" s="124"/>
      <c r="AY4" s="124"/>
      <c r="AZ4" s="142" t="s">
        <v>176</v>
      </c>
      <c r="BA4" s="18" t="s">
        <v>250</v>
      </c>
      <c r="BB4" s="147" t="s">
        <v>35</v>
      </c>
      <c r="BC4" s="189" t="str">
        <f>INDEX($AW$8:$AW$19,MATCH(BB$4,$AX$8:$AX$19,0))</f>
        <v>Feb</v>
      </c>
      <c r="BD4" s="189" t="str">
        <f t="shared" ref="BD4:BM4" si="0">INDEX($AW$8:$AW$19,MATCH(BC$4,$AX$8:$AX$19,0))</f>
        <v>Mar</v>
      </c>
      <c r="BE4" s="189" t="str">
        <f t="shared" si="0"/>
        <v>Apr</v>
      </c>
      <c r="BF4" s="189" t="str">
        <f t="shared" si="0"/>
        <v>May</v>
      </c>
      <c r="BG4" s="189" t="str">
        <f t="shared" si="0"/>
        <v>Jun</v>
      </c>
      <c r="BH4" s="189" t="str">
        <f t="shared" si="0"/>
        <v>Jul</v>
      </c>
      <c r="BI4" s="189" t="str">
        <f t="shared" si="0"/>
        <v>Aug</v>
      </c>
      <c r="BJ4" s="189" t="str">
        <f t="shared" si="0"/>
        <v>Sep</v>
      </c>
      <c r="BK4" s="189" t="str">
        <f t="shared" si="0"/>
        <v>Oct</v>
      </c>
      <c r="BL4" s="189" t="str">
        <f t="shared" si="0"/>
        <v>Nov</v>
      </c>
      <c r="BM4" s="189" t="str">
        <f t="shared" si="0"/>
        <v>Dec</v>
      </c>
      <c r="BO4" s="14" t="s">
        <v>214</v>
      </c>
      <c r="BP4" s="15" t="s">
        <v>213</v>
      </c>
      <c r="BR4" s="14" t="s">
        <v>233</v>
      </c>
      <c r="BS4" s="15" t="s">
        <v>232</v>
      </c>
    </row>
    <row r="5" spans="1:76" s="6" customFormat="1" x14ac:dyDescent="0.25">
      <c r="A5" s="86" t="s">
        <v>147</v>
      </c>
      <c r="B5" s="20" t="s">
        <v>212</v>
      </c>
      <c r="D5" s="86" t="s">
        <v>147</v>
      </c>
      <c r="E5" s="19" t="s">
        <v>148</v>
      </c>
      <c r="F5" s="86" t="s">
        <v>147</v>
      </c>
      <c r="G5" s="20" t="s">
        <v>148</v>
      </c>
      <c r="I5" s="86" t="s">
        <v>147</v>
      </c>
      <c r="J5" s="19" t="s">
        <v>148</v>
      </c>
      <c r="K5" s="19" t="s">
        <v>148</v>
      </c>
      <c r="L5" s="237" t="s">
        <v>204</v>
      </c>
      <c r="M5" s="237"/>
      <c r="N5" s="20" t="s">
        <v>148</v>
      </c>
      <c r="P5" s="86" t="s">
        <v>354</v>
      </c>
      <c r="Q5" s="19" t="s">
        <v>353</v>
      </c>
      <c r="R5" s="19" t="s">
        <v>207</v>
      </c>
      <c r="S5" s="46" t="s">
        <v>148</v>
      </c>
      <c r="T5" s="93" t="s">
        <v>96</v>
      </c>
      <c r="V5" s="190" t="s">
        <v>205</v>
      </c>
      <c r="W5" s="191" t="s">
        <v>147</v>
      </c>
      <c r="X5" s="192" t="s">
        <v>263</v>
      </c>
      <c r="Y5" s="157" t="s">
        <v>148</v>
      </c>
      <c r="Z5" s="157" t="s">
        <v>148</v>
      </c>
      <c r="AA5" s="193" t="s">
        <v>149</v>
      </c>
      <c r="AB5" s="193" t="s">
        <v>149</v>
      </c>
      <c r="AC5" s="157" t="s">
        <v>143</v>
      </c>
      <c r="AD5" s="157" t="s">
        <v>99</v>
      </c>
      <c r="AE5" s="157" t="s">
        <v>98</v>
      </c>
      <c r="AF5" s="158" t="s">
        <v>148</v>
      </c>
      <c r="AG5" s="148"/>
      <c r="AH5" s="261" t="s">
        <v>205</v>
      </c>
      <c r="AI5" s="262" t="s">
        <v>147</v>
      </c>
      <c r="AJ5" s="263" t="s">
        <v>263</v>
      </c>
      <c r="AK5" s="264" t="s">
        <v>148</v>
      </c>
      <c r="AL5" s="264" t="s">
        <v>148</v>
      </c>
      <c r="AM5" s="265" t="s">
        <v>149</v>
      </c>
      <c r="AN5" s="265" t="s">
        <v>149</v>
      </c>
      <c r="AO5" s="264" t="s">
        <v>143</v>
      </c>
      <c r="AP5" s="264" t="s">
        <v>99</v>
      </c>
      <c r="AQ5" s="264" t="s">
        <v>98</v>
      </c>
      <c r="AR5" s="266" t="s">
        <v>148</v>
      </c>
      <c r="AS5" s="148"/>
      <c r="AT5" s="199" t="s">
        <v>384</v>
      </c>
      <c r="AU5" s="198"/>
      <c r="AV5" s="124"/>
      <c r="AW5" s="197" t="s">
        <v>351</v>
      </c>
      <c r="AX5" s="198"/>
      <c r="AY5" s="124"/>
      <c r="AZ5" s="216" t="s">
        <v>207</v>
      </c>
      <c r="BA5" s="195">
        <f>SUM(BB5:BM5)</f>
        <v>15351398.999999996</v>
      </c>
      <c r="BB5" s="140">
        <f t="shared" ref="BB5:BM5" si="1">SUM(BB8:BB2008)</f>
        <v>698457</v>
      </c>
      <c r="BC5" s="140">
        <f t="shared" si="1"/>
        <v>735631</v>
      </c>
      <c r="BD5" s="140">
        <f t="shared" si="1"/>
        <v>685888</v>
      </c>
      <c r="BE5" s="140">
        <f t="shared" si="1"/>
        <v>795591</v>
      </c>
      <c r="BF5" s="140">
        <f t="shared" si="1"/>
        <v>1002748</v>
      </c>
      <c r="BG5" s="140">
        <f t="shared" si="1"/>
        <v>1472328</v>
      </c>
      <c r="BH5" s="140">
        <f t="shared" si="1"/>
        <v>2638558.6666666665</v>
      </c>
      <c r="BI5" s="140">
        <f t="shared" si="1"/>
        <v>2638290.6666666665</v>
      </c>
      <c r="BJ5" s="140">
        <f t="shared" si="1"/>
        <v>2027515.6666666667</v>
      </c>
      <c r="BK5" s="140">
        <f t="shared" si="1"/>
        <v>1306689.6666666667</v>
      </c>
      <c r="BL5" s="140">
        <f t="shared" si="1"/>
        <v>661900.66666666663</v>
      </c>
      <c r="BM5" s="140">
        <f t="shared" si="1"/>
        <v>687800.66666666663</v>
      </c>
      <c r="BO5" s="86" t="s">
        <v>205</v>
      </c>
      <c r="BP5" s="20" t="s">
        <v>96</v>
      </c>
      <c r="BR5" s="86" t="s">
        <v>15</v>
      </c>
      <c r="BS5" s="20" t="s">
        <v>96</v>
      </c>
    </row>
    <row r="6" spans="1:76" s="6" customFormat="1" ht="15.95" customHeight="1" x14ac:dyDescent="0.25">
      <c r="A6" s="82" t="s">
        <v>246</v>
      </c>
      <c r="B6" s="164" t="s">
        <v>518</v>
      </c>
      <c r="D6" s="113" t="s">
        <v>279</v>
      </c>
      <c r="E6" s="110"/>
      <c r="F6" s="113" t="s">
        <v>280</v>
      </c>
      <c r="G6" s="110"/>
      <c r="I6" s="87" t="s">
        <v>20</v>
      </c>
      <c r="J6" s="4"/>
      <c r="K6" s="8"/>
      <c r="L6" s="238"/>
      <c r="M6" s="238"/>
      <c r="N6" s="5"/>
      <c r="P6" s="129"/>
      <c r="Q6" s="130"/>
      <c r="R6" s="8"/>
      <c r="S6" s="143">
        <f>SUM(S8:S36)</f>
        <v>43793562</v>
      </c>
      <c r="T6" s="144"/>
      <c r="V6" s="19"/>
      <c r="W6" s="19"/>
      <c r="X6" s="200"/>
      <c r="Y6" s="202">
        <f>SUMIFS($Y$8:$Y$1008,$X$8:$X$1008,"&lt;="&amp;Endof_TestYear)</f>
        <v>5402492.179999996</v>
      </c>
      <c r="Z6" s="202">
        <f>SUMIFS(Z8:Z1008,$X$8:$X$1008,"&lt;="&amp;Endof_TestYear)</f>
        <v>0</v>
      </c>
      <c r="AA6" s="201"/>
      <c r="AB6" s="249">
        <f>+Y6-AE6-AF6-Z6</f>
        <v>-6.0535967350006104E-9</v>
      </c>
      <c r="AC6" s="202">
        <f>SUMIFS(AC8:AC1008,$X$8:$X$1008,"&lt;="&amp;Endof_TestYear)</f>
        <v>290574.61265582941</v>
      </c>
      <c r="AD6" s="202">
        <f>SUMIFS(AD8:AD1008,$X$8:$X$1008,"&lt;="&amp;Endof_TestYear)</f>
        <v>0</v>
      </c>
      <c r="AE6" s="202">
        <f>SUMIFS(AE8:AE1008,$X$8:$X$1008,"&lt;="&amp;Endof_TestYear)</f>
        <v>1847908.02</v>
      </c>
      <c r="AF6" s="203">
        <f>SUMIFS(AF8:AF1008,$X$8:$X$1008,"&lt;="&amp;Endof_TestYear)</f>
        <v>3554584.160000002</v>
      </c>
      <c r="AG6" s="148"/>
      <c r="AH6" s="19"/>
      <c r="AI6" s="19"/>
      <c r="AJ6" s="200"/>
      <c r="AK6" s="267">
        <f>SUMIFS(AK8:AK1008,$AJ$8:$AJ$1008,"&lt;="&amp;Endof_TestYear)</f>
        <v>1780657.14</v>
      </c>
      <c r="AL6" s="267">
        <f>SUMIFS(AL8:AL1008,$AJ$8:$AJ$1008,"&lt;="&amp;Endof_TestYear)</f>
        <v>0</v>
      </c>
      <c r="AM6" s="268"/>
      <c r="AN6" s="269">
        <f>+AK6-AQ6-AR6-AL6</f>
        <v>2.3283064365386963E-10</v>
      </c>
      <c r="AO6" s="267">
        <f>SUMIFS(AO8:AO1008,$AJ$8:$AJ$1008,"&lt;="&amp;Endof_TestYear)</f>
        <v>52365.536500000002</v>
      </c>
      <c r="AP6" s="267">
        <f>SUMIFS(AP8:AP1008,$AJ$8:$AJ$1008,"&lt;="&amp;Endof_TestYear)</f>
        <v>0</v>
      </c>
      <c r="AQ6" s="267">
        <f>SUMIFS(AQ8:AQ1008,$AJ$8:$AJ$1008,"&lt;="&amp;Endof_TestYear)</f>
        <v>983136.67999999982</v>
      </c>
      <c r="AR6" s="270">
        <f>SUMIFS(AR8:AR1008,$AJ$8:$AJ$1008,"&lt;="&amp;Endof_TestYear)</f>
        <v>797520.45999999985</v>
      </c>
      <c r="AS6" s="148"/>
      <c r="AT6" s="199"/>
      <c r="AU6" s="198"/>
      <c r="AV6" s="124"/>
      <c r="AW6" s="198"/>
      <c r="AX6" s="198"/>
      <c r="AY6" s="124"/>
      <c r="AZ6" s="469">
        <f>COUNTA(AZ8:AZ1006)</f>
        <v>885</v>
      </c>
      <c r="BA6" s="22">
        <f>COUNTA(BA8:BA1006)</f>
        <v>885</v>
      </c>
      <c r="BB6" s="22">
        <f t="shared" ref="BB6:BM6" si="2">COUNTIFS(BB8:BB2008, "&gt;-999999999999999", BB8:BB2008, "&gt;=0")</f>
        <v>787</v>
      </c>
      <c r="BC6" s="22">
        <f t="shared" si="2"/>
        <v>785</v>
      </c>
      <c r="BD6" s="22">
        <f t="shared" si="2"/>
        <v>782</v>
      </c>
      <c r="BE6" s="22">
        <f t="shared" si="2"/>
        <v>768</v>
      </c>
      <c r="BF6" s="22">
        <f t="shared" si="2"/>
        <v>777</v>
      </c>
      <c r="BG6" s="22">
        <f t="shared" si="2"/>
        <v>793</v>
      </c>
      <c r="BH6" s="22">
        <f t="shared" si="2"/>
        <v>795</v>
      </c>
      <c r="BI6" s="22">
        <f t="shared" si="2"/>
        <v>788</v>
      </c>
      <c r="BJ6" s="22">
        <f t="shared" si="2"/>
        <v>787</v>
      </c>
      <c r="BK6" s="22">
        <f t="shared" si="2"/>
        <v>786</v>
      </c>
      <c r="BL6" s="22">
        <f t="shared" si="2"/>
        <v>779</v>
      </c>
      <c r="BM6" s="22">
        <f t="shared" si="2"/>
        <v>794</v>
      </c>
      <c r="BO6" s="365">
        <v>0.21</v>
      </c>
      <c r="BP6" s="366">
        <f>'Int Sync, NTG, Rev Req'!I52</f>
        <v>0.21</v>
      </c>
      <c r="BR6" s="367">
        <v>5.8409999999999997E-2</v>
      </c>
      <c r="BS6" s="368">
        <f>'Int Sync, NTG, Rev Req'!G52/'Int Sync, NTG, Rev Req'!G40</f>
        <v>7.1348292694483423E-2</v>
      </c>
      <c r="BV6" s="523"/>
    </row>
    <row r="7" spans="1:76" s="6" customFormat="1" ht="15.95" customHeight="1" x14ac:dyDescent="0.25">
      <c r="A7" s="82" t="s">
        <v>421</v>
      </c>
      <c r="B7" s="305"/>
      <c r="D7" s="115"/>
      <c r="E7" s="222"/>
      <c r="F7" s="115"/>
      <c r="G7" s="222"/>
      <c r="I7" s="90"/>
      <c r="J7" s="223"/>
      <c r="L7" s="239"/>
      <c r="M7" s="239"/>
      <c r="N7" s="68"/>
      <c r="P7" s="224"/>
      <c r="Q7" s="225"/>
      <c r="S7" s="25"/>
      <c r="T7" s="41"/>
      <c r="V7" s="251"/>
      <c r="X7" s="226"/>
      <c r="Y7" s="227"/>
      <c r="Z7" s="206"/>
      <c r="AA7" s="157"/>
      <c r="AB7" s="246"/>
      <c r="AC7" s="228"/>
      <c r="AD7" s="228"/>
      <c r="AE7" s="228"/>
      <c r="AF7" s="229"/>
      <c r="AG7" s="148"/>
      <c r="AH7" s="251"/>
      <c r="AJ7" s="226"/>
      <c r="AK7" s="227"/>
      <c r="AL7" s="206"/>
      <c r="AM7" s="157"/>
      <c r="AN7" s="246"/>
      <c r="AO7" s="228"/>
      <c r="AP7" s="228"/>
      <c r="AQ7" s="228"/>
      <c r="AR7" s="229"/>
      <c r="AS7" s="148"/>
      <c r="AT7" s="199"/>
      <c r="AU7" s="198"/>
      <c r="AV7" s="124"/>
      <c r="AW7" s="198"/>
      <c r="AX7" s="198"/>
      <c r="AY7" s="124"/>
      <c r="BA7" s="230"/>
      <c r="BB7" s="230" t="s">
        <v>381</v>
      </c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O7" s="231" t="s">
        <v>364</v>
      </c>
      <c r="BP7" s="231" t="s">
        <v>365</v>
      </c>
      <c r="BR7" s="232"/>
      <c r="BS7" s="232"/>
      <c r="BV7" s="523"/>
      <c r="BW7" s="133"/>
    </row>
    <row r="8" spans="1:76" ht="15.95" customHeight="1" x14ac:dyDescent="0.25">
      <c r="A8" s="82" t="s">
        <v>188</v>
      </c>
      <c r="B8" s="165">
        <v>45657</v>
      </c>
      <c r="D8" s="82" t="s">
        <v>160</v>
      </c>
      <c r="E8" s="162">
        <v>0</v>
      </c>
      <c r="F8" s="82" t="s">
        <v>346</v>
      </c>
      <c r="G8" s="162">
        <v>0</v>
      </c>
      <c r="I8" s="127" t="s">
        <v>192</v>
      </c>
      <c r="J8" s="167">
        <v>281829.31</v>
      </c>
      <c r="K8" s="168">
        <f>'[1]IS Linksheet'!$D7</f>
        <v>7140.0374999999767</v>
      </c>
      <c r="L8" s="240"/>
      <c r="M8" s="240"/>
      <c r="N8" s="169">
        <f>'[1]IS Linksheet'!$G7</f>
        <v>0</v>
      </c>
      <c r="O8" s="135"/>
      <c r="P8" s="445">
        <v>2010</v>
      </c>
      <c r="Q8" s="174" t="s">
        <v>514</v>
      </c>
      <c r="R8" s="175" t="s">
        <v>516</v>
      </c>
      <c r="S8" s="174">
        <v>117569</v>
      </c>
      <c r="T8" s="176">
        <v>1.4999999999999999E-2</v>
      </c>
      <c r="V8" s="449" t="str">
        <f>'[1]Strohs Plant in Service'!$C11</f>
        <v>Plant, Other (40)</v>
      </c>
      <c r="W8" s="292" t="str">
        <f>'[1]Strohs Plant in Service'!$D11</f>
        <v>Water Sys Plans - Strohs</v>
      </c>
      <c r="X8" s="293">
        <f>'[1]Strohs Plant in Service'!$E11</f>
        <v>45231</v>
      </c>
      <c r="Y8" s="297">
        <f>'[1]Strohs Plant in Service'!$F11</f>
        <v>393</v>
      </c>
      <c r="Z8" s="248"/>
      <c r="AA8" s="294">
        <f>'[1]Strohs Plant in Service'!$G$11/12</f>
        <v>6</v>
      </c>
      <c r="AB8" s="219">
        <f>('[1]Strohs Plant in Service'!$G11-'[1]Strohs Plant in Service'!$H11)/12</f>
        <v>6</v>
      </c>
      <c r="AC8" s="219">
        <f>'[1]Strohs Plant in Service'!$I11</f>
        <v>0</v>
      </c>
      <c r="AD8" s="219"/>
      <c r="AE8" s="220">
        <f>'[1]Strohs Plant in Service'!$J11</f>
        <v>393</v>
      </c>
      <c r="AF8" s="221">
        <v>0</v>
      </c>
      <c r="AG8" s="204"/>
      <c r="AH8" s="450" t="str">
        <f>'[1]Strohs CIAC'!$C11</f>
        <v>Tanks and Wells (25)</v>
      </c>
      <c r="AI8" s="174" t="str">
        <f>'[1]Strohs CIAC'!$D11</f>
        <v>WELL #3, AEF315 - Strohs TCA 472</v>
      </c>
      <c r="AJ8" s="179">
        <f>'[1]Strohs CIAC'!$E11</f>
        <v>45231</v>
      </c>
      <c r="AK8" s="247">
        <f>'[1]Strohs CIAC'!$F11</f>
        <v>13716.62</v>
      </c>
      <c r="AL8" s="248"/>
      <c r="AM8" s="294">
        <f>'[1]Strohs CIAC'!$G11/12</f>
        <v>30</v>
      </c>
      <c r="AN8" s="219">
        <f>('[1]Strohs CIAC'!$G11-'[1]Strohs CIAC'!$H11)/12</f>
        <v>30</v>
      </c>
      <c r="AO8" s="219">
        <f>'[1]Strohs CIAC'!$I11</f>
        <v>0</v>
      </c>
      <c r="AP8" s="219"/>
      <c r="AQ8" s="220">
        <f>'[1]Strohs CIAC'!$J11</f>
        <v>13716.62</v>
      </c>
      <c r="AR8" s="221">
        <f>IFERROR(IF(AQ8&gt;AK8,0,(+AK8-AQ8))-AL8,"")</f>
        <v>0</v>
      </c>
      <c r="AT8" s="199" t="s">
        <v>324</v>
      </c>
      <c r="AU8" s="197">
        <v>0</v>
      </c>
      <c r="AW8" s="197" t="s">
        <v>35</v>
      </c>
      <c r="AX8" s="197" t="s">
        <v>48</v>
      </c>
      <c r="AY8" s="628"/>
      <c r="AZ8" s="470">
        <v>0.625</v>
      </c>
      <c r="BA8" s="466">
        <v>6051416037</v>
      </c>
      <c r="BB8" s="211" t="s">
        <v>655</v>
      </c>
      <c r="BC8" s="211">
        <v>479</v>
      </c>
      <c r="BD8" s="211" t="s">
        <v>655</v>
      </c>
      <c r="BE8" s="211" t="s">
        <v>655</v>
      </c>
      <c r="BF8" s="211" t="s">
        <v>655</v>
      </c>
      <c r="BG8" s="211" t="s">
        <v>655</v>
      </c>
      <c r="BH8" s="211" t="s">
        <v>655</v>
      </c>
      <c r="BI8" s="211" t="s">
        <v>655</v>
      </c>
      <c r="BJ8" s="211" t="s">
        <v>655</v>
      </c>
      <c r="BK8" s="211" t="s">
        <v>655</v>
      </c>
      <c r="BL8" s="211" t="s">
        <v>655</v>
      </c>
      <c r="BM8" s="211" t="s">
        <v>655</v>
      </c>
      <c r="BN8" s="3" t="s">
        <v>333</v>
      </c>
      <c r="BO8" s="28">
        <f>AVERAGE(BB8:BM8)</f>
        <v>479</v>
      </c>
      <c r="BP8" s="28">
        <f>SUM(BB8:BM8)</f>
        <v>479</v>
      </c>
      <c r="BS8" s="217"/>
      <c r="BT8" s="217"/>
      <c r="BU8" s="134"/>
      <c r="BV8" s="217"/>
      <c r="BW8" s="217"/>
      <c r="BX8" s="217"/>
    </row>
    <row r="9" spans="1:76" ht="15.95" customHeight="1" x14ac:dyDescent="0.25">
      <c r="A9" s="83" t="s">
        <v>210</v>
      </c>
      <c r="B9" s="274" t="s">
        <v>366</v>
      </c>
      <c r="D9" s="82" t="s">
        <v>355</v>
      </c>
      <c r="E9" s="162">
        <v>0</v>
      </c>
      <c r="F9" s="82" t="s">
        <v>70</v>
      </c>
      <c r="G9" s="162">
        <v>0</v>
      </c>
      <c r="I9" s="127" t="s">
        <v>193</v>
      </c>
      <c r="J9" s="167">
        <v>0</v>
      </c>
      <c r="K9" s="168">
        <f>'[1]IS Linksheet'!$D8</f>
        <v>0</v>
      </c>
      <c r="L9" s="240"/>
      <c r="M9" s="240"/>
      <c r="N9" s="169">
        <f>'[1]IS Linksheet'!$G8</f>
        <v>0</v>
      </c>
      <c r="P9" s="445">
        <v>2016</v>
      </c>
      <c r="Q9" s="174" t="s">
        <v>515</v>
      </c>
      <c r="R9" s="175" t="s">
        <v>517</v>
      </c>
      <c r="S9" s="174">
        <v>0</v>
      </c>
      <c r="T9" s="176">
        <v>5.57E-2</v>
      </c>
      <c r="U9" s="6"/>
      <c r="V9" s="449" t="str">
        <f>'[1]Strohs Plant in Service'!$C12</f>
        <v>Plant, Other (40)</v>
      </c>
      <c r="W9" s="292" t="str">
        <f>'[1]Strohs Plant in Service'!$D12</f>
        <v>Water Sys Plans - Strohs</v>
      </c>
      <c r="X9" s="293">
        <f>'[1]Strohs Plant in Service'!$E12</f>
        <v>45231</v>
      </c>
      <c r="Y9" s="297">
        <f>'[1]Strohs Plant in Service'!$F12</f>
        <v>1259.4000000000001</v>
      </c>
      <c r="Z9" s="248"/>
      <c r="AA9" s="294">
        <f>'[1]Strohs Plant in Service'!$G$11/12</f>
        <v>6</v>
      </c>
      <c r="AB9" s="219">
        <f>('[1]Strohs Plant in Service'!$G12-'[1]Strohs Plant in Service'!$H12)/12</f>
        <v>6</v>
      </c>
      <c r="AC9" s="219">
        <f>'[1]Strohs Plant in Service'!$I12</f>
        <v>0</v>
      </c>
      <c r="AD9" s="219"/>
      <c r="AE9" s="220">
        <f>'[1]Strohs Plant in Service'!$J12</f>
        <v>1259.4000000000001</v>
      </c>
      <c r="AF9" s="221">
        <v>0</v>
      </c>
      <c r="AG9" s="204"/>
      <c r="AH9" s="451" t="str">
        <f>'[1]Strohs CIAC'!$C12</f>
        <v>Tanks and Wells (25)</v>
      </c>
      <c r="AI9" s="174" t="str">
        <f>'[1]Strohs CIAC'!$D12</f>
        <v>WELL #4, AEF227 - Strohs TCA 472</v>
      </c>
      <c r="AJ9" s="179">
        <f>'[1]Strohs CIAC'!$E12</f>
        <v>45231</v>
      </c>
      <c r="AK9" s="247">
        <f>'[1]Strohs CIAC'!$F12</f>
        <v>12598.65</v>
      </c>
      <c r="AL9" s="248"/>
      <c r="AM9" s="294">
        <f>'[1]Strohs CIAC'!$G12/12</f>
        <v>30</v>
      </c>
      <c r="AN9" s="219">
        <f>('[1]Strohs CIAC'!$G12-'[1]Strohs CIAC'!$H12)/12</f>
        <v>30</v>
      </c>
      <c r="AO9" s="219">
        <f>'[1]Strohs CIAC'!$I12</f>
        <v>0</v>
      </c>
      <c r="AP9" s="219"/>
      <c r="AQ9" s="220">
        <f>'[1]Strohs CIAC'!$J12</f>
        <v>12598.65</v>
      </c>
      <c r="AR9" s="221">
        <f t="shared" ref="AR9:AR72" si="3">IFERROR(IF(AQ9&gt;AK9,0,(+AK9-AQ9))-AL9,"")</f>
        <v>0</v>
      </c>
      <c r="AT9" s="199" t="s">
        <v>322</v>
      </c>
      <c r="AU9" s="197">
        <v>5</v>
      </c>
      <c r="AW9" s="197" t="s">
        <v>36</v>
      </c>
      <c r="AX9" s="197" t="s">
        <v>35</v>
      </c>
      <c r="AY9" s="628"/>
      <c r="AZ9" s="470">
        <v>0.75</v>
      </c>
      <c r="BA9" s="466">
        <v>5452052108</v>
      </c>
      <c r="BB9" s="211">
        <v>1979</v>
      </c>
      <c r="BC9" s="211">
        <v>1831</v>
      </c>
      <c r="BD9" s="211">
        <v>1979</v>
      </c>
      <c r="BE9" s="211">
        <v>1889</v>
      </c>
      <c r="BF9" s="211">
        <v>2412</v>
      </c>
      <c r="BG9" s="211">
        <v>2741</v>
      </c>
      <c r="BH9" s="211">
        <v>5134</v>
      </c>
      <c r="BI9" s="211">
        <v>4759</v>
      </c>
      <c r="BJ9" s="211">
        <v>3893</v>
      </c>
      <c r="BK9" s="211">
        <v>1582</v>
      </c>
      <c r="BL9" s="211">
        <v>180</v>
      </c>
      <c r="BM9" s="211">
        <v>2315</v>
      </c>
      <c r="BO9" s="28">
        <f t="shared" ref="BO9:BO72" si="4">AVERAGE(BB9:BM9)</f>
        <v>2557.8333333333335</v>
      </c>
      <c r="BP9" s="28">
        <f t="shared" ref="BP9:BP72" si="5">SUM(BB9:BM9)</f>
        <v>30694</v>
      </c>
      <c r="BS9" s="217"/>
      <c r="BT9" s="217"/>
      <c r="BU9" s="134"/>
      <c r="BV9" s="217"/>
      <c r="BW9" s="217"/>
      <c r="BX9" s="217"/>
    </row>
    <row r="10" spans="1:76" ht="15.95" customHeight="1" x14ac:dyDescent="0.25">
      <c r="A10" s="83" t="s">
        <v>341</v>
      </c>
      <c r="B10" s="166">
        <v>0.75</v>
      </c>
      <c r="D10" s="82" t="s">
        <v>311</v>
      </c>
      <c r="E10" s="162">
        <v>0</v>
      </c>
      <c r="F10" s="82" t="s">
        <v>162</v>
      </c>
      <c r="G10" s="162">
        <v>0</v>
      </c>
      <c r="I10" s="127" t="s">
        <v>194</v>
      </c>
      <c r="J10" s="167">
        <v>0</v>
      </c>
      <c r="K10" s="168">
        <f>'[1]IS Linksheet'!$D9</f>
        <v>0</v>
      </c>
      <c r="L10" s="240"/>
      <c r="M10" s="240"/>
      <c r="N10" s="169">
        <f>'[1]IS Linksheet'!$G9</f>
        <v>0</v>
      </c>
      <c r="O10" s="217">
        <f>+J10+J8</f>
        <v>281829.31</v>
      </c>
      <c r="P10" s="445">
        <v>2016</v>
      </c>
      <c r="Q10" s="174" t="s">
        <v>515</v>
      </c>
      <c r="R10" s="175" t="s">
        <v>517</v>
      </c>
      <c r="S10" s="174">
        <v>250832</v>
      </c>
      <c r="T10" s="176">
        <v>5.2999999999999999E-2</v>
      </c>
      <c r="U10" s="6"/>
      <c r="V10" s="449" t="str">
        <f>'[1]Strohs Plant in Service'!$C13</f>
        <v>Plant, Other (40)</v>
      </c>
      <c r="W10" s="292" t="str">
        <f>'[1]Strohs Plant in Service'!$D13</f>
        <v>Water Sys Plans - Strohs</v>
      </c>
      <c r="X10" s="293">
        <f>'[1]Strohs Plant in Service'!$E13</f>
        <v>45231</v>
      </c>
      <c r="Y10" s="297">
        <f>'[1]Strohs Plant in Service'!$F13</f>
        <v>15055.88</v>
      </c>
      <c r="Z10" s="248"/>
      <c r="AA10" s="294">
        <f>'[1]Strohs Plant in Service'!$G$11/12</f>
        <v>6</v>
      </c>
      <c r="AB10" s="219">
        <f>('[1]Strohs Plant in Service'!$G13-'[1]Strohs Plant in Service'!$H13)/12</f>
        <v>6</v>
      </c>
      <c r="AC10" s="219">
        <f>'[1]Strohs Plant in Service'!$I13</f>
        <v>0</v>
      </c>
      <c r="AD10" s="219"/>
      <c r="AE10" s="220">
        <f>'[1]Strohs Plant in Service'!$J13</f>
        <v>15055.88</v>
      </c>
      <c r="AF10" s="221">
        <v>0</v>
      </c>
      <c r="AG10" s="204"/>
      <c r="AH10" s="451" t="str">
        <f>'[1]Strohs CIAC'!$C13</f>
        <v>Tanks and Wells (25)</v>
      </c>
      <c r="AI10" s="174" t="str">
        <f>'[1]Strohs CIAC'!$D13</f>
        <v>WELL #5, AEF313 - Strohs TCA 472</v>
      </c>
      <c r="AJ10" s="179">
        <f>'[1]Strohs CIAC'!$E13</f>
        <v>45231</v>
      </c>
      <c r="AK10" s="247">
        <f>'[1]Strohs CIAC'!$F13</f>
        <v>16468.55</v>
      </c>
      <c r="AL10" s="248"/>
      <c r="AM10" s="294">
        <f>'[1]Strohs CIAC'!$G13/12</f>
        <v>30</v>
      </c>
      <c r="AN10" s="219">
        <f>('[1]Strohs CIAC'!$G13-'[1]Strohs CIAC'!$H13)/12</f>
        <v>30</v>
      </c>
      <c r="AO10" s="219">
        <f>'[1]Strohs CIAC'!$I13</f>
        <v>0</v>
      </c>
      <c r="AP10" s="219"/>
      <c r="AQ10" s="220">
        <f>'[1]Strohs CIAC'!$J13</f>
        <v>16468.55</v>
      </c>
      <c r="AR10" s="221">
        <f t="shared" si="3"/>
        <v>0</v>
      </c>
      <c r="AT10" s="199" t="s">
        <v>331</v>
      </c>
      <c r="AU10" s="197">
        <v>6</v>
      </c>
      <c r="AW10" s="197" t="s">
        <v>37</v>
      </c>
      <c r="AX10" s="197" t="s">
        <v>36</v>
      </c>
      <c r="AY10" s="628"/>
      <c r="AZ10" s="470">
        <v>3</v>
      </c>
      <c r="BA10" s="466">
        <v>3528820366</v>
      </c>
      <c r="BB10" s="211">
        <v>6770</v>
      </c>
      <c r="BC10" s="211">
        <v>5870</v>
      </c>
      <c r="BD10" s="211">
        <v>5610</v>
      </c>
      <c r="BE10" s="211">
        <v>5950</v>
      </c>
      <c r="BF10" s="211">
        <v>14660</v>
      </c>
      <c r="BG10" s="211">
        <v>81960</v>
      </c>
      <c r="BH10" s="211">
        <v>110600</v>
      </c>
      <c r="BI10" s="211">
        <v>145790</v>
      </c>
      <c r="BJ10" s="211" t="s">
        <v>655</v>
      </c>
      <c r="BK10" s="211">
        <v>207860</v>
      </c>
      <c r="BL10" s="211">
        <v>5050</v>
      </c>
      <c r="BM10" s="211">
        <v>4920</v>
      </c>
      <c r="BO10" s="28">
        <f t="shared" si="4"/>
        <v>54094.545454545456</v>
      </c>
      <c r="BP10" s="28">
        <f t="shared" si="5"/>
        <v>595040</v>
      </c>
      <c r="BS10" s="217"/>
      <c r="BT10" s="217"/>
      <c r="BU10" s="134"/>
      <c r="BV10" s="217"/>
      <c r="BW10" s="217"/>
      <c r="BX10" s="217"/>
    </row>
    <row r="11" spans="1:76" ht="15.95" customHeight="1" x14ac:dyDescent="0.25">
      <c r="A11" s="84" t="s">
        <v>360</v>
      </c>
      <c r="B11" s="164"/>
      <c r="D11" s="82" t="s">
        <v>302</v>
      </c>
      <c r="E11" s="162">
        <v>16290.060000000001</v>
      </c>
      <c r="F11" s="82" t="s">
        <v>288</v>
      </c>
      <c r="G11" s="162">
        <v>-12182.35</v>
      </c>
      <c r="I11" s="127" t="s">
        <v>238</v>
      </c>
      <c r="J11" s="167">
        <v>3113.3199999999997</v>
      </c>
      <c r="K11" s="168">
        <f>'[1]IS Linksheet'!$D10</f>
        <v>0</v>
      </c>
      <c r="L11" s="240"/>
      <c r="M11" s="240"/>
      <c r="N11" s="169">
        <f>'[1]IS Linksheet'!$G10</f>
        <v>0</v>
      </c>
      <c r="P11" s="445">
        <v>2017</v>
      </c>
      <c r="Q11" s="174" t="s">
        <v>515</v>
      </c>
      <c r="R11" s="175" t="s">
        <v>517</v>
      </c>
      <c r="S11" s="174">
        <v>564500</v>
      </c>
      <c r="T11" s="176">
        <v>5.2999999999999999E-2</v>
      </c>
      <c r="U11" s="6"/>
      <c r="V11" s="449" t="str">
        <f>'[1]Strohs Plant in Service'!$C14</f>
        <v>Plant, Other (40)</v>
      </c>
      <c r="W11" s="292" t="str">
        <f>'[1]Strohs Plant in Service'!$D14</f>
        <v>Water Sys Plans - Strohs</v>
      </c>
      <c r="X11" s="293">
        <f>'[1]Strohs Plant in Service'!$E14</f>
        <v>45231</v>
      </c>
      <c r="Y11" s="297">
        <f>'[1]Strohs Plant in Service'!$F14</f>
        <v>10503.69</v>
      </c>
      <c r="Z11" s="248"/>
      <c r="AA11" s="294">
        <f>'[1]Strohs Plant in Service'!$G$11/12</f>
        <v>6</v>
      </c>
      <c r="AB11" s="219">
        <f>('[1]Strohs Plant in Service'!$G14-'[1]Strohs Plant in Service'!$H14)/12</f>
        <v>6</v>
      </c>
      <c r="AC11" s="219">
        <f>'[1]Strohs Plant in Service'!$I14</f>
        <v>0</v>
      </c>
      <c r="AD11" s="219"/>
      <c r="AE11" s="220">
        <f>'[1]Strohs Plant in Service'!$J14</f>
        <v>10503.69</v>
      </c>
      <c r="AF11" s="221">
        <v>0</v>
      </c>
      <c r="AG11" s="204"/>
      <c r="AH11" s="451" t="str">
        <f>'[1]Strohs CIAC'!$C14</f>
        <v>Tanks and Wells (25)</v>
      </c>
      <c r="AI11" s="174" t="str">
        <f>'[1]Strohs CIAC'!$D14</f>
        <v>WELL #6, AEF316 - Strohs TCA 472</v>
      </c>
      <c r="AJ11" s="179">
        <f>'[1]Strohs CIAC'!$E14</f>
        <v>45231</v>
      </c>
      <c r="AK11" s="247">
        <f>'[1]Strohs CIAC'!$F14</f>
        <v>13759.62</v>
      </c>
      <c r="AL11" s="248"/>
      <c r="AM11" s="294">
        <f>'[1]Strohs CIAC'!$G14/12</f>
        <v>30</v>
      </c>
      <c r="AN11" s="219">
        <f>('[1]Strohs CIAC'!$G14-'[1]Strohs CIAC'!$H14)/12</f>
        <v>30</v>
      </c>
      <c r="AO11" s="219">
        <f>'[1]Strohs CIAC'!$I14</f>
        <v>0</v>
      </c>
      <c r="AP11" s="219"/>
      <c r="AQ11" s="220">
        <f>'[1]Strohs CIAC'!$J14</f>
        <v>13759.62</v>
      </c>
      <c r="AR11" s="221">
        <f t="shared" si="3"/>
        <v>0</v>
      </c>
      <c r="AT11" s="199" t="s">
        <v>330</v>
      </c>
      <c r="AU11" s="197">
        <v>7</v>
      </c>
      <c r="AW11" s="197" t="s">
        <v>39</v>
      </c>
      <c r="AX11" s="197" t="s">
        <v>37</v>
      </c>
      <c r="AY11" s="628"/>
      <c r="AZ11" s="470">
        <v>0.75</v>
      </c>
      <c r="BA11" s="466" t="s">
        <v>714</v>
      </c>
      <c r="BB11" s="211">
        <v>44</v>
      </c>
      <c r="BC11" s="211">
        <v>124</v>
      </c>
      <c r="BD11" s="211">
        <v>209</v>
      </c>
      <c r="BE11" s="211">
        <v>223</v>
      </c>
      <c r="BF11" s="211">
        <v>234</v>
      </c>
      <c r="BG11" s="211">
        <v>487</v>
      </c>
      <c r="BH11" s="211">
        <v>695</v>
      </c>
      <c r="BI11" s="211">
        <v>798</v>
      </c>
      <c r="BJ11" s="211">
        <v>633</v>
      </c>
      <c r="BK11" s="211">
        <v>320</v>
      </c>
      <c r="BL11" s="211">
        <v>330</v>
      </c>
      <c r="BM11" s="211">
        <v>133</v>
      </c>
      <c r="BO11" s="28">
        <f t="shared" si="4"/>
        <v>352.5</v>
      </c>
      <c r="BP11" s="28">
        <f t="shared" si="5"/>
        <v>4230</v>
      </c>
      <c r="BS11" s="217"/>
      <c r="BT11" s="217"/>
      <c r="BU11" s="134"/>
      <c r="BV11" s="217"/>
      <c r="BW11" s="217"/>
      <c r="BX11" s="217"/>
    </row>
    <row r="12" spans="1:76" ht="15.95" customHeight="1" x14ac:dyDescent="0.25">
      <c r="A12" s="84" t="s">
        <v>362</v>
      </c>
      <c r="B12" s="164"/>
      <c r="D12" s="82" t="s">
        <v>305</v>
      </c>
      <c r="E12" s="162">
        <v>0</v>
      </c>
      <c r="F12" s="82" t="s">
        <v>296</v>
      </c>
      <c r="G12" s="162">
        <v>0</v>
      </c>
      <c r="I12" s="127" t="s">
        <v>180</v>
      </c>
      <c r="J12" s="167">
        <v>14140.9</v>
      </c>
      <c r="K12" s="168">
        <f>'[1]IS Linksheet'!$D11</f>
        <v>-14140.9</v>
      </c>
      <c r="L12" s="240"/>
      <c r="M12" s="240"/>
      <c r="N12" s="169">
        <f>'[1]IS Linksheet'!$G11</f>
        <v>0</v>
      </c>
      <c r="P12" s="445">
        <v>2018</v>
      </c>
      <c r="Q12" s="174" t="s">
        <v>515</v>
      </c>
      <c r="R12" s="175" t="s">
        <v>517</v>
      </c>
      <c r="S12" s="174">
        <v>1204015</v>
      </c>
      <c r="T12" s="176">
        <v>5.5E-2</v>
      </c>
      <c r="U12" s="6"/>
      <c r="V12" s="449" t="str">
        <f>'[1]Strohs Plant in Service'!$C15</f>
        <v>Plant, Other (40)</v>
      </c>
      <c r="W12" s="292" t="str">
        <f>'[1]Strohs Plant in Service'!$D15</f>
        <v>Water Sys Plans - Strohs</v>
      </c>
      <c r="X12" s="293">
        <f>'[1]Strohs Plant in Service'!$E15</f>
        <v>45231</v>
      </c>
      <c r="Y12" s="297">
        <f>'[1]Strohs Plant in Service'!$F15</f>
        <v>5237.4799999999996</v>
      </c>
      <c r="Z12" s="248"/>
      <c r="AA12" s="294">
        <f>'[1]Strohs Plant in Service'!$G$11/12</f>
        <v>6</v>
      </c>
      <c r="AB12" s="219">
        <f>('[1]Strohs Plant in Service'!$G15-'[1]Strohs Plant in Service'!$H15)/12</f>
        <v>6</v>
      </c>
      <c r="AC12" s="219">
        <f>'[1]Strohs Plant in Service'!$I15</f>
        <v>0</v>
      </c>
      <c r="AD12" s="219"/>
      <c r="AE12" s="220">
        <f>'[1]Strohs Plant in Service'!$J15</f>
        <v>5237.4799999999996</v>
      </c>
      <c r="AF12" s="221">
        <v>0</v>
      </c>
      <c r="AG12" s="204"/>
      <c r="AH12" s="451" t="str">
        <f>'[1]Strohs CIAC'!$C15</f>
        <v>Tanks and Wells (25)</v>
      </c>
      <c r="AI12" s="174" t="str">
        <f>'[1]Strohs CIAC'!$D15</f>
        <v>WELL #7, AEF317 - Strohs TCA 75</v>
      </c>
      <c r="AJ12" s="179">
        <f>'[1]Strohs CIAC'!$E15</f>
        <v>45231</v>
      </c>
      <c r="AK12" s="247">
        <f>'[1]Strohs CIAC'!$F15</f>
        <v>17554.439999999999</v>
      </c>
      <c r="AL12" s="248"/>
      <c r="AM12" s="294">
        <f>'[1]Strohs CIAC'!$G15/12</f>
        <v>30</v>
      </c>
      <c r="AN12" s="219">
        <f>('[1]Strohs CIAC'!$G15-'[1]Strohs CIAC'!$H15)/12</f>
        <v>30</v>
      </c>
      <c r="AO12" s="219">
        <f>'[1]Strohs CIAC'!$I15</f>
        <v>0</v>
      </c>
      <c r="AP12" s="219"/>
      <c r="AQ12" s="220">
        <f>'[1]Strohs CIAC'!$J15</f>
        <v>17554.439999999999</v>
      </c>
      <c r="AR12" s="221">
        <f t="shared" si="3"/>
        <v>0</v>
      </c>
      <c r="AT12" s="199" t="s">
        <v>321</v>
      </c>
      <c r="AU12" s="197">
        <v>10</v>
      </c>
      <c r="AW12" s="197" t="s">
        <v>40</v>
      </c>
      <c r="AX12" s="197" t="s">
        <v>39</v>
      </c>
      <c r="AY12" s="628"/>
      <c r="AZ12" s="470">
        <v>0.75</v>
      </c>
      <c r="BA12" s="466" t="s">
        <v>715</v>
      </c>
      <c r="BB12" s="211">
        <v>485</v>
      </c>
      <c r="BC12" s="211">
        <v>437</v>
      </c>
      <c r="BD12" s="211">
        <v>448</v>
      </c>
      <c r="BE12" s="211">
        <v>429</v>
      </c>
      <c r="BF12" s="211">
        <v>469</v>
      </c>
      <c r="BG12" s="211">
        <v>960</v>
      </c>
      <c r="BH12" s="211">
        <v>2145</v>
      </c>
      <c r="BI12" s="211">
        <v>1334</v>
      </c>
      <c r="BJ12" s="211">
        <v>2225</v>
      </c>
      <c r="BK12" s="211">
        <v>953</v>
      </c>
      <c r="BL12" s="211">
        <v>404</v>
      </c>
      <c r="BM12" s="211">
        <v>245</v>
      </c>
      <c r="BO12" s="28">
        <f t="shared" si="4"/>
        <v>877.83333333333337</v>
      </c>
      <c r="BP12" s="28">
        <f t="shared" si="5"/>
        <v>10534</v>
      </c>
      <c r="BS12" s="217"/>
      <c r="BT12" s="217"/>
      <c r="BU12" s="134"/>
      <c r="BV12" s="217"/>
      <c r="BW12" s="217"/>
      <c r="BX12" s="217"/>
    </row>
    <row r="13" spans="1:76" ht="15.95" customHeight="1" thickBot="1" x14ac:dyDescent="0.3">
      <c r="A13" s="84" t="s">
        <v>209</v>
      </c>
      <c r="B13" s="164">
        <v>834</v>
      </c>
      <c r="D13" s="82" t="s">
        <v>303</v>
      </c>
      <c r="E13" s="162">
        <v>0</v>
      </c>
      <c r="F13" s="82" t="s">
        <v>297</v>
      </c>
      <c r="G13" s="162">
        <v>0</v>
      </c>
      <c r="H13" s="23"/>
      <c r="I13" s="127" t="s">
        <v>69</v>
      </c>
      <c r="J13" s="170">
        <v>1101.76</v>
      </c>
      <c r="K13" s="171">
        <f>'[1]IS Linksheet'!$D12</f>
        <v>0</v>
      </c>
      <c r="L13" s="241"/>
      <c r="M13" s="241"/>
      <c r="N13" s="172">
        <f>'[1]IS Linksheet'!$G12</f>
        <v>0</v>
      </c>
      <c r="P13" s="445">
        <v>2019</v>
      </c>
      <c r="Q13" s="174" t="s">
        <v>515</v>
      </c>
      <c r="R13" s="175" t="s">
        <v>517</v>
      </c>
      <c r="S13" s="174">
        <v>1926563</v>
      </c>
      <c r="T13" s="176">
        <v>3.9699999999999999E-2</v>
      </c>
      <c r="U13" s="6"/>
      <c r="V13" s="449" t="str">
        <f>'[1]Strohs Plant in Service'!$C16</f>
        <v>Plant, Other (40)</v>
      </c>
      <c r="W13" s="292" t="str">
        <f>'[1]Strohs Plant in Service'!$D16</f>
        <v>Water Sys Plans - Strohs</v>
      </c>
      <c r="X13" s="293">
        <f>'[1]Strohs Plant in Service'!$E16</f>
        <v>45231</v>
      </c>
      <c r="Y13" s="297">
        <f>'[1]Strohs Plant in Service'!$F16</f>
        <v>41185.5</v>
      </c>
      <c r="Z13" s="248"/>
      <c r="AA13" s="294">
        <f>'[1]Strohs Plant in Service'!$G$11/12</f>
        <v>6</v>
      </c>
      <c r="AB13" s="219">
        <f>('[1]Strohs Plant in Service'!$G16-'[1]Strohs Plant in Service'!$H16)/12</f>
        <v>6.833333333333333</v>
      </c>
      <c r="AC13" s="219">
        <f>'[1]Strohs Plant in Service'!$I16</f>
        <v>2808.1022727272725</v>
      </c>
      <c r="AD13" s="219"/>
      <c r="AE13" s="220">
        <f>'[1]Strohs Plant in Service'!$J16</f>
        <v>38888.78</v>
      </c>
      <c r="AF13" s="221">
        <v>2296.7200000000012</v>
      </c>
      <c r="AG13" s="204"/>
      <c r="AH13" s="451" t="str">
        <f>'[1]Strohs CIAC'!$C16</f>
        <v>Tanks and Wells (25)</v>
      </c>
      <c r="AI13" s="174" t="str">
        <f>'[1]Strohs CIAC'!$D16</f>
        <v>WELL #2, AEF314 - Strohs TCA 472</v>
      </c>
      <c r="AJ13" s="179">
        <f>'[1]Strohs CIAC'!$E16</f>
        <v>45231</v>
      </c>
      <c r="AK13" s="247">
        <f>'[1]Strohs CIAC'!$F16</f>
        <v>18524.650000000001</v>
      </c>
      <c r="AL13" s="248"/>
      <c r="AM13" s="294">
        <f>'[1]Strohs CIAC'!$G16/12</f>
        <v>30</v>
      </c>
      <c r="AN13" s="219">
        <f>('[1]Strohs CIAC'!$G16-'[1]Strohs CIAC'!$H16)/12</f>
        <v>30</v>
      </c>
      <c r="AO13" s="219">
        <f>'[1]Strohs CIAC'!$I16</f>
        <v>0</v>
      </c>
      <c r="AP13" s="219"/>
      <c r="AQ13" s="220">
        <f>'[1]Strohs CIAC'!$J16</f>
        <v>18524.650000000001</v>
      </c>
      <c r="AR13" s="221">
        <f t="shared" si="3"/>
        <v>0</v>
      </c>
      <c r="AT13" s="199" t="s">
        <v>339</v>
      </c>
      <c r="AU13" s="197">
        <v>10</v>
      </c>
      <c r="AW13" s="197" t="s">
        <v>41</v>
      </c>
      <c r="AX13" s="197" t="s">
        <v>40</v>
      </c>
      <c r="AY13" s="628"/>
      <c r="AZ13" s="470">
        <v>0.75</v>
      </c>
      <c r="BA13" s="466" t="s">
        <v>716</v>
      </c>
      <c r="BB13" s="211">
        <v>1661</v>
      </c>
      <c r="BC13" s="211">
        <v>1651</v>
      </c>
      <c r="BD13" s="211">
        <v>1703</v>
      </c>
      <c r="BE13" s="211">
        <v>1898</v>
      </c>
      <c r="BF13" s="211">
        <v>1607</v>
      </c>
      <c r="BG13" s="211">
        <v>1730</v>
      </c>
      <c r="BH13" s="211">
        <v>1944</v>
      </c>
      <c r="BI13" s="211">
        <v>3027</v>
      </c>
      <c r="BJ13" s="211">
        <v>2086</v>
      </c>
      <c r="BK13" s="211">
        <v>1576</v>
      </c>
      <c r="BL13" s="211">
        <v>1497</v>
      </c>
      <c r="BM13" s="211">
        <v>1731</v>
      </c>
      <c r="BO13" s="28">
        <f t="shared" si="4"/>
        <v>1842.5833333333333</v>
      </c>
      <c r="BP13" s="28">
        <f t="shared" si="5"/>
        <v>22111</v>
      </c>
      <c r="BS13" s="217"/>
      <c r="BT13" s="217"/>
      <c r="BU13" s="134"/>
      <c r="BV13" s="217"/>
      <c r="BW13" s="217"/>
      <c r="BX13" s="217"/>
    </row>
    <row r="14" spans="1:76" ht="15.95" customHeight="1" x14ac:dyDescent="0.25">
      <c r="A14" s="3" t="s">
        <v>386</v>
      </c>
      <c r="B14" s="273">
        <f>SUM(B11:B13)</f>
        <v>834</v>
      </c>
      <c r="D14" s="82" t="s">
        <v>304</v>
      </c>
      <c r="E14" s="162">
        <v>0</v>
      </c>
      <c r="F14" s="82" t="s">
        <v>163</v>
      </c>
      <c r="G14" s="162">
        <v>0</v>
      </c>
      <c r="H14" s="6"/>
      <c r="I14" s="88" t="s">
        <v>256</v>
      </c>
      <c r="J14" s="24">
        <f>SUM(J8:J13)</f>
        <v>300185.29000000004</v>
      </c>
      <c r="K14" s="25">
        <f>SUM(K8:K13)</f>
        <v>-7000.8625000000229</v>
      </c>
      <c r="L14" s="242"/>
      <c r="M14" s="242"/>
      <c r="N14" s="26">
        <f>SUM(N8:N13)</f>
        <v>0</v>
      </c>
      <c r="P14" s="445">
        <v>2020</v>
      </c>
      <c r="Q14" s="174" t="s">
        <v>515</v>
      </c>
      <c r="R14" s="175" t="s">
        <v>517</v>
      </c>
      <c r="S14" s="174">
        <v>4075673</v>
      </c>
      <c r="T14" s="176">
        <v>4.3099999999999999E-2</v>
      </c>
      <c r="U14" s="6"/>
      <c r="V14" s="449" t="str">
        <f>'[1]Strohs Plant in Service'!$C17</f>
        <v>Plant, Other (40)</v>
      </c>
      <c r="W14" s="292" t="str">
        <f>'[1]Strohs Plant in Service'!$D17</f>
        <v>Water Sys Plans - Strohs</v>
      </c>
      <c r="X14" s="293">
        <f>'[1]Strohs Plant in Service'!$E17</f>
        <v>45231</v>
      </c>
      <c r="Y14" s="297">
        <f>'[1]Strohs Plant in Service'!$F17</f>
        <v>803.5</v>
      </c>
      <c r="Z14" s="248"/>
      <c r="AA14" s="294">
        <f>'[1]Strohs Plant in Service'!$G$11/12</f>
        <v>6</v>
      </c>
      <c r="AB14" s="219">
        <f>('[1]Strohs Plant in Service'!$G17-'[1]Strohs Plant in Service'!$H17)/12</f>
        <v>6</v>
      </c>
      <c r="AC14" s="219">
        <f>'[1]Strohs Plant in Service'!$I17</f>
        <v>0</v>
      </c>
      <c r="AD14" s="219"/>
      <c r="AE14" s="220">
        <f>'[1]Strohs Plant in Service'!$J17</f>
        <v>803.5</v>
      </c>
      <c r="AF14" s="221">
        <v>0</v>
      </c>
      <c r="AG14" s="204"/>
      <c r="AH14" s="451" t="str">
        <f>'[1]Strohs CIAC'!$C17</f>
        <v>Mains, Tanks and Reservoirs (50)</v>
      </c>
      <c r="AI14" s="174" t="str">
        <f>'[1]Strohs CIAC'!$D17</f>
        <v>Mains (CIAC) - Strohs</v>
      </c>
      <c r="AJ14" s="179">
        <f>'[1]Strohs CIAC'!$E17</f>
        <v>45231</v>
      </c>
      <c r="AK14" s="247">
        <f>'[1]Strohs CIAC'!$F17</f>
        <v>174886.96</v>
      </c>
      <c r="AL14" s="248"/>
      <c r="AM14" s="294">
        <f>'[1]Strohs CIAC'!$G17/12</f>
        <v>30</v>
      </c>
      <c r="AN14" s="219">
        <f>('[1]Strohs CIAC'!$G17-'[1]Strohs CIAC'!$H17)/12</f>
        <v>25.833333333333332</v>
      </c>
      <c r="AO14" s="219">
        <f>'[1]Strohs CIAC'!$I17</f>
        <v>5829.565333333333</v>
      </c>
      <c r="AP14" s="219"/>
      <c r="AQ14" s="220">
        <f>'[1]Strohs CIAC'!$J17</f>
        <v>151082.92000000001</v>
      </c>
      <c r="AR14" s="221">
        <f t="shared" si="3"/>
        <v>23804.039999999979</v>
      </c>
      <c r="AT14" s="199" t="s">
        <v>323</v>
      </c>
      <c r="AU14" s="197">
        <v>15</v>
      </c>
      <c r="AW14" s="197" t="s">
        <v>43</v>
      </c>
      <c r="AX14" s="197" t="s">
        <v>41</v>
      </c>
      <c r="AY14" s="628"/>
      <c r="AZ14" s="470">
        <v>0.625</v>
      </c>
      <c r="BA14" s="466" t="s">
        <v>717</v>
      </c>
      <c r="BB14" s="211">
        <v>228</v>
      </c>
      <c r="BC14" s="211">
        <v>245</v>
      </c>
      <c r="BD14" s="211">
        <v>276</v>
      </c>
      <c r="BE14" s="211">
        <v>239</v>
      </c>
      <c r="BF14" s="211">
        <v>279</v>
      </c>
      <c r="BG14" s="211">
        <v>249</v>
      </c>
      <c r="BH14" s="211">
        <v>156</v>
      </c>
      <c r="BI14" s="211">
        <v>147</v>
      </c>
      <c r="BJ14" s="211">
        <v>313</v>
      </c>
      <c r="BK14" s="211" t="s">
        <v>655</v>
      </c>
      <c r="BL14" s="211" t="s">
        <v>655</v>
      </c>
      <c r="BM14" s="211" t="s">
        <v>655</v>
      </c>
      <c r="BO14" s="28">
        <f t="shared" si="4"/>
        <v>236.88888888888889</v>
      </c>
      <c r="BP14" s="28">
        <f t="shared" si="5"/>
        <v>2132</v>
      </c>
      <c r="BS14" s="217"/>
      <c r="BT14" s="217"/>
      <c r="BU14" s="134"/>
      <c r="BV14" s="217"/>
      <c r="BW14" s="217"/>
      <c r="BX14" s="217"/>
    </row>
    <row r="15" spans="1:76" ht="15.95" customHeight="1" x14ac:dyDescent="0.25">
      <c r="A15" s="697" t="s">
        <v>349</v>
      </c>
      <c r="B15" s="698"/>
      <c r="D15" s="82" t="s">
        <v>276</v>
      </c>
      <c r="E15" s="162">
        <v>0</v>
      </c>
      <c r="F15" s="82" t="s">
        <v>313</v>
      </c>
      <c r="G15" s="162">
        <v>0</v>
      </c>
      <c r="H15" s="6"/>
      <c r="I15" s="88"/>
      <c r="J15" s="27"/>
      <c r="K15" s="28"/>
      <c r="L15" s="243"/>
      <c r="M15" s="243"/>
      <c r="N15" s="29"/>
      <c r="P15" s="445">
        <v>2020</v>
      </c>
      <c r="Q15" s="174" t="s">
        <v>515</v>
      </c>
      <c r="R15" s="175" t="s">
        <v>517</v>
      </c>
      <c r="S15" s="174">
        <v>4703116</v>
      </c>
      <c r="T15" s="176">
        <v>4.3099999999999999E-2</v>
      </c>
      <c r="V15" s="449" t="str">
        <f>'[1]Strohs Plant in Service'!$C18</f>
        <v>Plant, Other (40)</v>
      </c>
      <c r="W15" s="292" t="str">
        <f>'[1]Strohs Plant in Service'!$D18</f>
        <v>Water Sys Plans - Strohs</v>
      </c>
      <c r="X15" s="293">
        <f>'[1]Strohs Plant in Service'!$E18</f>
        <v>45231</v>
      </c>
      <c r="Y15" s="297">
        <f>'[1]Strohs Plant in Service'!$F18</f>
        <v>7521.28</v>
      </c>
      <c r="Z15" s="248"/>
      <c r="AA15" s="294">
        <f>'[1]Strohs Plant in Service'!$G$11/12</f>
        <v>6</v>
      </c>
      <c r="AB15" s="219">
        <f>('[1]Strohs Plant in Service'!$G18-'[1]Strohs Plant in Service'!$H18)/12</f>
        <v>6</v>
      </c>
      <c r="AC15" s="219">
        <f>'[1]Strohs Plant in Service'!$I18</f>
        <v>0</v>
      </c>
      <c r="AD15" s="219"/>
      <c r="AE15" s="220">
        <f>'[1]Strohs Plant in Service'!$J18</f>
        <v>7521.28</v>
      </c>
      <c r="AF15" s="221">
        <v>0</v>
      </c>
      <c r="AG15" s="204"/>
      <c r="AH15" s="451" t="str">
        <f>'[1]Strohs CIAC'!$C18</f>
        <v>Mains, Tanks and Reservoirs (50)</v>
      </c>
      <c r="AI15" s="174" t="str">
        <f>'[1]Strohs CIAC'!$D18</f>
        <v>Mains (CIAC) - Strohs</v>
      </c>
      <c r="AJ15" s="179">
        <f>'[1]Strohs CIAC'!$E18</f>
        <v>45231</v>
      </c>
      <c r="AK15" s="247">
        <f>'[1]Strohs CIAC'!$F18</f>
        <v>20034.55</v>
      </c>
      <c r="AL15" s="248"/>
      <c r="AM15" s="294">
        <f>'[1]Strohs CIAC'!$G18/12</f>
        <v>30</v>
      </c>
      <c r="AN15" s="219">
        <f>('[1]Strohs CIAC'!$G18-'[1]Strohs CIAC'!$H18)/12</f>
        <v>25.416666666666668</v>
      </c>
      <c r="AO15" s="219">
        <f>'[1]Strohs CIAC'!$I18</f>
        <v>667.81833333333327</v>
      </c>
      <c r="AP15" s="219"/>
      <c r="AQ15" s="220">
        <f>'[1]Strohs CIAC'!$J18</f>
        <v>17029.349999999999</v>
      </c>
      <c r="AR15" s="221">
        <f t="shared" si="3"/>
        <v>3005.2000000000007</v>
      </c>
      <c r="AT15" s="199" t="s">
        <v>337</v>
      </c>
      <c r="AU15" s="197">
        <v>20</v>
      </c>
      <c r="AW15" s="197" t="s">
        <v>44</v>
      </c>
      <c r="AX15" s="197" t="s">
        <v>43</v>
      </c>
      <c r="AY15" s="628"/>
      <c r="AZ15" s="470">
        <v>0.75</v>
      </c>
      <c r="BA15" s="466" t="s">
        <v>718</v>
      </c>
      <c r="BB15" s="211">
        <v>217</v>
      </c>
      <c r="BC15" s="211">
        <v>197</v>
      </c>
      <c r="BD15" s="211">
        <v>235</v>
      </c>
      <c r="BE15" s="211">
        <v>271</v>
      </c>
      <c r="BF15" s="211">
        <v>169</v>
      </c>
      <c r="BG15" s="211">
        <v>237</v>
      </c>
      <c r="BH15" s="211">
        <v>312</v>
      </c>
      <c r="BI15" s="211">
        <v>574</v>
      </c>
      <c r="BJ15" s="211">
        <v>604</v>
      </c>
      <c r="BK15" s="211">
        <v>387</v>
      </c>
      <c r="BL15" s="211">
        <v>207</v>
      </c>
      <c r="BM15" s="211">
        <v>252</v>
      </c>
      <c r="BO15" s="28">
        <f t="shared" si="4"/>
        <v>305.16666666666669</v>
      </c>
      <c r="BP15" s="28">
        <f t="shared" si="5"/>
        <v>3662</v>
      </c>
      <c r="BS15" s="217"/>
      <c r="BT15" s="217"/>
      <c r="BU15" s="134"/>
      <c r="BV15" s="217"/>
      <c r="BW15" s="217"/>
      <c r="BX15" s="217"/>
    </row>
    <row r="16" spans="1:76" ht="15.95" customHeight="1" x14ac:dyDescent="0.25">
      <c r="A16" s="84" t="s">
        <v>139</v>
      </c>
      <c r="B16" s="702" t="s">
        <v>620</v>
      </c>
      <c r="D16" s="82" t="s">
        <v>275</v>
      </c>
      <c r="E16" s="162">
        <v>0</v>
      </c>
      <c r="F16" s="82" t="s">
        <v>289</v>
      </c>
      <c r="G16" s="162">
        <v>0</v>
      </c>
      <c r="I16" s="89" t="s">
        <v>21</v>
      </c>
      <c r="J16" s="30"/>
      <c r="K16" s="31"/>
      <c r="L16" s="244"/>
      <c r="M16" s="244"/>
      <c r="N16" s="32"/>
      <c r="P16" s="445">
        <v>2021</v>
      </c>
      <c r="Q16" s="174" t="s">
        <v>515</v>
      </c>
      <c r="R16" s="175" t="s">
        <v>517</v>
      </c>
      <c r="S16" s="174">
        <v>7500000</v>
      </c>
      <c r="T16" s="176">
        <v>3.7199999999999997E-2</v>
      </c>
      <c r="V16" s="449" t="str">
        <f>'[1]Strohs Plant in Service'!$C19</f>
        <v>Plant, Other (40)</v>
      </c>
      <c r="W16" s="292" t="str">
        <f>'[1]Strohs Plant in Service'!$D19</f>
        <v>Water Sys Plans - Strohs</v>
      </c>
      <c r="X16" s="293">
        <f>'[1]Strohs Plant in Service'!$E19</f>
        <v>45231</v>
      </c>
      <c r="Y16" s="297">
        <f>'[1]Strohs Plant in Service'!$F19</f>
        <v>4542.24</v>
      </c>
      <c r="Z16" s="248"/>
      <c r="AA16" s="294">
        <f>'[1]Strohs Plant in Service'!$G$11/12</f>
        <v>6</v>
      </c>
      <c r="AB16" s="219">
        <f>('[1]Strohs Plant in Service'!$G19-'[1]Strohs Plant in Service'!$H19)/12</f>
        <v>6</v>
      </c>
      <c r="AC16" s="219">
        <f>'[1]Strohs Plant in Service'!$I19</f>
        <v>0</v>
      </c>
      <c r="AD16" s="219"/>
      <c r="AE16" s="220">
        <f>'[1]Strohs Plant in Service'!$J19</f>
        <v>4542.24</v>
      </c>
      <c r="AF16" s="221">
        <v>0</v>
      </c>
      <c r="AG16" s="204"/>
      <c r="AH16" s="451" t="str">
        <f>'[1]Strohs CIAC'!$C19</f>
        <v>Mains, Tanks and Reservoirs (50)</v>
      </c>
      <c r="AI16" s="174" t="str">
        <f>'[1]Strohs CIAC'!$D19</f>
        <v>Mains (CIAC) - Strohs</v>
      </c>
      <c r="AJ16" s="179">
        <f>'[1]Strohs CIAC'!$E19</f>
        <v>45231</v>
      </c>
      <c r="AK16" s="247">
        <f>'[1]Strohs CIAC'!$F19</f>
        <v>64591.199999999997</v>
      </c>
      <c r="AL16" s="248"/>
      <c r="AM16" s="294">
        <f>'[1]Strohs CIAC'!$G19/12</f>
        <v>30</v>
      </c>
      <c r="AN16" s="219">
        <f>('[1]Strohs CIAC'!$G19-'[1]Strohs CIAC'!$H19)/12</f>
        <v>24.416666666666668</v>
      </c>
      <c r="AO16" s="219">
        <f>'[1]Strohs CIAC'!$I19</f>
        <v>2153.04</v>
      </c>
      <c r="AP16" s="219"/>
      <c r="AQ16" s="220">
        <f>'[1]Strohs CIAC'!$J19</f>
        <v>52749.48</v>
      </c>
      <c r="AR16" s="221">
        <f t="shared" si="3"/>
        <v>11841.719999999994</v>
      </c>
      <c r="AT16" s="199" t="s">
        <v>336</v>
      </c>
      <c r="AU16" s="197">
        <v>20</v>
      </c>
      <c r="AW16" s="197" t="s">
        <v>45</v>
      </c>
      <c r="AX16" s="197" t="s">
        <v>44</v>
      </c>
      <c r="AY16" s="628"/>
      <c r="AZ16" s="470">
        <v>0.625</v>
      </c>
      <c r="BA16" s="466" t="s">
        <v>719</v>
      </c>
      <c r="BB16" s="211">
        <v>124</v>
      </c>
      <c r="BC16" s="211" t="s">
        <v>655</v>
      </c>
      <c r="BD16" s="211">
        <v>99</v>
      </c>
      <c r="BE16" s="211" t="s">
        <v>655</v>
      </c>
      <c r="BF16" s="211" t="s">
        <v>655</v>
      </c>
      <c r="BG16" s="211" t="s">
        <v>655</v>
      </c>
      <c r="BH16" s="211" t="s">
        <v>655</v>
      </c>
      <c r="BI16" s="211" t="s">
        <v>655</v>
      </c>
      <c r="BJ16" s="211" t="s">
        <v>655</v>
      </c>
      <c r="BK16" s="211">
        <v>99</v>
      </c>
      <c r="BL16" s="211">
        <v>36</v>
      </c>
      <c r="BM16" s="211">
        <v>157</v>
      </c>
      <c r="BO16" s="28">
        <f t="shared" si="4"/>
        <v>103</v>
      </c>
      <c r="BP16" s="28">
        <f t="shared" si="5"/>
        <v>515</v>
      </c>
      <c r="BS16" s="217"/>
      <c r="BT16" s="217"/>
      <c r="BU16" s="134"/>
      <c r="BV16" s="217"/>
      <c r="BW16" s="217"/>
      <c r="BX16" s="217"/>
    </row>
    <row r="17" spans="1:76" ht="15.95" customHeight="1" thickBot="1" x14ac:dyDescent="0.3">
      <c r="A17" s="84" t="s">
        <v>154</v>
      </c>
      <c r="B17" s="703"/>
      <c r="D17" s="82" t="s">
        <v>296</v>
      </c>
      <c r="E17" s="162">
        <v>0</v>
      </c>
      <c r="F17" s="82" t="s">
        <v>292</v>
      </c>
      <c r="G17" s="163">
        <v>0</v>
      </c>
      <c r="I17" s="127" t="s">
        <v>342</v>
      </c>
      <c r="J17" s="167">
        <v>23082.35</v>
      </c>
      <c r="K17" s="168">
        <f>'[1]IS Linksheet'!$D16</f>
        <v>0</v>
      </c>
      <c r="L17" s="240"/>
      <c r="M17" s="240"/>
      <c r="N17" s="169">
        <f>'[1]IS Linksheet'!$G16</f>
        <v>0</v>
      </c>
      <c r="P17" s="445">
        <v>2022</v>
      </c>
      <c r="Q17" s="174" t="s">
        <v>515</v>
      </c>
      <c r="R17" s="175" t="s">
        <v>517</v>
      </c>
      <c r="S17" s="174">
        <v>4574878</v>
      </c>
      <c r="T17" s="176">
        <v>6.3399999999999998E-2</v>
      </c>
      <c r="V17" s="449" t="str">
        <f>'[1]Strohs Plant in Service'!$C20</f>
        <v>Plant, Other (40)</v>
      </c>
      <c r="W17" s="292" t="str">
        <f>'[1]Strohs Plant in Service'!$D20</f>
        <v>Water Sys Plans - Strohs</v>
      </c>
      <c r="X17" s="293">
        <f>'[1]Strohs Plant in Service'!$E20</f>
        <v>45231</v>
      </c>
      <c r="Y17" s="297">
        <f>'[1]Strohs Plant in Service'!$F20</f>
        <v>6103.76</v>
      </c>
      <c r="Z17" s="248"/>
      <c r="AA17" s="294">
        <f>'[1]Strohs Plant in Service'!$G$11/12</f>
        <v>6</v>
      </c>
      <c r="AB17" s="219">
        <f>('[1]Strohs Plant in Service'!$G20-'[1]Strohs Plant in Service'!$H20)/12</f>
        <v>6</v>
      </c>
      <c r="AC17" s="219">
        <f>'[1]Strohs Plant in Service'!$I20</f>
        <v>0</v>
      </c>
      <c r="AD17" s="219"/>
      <c r="AE17" s="220">
        <f>'[1]Strohs Plant in Service'!$J20</f>
        <v>6103.76</v>
      </c>
      <c r="AF17" s="221">
        <v>0</v>
      </c>
      <c r="AG17" s="204"/>
      <c r="AH17" s="451" t="str">
        <f>'[1]Strohs CIAC'!$C20</f>
        <v>Mains, Tanks and Reservoirs (50)</v>
      </c>
      <c r="AI17" s="174" t="str">
        <f>'[1]Strohs CIAC'!$D20</f>
        <v>Mains (CIAC) - Strohs</v>
      </c>
      <c r="AJ17" s="179">
        <f>'[1]Strohs CIAC'!$E20</f>
        <v>45231</v>
      </c>
      <c r="AK17" s="247">
        <f>'[1]Strohs CIAC'!$F20</f>
        <v>187</v>
      </c>
      <c r="AL17" s="248"/>
      <c r="AM17" s="294">
        <f>'[1]Strohs CIAC'!$G20/12</f>
        <v>30</v>
      </c>
      <c r="AN17" s="219">
        <f>('[1]Strohs CIAC'!$G20-'[1]Strohs CIAC'!$H20)/12</f>
        <v>15.833333333333334</v>
      </c>
      <c r="AO17" s="219">
        <f>'[1]Strohs CIAC'!$I20</f>
        <v>6.2333333333333343</v>
      </c>
      <c r="AP17" s="219"/>
      <c r="AQ17" s="220">
        <f>'[1]Strohs CIAC'!$J20</f>
        <v>99.22</v>
      </c>
      <c r="AR17" s="221">
        <f t="shared" si="3"/>
        <v>87.78</v>
      </c>
      <c r="AT17" s="199" t="s">
        <v>327</v>
      </c>
      <c r="AU17" s="197">
        <v>20</v>
      </c>
      <c r="AW17" s="197" t="s">
        <v>46</v>
      </c>
      <c r="AX17" s="197" t="s">
        <v>45</v>
      </c>
      <c r="AY17" s="628"/>
      <c r="AZ17" s="470">
        <v>0.75</v>
      </c>
      <c r="BA17" s="466" t="s">
        <v>720</v>
      </c>
      <c r="BB17" s="211">
        <v>169</v>
      </c>
      <c r="BC17" s="211">
        <v>164</v>
      </c>
      <c r="BD17" s="211">
        <v>132</v>
      </c>
      <c r="BE17" s="211">
        <v>191</v>
      </c>
      <c r="BF17" s="211">
        <v>289</v>
      </c>
      <c r="BG17" s="211">
        <v>310</v>
      </c>
      <c r="BH17" s="211">
        <v>2381</v>
      </c>
      <c r="BI17" s="211">
        <v>2139</v>
      </c>
      <c r="BJ17" s="211">
        <v>758</v>
      </c>
      <c r="BK17" s="211">
        <v>271</v>
      </c>
      <c r="BL17" s="211">
        <v>130</v>
      </c>
      <c r="BM17" s="211">
        <v>209</v>
      </c>
      <c r="BO17" s="28">
        <f t="shared" si="4"/>
        <v>595.25</v>
      </c>
      <c r="BP17" s="28">
        <f t="shared" si="5"/>
        <v>7143</v>
      </c>
      <c r="BS17" s="217"/>
      <c r="BT17" s="217"/>
      <c r="BU17" s="134"/>
      <c r="BV17" s="217"/>
      <c r="BW17" s="217"/>
      <c r="BX17" s="217"/>
    </row>
    <row r="18" spans="1:76" ht="15.95" customHeight="1" x14ac:dyDescent="0.25">
      <c r="A18" s="84" t="s">
        <v>156</v>
      </c>
      <c r="B18" s="703"/>
      <c r="D18" s="82" t="s">
        <v>297</v>
      </c>
      <c r="E18" s="162">
        <v>0</v>
      </c>
      <c r="F18" s="111" t="s">
        <v>164</v>
      </c>
      <c r="G18" s="26">
        <f>SUM(G8:G17)</f>
        <v>-12182.35</v>
      </c>
      <c r="I18" s="127" t="s">
        <v>343</v>
      </c>
      <c r="J18" s="167">
        <v>0</v>
      </c>
      <c r="K18" s="168">
        <f>'[1]IS Linksheet'!$D17</f>
        <v>0</v>
      </c>
      <c r="L18" s="240"/>
      <c r="M18" s="240"/>
      <c r="N18" s="169">
        <f>'[1]IS Linksheet'!$G17</f>
        <v>0</v>
      </c>
      <c r="P18" s="445">
        <v>2023</v>
      </c>
      <c r="Q18" s="174" t="s">
        <v>515</v>
      </c>
      <c r="R18" s="175" t="s">
        <v>517</v>
      </c>
      <c r="S18" s="174">
        <v>8997848</v>
      </c>
      <c r="T18" s="176">
        <v>5.5899999999999998E-2</v>
      </c>
      <c r="V18" s="449" t="str">
        <f>'[1]Strohs Plant in Service'!$C21</f>
        <v>Plant, Other (40)</v>
      </c>
      <c r="W18" s="292" t="str">
        <f>'[1]Strohs Plant in Service'!$D21</f>
        <v>Water Sys Plans - Strohs</v>
      </c>
      <c r="X18" s="293">
        <f>'[1]Strohs Plant in Service'!$E21</f>
        <v>45231</v>
      </c>
      <c r="Y18" s="297">
        <f>'[1]Strohs Plant in Service'!$F21</f>
        <v>376.6</v>
      </c>
      <c r="Z18" s="248"/>
      <c r="AA18" s="294">
        <f>'[1]Strohs Plant in Service'!$G$11/12</f>
        <v>6</v>
      </c>
      <c r="AB18" s="219">
        <f>('[1]Strohs Plant in Service'!$G21-'[1]Strohs Plant in Service'!$H21)/12</f>
        <v>1.4166666666666667</v>
      </c>
      <c r="AC18" s="219">
        <f>'[1]Strohs Plant in Service'!$I21</f>
        <v>62.766666666666673</v>
      </c>
      <c r="AD18" s="219"/>
      <c r="AE18" s="220">
        <f>'[1]Strohs Plant in Service'!$J21</f>
        <v>94.14</v>
      </c>
      <c r="AF18" s="221">
        <v>282.46000000000004</v>
      </c>
      <c r="AG18" s="204"/>
      <c r="AH18" s="451" t="str">
        <f>'[1]Strohs CIAC'!$C21</f>
        <v>Mains, Tanks and Reservoirs (50)</v>
      </c>
      <c r="AI18" s="174" t="str">
        <f>'[1]Strohs CIAC'!$D21</f>
        <v>Mains (CIAC) - Strohs</v>
      </c>
      <c r="AJ18" s="179">
        <f>'[1]Strohs CIAC'!$E21</f>
        <v>45231</v>
      </c>
      <c r="AK18" s="247">
        <f>'[1]Strohs CIAC'!$F21</f>
        <v>916.96</v>
      </c>
      <c r="AL18" s="248"/>
      <c r="AM18" s="294">
        <f>'[1]Strohs CIAC'!$G21/12</f>
        <v>30</v>
      </c>
      <c r="AN18" s="219">
        <f>('[1]Strohs CIAC'!$G21-'[1]Strohs CIAC'!$H21)/12</f>
        <v>21.666666666666668</v>
      </c>
      <c r="AO18" s="219">
        <f>'[1]Strohs CIAC'!$I21</f>
        <v>30.565333333333335</v>
      </c>
      <c r="AP18" s="219"/>
      <c r="AQ18" s="220">
        <f>'[1]Strohs CIAC'!$J21</f>
        <v>664.83</v>
      </c>
      <c r="AR18" s="221">
        <f t="shared" si="3"/>
        <v>252.13</v>
      </c>
      <c r="AT18" s="199" t="s">
        <v>329</v>
      </c>
      <c r="AU18" s="197">
        <v>25</v>
      </c>
      <c r="AW18" s="197" t="s">
        <v>47</v>
      </c>
      <c r="AX18" s="197" t="s">
        <v>46</v>
      </c>
      <c r="AY18" s="628"/>
      <c r="AZ18" s="470">
        <v>0.75</v>
      </c>
      <c r="BA18" s="466" t="s">
        <v>721</v>
      </c>
      <c r="BB18" s="211">
        <v>443</v>
      </c>
      <c r="BC18" s="211">
        <v>229</v>
      </c>
      <c r="BD18" s="211">
        <v>214</v>
      </c>
      <c r="BE18" s="211">
        <v>644</v>
      </c>
      <c r="BF18" s="211">
        <v>477</v>
      </c>
      <c r="BG18" s="211">
        <v>277</v>
      </c>
      <c r="BH18" s="211">
        <v>6796</v>
      </c>
      <c r="BI18" s="211">
        <v>1398</v>
      </c>
      <c r="BJ18" s="211">
        <v>620</v>
      </c>
      <c r="BK18" s="211">
        <v>3046</v>
      </c>
      <c r="BL18" s="211">
        <v>254</v>
      </c>
      <c r="BM18" s="211">
        <v>180</v>
      </c>
      <c r="BO18" s="28">
        <f t="shared" si="4"/>
        <v>1214.8333333333333</v>
      </c>
      <c r="BP18" s="28">
        <f t="shared" si="5"/>
        <v>14578</v>
      </c>
      <c r="BS18" s="217"/>
      <c r="BT18" s="217"/>
      <c r="BU18" s="134"/>
      <c r="BV18" s="217"/>
      <c r="BW18" s="217"/>
      <c r="BX18" s="217"/>
    </row>
    <row r="19" spans="1:76" ht="15.95" customHeight="1" x14ac:dyDescent="0.25">
      <c r="A19" s="84" t="s">
        <v>158</v>
      </c>
      <c r="B19" s="703"/>
      <c r="D19" s="82" t="s">
        <v>306</v>
      </c>
      <c r="E19" s="162">
        <v>0</v>
      </c>
      <c r="F19" s="82"/>
      <c r="G19" s="161"/>
      <c r="I19" s="127" t="s">
        <v>234</v>
      </c>
      <c r="J19" s="167">
        <v>10663.4</v>
      </c>
      <c r="K19" s="168">
        <f>'[1]IS Linksheet'!$D18</f>
        <v>0</v>
      </c>
      <c r="L19" s="240"/>
      <c r="M19" s="240"/>
      <c r="N19" s="169">
        <f>'[1]IS Linksheet'!$G18</f>
        <v>0</v>
      </c>
      <c r="P19" s="445">
        <v>2024</v>
      </c>
      <c r="Q19" s="174" t="s">
        <v>515</v>
      </c>
      <c r="R19" s="175" t="s">
        <v>517</v>
      </c>
      <c r="S19" s="174">
        <v>9878568</v>
      </c>
      <c r="T19" s="176">
        <v>6.0600000000000001E-2</v>
      </c>
      <c r="V19" s="449" t="str">
        <f>'[1]Strohs Plant in Service'!$C22</f>
        <v>Plant, Other (40)</v>
      </c>
      <c r="W19" s="292" t="str">
        <f>'[1]Strohs Plant in Service'!$D22</f>
        <v>Water Sys Plans - Strohs</v>
      </c>
      <c r="X19" s="293">
        <f>'[1]Strohs Plant in Service'!$E22</f>
        <v>45231</v>
      </c>
      <c r="Y19" s="297">
        <f>'[1]Strohs Plant in Service'!$F22</f>
        <v>1206.83</v>
      </c>
      <c r="Z19" s="248"/>
      <c r="AA19" s="294">
        <f>'[1]Strohs Plant in Service'!$G$11/12</f>
        <v>6</v>
      </c>
      <c r="AB19" s="219">
        <f>('[1]Strohs Plant in Service'!$G22-'[1]Strohs Plant in Service'!$H22)/12</f>
        <v>1.4166666666666667</v>
      </c>
      <c r="AC19" s="219">
        <f>'[1]Strohs Plant in Service'!$I22</f>
        <v>201.13833333333332</v>
      </c>
      <c r="AD19" s="219"/>
      <c r="AE19" s="220">
        <f>'[1]Strohs Plant in Service'!$J22</f>
        <v>301.69</v>
      </c>
      <c r="AF19" s="221">
        <v>905.13999999999987</v>
      </c>
      <c r="AG19" s="204"/>
      <c r="AH19" s="451" t="str">
        <f>'[1]Strohs CIAC'!$C22</f>
        <v>Mains, Tanks and Reservoirs (50)</v>
      </c>
      <c r="AI19" s="174" t="str">
        <f>'[1]Strohs CIAC'!$D22</f>
        <v>Mains (CIAC) - Strohs</v>
      </c>
      <c r="AJ19" s="179">
        <f>'[1]Strohs CIAC'!$E22</f>
        <v>45231</v>
      </c>
      <c r="AK19" s="247">
        <f>'[1]Strohs CIAC'!$F22</f>
        <v>23369.59</v>
      </c>
      <c r="AL19" s="248"/>
      <c r="AM19" s="294">
        <f>'[1]Strohs CIAC'!$G22/12</f>
        <v>30</v>
      </c>
      <c r="AN19" s="219">
        <f>('[1]Strohs CIAC'!$G22-'[1]Strohs CIAC'!$H22)/12</f>
        <v>22</v>
      </c>
      <c r="AO19" s="219">
        <f>'[1]Strohs CIAC'!$I22</f>
        <v>778.98633333333339</v>
      </c>
      <c r="AP19" s="219"/>
      <c r="AQ19" s="220">
        <f>'[1]Strohs CIAC'!$J22</f>
        <v>17202.669999999998</v>
      </c>
      <c r="AR19" s="221">
        <f t="shared" si="3"/>
        <v>6166.9200000000019</v>
      </c>
      <c r="AT19" s="199" t="s">
        <v>328</v>
      </c>
      <c r="AU19" s="197">
        <v>30</v>
      </c>
      <c r="AW19" s="197" t="s">
        <v>48</v>
      </c>
      <c r="AX19" s="197" t="s">
        <v>47</v>
      </c>
      <c r="AY19" s="628"/>
      <c r="AZ19" s="470">
        <v>0.75</v>
      </c>
      <c r="BA19" s="466" t="s">
        <v>722</v>
      </c>
      <c r="BB19" s="211">
        <v>562</v>
      </c>
      <c r="BC19" s="211">
        <v>427</v>
      </c>
      <c r="BD19" s="211">
        <v>389</v>
      </c>
      <c r="BE19" s="211">
        <v>477</v>
      </c>
      <c r="BF19" s="211">
        <v>496</v>
      </c>
      <c r="BG19" s="211">
        <v>890</v>
      </c>
      <c r="BH19" s="211">
        <v>1544</v>
      </c>
      <c r="BI19" s="211">
        <v>1914</v>
      </c>
      <c r="BJ19" s="211">
        <v>534</v>
      </c>
      <c r="BK19" s="211">
        <v>583</v>
      </c>
      <c r="BL19" s="211">
        <v>445</v>
      </c>
      <c r="BM19" s="211">
        <v>439</v>
      </c>
      <c r="BO19" s="28">
        <f t="shared" si="4"/>
        <v>725</v>
      </c>
      <c r="BP19" s="28">
        <f t="shared" si="5"/>
        <v>8700</v>
      </c>
      <c r="BS19" s="217"/>
      <c r="BT19" s="217"/>
      <c r="BU19" s="134"/>
      <c r="BV19" s="217"/>
      <c r="BW19" s="217"/>
      <c r="BX19" s="217"/>
    </row>
    <row r="20" spans="1:76" ht="15.95" customHeight="1" x14ac:dyDescent="0.25">
      <c r="A20" s="84" t="s">
        <v>175</v>
      </c>
      <c r="B20" s="703"/>
      <c r="D20" s="82" t="s">
        <v>307</v>
      </c>
      <c r="E20" s="162">
        <v>0</v>
      </c>
      <c r="F20" s="82" t="s">
        <v>298</v>
      </c>
      <c r="G20" s="162">
        <v>0</v>
      </c>
      <c r="I20" s="127" t="s">
        <v>179</v>
      </c>
      <c r="J20" s="218">
        <v>35914.92</v>
      </c>
      <c r="K20" s="168">
        <f>'[1]IS Linksheet'!$D19</f>
        <v>0</v>
      </c>
      <c r="L20" s="240"/>
      <c r="M20" s="240"/>
      <c r="N20" s="169">
        <f>'[1]IS Linksheet'!$G19</f>
        <v>216</v>
      </c>
      <c r="P20" s="173"/>
      <c r="Q20" s="174"/>
      <c r="R20" s="175"/>
      <c r="S20" s="174"/>
      <c r="T20" s="176"/>
      <c r="U20" s="137"/>
      <c r="V20" s="449" t="str">
        <f>'[1]Strohs Plant in Service'!$C23</f>
        <v>Plant, Other (40)</v>
      </c>
      <c r="W20" s="292" t="str">
        <f>'[1]Strohs Plant in Service'!$D23</f>
        <v>Water Sys Plans - Strohs</v>
      </c>
      <c r="X20" s="293">
        <f>'[1]Strohs Plant in Service'!$E23</f>
        <v>45231</v>
      </c>
      <c r="Y20" s="297">
        <f>'[1]Strohs Plant in Service'!$F23</f>
        <v>14427.43</v>
      </c>
      <c r="Z20" s="248"/>
      <c r="AA20" s="294">
        <f>'[1]Strohs Plant in Service'!$G$11/12</f>
        <v>6</v>
      </c>
      <c r="AB20" s="219">
        <f>('[1]Strohs Plant in Service'!$G23-'[1]Strohs Plant in Service'!$H23)/12</f>
        <v>1.4166666666666667</v>
      </c>
      <c r="AC20" s="219">
        <f>'[1]Strohs Plant in Service'!$I23</f>
        <v>2404.5716666666667</v>
      </c>
      <c r="AD20" s="219"/>
      <c r="AE20" s="220">
        <f>'[1]Strohs Plant in Service'!$J23</f>
        <v>3606.84</v>
      </c>
      <c r="AF20" s="221">
        <v>10820.59</v>
      </c>
      <c r="AG20" s="204"/>
      <c r="AH20" s="451" t="str">
        <f>'[1]Strohs CIAC'!$C23</f>
        <v>Mains, Tanks and Reservoirs (50)</v>
      </c>
      <c r="AI20" s="174" t="str">
        <f>'[1]Strohs CIAC'!$D23</f>
        <v>Mains (CIAC) - Strohs</v>
      </c>
      <c r="AJ20" s="179">
        <f>'[1]Strohs CIAC'!$E23</f>
        <v>45231</v>
      </c>
      <c r="AK20" s="247">
        <f>'[1]Strohs CIAC'!$F23</f>
        <v>334.87</v>
      </c>
      <c r="AL20" s="248"/>
      <c r="AM20" s="294">
        <f>'[1]Strohs CIAC'!$G23/12</f>
        <v>30</v>
      </c>
      <c r="AN20" s="219">
        <f>('[1]Strohs CIAC'!$G23-'[1]Strohs CIAC'!$H23)/12</f>
        <v>20.166666666666668</v>
      </c>
      <c r="AO20" s="219">
        <f>'[1]Strohs CIAC'!$I23</f>
        <v>11.162333333333333</v>
      </c>
      <c r="AP20" s="219"/>
      <c r="AQ20" s="220">
        <f>'[1]Strohs CIAC'!$J23</f>
        <v>226.03</v>
      </c>
      <c r="AR20" s="221">
        <f t="shared" si="3"/>
        <v>108.84</v>
      </c>
      <c r="AT20" s="199" t="s">
        <v>332</v>
      </c>
      <c r="AU20" s="197">
        <v>35</v>
      </c>
      <c r="AY20" s="628"/>
      <c r="AZ20" s="470">
        <v>0.75</v>
      </c>
      <c r="BA20" s="466" t="s">
        <v>723</v>
      </c>
      <c r="BB20" s="211">
        <v>121</v>
      </c>
      <c r="BC20" s="211">
        <v>165</v>
      </c>
      <c r="BD20" s="211">
        <v>219</v>
      </c>
      <c r="BE20" s="211">
        <v>112</v>
      </c>
      <c r="BF20" s="211">
        <v>668</v>
      </c>
      <c r="BG20" s="211">
        <v>701</v>
      </c>
      <c r="BH20" s="211">
        <v>732</v>
      </c>
      <c r="BI20" s="211">
        <v>1404</v>
      </c>
      <c r="BJ20" s="211">
        <v>794</v>
      </c>
      <c r="BK20" s="211">
        <v>481</v>
      </c>
      <c r="BL20" s="211">
        <v>334</v>
      </c>
      <c r="BM20" s="211">
        <v>418</v>
      </c>
      <c r="BO20" s="28">
        <f t="shared" si="4"/>
        <v>512.41666666666663</v>
      </c>
      <c r="BP20" s="28">
        <f t="shared" si="5"/>
        <v>6149</v>
      </c>
      <c r="BS20" s="217"/>
      <c r="BT20" s="217"/>
      <c r="BU20" s="134"/>
      <c r="BV20" s="217"/>
      <c r="BW20" s="217"/>
      <c r="BX20" s="217"/>
    </row>
    <row r="21" spans="1:76" ht="15.95" customHeight="1" thickBot="1" x14ac:dyDescent="0.3">
      <c r="A21" s="84" t="s">
        <v>153</v>
      </c>
      <c r="B21" s="703"/>
      <c r="D21" s="82" t="s">
        <v>277</v>
      </c>
      <c r="E21" s="163">
        <v>0</v>
      </c>
      <c r="F21" s="82" t="s">
        <v>299</v>
      </c>
      <c r="G21" s="162">
        <v>0</v>
      </c>
      <c r="I21" s="127" t="s">
        <v>247</v>
      </c>
      <c r="J21" s="218">
        <v>1002.08</v>
      </c>
      <c r="K21" s="168">
        <f>'[1]IS Linksheet'!$D20</f>
        <v>-1002.08</v>
      </c>
      <c r="L21" s="240"/>
      <c r="M21" s="240"/>
      <c r="N21" s="169">
        <f>'[1]IS Linksheet'!$G20</f>
        <v>0</v>
      </c>
      <c r="P21" s="173"/>
      <c r="Q21" s="174"/>
      <c r="R21" s="175"/>
      <c r="S21" s="174"/>
      <c r="T21" s="176"/>
      <c r="U21" s="137"/>
      <c r="V21" s="449" t="str">
        <f>'[1]Strohs Plant in Service'!$C24</f>
        <v>Plant, Other (40)</v>
      </c>
      <c r="W21" s="292" t="str">
        <f>'[1]Strohs Plant in Service'!$D24</f>
        <v>Water Sys Plans - Strohs</v>
      </c>
      <c r="X21" s="293">
        <f>'[1]Strohs Plant in Service'!$E24</f>
        <v>45231</v>
      </c>
      <c r="Y21" s="297">
        <f>'[1]Strohs Plant in Service'!$F24</f>
        <v>10065.25</v>
      </c>
      <c r="Z21" s="248"/>
      <c r="AA21" s="294">
        <f>'[1]Strohs Plant in Service'!$G$11/12</f>
        <v>6</v>
      </c>
      <c r="AB21" s="219">
        <f>('[1]Strohs Plant in Service'!$G24-'[1]Strohs Plant in Service'!$H24)/12</f>
        <v>1.4166666666666667</v>
      </c>
      <c r="AC21" s="219">
        <f>'[1]Strohs Plant in Service'!$I24</f>
        <v>1677.5416666666665</v>
      </c>
      <c r="AD21" s="219"/>
      <c r="AE21" s="220">
        <f>'[1]Strohs Plant in Service'!$J24</f>
        <v>2516.3200000000002</v>
      </c>
      <c r="AF21" s="221">
        <v>7548.93</v>
      </c>
      <c r="AG21" s="204"/>
      <c r="AH21" s="451" t="str">
        <f>'[1]Strohs CIAC'!$C24</f>
        <v>Mains, Tanks and Reservoirs (50)</v>
      </c>
      <c r="AI21" s="174" t="str">
        <f>'[1]Strohs CIAC'!$D24</f>
        <v>Mains (CIAC) - Strohs</v>
      </c>
      <c r="AJ21" s="179">
        <f>'[1]Strohs CIAC'!$E24</f>
        <v>45231</v>
      </c>
      <c r="AK21" s="247">
        <f>'[1]Strohs CIAC'!$F24</f>
        <v>14798.54</v>
      </c>
      <c r="AL21" s="248"/>
      <c r="AM21" s="294">
        <f>'[1]Strohs CIAC'!$G24/12</f>
        <v>30</v>
      </c>
      <c r="AN21" s="219">
        <f>('[1]Strohs CIAC'!$G24-'[1]Strohs CIAC'!$H24)/12</f>
        <v>12.916666666666666</v>
      </c>
      <c r="AO21" s="219">
        <f>'[1]Strohs CIAC'!$I24</f>
        <v>493.28466666666674</v>
      </c>
      <c r="AP21" s="219"/>
      <c r="AQ21" s="220">
        <f>'[1]Strohs CIAC'!$J24</f>
        <v>6412.74</v>
      </c>
      <c r="AR21" s="221">
        <f t="shared" si="3"/>
        <v>8385.8000000000011</v>
      </c>
      <c r="AT21" s="199" t="s">
        <v>326</v>
      </c>
      <c r="AU21" s="197">
        <v>35</v>
      </c>
      <c r="AY21" s="628"/>
      <c r="AZ21" s="470">
        <v>0.75</v>
      </c>
      <c r="BA21" s="466" t="s">
        <v>724</v>
      </c>
      <c r="BB21" s="211">
        <v>222</v>
      </c>
      <c r="BC21" s="211">
        <v>179</v>
      </c>
      <c r="BD21" s="211">
        <v>192</v>
      </c>
      <c r="BE21" s="211">
        <v>212</v>
      </c>
      <c r="BF21" s="211">
        <v>237</v>
      </c>
      <c r="BG21" s="211">
        <v>289</v>
      </c>
      <c r="BH21" s="211">
        <v>439</v>
      </c>
      <c r="BI21" s="211">
        <v>463</v>
      </c>
      <c r="BJ21" s="211">
        <v>299</v>
      </c>
      <c r="BK21" s="211">
        <v>293</v>
      </c>
      <c r="BL21" s="211">
        <v>201</v>
      </c>
      <c r="BM21" s="211">
        <v>228</v>
      </c>
      <c r="BO21" s="28">
        <f t="shared" si="4"/>
        <v>271.16666666666669</v>
      </c>
      <c r="BP21" s="28">
        <f t="shared" si="5"/>
        <v>3254</v>
      </c>
      <c r="BS21" s="217"/>
      <c r="BT21" s="217"/>
      <c r="BU21" s="134"/>
      <c r="BV21" s="217"/>
      <c r="BW21" s="217"/>
      <c r="BX21" s="217"/>
    </row>
    <row r="22" spans="1:76" ht="15.95" customHeight="1" x14ac:dyDescent="0.25">
      <c r="A22" s="84" t="s">
        <v>155</v>
      </c>
      <c r="B22" s="703"/>
      <c r="D22" s="111" t="s">
        <v>161</v>
      </c>
      <c r="E22" s="26">
        <f>SUM(E8:E21)</f>
        <v>16290.060000000001</v>
      </c>
      <c r="F22" s="114" t="s">
        <v>290</v>
      </c>
      <c r="G22" s="162">
        <v>1780657.14</v>
      </c>
      <c r="I22" s="127" t="s">
        <v>22</v>
      </c>
      <c r="J22" s="218">
        <v>3241.05</v>
      </c>
      <c r="K22" s="168">
        <f>'[1]IS Linksheet'!$D21</f>
        <v>0</v>
      </c>
      <c r="L22" s="240"/>
      <c r="M22" s="240"/>
      <c r="N22" s="169">
        <f>'[1]IS Linksheet'!$G21</f>
        <v>0</v>
      </c>
      <c r="P22" s="173"/>
      <c r="Q22" s="174"/>
      <c r="R22" s="175"/>
      <c r="S22" s="174"/>
      <c r="T22" s="176"/>
      <c r="V22" s="449" t="str">
        <f>'[1]Strohs Plant in Service'!$C25</f>
        <v>Plant, Other (40)</v>
      </c>
      <c r="W22" s="292" t="str">
        <f>'[1]Strohs Plant in Service'!$D25</f>
        <v>Water Sys Plans - Strohs</v>
      </c>
      <c r="X22" s="293">
        <f>'[1]Strohs Plant in Service'!$E25</f>
        <v>45231</v>
      </c>
      <c r="Y22" s="297">
        <f>'[1]Strohs Plant in Service'!$F25</f>
        <v>5018.8599999999997</v>
      </c>
      <c r="Z22" s="248"/>
      <c r="AA22" s="294">
        <f>'[1]Strohs Plant in Service'!$G$11/12</f>
        <v>6</v>
      </c>
      <c r="AB22" s="219">
        <f>('[1]Strohs Plant in Service'!$G25-'[1]Strohs Plant in Service'!$H25)/12</f>
        <v>1.4166666666666667</v>
      </c>
      <c r="AC22" s="219">
        <f>'[1]Strohs Plant in Service'!$I25</f>
        <v>836.47666666666657</v>
      </c>
      <c r="AD22" s="219"/>
      <c r="AE22" s="220">
        <f>'[1]Strohs Plant in Service'!$J25</f>
        <v>1254.76</v>
      </c>
      <c r="AF22" s="221">
        <v>3764.0999999999995</v>
      </c>
      <c r="AG22" s="204"/>
      <c r="AH22" s="451" t="str">
        <f>'[1]Strohs CIAC'!$C25</f>
        <v>Mains, Tanks and Reservoirs (50)</v>
      </c>
      <c r="AI22" s="174" t="str">
        <f>'[1]Strohs CIAC'!$D25</f>
        <v>Mains (CIAC) - Strohs</v>
      </c>
      <c r="AJ22" s="179">
        <f>'[1]Strohs CIAC'!$E25</f>
        <v>45231</v>
      </c>
      <c r="AK22" s="247">
        <f>'[1]Strohs CIAC'!$F25</f>
        <v>9247.34</v>
      </c>
      <c r="AL22" s="248"/>
      <c r="AM22" s="294">
        <f>'[1]Strohs CIAC'!$G25/12</f>
        <v>30</v>
      </c>
      <c r="AN22" s="219">
        <f>('[1]Strohs CIAC'!$G25-'[1]Strohs CIAC'!$H25)/12</f>
        <v>12.916666666666666</v>
      </c>
      <c r="AO22" s="219">
        <f>'[1]Strohs CIAC'!$I25</f>
        <v>308.24466666666666</v>
      </c>
      <c r="AP22" s="219"/>
      <c r="AQ22" s="220">
        <f>'[1]Strohs CIAC'!$J25</f>
        <v>4007.22</v>
      </c>
      <c r="AR22" s="221">
        <f t="shared" si="3"/>
        <v>5240.1200000000008</v>
      </c>
      <c r="AT22" s="199" t="s">
        <v>325</v>
      </c>
      <c r="AU22" s="197">
        <v>40</v>
      </c>
      <c r="AY22" s="628"/>
      <c r="AZ22" s="470">
        <v>0.75</v>
      </c>
      <c r="BA22" s="466" t="s">
        <v>725</v>
      </c>
      <c r="BB22" s="211">
        <v>148</v>
      </c>
      <c r="BC22" s="211" t="s">
        <v>655</v>
      </c>
      <c r="BD22" s="211" t="s">
        <v>655</v>
      </c>
      <c r="BE22" s="211">
        <v>249</v>
      </c>
      <c r="BF22" s="211">
        <v>31</v>
      </c>
      <c r="BG22" s="211">
        <v>302</v>
      </c>
      <c r="BH22" s="211">
        <v>2469</v>
      </c>
      <c r="BI22" s="211">
        <v>2894</v>
      </c>
      <c r="BJ22" s="211">
        <v>1202</v>
      </c>
      <c r="BK22" s="211">
        <v>2948</v>
      </c>
      <c r="BL22" s="211" t="s">
        <v>655</v>
      </c>
      <c r="BM22" s="211" t="s">
        <v>655</v>
      </c>
      <c r="BO22" s="28">
        <f t="shared" si="4"/>
        <v>1280.375</v>
      </c>
      <c r="BP22" s="28">
        <f t="shared" si="5"/>
        <v>10243</v>
      </c>
      <c r="BS22" s="217"/>
      <c r="BT22" s="217"/>
      <c r="BU22" s="134"/>
      <c r="BV22" s="217"/>
      <c r="BW22" s="217"/>
      <c r="BX22" s="217"/>
    </row>
    <row r="23" spans="1:76" ht="15.95" customHeight="1" x14ac:dyDescent="0.25">
      <c r="A23" s="84" t="s">
        <v>157</v>
      </c>
      <c r="B23" s="703"/>
      <c r="D23" s="82"/>
      <c r="E23" s="161"/>
      <c r="F23" s="114" t="s">
        <v>291</v>
      </c>
      <c r="G23" s="162">
        <v>-983136.68</v>
      </c>
      <c r="H23" s="372" t="s">
        <v>484</v>
      </c>
      <c r="I23" s="127" t="s">
        <v>240</v>
      </c>
      <c r="J23" s="218">
        <v>0</v>
      </c>
      <c r="K23" s="168">
        <f>'[1]IS Linksheet'!$D22</f>
        <v>0</v>
      </c>
      <c r="L23" s="240"/>
      <c r="M23" s="240"/>
      <c r="N23" s="169">
        <f>'[1]IS Linksheet'!$G22</f>
        <v>0</v>
      </c>
      <c r="P23" s="173"/>
      <c r="Q23" s="174"/>
      <c r="R23" s="175"/>
      <c r="S23" s="174"/>
      <c r="T23" s="176"/>
      <c r="V23" s="449" t="str">
        <f>'[1]Strohs Plant in Service'!$C26</f>
        <v>Plant, Other (40)</v>
      </c>
      <c r="W23" s="292" t="str">
        <f>'[1]Strohs Plant in Service'!$D26</f>
        <v>Water Sys Plans - Strohs</v>
      </c>
      <c r="X23" s="293">
        <f>'[1]Strohs Plant in Service'!$E26</f>
        <v>45231</v>
      </c>
      <c r="Y23" s="297">
        <f>'[1]Strohs Plant in Service'!$F26</f>
        <v>32413.57</v>
      </c>
      <c r="Z23" s="248"/>
      <c r="AA23" s="294">
        <f>'[1]Strohs Plant in Service'!$G$11/12</f>
        <v>6</v>
      </c>
      <c r="AB23" s="219">
        <f>('[1]Strohs Plant in Service'!$G26-'[1]Strohs Plant in Service'!$H26)/12</f>
        <v>1.4166666666666667</v>
      </c>
      <c r="AC23" s="219">
        <f>'[1]Strohs Plant in Service'!$I26</f>
        <v>5402.2616666666672</v>
      </c>
      <c r="AD23" s="219"/>
      <c r="AE23" s="220">
        <f>'[1]Strohs Plant in Service'!$J26</f>
        <v>8103.41</v>
      </c>
      <c r="AF23" s="221">
        <v>24310.16</v>
      </c>
      <c r="AG23" s="204"/>
      <c r="AH23" s="451" t="str">
        <f>'[1]Strohs CIAC'!$C26</f>
        <v>Mains, Tanks and Reservoirs (50)</v>
      </c>
      <c r="AI23" s="174" t="str">
        <f>'[1]Strohs CIAC'!$D26</f>
        <v>Mains (CIAC) - Strohs</v>
      </c>
      <c r="AJ23" s="179">
        <f>'[1]Strohs CIAC'!$E26</f>
        <v>45231</v>
      </c>
      <c r="AK23" s="247">
        <f>'[1]Strohs CIAC'!$F26</f>
        <v>7711.52</v>
      </c>
      <c r="AL23" s="248"/>
      <c r="AM23" s="294">
        <f>'[1]Strohs CIAC'!$G26/12</f>
        <v>30</v>
      </c>
      <c r="AN23" s="219">
        <f>('[1]Strohs CIAC'!$G26-'[1]Strohs CIAC'!$H26)/12</f>
        <v>12.916666666666666</v>
      </c>
      <c r="AO23" s="219">
        <f>'[1]Strohs CIAC'!$I26</f>
        <v>257.05066666666664</v>
      </c>
      <c r="AP23" s="219"/>
      <c r="AQ23" s="220">
        <f>'[1]Strohs CIAC'!$J26</f>
        <v>3341.65</v>
      </c>
      <c r="AR23" s="221">
        <f t="shared" si="3"/>
        <v>4369.8700000000008</v>
      </c>
      <c r="AT23" s="199" t="s">
        <v>383</v>
      </c>
      <c r="AU23" s="197">
        <v>50</v>
      </c>
      <c r="AY23" s="628"/>
      <c r="AZ23" s="470">
        <v>0.75</v>
      </c>
      <c r="BA23" s="466" t="s">
        <v>726</v>
      </c>
      <c r="BB23" s="211">
        <v>491</v>
      </c>
      <c r="BC23" s="211">
        <v>510</v>
      </c>
      <c r="BD23" s="211">
        <v>440</v>
      </c>
      <c r="BE23" s="211">
        <v>588</v>
      </c>
      <c r="BF23" s="211">
        <v>468</v>
      </c>
      <c r="BG23" s="211">
        <v>645</v>
      </c>
      <c r="BH23" s="211">
        <v>838</v>
      </c>
      <c r="BI23" s="211">
        <v>943</v>
      </c>
      <c r="BJ23" s="211">
        <v>619</v>
      </c>
      <c r="BK23" s="211">
        <v>498</v>
      </c>
      <c r="BL23" s="211">
        <v>448</v>
      </c>
      <c r="BM23" s="211">
        <v>498</v>
      </c>
      <c r="BO23" s="28">
        <f t="shared" si="4"/>
        <v>582.16666666666663</v>
      </c>
      <c r="BP23" s="28">
        <f t="shared" si="5"/>
        <v>6986</v>
      </c>
      <c r="BS23" s="217"/>
      <c r="BT23" s="217"/>
      <c r="BU23" s="134"/>
      <c r="BV23" s="217"/>
      <c r="BW23" s="217"/>
      <c r="BX23" s="217"/>
    </row>
    <row r="24" spans="1:76" ht="15.95" customHeight="1" thickBot="1" x14ac:dyDescent="0.3">
      <c r="A24" s="85" t="s">
        <v>177</v>
      </c>
      <c r="B24" s="704"/>
      <c r="D24" s="82" t="s">
        <v>273</v>
      </c>
      <c r="E24" s="162">
        <v>5409495.1600000001</v>
      </c>
      <c r="F24" s="82" t="s">
        <v>300</v>
      </c>
      <c r="G24" s="163">
        <v>-165737.13</v>
      </c>
      <c r="H24" s="373">
        <f>+G24-S6</f>
        <v>-43959299.130000003</v>
      </c>
      <c r="I24" s="127" t="s">
        <v>239</v>
      </c>
      <c r="J24" s="218">
        <v>0</v>
      </c>
      <c r="K24" s="168">
        <f>'[1]IS Linksheet'!$D23</f>
        <v>0</v>
      </c>
      <c r="L24" s="240"/>
      <c r="M24" s="240"/>
      <c r="N24" s="169">
        <f>'[1]IS Linksheet'!$G23</f>
        <v>0</v>
      </c>
      <c r="P24" s="173"/>
      <c r="Q24" s="174"/>
      <c r="R24" s="175"/>
      <c r="S24" s="174"/>
      <c r="T24" s="176"/>
      <c r="V24" s="449" t="str">
        <f>'[1]Strohs Plant in Service'!$C27</f>
        <v>Plant, Other (40)</v>
      </c>
      <c r="W24" s="292" t="str">
        <f>'[1]Strohs Plant in Service'!$D27</f>
        <v>Water Sys Plans - Strohs</v>
      </c>
      <c r="X24" s="293">
        <f>'[1]Strohs Plant in Service'!$E27</f>
        <v>45231</v>
      </c>
      <c r="Y24" s="297">
        <f>'[1]Strohs Plant in Service'!$F27</f>
        <v>769.96</v>
      </c>
      <c r="Z24" s="248"/>
      <c r="AA24" s="294">
        <f>'[1]Strohs Plant in Service'!$G$11/12</f>
        <v>6</v>
      </c>
      <c r="AB24" s="219">
        <f>('[1]Strohs Plant in Service'!$G27-'[1]Strohs Plant in Service'!$H27)/12</f>
        <v>1.4166666666666667</v>
      </c>
      <c r="AC24" s="219">
        <f>'[1]Strohs Plant in Service'!$I27</f>
        <v>128.32666666666665</v>
      </c>
      <c r="AD24" s="219"/>
      <c r="AE24" s="220">
        <f>'[1]Strohs Plant in Service'!$J27</f>
        <v>192.44</v>
      </c>
      <c r="AF24" s="221">
        <v>577.52</v>
      </c>
      <c r="AG24" s="204"/>
      <c r="AH24" s="451" t="str">
        <f>'[1]Strohs CIAC'!$C27</f>
        <v>Mains, Tanks and Reservoirs (50)</v>
      </c>
      <c r="AI24" s="174" t="str">
        <f>'[1]Strohs CIAC'!$D27</f>
        <v>Mains (CIAC) - Strohs</v>
      </c>
      <c r="AJ24" s="179">
        <f>'[1]Strohs CIAC'!$E27</f>
        <v>45231</v>
      </c>
      <c r="AK24" s="247">
        <f>'[1]Strohs CIAC'!$F27</f>
        <v>2984.37</v>
      </c>
      <c r="AL24" s="248"/>
      <c r="AM24" s="294">
        <f>'[1]Strohs CIAC'!$G27/12</f>
        <v>30</v>
      </c>
      <c r="AN24" s="219">
        <f>('[1]Strohs CIAC'!$G27-'[1]Strohs CIAC'!$H27)/12</f>
        <v>12.916666666666666</v>
      </c>
      <c r="AO24" s="219">
        <f>'[1]Strohs CIAC'!$I27</f>
        <v>99.478999999999999</v>
      </c>
      <c r="AP24" s="219"/>
      <c r="AQ24" s="220">
        <f>'[1]Strohs CIAC'!$J27</f>
        <v>1293.23</v>
      </c>
      <c r="AR24" s="221">
        <f t="shared" si="3"/>
        <v>1691.1399999999999</v>
      </c>
      <c r="AY24" s="628"/>
      <c r="AZ24" s="470">
        <v>1</v>
      </c>
      <c r="BA24" s="466" t="s">
        <v>727</v>
      </c>
      <c r="BB24" s="211">
        <v>705</v>
      </c>
      <c r="BC24" s="211">
        <v>714</v>
      </c>
      <c r="BD24" s="211">
        <v>734</v>
      </c>
      <c r="BE24" s="211">
        <v>779</v>
      </c>
      <c r="BF24" s="211">
        <v>699</v>
      </c>
      <c r="BG24" s="211">
        <v>1698</v>
      </c>
      <c r="BH24" s="211">
        <v>4241</v>
      </c>
      <c r="BI24" s="211">
        <v>3634</v>
      </c>
      <c r="BJ24" s="211">
        <v>3438</v>
      </c>
      <c r="BK24" s="211">
        <v>1225</v>
      </c>
      <c r="BL24" s="211">
        <v>822</v>
      </c>
      <c r="BM24" s="211">
        <v>847</v>
      </c>
      <c r="BO24" s="28">
        <f t="shared" si="4"/>
        <v>1628</v>
      </c>
      <c r="BP24" s="28">
        <f t="shared" si="5"/>
        <v>19536</v>
      </c>
      <c r="BS24" s="217"/>
      <c r="BT24" s="217"/>
      <c r="BU24" s="134"/>
      <c r="BV24" s="217"/>
      <c r="BW24" s="217"/>
      <c r="BX24" s="217"/>
    </row>
    <row r="25" spans="1:76" ht="15.95" customHeight="1" x14ac:dyDescent="0.25">
      <c r="A25" s="697" t="s">
        <v>356</v>
      </c>
      <c r="B25" s="698"/>
      <c r="D25" s="82" t="s">
        <v>295</v>
      </c>
      <c r="E25" s="162">
        <v>0</v>
      </c>
      <c r="F25" s="111" t="s">
        <v>301</v>
      </c>
      <c r="G25" s="26">
        <f>(G22-ABS(G23))+G20+G21+G24</f>
        <v>631783.32999999984</v>
      </c>
      <c r="I25" s="127" t="s">
        <v>344</v>
      </c>
      <c r="J25" s="218">
        <v>560</v>
      </c>
      <c r="K25" s="168">
        <f>'[1]IS Linksheet'!$D24</f>
        <v>0</v>
      </c>
      <c r="L25" s="240"/>
      <c r="M25" s="240"/>
      <c r="N25" s="169">
        <f>'[1]IS Linksheet'!$G24</f>
        <v>0</v>
      </c>
      <c r="P25" s="173"/>
      <c r="Q25" s="174"/>
      <c r="R25" s="175"/>
      <c r="S25" s="174"/>
      <c r="T25" s="176"/>
      <c r="V25" s="449" t="str">
        <f>'[1]Strohs Plant in Service'!$C28</f>
        <v>Plant, Other (40)</v>
      </c>
      <c r="W25" s="292" t="str">
        <f>'[1]Strohs Plant in Service'!$D28</f>
        <v>Water Sys Plans - Strohs</v>
      </c>
      <c r="X25" s="293">
        <f>'[1]Strohs Plant in Service'!$E28</f>
        <v>45231</v>
      </c>
      <c r="Y25" s="297">
        <f>'[1]Strohs Plant in Service'!$F28</f>
        <v>7207.33</v>
      </c>
      <c r="Z25" s="248"/>
      <c r="AA25" s="294">
        <f>'[1]Strohs Plant in Service'!$G$11/12</f>
        <v>6</v>
      </c>
      <c r="AB25" s="219">
        <f>('[1]Strohs Plant in Service'!$G28-'[1]Strohs Plant in Service'!$H28)/12</f>
        <v>1.4166666666666667</v>
      </c>
      <c r="AC25" s="219">
        <f>'[1]Strohs Plant in Service'!$I28</f>
        <v>1201.2216666666668</v>
      </c>
      <c r="AD25" s="219"/>
      <c r="AE25" s="220">
        <f>'[1]Strohs Plant in Service'!$J28</f>
        <v>1801.81</v>
      </c>
      <c r="AF25" s="221">
        <v>5405.52</v>
      </c>
      <c r="AG25" s="204"/>
      <c r="AH25" s="451" t="str">
        <f>'[1]Strohs CIAC'!$C28</f>
        <v>Mains, Tanks and Reservoirs (50)</v>
      </c>
      <c r="AI25" s="174" t="str">
        <f>'[1]Strohs CIAC'!$D28</f>
        <v>Mains (CIAC) - Strohs</v>
      </c>
      <c r="AJ25" s="179">
        <f>'[1]Strohs CIAC'!$E28</f>
        <v>45231</v>
      </c>
      <c r="AK25" s="247">
        <f>'[1]Strohs CIAC'!$F28</f>
        <v>1556.09</v>
      </c>
      <c r="AL25" s="248"/>
      <c r="AM25" s="294">
        <f>'[1]Strohs CIAC'!$G28/12</f>
        <v>30</v>
      </c>
      <c r="AN25" s="219">
        <f>('[1]Strohs CIAC'!$G28-'[1]Strohs CIAC'!$H28)/12</f>
        <v>12.916666666666666</v>
      </c>
      <c r="AO25" s="219">
        <f>'[1]Strohs CIAC'!$I28</f>
        <v>51.869666666666667</v>
      </c>
      <c r="AP25" s="219"/>
      <c r="AQ25" s="220">
        <f>'[1]Strohs CIAC'!$J28</f>
        <v>674.27</v>
      </c>
      <c r="AR25" s="221">
        <f t="shared" si="3"/>
        <v>881.81999999999994</v>
      </c>
      <c r="AY25" s="628"/>
      <c r="AZ25" s="470">
        <v>0.75</v>
      </c>
      <c r="BA25" s="466" t="s">
        <v>728</v>
      </c>
      <c r="BB25" s="211">
        <v>493</v>
      </c>
      <c r="BC25" s="211">
        <v>425</v>
      </c>
      <c r="BD25" s="211">
        <v>444</v>
      </c>
      <c r="BE25" s="211">
        <v>312</v>
      </c>
      <c r="BF25" s="211">
        <v>520</v>
      </c>
      <c r="BG25" s="211">
        <v>3397</v>
      </c>
      <c r="BH25" s="211">
        <v>4335</v>
      </c>
      <c r="BI25" s="211">
        <v>3844</v>
      </c>
      <c r="BJ25" s="211">
        <v>2104</v>
      </c>
      <c r="BK25" s="211">
        <v>222</v>
      </c>
      <c r="BL25" s="211">
        <v>2378</v>
      </c>
      <c r="BM25" s="211">
        <v>400</v>
      </c>
      <c r="BO25" s="28">
        <f t="shared" si="4"/>
        <v>1572.8333333333333</v>
      </c>
      <c r="BP25" s="28">
        <f t="shared" si="5"/>
        <v>18874</v>
      </c>
      <c r="BS25" s="217"/>
      <c r="BT25" s="217"/>
      <c r="BU25" s="134"/>
      <c r="BV25" s="217"/>
      <c r="BW25" s="217"/>
      <c r="BX25" s="217"/>
    </row>
    <row r="26" spans="1:76" ht="15.95" customHeight="1" thickBot="1" x14ac:dyDescent="0.3">
      <c r="A26" s="212" t="s">
        <v>361</v>
      </c>
      <c r="B26" s="213">
        <v>19</v>
      </c>
      <c r="D26" s="82" t="s">
        <v>30</v>
      </c>
      <c r="E26" s="162">
        <v>-1848093.37</v>
      </c>
      <c r="F26" s="82"/>
      <c r="G26" s="194"/>
      <c r="I26" s="127" t="s">
        <v>345</v>
      </c>
      <c r="J26" s="218">
        <v>2129.92</v>
      </c>
      <c r="K26" s="168">
        <f>'[1]IS Linksheet'!$D25</f>
        <v>0</v>
      </c>
      <c r="L26" s="240"/>
      <c r="M26" s="240"/>
      <c r="N26" s="169">
        <f>'[1]IS Linksheet'!$G25</f>
        <v>0</v>
      </c>
      <c r="P26" s="173"/>
      <c r="Q26" s="174"/>
      <c r="R26" s="175"/>
      <c r="S26" s="174"/>
      <c r="T26" s="176"/>
      <c r="V26" s="449" t="str">
        <f>'[1]Strohs Plant in Service'!$C29</f>
        <v>Plant, Other (40)</v>
      </c>
      <c r="W26" s="292" t="str">
        <f>'[1]Strohs Plant in Service'!$D29</f>
        <v>Water Sys Plans - Strohs</v>
      </c>
      <c r="X26" s="293">
        <f>'[1]Strohs Plant in Service'!$E29</f>
        <v>45231</v>
      </c>
      <c r="Y26" s="297">
        <f>'[1]Strohs Plant in Service'!$F29</f>
        <v>4352.6400000000003</v>
      </c>
      <c r="Z26" s="248"/>
      <c r="AA26" s="294">
        <f>'[1]Strohs Plant in Service'!$G$11/12</f>
        <v>6</v>
      </c>
      <c r="AB26" s="219">
        <f>('[1]Strohs Plant in Service'!$G29-'[1]Strohs Plant in Service'!$H29)/12</f>
        <v>1.4166666666666667</v>
      </c>
      <c r="AC26" s="219">
        <f>'[1]Strohs Plant in Service'!$I29</f>
        <v>725.44</v>
      </c>
      <c r="AD26" s="219"/>
      <c r="AE26" s="220">
        <f>'[1]Strohs Plant in Service'!$J29</f>
        <v>1088.1199999999999</v>
      </c>
      <c r="AF26" s="221">
        <v>3264.5200000000004</v>
      </c>
      <c r="AG26" s="204"/>
      <c r="AH26" s="451" t="str">
        <f>'[1]Strohs CIAC'!$C29</f>
        <v>Mains, Tanks and Reservoirs (50)</v>
      </c>
      <c r="AI26" s="174" t="str">
        <f>'[1]Strohs CIAC'!$D29</f>
        <v>Mains (CIAC) - Strohs</v>
      </c>
      <c r="AJ26" s="179">
        <f>'[1]Strohs CIAC'!$E29</f>
        <v>45231</v>
      </c>
      <c r="AK26" s="247">
        <f>'[1]Strohs CIAC'!$F29</f>
        <v>2902.81</v>
      </c>
      <c r="AL26" s="248"/>
      <c r="AM26" s="294">
        <f>'[1]Strohs CIAC'!$G29/12</f>
        <v>30</v>
      </c>
      <c r="AN26" s="219">
        <f>('[1]Strohs CIAC'!$G29-'[1]Strohs CIAC'!$H29)/12</f>
        <v>12.916666666666666</v>
      </c>
      <c r="AO26" s="219">
        <f>'[1]Strohs CIAC'!$I29</f>
        <v>96.760333333333321</v>
      </c>
      <c r="AP26" s="219"/>
      <c r="AQ26" s="220">
        <f>'[1]Strohs CIAC'!$J29</f>
        <v>1257.8399999999999</v>
      </c>
      <c r="AR26" s="221">
        <f t="shared" si="3"/>
        <v>1644.97</v>
      </c>
      <c r="AT26" s="271" t="s">
        <v>385</v>
      </c>
      <c r="AW26" s="123">
        <f>+AF6</f>
        <v>3554584.160000002</v>
      </c>
      <c r="AY26" s="628"/>
      <c r="AZ26" s="470">
        <v>0.75</v>
      </c>
      <c r="BA26" s="466" t="s">
        <v>729</v>
      </c>
      <c r="BB26" s="211">
        <v>132</v>
      </c>
      <c r="BC26" s="211">
        <v>154</v>
      </c>
      <c r="BD26" s="211">
        <v>230</v>
      </c>
      <c r="BE26" s="211">
        <v>217</v>
      </c>
      <c r="BF26" s="211">
        <v>2267</v>
      </c>
      <c r="BG26" s="211">
        <v>2723</v>
      </c>
      <c r="BH26" s="211">
        <v>5311</v>
      </c>
      <c r="BI26" s="211">
        <v>10525</v>
      </c>
      <c r="BJ26" s="211">
        <v>9148</v>
      </c>
      <c r="BK26" s="211">
        <v>3373</v>
      </c>
      <c r="BL26" s="211">
        <v>100</v>
      </c>
      <c r="BM26" s="211">
        <v>252</v>
      </c>
      <c r="BO26" s="28">
        <f t="shared" si="4"/>
        <v>2869.3333333333335</v>
      </c>
      <c r="BP26" s="28">
        <f t="shared" si="5"/>
        <v>34432</v>
      </c>
      <c r="BS26" s="217"/>
      <c r="BT26" s="217"/>
      <c r="BU26" s="134"/>
      <c r="BV26" s="217"/>
      <c r="BW26" s="217"/>
      <c r="BX26" s="217"/>
    </row>
    <row r="27" spans="1:76" ht="15.95" customHeight="1" x14ac:dyDescent="0.25">
      <c r="A27" s="84" t="s">
        <v>357</v>
      </c>
      <c r="B27" s="214"/>
      <c r="D27" s="82" t="s">
        <v>308</v>
      </c>
      <c r="E27" s="162">
        <v>199760.15</v>
      </c>
      <c r="F27" s="111" t="s">
        <v>314</v>
      </c>
      <c r="G27" s="26">
        <f>G25+G18</f>
        <v>619600.97999999986</v>
      </c>
      <c r="I27" s="127" t="s">
        <v>180</v>
      </c>
      <c r="J27" s="218">
        <v>26466.95</v>
      </c>
      <c r="K27" s="168">
        <f>'[1]IS Linksheet'!$D26</f>
        <v>-26466.95</v>
      </c>
      <c r="L27" s="240"/>
      <c r="M27" s="240"/>
      <c r="N27" s="169">
        <f>'[1]IS Linksheet'!$G26</f>
        <v>0</v>
      </c>
      <c r="P27" s="173"/>
      <c r="Q27" s="174"/>
      <c r="R27" s="175"/>
      <c r="S27" s="174"/>
      <c r="T27" s="176"/>
      <c r="V27" s="449" t="str">
        <f>'[1]Strohs Plant in Service'!$C30</f>
        <v>Plant, Other (40)</v>
      </c>
      <c r="W27" s="292" t="str">
        <f>'[1]Strohs Plant in Service'!$D30</f>
        <v>Water Sys Plans - Strohs</v>
      </c>
      <c r="X27" s="293">
        <f>'[1]Strohs Plant in Service'!$E30</f>
        <v>45231</v>
      </c>
      <c r="Y27" s="297">
        <f>'[1]Strohs Plant in Service'!$F30</f>
        <v>5848.98</v>
      </c>
      <c r="Z27" s="248"/>
      <c r="AA27" s="294">
        <f>'[1]Strohs Plant in Service'!$G$11/12</f>
        <v>6</v>
      </c>
      <c r="AB27" s="219">
        <f>('[1]Strohs Plant in Service'!$G30-'[1]Strohs Plant in Service'!$H30)/12</f>
        <v>1.4166666666666667</v>
      </c>
      <c r="AC27" s="219">
        <f>'[1]Strohs Plant in Service'!$I30</f>
        <v>974.82999999999993</v>
      </c>
      <c r="AD27" s="219"/>
      <c r="AE27" s="220">
        <f>'[1]Strohs Plant in Service'!$J30</f>
        <v>1462.29</v>
      </c>
      <c r="AF27" s="221">
        <v>4386.6899999999996</v>
      </c>
      <c r="AG27" s="204"/>
      <c r="AH27" s="451" t="str">
        <f>'[1]Strohs CIAC'!$C30</f>
        <v>Mains, Tanks and Reservoirs (50)</v>
      </c>
      <c r="AI27" s="174" t="str">
        <f>'[1]Strohs CIAC'!$D30</f>
        <v>Mains (CIAC) - Strohs</v>
      </c>
      <c r="AJ27" s="179">
        <f>'[1]Strohs CIAC'!$E30</f>
        <v>45231</v>
      </c>
      <c r="AK27" s="247">
        <f>'[1]Strohs CIAC'!$F30</f>
        <v>9668.67</v>
      </c>
      <c r="AL27" s="248"/>
      <c r="AM27" s="294">
        <f>'[1]Strohs CIAC'!$G30/12</f>
        <v>30</v>
      </c>
      <c r="AN27" s="219">
        <f>('[1]Strohs CIAC'!$G30-'[1]Strohs CIAC'!$H30)/12</f>
        <v>18.916666666666668</v>
      </c>
      <c r="AO27" s="219">
        <f>'[1]Strohs CIAC'!$I30</f>
        <v>322.28899999999999</v>
      </c>
      <c r="AP27" s="219"/>
      <c r="AQ27" s="220">
        <f>'[1]Strohs CIAC'!$J30</f>
        <v>6123.52</v>
      </c>
      <c r="AR27" s="221">
        <f t="shared" si="3"/>
        <v>3545.1499999999996</v>
      </c>
      <c r="AT27" s="271" t="s">
        <v>334</v>
      </c>
      <c r="AW27" s="123">
        <f>-AR6</f>
        <v>-797520.45999999985</v>
      </c>
      <c r="AY27" s="628"/>
      <c r="AZ27" s="470">
        <v>0.75</v>
      </c>
      <c r="BA27" s="466" t="s">
        <v>730</v>
      </c>
      <c r="BB27" s="211">
        <v>1954</v>
      </c>
      <c r="BC27" s="211">
        <v>1834</v>
      </c>
      <c r="BD27" s="211">
        <v>2060</v>
      </c>
      <c r="BE27" s="211">
        <v>2120</v>
      </c>
      <c r="BF27" s="211">
        <v>1636</v>
      </c>
      <c r="BG27" s="211">
        <v>1774</v>
      </c>
      <c r="BH27" s="211">
        <v>1935</v>
      </c>
      <c r="BI27" s="211">
        <v>1748</v>
      </c>
      <c r="BJ27" s="211">
        <v>1976</v>
      </c>
      <c r="BK27" s="211">
        <v>1656</v>
      </c>
      <c r="BL27" s="211">
        <v>700</v>
      </c>
      <c r="BM27" s="211">
        <v>1900</v>
      </c>
      <c r="BO27" s="28">
        <f t="shared" si="4"/>
        <v>1774.4166666666667</v>
      </c>
      <c r="BP27" s="28">
        <f t="shared" si="5"/>
        <v>21293</v>
      </c>
      <c r="BS27" s="217"/>
      <c r="BT27" s="217"/>
      <c r="BU27" s="134"/>
      <c r="BV27" s="217"/>
      <c r="BW27" s="217"/>
      <c r="BX27" s="217"/>
    </row>
    <row r="28" spans="1:76" ht="15.95" customHeight="1" x14ac:dyDescent="0.25">
      <c r="A28" s="84" t="s">
        <v>358</v>
      </c>
      <c r="B28" s="214"/>
      <c r="D28" s="82" t="s">
        <v>30</v>
      </c>
      <c r="E28" s="162">
        <v>0</v>
      </c>
      <c r="F28" s="82"/>
      <c r="G28" s="161"/>
      <c r="I28" s="127" t="s">
        <v>235</v>
      </c>
      <c r="J28" s="218">
        <v>0</v>
      </c>
      <c r="K28" s="168">
        <f>'[1]IS Linksheet'!$D27</f>
        <v>0</v>
      </c>
      <c r="L28" s="240"/>
      <c r="M28" s="240"/>
      <c r="N28" s="169">
        <f>'[1]IS Linksheet'!$G27</f>
        <v>0</v>
      </c>
      <c r="P28" s="173"/>
      <c r="Q28" s="174"/>
      <c r="R28" s="175"/>
      <c r="S28" s="174"/>
      <c r="T28" s="176"/>
      <c r="V28" s="449" t="str">
        <f>'[1]Strohs Plant in Service'!$C31</f>
        <v>Tanks and Wells (25)</v>
      </c>
      <c r="W28" s="292" t="str">
        <f>'[1]Strohs Plant in Service'!$D31</f>
        <v>WELL #2, AEF314 - Strohs (472)</v>
      </c>
      <c r="X28" s="293">
        <f>'[1]Strohs Plant in Service'!$E31</f>
        <v>45231</v>
      </c>
      <c r="Y28" s="297">
        <f>'[1]Strohs Plant in Service'!$F31</f>
        <v>20139.939999999999</v>
      </c>
      <c r="Z28" s="248"/>
      <c r="AA28" s="294">
        <f>'[1]Strohs Plant in Service'!$G$11/12</f>
        <v>6</v>
      </c>
      <c r="AB28" s="219">
        <f>('[1]Strohs Plant in Service'!$G31-'[1]Strohs Plant in Service'!$H31)/12</f>
        <v>25</v>
      </c>
      <c r="AC28" s="219">
        <f>'[1]Strohs Plant in Service'!$I31</f>
        <v>0</v>
      </c>
      <c r="AD28" s="219"/>
      <c r="AE28" s="220">
        <f>'[1]Strohs Plant in Service'!$J31</f>
        <v>20139.939999999999</v>
      </c>
      <c r="AF28" s="221">
        <v>0</v>
      </c>
      <c r="AG28" s="204"/>
      <c r="AH28" s="451" t="str">
        <f>'[1]Strohs CIAC'!$C31</f>
        <v>Mains, Tanks and Reservoirs (50)</v>
      </c>
      <c r="AI28" s="174" t="str">
        <f>'[1]Strohs CIAC'!$D31</f>
        <v>Mains ENG (CIAC) - Strohs</v>
      </c>
      <c r="AJ28" s="179">
        <f>'[1]Strohs CIAC'!$E31</f>
        <v>45231</v>
      </c>
      <c r="AK28" s="247">
        <f>'[1]Strohs CIAC'!$F31</f>
        <v>2100</v>
      </c>
      <c r="AL28" s="248"/>
      <c r="AM28" s="294">
        <f>'[1]Strohs CIAC'!$G31/12</f>
        <v>30</v>
      </c>
      <c r="AN28" s="219">
        <f>('[1]Strohs CIAC'!$G31-'[1]Strohs CIAC'!$H31)/12</f>
        <v>17.916666666666668</v>
      </c>
      <c r="AO28" s="219">
        <f>'[1]Strohs CIAC'!$I31</f>
        <v>70</v>
      </c>
      <c r="AP28" s="219"/>
      <c r="AQ28" s="220">
        <f>'[1]Strohs CIAC'!$J31</f>
        <v>1259.96</v>
      </c>
      <c r="AR28" s="221">
        <f t="shared" si="3"/>
        <v>840.04</v>
      </c>
      <c r="AT28" s="148" t="s">
        <v>370</v>
      </c>
      <c r="AW28" s="272">
        <f>SUM(AW26:AW27)</f>
        <v>2757063.700000002</v>
      </c>
      <c r="AY28" s="628"/>
      <c r="AZ28" s="470">
        <v>0.75</v>
      </c>
      <c r="BA28" s="466" t="s">
        <v>731</v>
      </c>
      <c r="BB28" s="211" t="s">
        <v>655</v>
      </c>
      <c r="BC28" s="211" t="s">
        <v>655</v>
      </c>
      <c r="BD28" s="211" t="s">
        <v>655</v>
      </c>
      <c r="BE28" s="211" t="s">
        <v>655</v>
      </c>
      <c r="BF28" s="211" t="s">
        <v>655</v>
      </c>
      <c r="BG28" s="211" t="s">
        <v>655</v>
      </c>
      <c r="BH28" s="211" t="s">
        <v>655</v>
      </c>
      <c r="BI28" s="211" t="s">
        <v>655</v>
      </c>
      <c r="BJ28" s="211" t="s">
        <v>655</v>
      </c>
      <c r="BK28" s="211" t="s">
        <v>655</v>
      </c>
      <c r="BL28" s="211" t="s">
        <v>655</v>
      </c>
      <c r="BM28" s="211" t="s">
        <v>655</v>
      </c>
      <c r="BO28" s="28" t="e">
        <f t="shared" si="4"/>
        <v>#DIV/0!</v>
      </c>
      <c r="BP28" s="28">
        <f t="shared" si="5"/>
        <v>0</v>
      </c>
      <c r="BS28" s="217"/>
      <c r="BT28" s="217"/>
      <c r="BU28" s="134"/>
      <c r="BV28" s="217"/>
      <c r="BW28" s="217"/>
      <c r="BX28" s="217"/>
    </row>
    <row r="29" spans="1:76" ht="15.95" customHeight="1" x14ac:dyDescent="0.25">
      <c r="A29" s="84" t="s">
        <v>358</v>
      </c>
      <c r="B29" s="214"/>
      <c r="D29" s="82" t="s">
        <v>309</v>
      </c>
      <c r="E29" s="162">
        <v>0</v>
      </c>
      <c r="F29" s="115" t="s">
        <v>287</v>
      </c>
      <c r="G29" s="161"/>
      <c r="I29" s="127" t="s">
        <v>23</v>
      </c>
      <c r="J29" s="218">
        <v>0</v>
      </c>
      <c r="K29" s="168">
        <f>'[1]IS Linksheet'!$D28</f>
        <v>0</v>
      </c>
      <c r="L29" s="240"/>
      <c r="M29" s="240"/>
      <c r="N29" s="169">
        <f>'[1]IS Linksheet'!$G28</f>
        <v>0</v>
      </c>
      <c r="V29" s="449" t="str">
        <f>'[1]Strohs Plant in Service'!$C32</f>
        <v>Tanks and Wells (25)</v>
      </c>
      <c r="W29" s="292" t="str">
        <f>'[1]Strohs Plant in Service'!$D32</f>
        <v>WELL #3, AEF315 - Strohs (472)</v>
      </c>
      <c r="X29" s="293">
        <f>'[1]Strohs Plant in Service'!$E32</f>
        <v>45231</v>
      </c>
      <c r="Y29" s="297">
        <f>'[1]Strohs Plant in Service'!$F32</f>
        <v>20203.27</v>
      </c>
      <c r="Z29" s="248"/>
      <c r="AA29" s="294">
        <f>'[1]Strohs Plant in Service'!$G$11/12</f>
        <v>6</v>
      </c>
      <c r="AB29" s="219">
        <f>('[1]Strohs Plant in Service'!$G32-'[1]Strohs Plant in Service'!$H32)/12</f>
        <v>25</v>
      </c>
      <c r="AC29" s="219">
        <f>'[1]Strohs Plant in Service'!$I32</f>
        <v>0</v>
      </c>
      <c r="AD29" s="219"/>
      <c r="AE29" s="220">
        <f>'[1]Strohs Plant in Service'!$J32</f>
        <v>20203.27</v>
      </c>
      <c r="AF29" s="221">
        <v>0</v>
      </c>
      <c r="AG29" s="204"/>
      <c r="AH29" s="451" t="str">
        <f>'[1]Strohs CIAC'!$C32</f>
        <v>Mains, Tanks and Reservoirs (50)</v>
      </c>
      <c r="AI29" s="174" t="str">
        <f>'[1]Strohs CIAC'!$D32</f>
        <v>Mains (CIAC) - Strohs</v>
      </c>
      <c r="AJ29" s="179">
        <f>'[1]Strohs CIAC'!$E32</f>
        <v>45231</v>
      </c>
      <c r="AK29" s="247">
        <f>'[1]Strohs CIAC'!$F32</f>
        <v>226822.78</v>
      </c>
      <c r="AL29" s="248"/>
      <c r="AM29" s="294">
        <f>'[1]Strohs CIAC'!$G32/12</f>
        <v>30</v>
      </c>
      <c r="AN29" s="219">
        <f>('[1]Strohs CIAC'!$G32-'[1]Strohs CIAC'!$H32)/12</f>
        <v>16.916666666666668</v>
      </c>
      <c r="AO29" s="219">
        <f>'[1]Strohs CIAC'!$I32</f>
        <v>7560.7593333333334</v>
      </c>
      <c r="AP29" s="219"/>
      <c r="AQ29" s="220">
        <f>'[1]Strohs CIAC'!$J32</f>
        <v>128532.87</v>
      </c>
      <c r="AR29" s="221">
        <f t="shared" si="3"/>
        <v>98289.91</v>
      </c>
      <c r="AT29" s="148" t="s">
        <v>424</v>
      </c>
      <c r="AW29" s="123">
        <f>PFIS!I61</f>
        <v>2791331.673881996</v>
      </c>
      <c r="AX29" s="123" t="s">
        <v>425</v>
      </c>
      <c r="AY29" s="628"/>
      <c r="AZ29" s="470">
        <v>0.75</v>
      </c>
      <c r="BA29" s="466" t="s">
        <v>732</v>
      </c>
      <c r="BB29" s="211">
        <v>727</v>
      </c>
      <c r="BC29" s="211">
        <v>2855</v>
      </c>
      <c r="BD29" s="211">
        <v>912</v>
      </c>
      <c r="BE29" s="211">
        <v>926</v>
      </c>
      <c r="BF29" s="211">
        <v>551</v>
      </c>
      <c r="BG29" s="211">
        <v>1245</v>
      </c>
      <c r="BH29" s="211">
        <v>1123</v>
      </c>
      <c r="BI29" s="211">
        <v>1200</v>
      </c>
      <c r="BJ29" s="211">
        <v>1089</v>
      </c>
      <c r="BK29" s="211">
        <v>1316</v>
      </c>
      <c r="BL29" s="211">
        <v>1527</v>
      </c>
      <c r="BM29" s="211">
        <v>1188</v>
      </c>
      <c r="BO29" s="28">
        <f t="shared" si="4"/>
        <v>1221.5833333333333</v>
      </c>
      <c r="BP29" s="28">
        <f t="shared" si="5"/>
        <v>14659</v>
      </c>
      <c r="BS29" s="217"/>
      <c r="BT29" s="217"/>
      <c r="BU29" s="134"/>
      <c r="BV29" s="217"/>
      <c r="BW29" s="217"/>
      <c r="BX29" s="217"/>
    </row>
    <row r="30" spans="1:76" ht="15.95" customHeight="1" x14ac:dyDescent="0.25">
      <c r="A30" s="84" t="s">
        <v>372</v>
      </c>
      <c r="B30" s="214"/>
      <c r="D30" s="82" t="s">
        <v>30</v>
      </c>
      <c r="E30" s="162">
        <v>0</v>
      </c>
      <c r="F30" s="27" t="s">
        <v>152</v>
      </c>
      <c r="G30" s="162">
        <v>0</v>
      </c>
      <c r="I30" s="127" t="s">
        <v>236</v>
      </c>
      <c r="J30" s="218">
        <v>-524.40000000000009</v>
      </c>
      <c r="K30" s="168">
        <f>'[1]IS Linksheet'!$D29</f>
        <v>0</v>
      </c>
      <c r="L30" s="240"/>
      <c r="M30" s="240"/>
      <c r="N30" s="169">
        <f>'[1]IS Linksheet'!$G29</f>
        <v>0</v>
      </c>
      <c r="V30" s="449" t="str">
        <f>'[1]Strohs Plant in Service'!$C33</f>
        <v>Tanks and Wells (25)</v>
      </c>
      <c r="W30" s="292" t="str">
        <f>'[1]Strohs Plant in Service'!$D33</f>
        <v>WELL #4, AEF227 - Strohs (472)</v>
      </c>
      <c r="X30" s="293">
        <f>'[1]Strohs Plant in Service'!$E33</f>
        <v>45231</v>
      </c>
      <c r="Y30" s="297">
        <f>'[1]Strohs Plant in Service'!$F33</f>
        <v>18556.61</v>
      </c>
      <c r="Z30" s="248"/>
      <c r="AA30" s="294">
        <f>'[1]Strohs Plant in Service'!$G$11/12</f>
        <v>6</v>
      </c>
      <c r="AB30" s="219">
        <f>('[1]Strohs Plant in Service'!$G33-'[1]Strohs Plant in Service'!$H33)/12</f>
        <v>25</v>
      </c>
      <c r="AC30" s="219">
        <f>'[1]Strohs Plant in Service'!$I33</f>
        <v>0</v>
      </c>
      <c r="AD30" s="219"/>
      <c r="AE30" s="220">
        <f>'[1]Strohs Plant in Service'!$J33</f>
        <v>18556.61</v>
      </c>
      <c r="AF30" s="221">
        <v>0</v>
      </c>
      <c r="AG30" s="204"/>
      <c r="AH30" s="451" t="str">
        <f>'[1]Strohs CIAC'!$C33</f>
        <v>Mains, Tanks and Reservoirs (50)</v>
      </c>
      <c r="AI30" s="174" t="str">
        <f>'[1]Strohs CIAC'!$D33</f>
        <v>Mains (CIAC) - Strohs</v>
      </c>
      <c r="AJ30" s="179">
        <f>'[1]Strohs CIAC'!$E33</f>
        <v>45231</v>
      </c>
      <c r="AK30" s="247">
        <f>'[1]Strohs CIAC'!$F33</f>
        <v>12180.37</v>
      </c>
      <c r="AL30" s="248"/>
      <c r="AM30" s="294">
        <f>'[1]Strohs CIAC'!$G33/12</f>
        <v>30</v>
      </c>
      <c r="AN30" s="219">
        <f>('[1]Strohs CIAC'!$G33-'[1]Strohs CIAC'!$H33)/12</f>
        <v>16.916666666666668</v>
      </c>
      <c r="AO30" s="219">
        <f>'[1]Strohs CIAC'!$I33</f>
        <v>406.01233333333334</v>
      </c>
      <c r="AP30" s="219"/>
      <c r="AQ30" s="220">
        <f>'[1]Strohs CIAC'!$J33</f>
        <v>6902.15</v>
      </c>
      <c r="AR30" s="221">
        <f t="shared" si="3"/>
        <v>5278.2200000000012</v>
      </c>
      <c r="AW30" s="123">
        <f>AW28-AW29</f>
        <v>-34267.973881993908</v>
      </c>
      <c r="AX30" s="123" t="s">
        <v>426</v>
      </c>
      <c r="AY30" s="628"/>
      <c r="AZ30" s="470">
        <v>0.75</v>
      </c>
      <c r="BA30" s="466" t="s">
        <v>733</v>
      </c>
      <c r="BB30" s="211">
        <v>208</v>
      </c>
      <c r="BC30" s="211">
        <v>145</v>
      </c>
      <c r="BD30" s="211">
        <v>88</v>
      </c>
      <c r="BE30" s="211">
        <v>260</v>
      </c>
      <c r="BF30" s="211">
        <v>636</v>
      </c>
      <c r="BG30" s="211">
        <v>1709</v>
      </c>
      <c r="BH30" s="211">
        <v>1955</v>
      </c>
      <c r="BI30" s="211">
        <v>1839</v>
      </c>
      <c r="BJ30" s="211">
        <v>2259</v>
      </c>
      <c r="BK30" s="211">
        <v>1947</v>
      </c>
      <c r="BL30" s="211">
        <v>1450</v>
      </c>
      <c r="BM30" s="211">
        <v>912</v>
      </c>
      <c r="BO30" s="28">
        <f t="shared" si="4"/>
        <v>1117.3333333333333</v>
      </c>
      <c r="BP30" s="28">
        <f t="shared" si="5"/>
        <v>13408</v>
      </c>
      <c r="BS30" s="217"/>
      <c r="BT30" s="217"/>
      <c r="BU30" s="134"/>
      <c r="BV30" s="217"/>
      <c r="BW30" s="217"/>
      <c r="BX30" s="217"/>
    </row>
    <row r="31" spans="1:76" ht="15.95" customHeight="1" x14ac:dyDescent="0.25">
      <c r="A31" s="84" t="s">
        <v>371</v>
      </c>
      <c r="B31" s="214"/>
      <c r="D31" s="82" t="s">
        <v>281</v>
      </c>
      <c r="E31" s="162">
        <v>0</v>
      </c>
      <c r="F31" s="82" t="s">
        <v>293</v>
      </c>
      <c r="G31" s="162">
        <v>0</v>
      </c>
      <c r="I31" s="127" t="s">
        <v>237</v>
      </c>
      <c r="J31" s="218">
        <v>0</v>
      </c>
      <c r="K31" s="168">
        <f>'[1]IS Linksheet'!$D30</f>
        <v>0</v>
      </c>
      <c r="L31" s="240"/>
      <c r="M31" s="240"/>
      <c r="N31" s="169">
        <f>'[1]IS Linksheet'!$G30</f>
        <v>0</v>
      </c>
      <c r="V31" s="449" t="str">
        <f>'[1]Strohs Plant in Service'!$C34</f>
        <v>Tanks and Wells (25)</v>
      </c>
      <c r="W31" s="292" t="str">
        <f>'[1]Strohs Plant in Service'!$D34</f>
        <v>WELL #5, AEF313 - Strohs (472)</v>
      </c>
      <c r="X31" s="293">
        <f>'[1]Strohs Plant in Service'!$E34</f>
        <v>45231</v>
      </c>
      <c r="Y31" s="297">
        <f>'[1]Strohs Plant in Service'!$F34</f>
        <v>24256.59</v>
      </c>
      <c r="Z31" s="248"/>
      <c r="AA31" s="294">
        <f>'[1]Strohs Plant in Service'!$G$11/12</f>
        <v>6</v>
      </c>
      <c r="AB31" s="219">
        <f>('[1]Strohs Plant in Service'!$G34-'[1]Strohs Plant in Service'!$H34)/12</f>
        <v>25</v>
      </c>
      <c r="AC31" s="219">
        <f>'[1]Strohs Plant in Service'!$I34</f>
        <v>0</v>
      </c>
      <c r="AD31" s="219"/>
      <c r="AE31" s="220">
        <f>'[1]Strohs Plant in Service'!$J34</f>
        <v>24256.59</v>
      </c>
      <c r="AF31" s="221">
        <v>0</v>
      </c>
      <c r="AG31" s="204"/>
      <c r="AH31" s="451" t="str">
        <f>'[1]Strohs CIAC'!$C34</f>
        <v>Mains, Tanks and Reservoirs (50)</v>
      </c>
      <c r="AI31" s="174" t="str">
        <f>'[1]Strohs CIAC'!$D34</f>
        <v>Mains (CIAC) - Strohs</v>
      </c>
      <c r="AJ31" s="179">
        <f>'[1]Strohs CIAC'!$E34</f>
        <v>45231</v>
      </c>
      <c r="AK31" s="247">
        <f>'[1]Strohs CIAC'!$F34</f>
        <v>2052</v>
      </c>
      <c r="AL31" s="248"/>
      <c r="AM31" s="294">
        <f>'[1]Strohs CIAC'!$G34/12</f>
        <v>30</v>
      </c>
      <c r="AN31" s="219">
        <f>('[1]Strohs CIAC'!$G34-'[1]Strohs CIAC'!$H34)/12</f>
        <v>17.916666666666668</v>
      </c>
      <c r="AO31" s="219">
        <f>'[1]Strohs CIAC'!$I34</f>
        <v>68.400000000000006</v>
      </c>
      <c r="AP31" s="219"/>
      <c r="AQ31" s="220">
        <f>'[1]Strohs CIAC'!$J34</f>
        <v>1231.2</v>
      </c>
      <c r="AR31" s="221">
        <f t="shared" si="3"/>
        <v>820.8</v>
      </c>
      <c r="AY31" s="628"/>
      <c r="AZ31" s="470">
        <v>0.75</v>
      </c>
      <c r="BA31" s="466" t="s">
        <v>734</v>
      </c>
      <c r="BB31" s="211">
        <v>1357</v>
      </c>
      <c r="BC31" s="211">
        <v>1561</v>
      </c>
      <c r="BD31" s="211">
        <v>985</v>
      </c>
      <c r="BE31" s="211">
        <v>1093</v>
      </c>
      <c r="BF31" s="211">
        <v>1122</v>
      </c>
      <c r="BG31" s="211">
        <v>823</v>
      </c>
      <c r="BH31" s="211">
        <v>1810</v>
      </c>
      <c r="BI31" s="211">
        <v>2275</v>
      </c>
      <c r="BJ31" s="211">
        <v>3070</v>
      </c>
      <c r="BK31" s="211">
        <v>50</v>
      </c>
      <c r="BL31" s="211">
        <v>250</v>
      </c>
      <c r="BM31" s="211">
        <v>300</v>
      </c>
      <c r="BO31" s="28">
        <f t="shared" si="4"/>
        <v>1224.6666666666667</v>
      </c>
      <c r="BP31" s="28">
        <f t="shared" si="5"/>
        <v>14696</v>
      </c>
      <c r="BS31" s="217"/>
      <c r="BT31" s="217"/>
      <c r="BU31" s="134"/>
      <c r="BV31" s="217"/>
      <c r="BW31" s="217"/>
      <c r="BX31" s="217"/>
    </row>
    <row r="32" spans="1:76" ht="15.95" customHeight="1" x14ac:dyDescent="0.25">
      <c r="A32" s="85" t="s">
        <v>359</v>
      </c>
      <c r="B32" s="215"/>
      <c r="D32" s="82" t="s">
        <v>278</v>
      </c>
      <c r="E32" s="162">
        <v>0</v>
      </c>
      <c r="F32" s="27" t="s">
        <v>294</v>
      </c>
      <c r="G32" s="162">
        <v>0</v>
      </c>
      <c r="I32" s="127" t="s">
        <v>241</v>
      </c>
      <c r="J32" s="218">
        <v>0</v>
      </c>
      <c r="K32" s="168">
        <f>'[1]IS Linksheet'!$D31</f>
        <v>0</v>
      </c>
      <c r="L32" s="240"/>
      <c r="M32" s="240"/>
      <c r="N32" s="169">
        <f>'[1]IS Linksheet'!$G31</f>
        <v>22484.333333333332</v>
      </c>
      <c r="V32" s="449" t="str">
        <f>'[1]Strohs Plant in Service'!$C35</f>
        <v>Tanks and Wells (25)</v>
      </c>
      <c r="W32" s="292" t="str">
        <f>'[1]Strohs Plant in Service'!$D35</f>
        <v>WELL #6, AEF316 - Strohs (472)</v>
      </c>
      <c r="X32" s="293">
        <f>'[1]Strohs Plant in Service'!$E35</f>
        <v>45231</v>
      </c>
      <c r="Y32" s="297">
        <f>'[1]Strohs Plant in Service'!$F35</f>
        <v>20266.599999999999</v>
      </c>
      <c r="Z32" s="248"/>
      <c r="AA32" s="294">
        <f>'[1]Strohs Plant in Service'!$G$11/12</f>
        <v>6</v>
      </c>
      <c r="AB32" s="219">
        <f>('[1]Strohs Plant in Service'!$G35-'[1]Strohs Plant in Service'!$H35)/12</f>
        <v>25</v>
      </c>
      <c r="AC32" s="219">
        <f>'[1]Strohs Plant in Service'!$I35</f>
        <v>0</v>
      </c>
      <c r="AD32" s="219"/>
      <c r="AE32" s="220">
        <f>'[1]Strohs Plant in Service'!$J35</f>
        <v>20266.599999999999</v>
      </c>
      <c r="AF32" s="221">
        <v>0</v>
      </c>
      <c r="AG32" s="204"/>
      <c r="AH32" s="451" t="str">
        <f>'[1]Strohs CIAC'!$C35</f>
        <v>Mains, Tanks and Reservoirs (50)</v>
      </c>
      <c r="AI32" s="174" t="str">
        <f>'[1]Strohs CIAC'!$D35</f>
        <v>Mains (CIAC) - Strohs</v>
      </c>
      <c r="AJ32" s="179">
        <f>'[1]Strohs CIAC'!$E35</f>
        <v>45231</v>
      </c>
      <c r="AK32" s="247">
        <f>'[1]Strohs CIAC'!$F35</f>
        <v>16188.13</v>
      </c>
      <c r="AL32" s="248"/>
      <c r="AM32" s="294">
        <f>'[1]Strohs CIAC'!$G35/12</f>
        <v>30</v>
      </c>
      <c r="AN32" s="219">
        <f>('[1]Strohs CIAC'!$G35-'[1]Strohs CIAC'!$H35)/12</f>
        <v>15.916666666666666</v>
      </c>
      <c r="AO32" s="219">
        <f>'[1]Strohs CIAC'!$I35</f>
        <v>539.60433333333322</v>
      </c>
      <c r="AP32" s="219"/>
      <c r="AQ32" s="220">
        <f>'[1]Strohs CIAC'!$J35</f>
        <v>8633.7099999999991</v>
      </c>
      <c r="AR32" s="221">
        <f t="shared" si="3"/>
        <v>7554.42</v>
      </c>
      <c r="AY32" s="628"/>
      <c r="AZ32" s="470">
        <v>0.75</v>
      </c>
      <c r="BA32" s="466" t="s">
        <v>735</v>
      </c>
      <c r="BB32" s="211" t="s">
        <v>655</v>
      </c>
      <c r="BC32" s="211">
        <v>799</v>
      </c>
      <c r="BD32" s="211">
        <v>429</v>
      </c>
      <c r="BE32" s="211">
        <v>522</v>
      </c>
      <c r="BF32" s="211">
        <v>441</v>
      </c>
      <c r="BG32" s="211">
        <v>494</v>
      </c>
      <c r="BH32" s="211">
        <v>513</v>
      </c>
      <c r="BI32" s="211">
        <v>571</v>
      </c>
      <c r="BJ32" s="211">
        <v>496</v>
      </c>
      <c r="BK32" s="211">
        <v>500</v>
      </c>
      <c r="BL32" s="211">
        <v>500</v>
      </c>
      <c r="BM32" s="211">
        <v>196</v>
      </c>
      <c r="BO32" s="28">
        <f t="shared" si="4"/>
        <v>496.45454545454544</v>
      </c>
      <c r="BP32" s="28">
        <f t="shared" si="5"/>
        <v>5461</v>
      </c>
      <c r="BS32" s="217"/>
      <c r="BT32" s="217"/>
      <c r="BU32" s="134"/>
      <c r="BV32" s="217"/>
      <c r="BW32" s="217"/>
      <c r="BX32" s="217"/>
    </row>
    <row r="33" spans="1:76" ht="15.95" customHeight="1" x14ac:dyDescent="0.25">
      <c r="D33" s="82" t="s">
        <v>310</v>
      </c>
      <c r="E33" s="162">
        <v>0</v>
      </c>
      <c r="F33" s="82" t="s">
        <v>283</v>
      </c>
      <c r="G33" s="162">
        <v>0</v>
      </c>
      <c r="I33" s="88" t="s">
        <v>244</v>
      </c>
      <c r="J33" s="218">
        <v>45</v>
      </c>
      <c r="K33" s="168">
        <f>'[1]IS Linksheet'!$D32</f>
        <v>0</v>
      </c>
      <c r="L33" s="240"/>
      <c r="M33" s="240"/>
      <c r="N33" s="169">
        <f>'[1]IS Linksheet'!$G32</f>
        <v>0</v>
      </c>
      <c r="V33" s="449" t="str">
        <f>'[1]Strohs Plant in Service'!$C36</f>
        <v>Tanks and Wells (25)</v>
      </c>
      <c r="W33" s="292" t="str">
        <f>'[1]Strohs Plant in Service'!$D36</f>
        <v>WELL #7, AEF317 - Strohs (075)</v>
      </c>
      <c r="X33" s="293">
        <f>'[1]Strohs Plant in Service'!$E36</f>
        <v>45231</v>
      </c>
      <c r="Y33" s="297">
        <f>'[1]Strohs Plant in Service'!$F36</f>
        <v>33303.71</v>
      </c>
      <c r="Z33" s="248"/>
      <c r="AA33" s="294">
        <f>'[1]Strohs Plant in Service'!$G$11/12</f>
        <v>6</v>
      </c>
      <c r="AB33" s="219">
        <f>('[1]Strohs Plant in Service'!$G36-'[1]Strohs Plant in Service'!$H36)/12</f>
        <v>25.833333333333332</v>
      </c>
      <c r="AC33" s="219">
        <f>'[1]Strohs Plant in Service'!$I36</f>
        <v>1035.3484974093265</v>
      </c>
      <c r="AD33" s="219"/>
      <c r="AE33" s="220">
        <f>'[1]Strohs Plant in Service'!$J36</f>
        <v>26808.29</v>
      </c>
      <c r="AF33" s="221">
        <v>6495.4199999999983</v>
      </c>
      <c r="AG33" s="204"/>
      <c r="AH33" s="451" t="str">
        <f>'[1]Strohs CIAC'!$C36</f>
        <v>Mains, Tanks and Reservoirs (50)</v>
      </c>
      <c r="AI33" s="174" t="str">
        <f>'[1]Strohs CIAC'!$D36</f>
        <v>PR Station (CIAC) - Strohs</v>
      </c>
      <c r="AJ33" s="179">
        <f>'[1]Strohs CIAC'!$E36</f>
        <v>45231</v>
      </c>
      <c r="AK33" s="247">
        <f>'[1]Strohs CIAC'!$F36</f>
        <v>13392.67</v>
      </c>
      <c r="AL33" s="248"/>
      <c r="AM33" s="294">
        <f>'[1]Strohs CIAC'!$G36/12</f>
        <v>30</v>
      </c>
      <c r="AN33" s="219">
        <f>('[1]Strohs CIAC'!$G36-'[1]Strohs CIAC'!$H36)/12</f>
        <v>15.916666666666666</v>
      </c>
      <c r="AO33" s="219">
        <f>'[1]Strohs CIAC'!$I36</f>
        <v>446.42233333333337</v>
      </c>
      <c r="AP33" s="219"/>
      <c r="AQ33" s="220">
        <f>'[1]Strohs CIAC'!$J36</f>
        <v>7142.73</v>
      </c>
      <c r="AR33" s="221">
        <f t="shared" si="3"/>
        <v>6249.9400000000005</v>
      </c>
      <c r="AY33" s="628"/>
      <c r="AZ33" s="470">
        <v>0.75</v>
      </c>
      <c r="BA33" s="466" t="s">
        <v>736</v>
      </c>
      <c r="BB33" s="211">
        <v>486</v>
      </c>
      <c r="BC33" s="211">
        <v>283</v>
      </c>
      <c r="BD33" s="211">
        <v>338</v>
      </c>
      <c r="BE33" s="211">
        <v>346</v>
      </c>
      <c r="BF33" s="211">
        <v>307</v>
      </c>
      <c r="BG33" s="211">
        <v>298</v>
      </c>
      <c r="BH33" s="211">
        <v>475</v>
      </c>
      <c r="BI33" s="211">
        <v>940</v>
      </c>
      <c r="BJ33" s="211">
        <v>759</v>
      </c>
      <c r="BK33" s="211">
        <v>300</v>
      </c>
      <c r="BL33" s="211">
        <v>150</v>
      </c>
      <c r="BM33" s="211">
        <v>175</v>
      </c>
      <c r="BO33" s="28">
        <f t="shared" si="4"/>
        <v>404.75</v>
      </c>
      <c r="BP33" s="28">
        <f t="shared" si="5"/>
        <v>4857</v>
      </c>
      <c r="BS33" s="217"/>
      <c r="BT33" s="217"/>
      <c r="BU33" s="134"/>
      <c r="BV33" s="217"/>
      <c r="BW33" s="217"/>
      <c r="BX33" s="217"/>
    </row>
    <row r="34" spans="1:76" ht="15.95" customHeight="1" x14ac:dyDescent="0.25">
      <c r="A34" s="697" t="s">
        <v>388</v>
      </c>
      <c r="B34" s="698"/>
      <c r="D34" s="82" t="s">
        <v>30</v>
      </c>
      <c r="E34" s="162">
        <v>0</v>
      </c>
      <c r="F34" s="27" t="s">
        <v>51</v>
      </c>
      <c r="G34" s="162">
        <v>0</v>
      </c>
      <c r="I34" s="88" t="s">
        <v>245</v>
      </c>
      <c r="J34" s="218">
        <v>7905.8799999999992</v>
      </c>
      <c r="K34" s="168">
        <f>'[1]IS Linksheet'!$D33</f>
        <v>0</v>
      </c>
      <c r="L34" s="240"/>
      <c r="M34" s="240"/>
      <c r="N34" s="169">
        <f>'[1]IS Linksheet'!$G33</f>
        <v>0</v>
      </c>
      <c r="V34" s="449" t="str">
        <f>'[1]Strohs Plant in Service'!$C37</f>
        <v>Tanks and Wells (25)</v>
      </c>
      <c r="W34" s="292" t="str">
        <f>'[1]Strohs Plant in Service'!$D37</f>
        <v>KUNTZ WELL #2, AAB135 - Strohs (472</v>
      </c>
      <c r="X34" s="293">
        <f>'[1]Strohs Plant in Service'!$E37</f>
        <v>45231</v>
      </c>
      <c r="Y34" s="297">
        <f>'[1]Strohs Plant in Service'!$F37</f>
        <v>35614.79</v>
      </c>
      <c r="Z34" s="248"/>
      <c r="AA34" s="294">
        <f>'[1]Strohs Plant in Service'!$G$11/12</f>
        <v>6</v>
      </c>
      <c r="AB34" s="219">
        <f>('[1]Strohs Plant in Service'!$G37-'[1]Strohs Plant in Service'!$H37)/12</f>
        <v>25.833333333333332</v>
      </c>
      <c r="AC34" s="219">
        <f>'[1]Strohs Plant in Service'!$I37</f>
        <v>1060.4900248138958</v>
      </c>
      <c r="AD34" s="219"/>
      <c r="AE34" s="220">
        <f>'[1]Strohs Plant in Service'!$J37</f>
        <v>27484.2</v>
      </c>
      <c r="AF34" s="221">
        <v>8130.59</v>
      </c>
      <c r="AG34" s="204"/>
      <c r="AH34" s="451" t="str">
        <f>'[1]Strohs CIAC'!$C37</f>
        <v>Mains, Tanks and Reservoirs (50)</v>
      </c>
      <c r="AI34" s="174" t="str">
        <f>'[1]Strohs CIAC'!$D37</f>
        <v>Mains (CIAC) - Strohs</v>
      </c>
      <c r="AJ34" s="179">
        <f>'[1]Strohs CIAC'!$E37</f>
        <v>45231</v>
      </c>
      <c r="AK34" s="247">
        <f>'[1]Strohs CIAC'!$F37</f>
        <v>6653.43</v>
      </c>
      <c r="AL34" s="248"/>
      <c r="AM34" s="294">
        <f>'[1]Strohs CIAC'!$G37/12</f>
        <v>30</v>
      </c>
      <c r="AN34" s="219">
        <f>('[1]Strohs CIAC'!$G37-'[1]Strohs CIAC'!$H37)/12</f>
        <v>14.916666666666666</v>
      </c>
      <c r="AO34" s="219">
        <f>'[1]Strohs CIAC'!$I37</f>
        <v>221.78100000000001</v>
      </c>
      <c r="AP34" s="219"/>
      <c r="AQ34" s="220">
        <f>'[1]Strohs CIAC'!$J37</f>
        <v>3326.69</v>
      </c>
      <c r="AR34" s="221">
        <f t="shared" si="3"/>
        <v>3326.7400000000002</v>
      </c>
      <c r="AY34" s="628"/>
      <c r="AZ34" s="470">
        <v>0.75</v>
      </c>
      <c r="BA34" s="466" t="s">
        <v>737</v>
      </c>
      <c r="BB34" s="211">
        <v>299</v>
      </c>
      <c r="BC34" s="211">
        <v>218</v>
      </c>
      <c r="BD34" s="211">
        <v>178</v>
      </c>
      <c r="BE34" s="211">
        <v>373</v>
      </c>
      <c r="BF34" s="211">
        <v>814</v>
      </c>
      <c r="BG34" s="211">
        <v>116</v>
      </c>
      <c r="BH34" s="211">
        <v>1391</v>
      </c>
      <c r="BI34" s="211">
        <v>758</v>
      </c>
      <c r="BJ34" s="211">
        <v>1241</v>
      </c>
      <c r="BK34" s="211">
        <v>508</v>
      </c>
      <c r="BL34" s="211">
        <v>100</v>
      </c>
      <c r="BM34" s="211">
        <v>350</v>
      </c>
      <c r="BO34" s="28">
        <f t="shared" si="4"/>
        <v>528.83333333333337</v>
      </c>
      <c r="BP34" s="28">
        <f t="shared" si="5"/>
        <v>6346</v>
      </c>
      <c r="BS34" s="217"/>
      <c r="BT34" s="217"/>
      <c r="BU34" s="134"/>
      <c r="BV34" s="217"/>
      <c r="BW34" s="217"/>
      <c r="BX34" s="217"/>
    </row>
    <row r="35" spans="1:76" ht="15.95" customHeight="1" thickBot="1" x14ac:dyDescent="0.3">
      <c r="A35" s="84" t="s">
        <v>139</v>
      </c>
      <c r="B35" s="702" t="s">
        <v>620</v>
      </c>
      <c r="D35" s="82" t="s">
        <v>312</v>
      </c>
      <c r="E35" s="163">
        <v>0</v>
      </c>
      <c r="F35" s="82" t="s">
        <v>282</v>
      </c>
      <c r="G35" s="163">
        <v>0</v>
      </c>
      <c r="I35" s="127" t="s">
        <v>242</v>
      </c>
      <c r="J35" s="218">
        <v>-139.5</v>
      </c>
      <c r="K35" s="168">
        <f>'[1]IS Linksheet'!$D34</f>
        <v>1564.21315</v>
      </c>
      <c r="L35" s="240"/>
      <c r="M35" s="240"/>
      <c r="N35" s="169">
        <f>'[1]IS Linksheet'!$G34</f>
        <v>0</v>
      </c>
      <c r="V35" s="449" t="str">
        <f>'[1]Strohs Plant in Service'!$C38</f>
        <v>Tanks and Wells (25)</v>
      </c>
      <c r="W35" s="292" t="str">
        <f>'[1]Strohs Plant in Service'!$D38</f>
        <v>KUNTZ WELL #1, AAD136 - Strohs (472</v>
      </c>
      <c r="X35" s="293">
        <f>'[1]Strohs Plant in Service'!$E38</f>
        <v>45231</v>
      </c>
      <c r="Y35" s="297">
        <f>'[1]Strohs Plant in Service'!$F38</f>
        <v>9221.57</v>
      </c>
      <c r="Z35" s="248"/>
      <c r="AA35" s="294">
        <f>'[1]Strohs Plant in Service'!$G$11/12</f>
        <v>6</v>
      </c>
      <c r="AB35" s="219">
        <f>('[1]Strohs Plant in Service'!$G38-'[1]Strohs Plant in Service'!$H38)/12</f>
        <v>25</v>
      </c>
      <c r="AC35" s="219">
        <f>'[1]Strohs Plant in Service'!$I38</f>
        <v>0</v>
      </c>
      <c r="AD35" s="219"/>
      <c r="AE35" s="220">
        <f>'[1]Strohs Plant in Service'!$J38</f>
        <v>9221.57</v>
      </c>
      <c r="AF35" s="221">
        <v>0</v>
      </c>
      <c r="AG35" s="204"/>
      <c r="AH35" s="451" t="str">
        <f>'[1]Strohs CIAC'!$C38</f>
        <v>Mains, Tanks and Reservoirs (50)</v>
      </c>
      <c r="AI35" s="174" t="str">
        <f>'[1]Strohs CIAC'!$D38</f>
        <v>Mains (CIAC) - Strohs</v>
      </c>
      <c r="AJ35" s="179">
        <f>'[1]Strohs CIAC'!$E38</f>
        <v>45231</v>
      </c>
      <c r="AK35" s="247">
        <f>'[1]Strohs CIAC'!$F38</f>
        <v>3071.88</v>
      </c>
      <c r="AL35" s="248"/>
      <c r="AM35" s="294">
        <f>'[1]Strohs CIAC'!$G38/12</f>
        <v>30</v>
      </c>
      <c r="AN35" s="219">
        <f>('[1]Strohs CIAC'!$G38-'[1]Strohs CIAC'!$H38)/12</f>
        <v>13.916666666666666</v>
      </c>
      <c r="AO35" s="219">
        <f>'[1]Strohs CIAC'!$I38</f>
        <v>102.39599999999999</v>
      </c>
      <c r="AP35" s="219"/>
      <c r="AQ35" s="220">
        <f>'[1]Strohs CIAC'!$J38</f>
        <v>1433.5</v>
      </c>
      <c r="AR35" s="221">
        <f t="shared" si="3"/>
        <v>1638.38</v>
      </c>
      <c r="AY35" s="628"/>
      <c r="AZ35" s="470">
        <v>0.75</v>
      </c>
      <c r="BA35" s="466" t="s">
        <v>738</v>
      </c>
      <c r="BB35" s="211">
        <v>835</v>
      </c>
      <c r="BC35" s="211">
        <v>634</v>
      </c>
      <c r="BD35" s="211">
        <v>598</v>
      </c>
      <c r="BE35" s="211">
        <v>925</v>
      </c>
      <c r="BF35" s="211">
        <v>6097</v>
      </c>
      <c r="BG35" s="211">
        <v>6404</v>
      </c>
      <c r="BH35" s="211">
        <v>6675</v>
      </c>
      <c r="BI35" s="211">
        <v>6681</v>
      </c>
      <c r="BJ35" s="211">
        <v>4576</v>
      </c>
      <c r="BK35" s="211">
        <v>4038</v>
      </c>
      <c r="BL35" s="211">
        <v>546</v>
      </c>
      <c r="BM35" s="211">
        <v>807</v>
      </c>
      <c r="BO35" s="28">
        <f t="shared" si="4"/>
        <v>3234.6666666666665</v>
      </c>
      <c r="BP35" s="28">
        <f t="shared" si="5"/>
        <v>38816</v>
      </c>
      <c r="BS35" s="217"/>
      <c r="BT35" s="217"/>
      <c r="BU35" s="134"/>
      <c r="BV35" s="217"/>
      <c r="BW35" s="217"/>
      <c r="BX35" s="217"/>
    </row>
    <row r="36" spans="1:76" ht="15.95" customHeight="1" x14ac:dyDescent="0.25">
      <c r="A36" s="84" t="s">
        <v>154</v>
      </c>
      <c r="B36" s="703"/>
      <c r="D36" s="111" t="s">
        <v>274</v>
      </c>
      <c r="E36" s="26">
        <f>(E24-ABS(E26))+(E27-ABS(E28))+(E29-ABS(E30))+(E31-ABS(E32))+(E33-ABS(E34))+E35-E25</f>
        <v>3761161.94</v>
      </c>
      <c r="F36" s="111" t="s">
        <v>284</v>
      </c>
      <c r="G36" s="26">
        <f>SUM(G30:G35)</f>
        <v>0</v>
      </c>
      <c r="I36" s="127" t="s">
        <v>195</v>
      </c>
      <c r="J36" s="218">
        <v>31730.980000000003</v>
      </c>
      <c r="K36" s="168">
        <f>'[1]IS Linksheet'!$D35</f>
        <v>0</v>
      </c>
      <c r="L36" s="240"/>
      <c r="M36" s="240"/>
      <c r="N36" s="169">
        <f>'[1]IS Linksheet'!$G35</f>
        <v>0</v>
      </c>
      <c r="V36" s="449" t="str">
        <f>'[1]Strohs Plant in Service'!$C39</f>
        <v>Tanks and Wells (25)</v>
      </c>
      <c r="W36" s="292" t="str">
        <f>'[1]Strohs Plant in Service'!$D39</f>
        <v>WELL #1, AAE124 - Strohs (075)</v>
      </c>
      <c r="X36" s="293">
        <f>'[1]Strohs Plant in Service'!$E39</f>
        <v>45231</v>
      </c>
      <c r="Y36" s="297">
        <f>'[1]Strohs Plant in Service'!$F39</f>
        <v>8933.4</v>
      </c>
      <c r="Z36" s="248"/>
      <c r="AA36" s="294">
        <f>'[1]Strohs Plant in Service'!$G$11/12</f>
        <v>6</v>
      </c>
      <c r="AB36" s="219">
        <f>('[1]Strohs Plant in Service'!$G39-'[1]Strohs Plant in Service'!$H39)/12</f>
        <v>25</v>
      </c>
      <c r="AC36" s="219">
        <f>'[1]Strohs Plant in Service'!$I39</f>
        <v>0</v>
      </c>
      <c r="AD36" s="219"/>
      <c r="AE36" s="220">
        <f>'[1]Strohs Plant in Service'!$J39</f>
        <v>8933.4</v>
      </c>
      <c r="AF36" s="221">
        <v>0</v>
      </c>
      <c r="AG36" s="204"/>
      <c r="AH36" s="451" t="str">
        <f>'[1]Strohs CIAC'!$C39</f>
        <v>Mains, Tanks and Reservoirs (50)</v>
      </c>
      <c r="AI36" s="174" t="str">
        <f>'[1]Strohs CIAC'!$D39</f>
        <v>Mains (CIAC) - Strohs</v>
      </c>
      <c r="AJ36" s="179">
        <f>'[1]Strohs CIAC'!$E39</f>
        <v>45231</v>
      </c>
      <c r="AK36" s="247">
        <f>'[1]Strohs CIAC'!$F39</f>
        <v>1344.83</v>
      </c>
      <c r="AL36" s="248"/>
      <c r="AM36" s="294">
        <f>'[1]Strohs CIAC'!$G39/12</f>
        <v>30</v>
      </c>
      <c r="AN36" s="219">
        <f>('[1]Strohs CIAC'!$G39-'[1]Strohs CIAC'!$H39)/12</f>
        <v>13</v>
      </c>
      <c r="AO36" s="219">
        <f>'[1]Strohs CIAC'!$I39</f>
        <v>44.827666666666659</v>
      </c>
      <c r="AP36" s="219"/>
      <c r="AQ36" s="220">
        <f>'[1]Strohs CIAC'!$J39</f>
        <v>586.54999999999995</v>
      </c>
      <c r="AR36" s="221">
        <f t="shared" si="3"/>
        <v>758.28</v>
      </c>
      <c r="AY36" s="628"/>
      <c r="AZ36" s="470">
        <v>0.75</v>
      </c>
      <c r="BA36" s="466" t="s">
        <v>739</v>
      </c>
      <c r="BB36" s="211">
        <v>199</v>
      </c>
      <c r="BC36" s="211">
        <v>189</v>
      </c>
      <c r="BD36" s="211">
        <v>224</v>
      </c>
      <c r="BE36" s="211">
        <v>272</v>
      </c>
      <c r="BF36" s="211">
        <v>368</v>
      </c>
      <c r="BG36" s="211">
        <v>498</v>
      </c>
      <c r="BH36" s="211">
        <v>1454</v>
      </c>
      <c r="BI36" s="211">
        <v>999</v>
      </c>
      <c r="BJ36" s="211">
        <v>876</v>
      </c>
      <c r="BK36" s="211">
        <v>569</v>
      </c>
      <c r="BL36" s="211">
        <v>181</v>
      </c>
      <c r="BM36" s="211">
        <v>180</v>
      </c>
      <c r="BO36" s="28">
        <f t="shared" si="4"/>
        <v>500.75</v>
      </c>
      <c r="BP36" s="28">
        <f t="shared" si="5"/>
        <v>6009</v>
      </c>
      <c r="BS36" s="217"/>
      <c r="BT36" s="217"/>
      <c r="BU36" s="134"/>
      <c r="BV36" s="217"/>
      <c r="BW36" s="217"/>
      <c r="BX36" s="217"/>
    </row>
    <row r="37" spans="1:76" ht="15.95" customHeight="1" x14ac:dyDescent="0.25">
      <c r="A37" s="84" t="s">
        <v>156</v>
      </c>
      <c r="B37" s="703"/>
      <c r="D37" s="82"/>
      <c r="E37" s="161"/>
      <c r="F37" s="82"/>
      <c r="G37" s="161"/>
      <c r="I37" s="127" t="s">
        <v>24</v>
      </c>
      <c r="J37" s="218">
        <v>247277.56</v>
      </c>
      <c r="K37" s="168">
        <f>'[1]IS Linksheet'!$D36</f>
        <v>7782.3352996387403</v>
      </c>
      <c r="L37" s="240"/>
      <c r="M37" s="240"/>
      <c r="N37" s="169">
        <f>'[1]IS Linksheet'!$G36</f>
        <v>0</v>
      </c>
      <c r="O37" s="233">
        <f>+J37/E24</f>
        <v>4.5711762869938492E-2</v>
      </c>
      <c r="V37" s="449" t="str">
        <f>'[1]Strohs Plant in Service'!$C40</f>
        <v>Tanks and Wells (25)</v>
      </c>
      <c r="W37" s="292" t="str">
        <f>'[1]Strohs Plant in Service'!$D40</f>
        <v>Montgomery #2 - Strohs (472)</v>
      </c>
      <c r="X37" s="293">
        <f>'[1]Strohs Plant in Service'!$E40</f>
        <v>45231</v>
      </c>
      <c r="Y37" s="297">
        <f>'[1]Strohs Plant in Service'!$F40</f>
        <v>8272</v>
      </c>
      <c r="Z37" s="248"/>
      <c r="AA37" s="294">
        <f>'[1]Strohs Plant in Service'!$G$11/12</f>
        <v>6</v>
      </c>
      <c r="AB37" s="219">
        <f>('[1]Strohs Plant in Service'!$G40-'[1]Strohs Plant in Service'!$H40)/12</f>
        <v>24.416666666666668</v>
      </c>
      <c r="AC37" s="219">
        <f>'[1]Strohs Plant in Service'!$I40</f>
        <v>193.01333333333335</v>
      </c>
      <c r="AD37" s="219"/>
      <c r="AE37" s="220">
        <f>'[1]Strohs Plant in Service'!$J40</f>
        <v>8106.55</v>
      </c>
      <c r="AF37" s="221">
        <v>165.44999999999982</v>
      </c>
      <c r="AG37" s="204"/>
      <c r="AH37" s="451" t="str">
        <f>'[1]Strohs CIAC'!$C40</f>
        <v>Mains, Tanks and Reservoirs (50)</v>
      </c>
      <c r="AI37" s="174" t="str">
        <f>'[1]Strohs CIAC'!$D40</f>
        <v>Mains (CIAC) - Strohs</v>
      </c>
      <c r="AJ37" s="179">
        <f>'[1]Strohs CIAC'!$E40</f>
        <v>45231</v>
      </c>
      <c r="AK37" s="247">
        <f>'[1]Strohs CIAC'!$F40</f>
        <v>48479</v>
      </c>
      <c r="AL37" s="248"/>
      <c r="AM37" s="294">
        <f>'[1]Strohs CIAC'!$G40/12</f>
        <v>30</v>
      </c>
      <c r="AN37" s="219">
        <f>('[1]Strohs CIAC'!$G40-'[1]Strohs CIAC'!$H40)/12</f>
        <v>12.916666666666666</v>
      </c>
      <c r="AO37" s="219">
        <f>'[1]Strohs CIAC'!$I40</f>
        <v>1615.9666666666667</v>
      </c>
      <c r="AP37" s="219"/>
      <c r="AQ37" s="220">
        <f>'[1]Strohs CIAC'!$J40</f>
        <v>21007.52</v>
      </c>
      <c r="AR37" s="221">
        <f t="shared" si="3"/>
        <v>27471.48</v>
      </c>
      <c r="AY37" s="628"/>
      <c r="AZ37" s="470">
        <v>0.75</v>
      </c>
      <c r="BA37" s="466" t="s">
        <v>740</v>
      </c>
      <c r="BB37" s="211">
        <v>346</v>
      </c>
      <c r="BC37" s="211">
        <v>132</v>
      </c>
      <c r="BD37" s="211">
        <v>251</v>
      </c>
      <c r="BE37" s="211">
        <v>279</v>
      </c>
      <c r="BF37" s="211">
        <v>164</v>
      </c>
      <c r="BG37" s="211" t="s">
        <v>655</v>
      </c>
      <c r="BH37" s="211">
        <v>5388</v>
      </c>
      <c r="BI37" s="211">
        <v>6410</v>
      </c>
      <c r="BJ37" s="211">
        <v>3069</v>
      </c>
      <c r="BK37" s="211">
        <v>288</v>
      </c>
      <c r="BL37" s="211">
        <v>202</v>
      </c>
      <c r="BM37" s="211">
        <v>120</v>
      </c>
      <c r="BO37" s="28">
        <f t="shared" si="4"/>
        <v>1513.5454545454545</v>
      </c>
      <c r="BP37" s="28">
        <f t="shared" si="5"/>
        <v>16649</v>
      </c>
      <c r="BS37" s="217"/>
      <c r="BT37" s="217"/>
      <c r="BU37" s="134"/>
      <c r="BV37" s="217"/>
      <c r="BW37" s="217"/>
      <c r="BX37" s="217"/>
    </row>
    <row r="38" spans="1:76" ht="15.95" customHeight="1" x14ac:dyDescent="0.25">
      <c r="A38" s="84" t="s">
        <v>158</v>
      </c>
      <c r="B38" s="703"/>
      <c r="D38" s="108" t="s">
        <v>285</v>
      </c>
      <c r="E38" s="21">
        <f>ROUND(E36+E22, 0)</f>
        <v>3777452</v>
      </c>
      <c r="F38" s="108" t="s">
        <v>286</v>
      </c>
      <c r="G38" s="21">
        <f>ROUND(G36+G27, 0)</f>
        <v>619601</v>
      </c>
      <c r="H38" s="120"/>
      <c r="I38" s="127" t="s">
        <v>25</v>
      </c>
      <c r="J38" s="218">
        <v>14547.13</v>
      </c>
      <c r="K38" s="168">
        <f>'[1]IS Linksheet'!$D37</f>
        <v>0</v>
      </c>
      <c r="L38" s="240"/>
      <c r="M38" s="240"/>
      <c r="N38" s="169">
        <f>'[1]IS Linksheet'!$G37</f>
        <v>0</v>
      </c>
      <c r="O38" s="44">
        <f>+J38/J14</f>
        <v>4.8460502511632059E-2</v>
      </c>
      <c r="V38" s="449" t="str">
        <f>'[1]Strohs Plant in Service'!$C41</f>
        <v>Tanks and Wells (25)</v>
      </c>
      <c r="W38" s="292" t="str">
        <f>'[1]Strohs Plant in Service'!$D41</f>
        <v>Wells - Strohs (075)</v>
      </c>
      <c r="X38" s="293">
        <f>'[1]Strohs Plant in Service'!$E41</f>
        <v>45231</v>
      </c>
      <c r="Y38" s="297">
        <f>'[1]Strohs Plant in Service'!$F41</f>
        <v>2533</v>
      </c>
      <c r="Z38" s="248"/>
      <c r="AA38" s="294">
        <f>'[1]Strohs Plant in Service'!$G$11/12</f>
        <v>6</v>
      </c>
      <c r="AB38" s="219">
        <f>('[1]Strohs Plant in Service'!$G41-'[1]Strohs Plant in Service'!$H41)/12</f>
        <v>23.333333333333332</v>
      </c>
      <c r="AC38" s="219">
        <f>'[1]Strohs Plant in Service'!$I41</f>
        <v>101.32</v>
      </c>
      <c r="AD38" s="219"/>
      <c r="AE38" s="220">
        <f>'[1]Strohs Plant in Service'!$J41</f>
        <v>2372.5500000000002</v>
      </c>
      <c r="AF38" s="221">
        <v>160.44999999999982</v>
      </c>
      <c r="AG38" s="204"/>
      <c r="AH38" s="451" t="str">
        <f>'[1]Strohs CIAC'!$C41</f>
        <v>Mains, Tanks and Reservoirs (50)</v>
      </c>
      <c r="AI38" s="174" t="str">
        <f>'[1]Strohs CIAC'!$D41</f>
        <v>Mains (CIAC) - Strohs</v>
      </c>
      <c r="AJ38" s="179">
        <f>'[1]Strohs CIAC'!$E41</f>
        <v>45231</v>
      </c>
      <c r="AK38" s="247">
        <f>'[1]Strohs CIAC'!$F41</f>
        <v>18921.72</v>
      </c>
      <c r="AL38" s="248"/>
      <c r="AM38" s="294">
        <f>'[1]Strohs CIAC'!$G41/12</f>
        <v>30</v>
      </c>
      <c r="AN38" s="219">
        <f>('[1]Strohs CIAC'!$G41-'[1]Strohs CIAC'!$H41)/12</f>
        <v>12.916666666666666</v>
      </c>
      <c r="AO38" s="219">
        <f>'[1]Strohs CIAC'!$I41</f>
        <v>630.72400000000005</v>
      </c>
      <c r="AP38" s="219"/>
      <c r="AQ38" s="220">
        <f>'[1]Strohs CIAC'!$J41</f>
        <v>8199.41</v>
      </c>
      <c r="AR38" s="221">
        <f t="shared" si="3"/>
        <v>10722.310000000001</v>
      </c>
      <c r="AY38" s="628"/>
      <c r="AZ38" s="470">
        <v>0.75</v>
      </c>
      <c r="BA38" s="466" t="s">
        <v>741</v>
      </c>
      <c r="BB38" s="211">
        <v>951</v>
      </c>
      <c r="BC38" s="211">
        <v>830</v>
      </c>
      <c r="BD38" s="211">
        <v>769</v>
      </c>
      <c r="BE38" s="211">
        <v>954</v>
      </c>
      <c r="BF38" s="211">
        <v>1045</v>
      </c>
      <c r="BG38" s="211">
        <v>675</v>
      </c>
      <c r="BH38" s="211">
        <v>1382</v>
      </c>
      <c r="BI38" s="211">
        <v>978</v>
      </c>
      <c r="BJ38" s="211">
        <v>1049</v>
      </c>
      <c r="BK38" s="211">
        <v>950</v>
      </c>
      <c r="BL38" s="211">
        <v>800</v>
      </c>
      <c r="BM38" s="211">
        <v>1141</v>
      </c>
      <c r="BO38" s="28">
        <f t="shared" si="4"/>
        <v>960.33333333333337</v>
      </c>
      <c r="BP38" s="28">
        <f t="shared" si="5"/>
        <v>11524</v>
      </c>
      <c r="BS38" s="217"/>
      <c r="BT38" s="217"/>
      <c r="BU38" s="134"/>
      <c r="BV38" s="217"/>
      <c r="BW38" s="217"/>
      <c r="BX38" s="217"/>
    </row>
    <row r="39" spans="1:76" ht="15.95" customHeight="1" x14ac:dyDescent="0.25">
      <c r="A39" s="84" t="s">
        <v>175</v>
      </c>
      <c r="B39" s="703"/>
      <c r="D39" s="82"/>
      <c r="E39" s="25"/>
      <c r="G39" s="26"/>
      <c r="I39" s="127" t="s">
        <v>26</v>
      </c>
      <c r="J39" s="218">
        <v>8566.2900000000009</v>
      </c>
      <c r="K39" s="168">
        <f>'[1]IS Linksheet'!$D38</f>
        <v>0</v>
      </c>
      <c r="L39" s="240"/>
      <c r="M39" s="240"/>
      <c r="N39" s="169">
        <f>'[1]IS Linksheet'!$G38</f>
        <v>0</v>
      </c>
      <c r="V39" s="449" t="str">
        <f>'[1]Strohs Plant in Service'!$C42</f>
        <v>Tanks and Wells (25)</v>
      </c>
      <c r="W39" s="292" t="str">
        <f>'[1]Strohs Plant in Service'!$D42</f>
        <v>Wells - Strohs (472)</v>
      </c>
      <c r="X39" s="293">
        <f>'[1]Strohs Plant in Service'!$E42</f>
        <v>45231</v>
      </c>
      <c r="Y39" s="297">
        <f>'[1]Strohs Plant in Service'!$F42</f>
        <v>113</v>
      </c>
      <c r="Z39" s="248"/>
      <c r="AA39" s="294">
        <f>'[1]Strohs Plant in Service'!$G$11/12</f>
        <v>6</v>
      </c>
      <c r="AB39" s="219">
        <f>('[1]Strohs Plant in Service'!$G42-'[1]Strohs Plant in Service'!$H42)/12</f>
        <v>24.5</v>
      </c>
      <c r="AC39" s="219">
        <f>'[1]Strohs Plant in Service'!$I42</f>
        <v>2.2599999999999998</v>
      </c>
      <c r="AD39" s="219"/>
      <c r="AE39" s="220">
        <f>'[1]Strohs Plant in Service'!$J42</f>
        <v>111.13</v>
      </c>
      <c r="AF39" s="221">
        <v>1.8700000000000045</v>
      </c>
      <c r="AG39" s="204"/>
      <c r="AH39" s="451" t="str">
        <f>'[1]Strohs CIAC'!$C42</f>
        <v>Mains, Tanks and Reservoirs (50)</v>
      </c>
      <c r="AI39" s="174" t="str">
        <f>'[1]Strohs CIAC'!$D42</f>
        <v>Mains (CIAC) - Strohs</v>
      </c>
      <c r="AJ39" s="179">
        <f>'[1]Strohs CIAC'!$E42</f>
        <v>45231</v>
      </c>
      <c r="AK39" s="247">
        <f>'[1]Strohs CIAC'!$F42</f>
        <v>1932.79</v>
      </c>
      <c r="AL39" s="248"/>
      <c r="AM39" s="294">
        <f>'[1]Strohs CIAC'!$G42/12</f>
        <v>30</v>
      </c>
      <c r="AN39" s="219">
        <f>('[1]Strohs CIAC'!$G42-'[1]Strohs CIAC'!$H42)/12</f>
        <v>12.916666666666666</v>
      </c>
      <c r="AO39" s="219">
        <f>'[1]Strohs CIAC'!$I42</f>
        <v>64.426333333333332</v>
      </c>
      <c r="AP39" s="219"/>
      <c r="AQ39" s="220">
        <f>'[1]Strohs CIAC'!$J42</f>
        <v>837.56</v>
      </c>
      <c r="AR39" s="221">
        <f t="shared" si="3"/>
        <v>1095.23</v>
      </c>
      <c r="AY39" s="628"/>
      <c r="AZ39" s="470">
        <v>0.75</v>
      </c>
      <c r="BA39" s="466" t="s">
        <v>742</v>
      </c>
      <c r="BB39" s="211" t="s">
        <v>655</v>
      </c>
      <c r="BC39" s="211" t="s">
        <v>655</v>
      </c>
      <c r="BD39" s="211" t="s">
        <v>655</v>
      </c>
      <c r="BE39" s="211" t="s">
        <v>655</v>
      </c>
      <c r="BF39" s="211" t="s">
        <v>655</v>
      </c>
      <c r="BG39" s="211" t="s">
        <v>655</v>
      </c>
      <c r="BH39" s="211" t="s">
        <v>655</v>
      </c>
      <c r="BI39" s="211">
        <v>5</v>
      </c>
      <c r="BJ39" s="211">
        <v>2</v>
      </c>
      <c r="BK39" s="211" t="s">
        <v>655</v>
      </c>
      <c r="BL39" s="211" t="s">
        <v>655</v>
      </c>
      <c r="BM39" s="211" t="s">
        <v>655</v>
      </c>
      <c r="BO39" s="28">
        <f t="shared" si="4"/>
        <v>3.5</v>
      </c>
      <c r="BP39" s="28">
        <f t="shared" si="5"/>
        <v>7</v>
      </c>
      <c r="BS39" s="217"/>
      <c r="BT39" s="217"/>
      <c r="BU39" s="134"/>
      <c r="BV39" s="217"/>
      <c r="BW39" s="217"/>
      <c r="BX39" s="217"/>
    </row>
    <row r="40" spans="1:76" ht="15.95" customHeight="1" x14ac:dyDescent="0.25">
      <c r="A40" s="84" t="s">
        <v>153</v>
      </c>
      <c r="B40" s="703"/>
      <c r="D40" s="699" t="s">
        <v>619</v>
      </c>
      <c r="E40" s="700"/>
      <c r="F40" s="700"/>
      <c r="G40" s="701"/>
      <c r="I40" s="127" t="s">
        <v>512</v>
      </c>
      <c r="J40" s="218">
        <v>1772.78</v>
      </c>
      <c r="K40" s="168">
        <f>'[1]IS Linksheet'!$D39</f>
        <v>0</v>
      </c>
      <c r="L40" s="240"/>
      <c r="M40" s="240"/>
      <c r="N40" s="169">
        <f>'[1]IS Linksheet'!$G39</f>
        <v>0</v>
      </c>
      <c r="V40" s="449" t="str">
        <f>'[1]Strohs Plant in Service'!$C43</f>
        <v>Tanks and Wells (25)</v>
      </c>
      <c r="W40" s="292" t="str">
        <f>'[1]Strohs Plant in Service'!$D43</f>
        <v>Wells - Strohs (472)</v>
      </c>
      <c r="X40" s="293">
        <f>'[1]Strohs Plant in Service'!$E43</f>
        <v>45231</v>
      </c>
      <c r="Y40" s="297">
        <f>'[1]Strohs Plant in Service'!$F43</f>
        <v>30</v>
      </c>
      <c r="Z40" s="248"/>
      <c r="AA40" s="294">
        <f>'[1]Strohs Plant in Service'!$G$11/12</f>
        <v>6</v>
      </c>
      <c r="AB40" s="219">
        <f>('[1]Strohs Plant in Service'!$G43-'[1]Strohs Plant in Service'!$H43)/12</f>
        <v>17.75</v>
      </c>
      <c r="AC40" s="219">
        <f>'[1]Strohs Plant in Service'!$I43</f>
        <v>1.2000000000000002</v>
      </c>
      <c r="AD40" s="219"/>
      <c r="AE40" s="220">
        <f>'[1]Strohs Plant in Service'!$J43</f>
        <v>21.4</v>
      </c>
      <c r="AF40" s="221">
        <v>8.6000000000000014</v>
      </c>
      <c r="AG40" s="204"/>
      <c r="AH40" s="451" t="str">
        <f>'[1]Strohs CIAC'!$C43</f>
        <v>Mains, Tanks and Reservoirs (50)</v>
      </c>
      <c r="AI40" s="174" t="str">
        <f>'[1]Strohs CIAC'!$D43</f>
        <v>Mains (CIAC, Towne Plaza II) - Stro</v>
      </c>
      <c r="AJ40" s="179">
        <f>'[1]Strohs CIAC'!$E43</f>
        <v>45231</v>
      </c>
      <c r="AK40" s="247">
        <f>'[1]Strohs CIAC'!$F43</f>
        <v>89007</v>
      </c>
      <c r="AL40" s="248"/>
      <c r="AM40" s="294">
        <f>'[1]Strohs CIAC'!$G43/12</f>
        <v>30</v>
      </c>
      <c r="AN40" s="219">
        <f>('[1]Strohs CIAC'!$G43-'[1]Strohs CIAC'!$H43)/12</f>
        <v>6.916666666666667</v>
      </c>
      <c r="AO40" s="219">
        <f>'[1]Strohs CIAC'!$I43</f>
        <v>2966.9</v>
      </c>
      <c r="AP40" s="219"/>
      <c r="AQ40" s="220">
        <f>'[1]Strohs CIAC'!$J43</f>
        <v>20768.28</v>
      </c>
      <c r="AR40" s="221">
        <f t="shared" si="3"/>
        <v>68238.720000000001</v>
      </c>
      <c r="AY40" s="628"/>
      <c r="AZ40" s="470">
        <v>0.75</v>
      </c>
      <c r="BA40" s="466" t="s">
        <v>743</v>
      </c>
      <c r="BB40" s="211">
        <v>462</v>
      </c>
      <c r="BC40" s="211">
        <v>418</v>
      </c>
      <c r="BD40" s="211">
        <v>495</v>
      </c>
      <c r="BE40" s="211">
        <v>612</v>
      </c>
      <c r="BF40" s="211">
        <v>1233</v>
      </c>
      <c r="BG40" s="211">
        <v>906</v>
      </c>
      <c r="BH40" s="211" t="s">
        <v>655</v>
      </c>
      <c r="BI40" s="211" t="s">
        <v>655</v>
      </c>
      <c r="BJ40" s="211" t="s">
        <v>655</v>
      </c>
      <c r="BK40" s="211" t="s">
        <v>655</v>
      </c>
      <c r="BL40" s="211" t="s">
        <v>655</v>
      </c>
      <c r="BM40" s="211" t="s">
        <v>655</v>
      </c>
      <c r="BO40" s="28">
        <f t="shared" si="4"/>
        <v>687.66666666666663</v>
      </c>
      <c r="BP40" s="28">
        <f t="shared" si="5"/>
        <v>4126</v>
      </c>
      <c r="BS40" s="217"/>
      <c r="BT40" s="217"/>
      <c r="BU40" s="134"/>
      <c r="BV40" s="217"/>
      <c r="BW40" s="217"/>
      <c r="BX40" s="217"/>
    </row>
    <row r="41" spans="1:76" ht="15.95" customHeight="1" x14ac:dyDescent="0.25">
      <c r="A41" s="84" t="s">
        <v>155</v>
      </c>
      <c r="B41" s="703"/>
      <c r="I41" s="88" t="s">
        <v>511</v>
      </c>
      <c r="J41" s="218">
        <v>0</v>
      </c>
      <c r="K41" s="168">
        <f>'[1]IS Linksheet'!$D40</f>
        <v>0</v>
      </c>
      <c r="L41" s="240"/>
      <c r="M41" s="240"/>
      <c r="N41" s="169">
        <f>'[1]IS Linksheet'!$G40</f>
        <v>0</v>
      </c>
      <c r="V41" s="449" t="str">
        <f>'[1]Strohs Plant in Service'!$C44</f>
        <v>Tanks and Wells (25)</v>
      </c>
      <c r="W41" s="292" t="str">
        <f>'[1]Strohs Plant in Service'!$D44</f>
        <v>Wells - Strohs (075)</v>
      </c>
      <c r="X41" s="293">
        <f>'[1]Strohs Plant in Service'!$E44</f>
        <v>45231</v>
      </c>
      <c r="Y41" s="297">
        <f>'[1]Strohs Plant in Service'!$F44</f>
        <v>364.96</v>
      </c>
      <c r="Z41" s="248"/>
      <c r="AA41" s="294">
        <f>'[1]Strohs Plant in Service'!$G$11/12</f>
        <v>6</v>
      </c>
      <c r="AB41" s="219">
        <f>('[1]Strohs Plant in Service'!$G44-'[1]Strohs Plant in Service'!$H44)/12</f>
        <v>18.333333333333332</v>
      </c>
      <c r="AC41" s="219">
        <f>'[1]Strohs Plant in Service'!$I44</f>
        <v>14.598399999999998</v>
      </c>
      <c r="AD41" s="219"/>
      <c r="AE41" s="220">
        <f>'[1]Strohs Plant in Service'!$J44</f>
        <v>268.89999999999998</v>
      </c>
      <c r="AF41" s="221">
        <v>96.06</v>
      </c>
      <c r="AG41" s="204"/>
      <c r="AH41" s="451" t="str">
        <f>'[1]Strohs CIAC'!$C44</f>
        <v>Plant, Structures, and Improvements (35)</v>
      </c>
      <c r="AI41" s="174" t="str">
        <f>'[1]Strohs CIAC'!$D44</f>
        <v>Structures (CIAC) - Strohs</v>
      </c>
      <c r="AJ41" s="179">
        <f>'[1]Strohs CIAC'!$E44</f>
        <v>45231</v>
      </c>
      <c r="AK41" s="247">
        <f>'[1]Strohs CIAC'!$F44</f>
        <v>12631.1</v>
      </c>
      <c r="AL41" s="248"/>
      <c r="AM41" s="294">
        <f>'[1]Strohs CIAC'!$G44/12</f>
        <v>30</v>
      </c>
      <c r="AN41" s="219">
        <f>('[1]Strohs CIAC'!$G44-'[1]Strohs CIAC'!$H44)/12</f>
        <v>30</v>
      </c>
      <c r="AO41" s="219">
        <f>'[1]Strohs CIAC'!$I44</f>
        <v>0</v>
      </c>
      <c r="AP41" s="219"/>
      <c r="AQ41" s="220">
        <f>'[1]Strohs CIAC'!$J44</f>
        <v>12631.1</v>
      </c>
      <c r="AR41" s="221">
        <f t="shared" si="3"/>
        <v>0</v>
      </c>
      <c r="AY41" s="628"/>
      <c r="AZ41" s="470">
        <v>0.75</v>
      </c>
      <c r="BA41" s="466" t="s">
        <v>744</v>
      </c>
      <c r="BB41" s="211">
        <v>90</v>
      </c>
      <c r="BC41" s="211">
        <v>91</v>
      </c>
      <c r="BD41" s="211">
        <v>105</v>
      </c>
      <c r="BE41" s="211">
        <v>145</v>
      </c>
      <c r="BF41" s="211">
        <v>174</v>
      </c>
      <c r="BG41" s="211">
        <v>131</v>
      </c>
      <c r="BH41" s="211">
        <v>490</v>
      </c>
      <c r="BI41" s="211" t="s">
        <v>655</v>
      </c>
      <c r="BJ41" s="211">
        <v>214</v>
      </c>
      <c r="BK41" s="211" t="s">
        <v>655</v>
      </c>
      <c r="BL41" s="211">
        <v>174</v>
      </c>
      <c r="BM41" s="211">
        <v>46</v>
      </c>
      <c r="BO41" s="28">
        <f t="shared" si="4"/>
        <v>166</v>
      </c>
      <c r="BP41" s="28">
        <f t="shared" si="5"/>
        <v>1660</v>
      </c>
      <c r="BS41" s="217"/>
      <c r="BT41" s="217"/>
      <c r="BU41" s="134"/>
      <c r="BV41" s="217"/>
      <c r="BW41" s="217"/>
      <c r="BX41" s="217"/>
    </row>
    <row r="42" spans="1:76" ht="15.95" customHeight="1" thickBot="1" x14ac:dyDescent="0.3">
      <c r="A42" s="84" t="s">
        <v>157</v>
      </c>
      <c r="B42" s="703"/>
      <c r="F42" s="6" t="s">
        <v>401</v>
      </c>
      <c r="I42" s="128" t="s">
        <v>243</v>
      </c>
      <c r="J42" s="170">
        <v>191796.5</v>
      </c>
      <c r="K42" s="171">
        <f>'[1]IS Linksheet'!$D41</f>
        <v>0</v>
      </c>
      <c r="L42" s="241"/>
      <c r="M42" s="241"/>
      <c r="N42" s="172">
        <f>'[1]IS Linksheet'!$G41</f>
        <v>-17634.961753246782</v>
      </c>
      <c r="O42" s="6" t="s">
        <v>366</v>
      </c>
      <c r="V42" s="449" t="str">
        <f>'[1]Strohs Plant in Service'!$C45</f>
        <v>Tanks and Wells (25)</v>
      </c>
      <c r="W42" s="292" t="str">
        <f>'[1]Strohs Plant in Service'!$D45</f>
        <v>Wells - Strohs (472)</v>
      </c>
      <c r="X42" s="293">
        <f>'[1]Strohs Plant in Service'!$E45</f>
        <v>45231</v>
      </c>
      <c r="Y42" s="297">
        <f>'[1]Strohs Plant in Service'!$F45</f>
        <v>274.36</v>
      </c>
      <c r="Z42" s="248"/>
      <c r="AA42" s="294">
        <f>'[1]Strohs Plant in Service'!$G$11/12</f>
        <v>6</v>
      </c>
      <c r="AB42" s="219">
        <f>('[1]Strohs Plant in Service'!$G45-'[1]Strohs Plant in Service'!$H45)/12</f>
        <v>17.916666666666668</v>
      </c>
      <c r="AC42" s="219">
        <f>'[1]Strohs Plant in Service'!$I45</f>
        <v>10.974400000000001</v>
      </c>
      <c r="AD42" s="219"/>
      <c r="AE42" s="220">
        <f>'[1]Strohs Plant in Service'!$J45</f>
        <v>197.5</v>
      </c>
      <c r="AF42" s="221">
        <v>76.860000000000014</v>
      </c>
      <c r="AG42" s="204"/>
      <c r="AH42" s="451" t="str">
        <f>'[1]Strohs CIAC'!$C45</f>
        <v>Plant, Structures, and Improvements (35)</v>
      </c>
      <c r="AI42" s="174" t="str">
        <f>'[1]Strohs CIAC'!$D45</f>
        <v>Structures (CIAC) - Strohs</v>
      </c>
      <c r="AJ42" s="179">
        <f>'[1]Strohs CIAC'!$E45</f>
        <v>45231</v>
      </c>
      <c r="AK42" s="247">
        <f>'[1]Strohs CIAC'!$F45</f>
        <v>528.01</v>
      </c>
      <c r="AL42" s="248"/>
      <c r="AM42" s="294">
        <f>'[1]Strohs CIAC'!$G45/12</f>
        <v>30</v>
      </c>
      <c r="AN42" s="219">
        <f>('[1]Strohs CIAC'!$G45-'[1]Strohs CIAC'!$H45)/12</f>
        <v>20.916666666666668</v>
      </c>
      <c r="AO42" s="219">
        <f>'[1]Strohs CIAC'!$I45</f>
        <v>17.600333333333335</v>
      </c>
      <c r="AP42" s="219"/>
      <c r="AQ42" s="220">
        <f>'[1]Strohs CIAC'!$J45</f>
        <v>369.65</v>
      </c>
      <c r="AR42" s="221">
        <f t="shared" si="3"/>
        <v>158.36000000000001</v>
      </c>
      <c r="AY42" s="628"/>
      <c r="AZ42" s="470">
        <v>0.75</v>
      </c>
      <c r="BA42" s="466" t="s">
        <v>745</v>
      </c>
      <c r="BB42" s="211">
        <v>1194</v>
      </c>
      <c r="BC42" s="211">
        <v>754</v>
      </c>
      <c r="BD42" s="211">
        <v>656</v>
      </c>
      <c r="BE42" s="211">
        <v>1045</v>
      </c>
      <c r="BF42" s="211">
        <v>3521</v>
      </c>
      <c r="BG42" s="211">
        <v>5215</v>
      </c>
      <c r="BH42" s="211">
        <v>4314</v>
      </c>
      <c r="BI42" s="211">
        <v>4167</v>
      </c>
      <c r="BJ42" s="211">
        <v>4281</v>
      </c>
      <c r="BK42" s="211">
        <v>3538</v>
      </c>
      <c r="BL42" s="211">
        <v>660</v>
      </c>
      <c r="BM42" s="211">
        <v>250</v>
      </c>
      <c r="BO42" s="28">
        <f t="shared" si="4"/>
        <v>2466.25</v>
      </c>
      <c r="BP42" s="28">
        <f t="shared" si="5"/>
        <v>29595</v>
      </c>
      <c r="BS42" s="217"/>
      <c r="BT42" s="217"/>
      <c r="BU42" s="134"/>
      <c r="BV42" s="217"/>
      <c r="BW42" s="217"/>
      <c r="BX42" s="217"/>
    </row>
    <row r="43" spans="1:76" ht="15.95" customHeight="1" x14ac:dyDescent="0.25">
      <c r="A43" s="85" t="s">
        <v>177</v>
      </c>
      <c r="B43" s="704"/>
      <c r="F43" s="299">
        <f>+E38-G38</f>
        <v>3157851</v>
      </c>
      <c r="I43" s="88" t="s">
        <v>27</v>
      </c>
      <c r="J43" s="24">
        <f>SUM(J17:J42)</f>
        <v>606038.89</v>
      </c>
      <c r="K43" s="25">
        <f>SUM(K17:K42)</f>
        <v>-18122.481550361263</v>
      </c>
      <c r="L43" s="242"/>
      <c r="M43" s="242"/>
      <c r="N43" s="26">
        <f>SUM(N17:N42)</f>
        <v>5065.3715800865502</v>
      </c>
      <c r="O43" s="234">
        <f>+J43/12/B14</f>
        <v>60.555444644284577</v>
      </c>
      <c r="V43" s="449" t="str">
        <f>'[1]Strohs Plant in Service'!$C46</f>
        <v>Tanks and Wells (25)</v>
      </c>
      <c r="W43" s="292" t="str">
        <f>'[1]Strohs Plant in Service'!$D46</f>
        <v>Wells - Strohs (075)</v>
      </c>
      <c r="X43" s="293">
        <f>'[1]Strohs Plant in Service'!$E46</f>
        <v>45231</v>
      </c>
      <c r="Y43" s="297">
        <f>'[1]Strohs Plant in Service'!$F46</f>
        <v>647.5</v>
      </c>
      <c r="Z43" s="248"/>
      <c r="AA43" s="294">
        <f>'[1]Strohs Plant in Service'!$G$11/12</f>
        <v>6</v>
      </c>
      <c r="AB43" s="219">
        <f>('[1]Strohs Plant in Service'!$G46-'[1]Strohs Plant in Service'!$H46)/12</f>
        <v>13.916666666666666</v>
      </c>
      <c r="AC43" s="219">
        <f>'[1]Strohs Plant in Service'!$I46</f>
        <v>25.9</v>
      </c>
      <c r="AD43" s="219"/>
      <c r="AE43" s="220">
        <f>'[1]Strohs Plant in Service'!$J46</f>
        <v>362.62</v>
      </c>
      <c r="AF43" s="221">
        <v>284.88</v>
      </c>
      <c r="AG43" s="204"/>
      <c r="AH43" s="451" t="str">
        <f>'[1]Strohs CIAC'!$C46</f>
        <v>Plant, Structures, and Improvements (35)</v>
      </c>
      <c r="AI43" s="174" t="str">
        <f>'[1]Strohs CIAC'!$D46</f>
        <v>Structures (CIAC) - Strohs</v>
      </c>
      <c r="AJ43" s="179">
        <f>'[1]Strohs CIAC'!$E46</f>
        <v>45231</v>
      </c>
      <c r="AK43" s="247">
        <f>'[1]Strohs CIAC'!$F46</f>
        <v>1146.78</v>
      </c>
      <c r="AL43" s="248"/>
      <c r="AM43" s="294">
        <f>'[1]Strohs CIAC'!$G46/12</f>
        <v>30</v>
      </c>
      <c r="AN43" s="219">
        <f>('[1]Strohs CIAC'!$G46-'[1]Strohs CIAC'!$H46)/12</f>
        <v>12.916666666666666</v>
      </c>
      <c r="AO43" s="219">
        <f>'[1]Strohs CIAC'!$I46</f>
        <v>38.225999999999999</v>
      </c>
      <c r="AP43" s="219"/>
      <c r="AQ43" s="220">
        <f>'[1]Strohs CIAC'!$J46</f>
        <v>497</v>
      </c>
      <c r="AR43" s="221">
        <f t="shared" si="3"/>
        <v>649.78</v>
      </c>
      <c r="AY43" s="628"/>
      <c r="AZ43" s="470">
        <v>0.75</v>
      </c>
      <c r="BA43" s="466" t="s">
        <v>746</v>
      </c>
      <c r="BB43" s="211">
        <v>692</v>
      </c>
      <c r="BC43" s="211">
        <v>659</v>
      </c>
      <c r="BD43" s="211">
        <v>362</v>
      </c>
      <c r="BE43" s="211">
        <v>1217</v>
      </c>
      <c r="BF43" s="211">
        <v>342</v>
      </c>
      <c r="BG43" s="211" t="s">
        <v>655</v>
      </c>
      <c r="BH43" s="211">
        <v>2358</v>
      </c>
      <c r="BI43" s="211">
        <v>709</v>
      </c>
      <c r="BJ43" s="211">
        <v>990</v>
      </c>
      <c r="BK43" s="211">
        <v>425</v>
      </c>
      <c r="BL43" s="211">
        <v>286</v>
      </c>
      <c r="BM43" s="211">
        <v>314</v>
      </c>
      <c r="BO43" s="28">
        <f t="shared" si="4"/>
        <v>759.4545454545455</v>
      </c>
      <c r="BP43" s="28">
        <f t="shared" si="5"/>
        <v>8354</v>
      </c>
      <c r="BS43" s="217"/>
      <c r="BT43" s="217"/>
      <c r="BU43" s="134"/>
      <c r="BV43" s="217"/>
      <c r="BW43" s="217"/>
      <c r="BX43" s="217"/>
    </row>
    <row r="44" spans="1:76" ht="15.95" customHeight="1" x14ac:dyDescent="0.25">
      <c r="A44" s="697" t="s">
        <v>387</v>
      </c>
      <c r="B44" s="698"/>
      <c r="D44" s="695" t="s">
        <v>398</v>
      </c>
      <c r="E44" s="696"/>
      <c r="F44" s="300"/>
      <c r="I44" s="88"/>
      <c r="J44" s="82"/>
      <c r="K44" s="28"/>
      <c r="L44" s="243"/>
      <c r="M44" s="243"/>
      <c r="N44" s="33"/>
      <c r="V44" s="449" t="str">
        <f>'[1]Strohs Plant in Service'!$C47</f>
        <v>Tanks and Wells (25)</v>
      </c>
      <c r="W44" s="292" t="str">
        <f>'[1]Strohs Plant in Service'!$D47</f>
        <v>Wells - Strohs (472)</v>
      </c>
      <c r="X44" s="293">
        <f>'[1]Strohs Plant in Service'!$E47</f>
        <v>45231</v>
      </c>
      <c r="Y44" s="297">
        <f>'[1]Strohs Plant in Service'!$F47</f>
        <v>5511.48</v>
      </c>
      <c r="Z44" s="248"/>
      <c r="AA44" s="294">
        <f>'[1]Strohs Plant in Service'!$G$11/12</f>
        <v>6</v>
      </c>
      <c r="AB44" s="219">
        <f>('[1]Strohs Plant in Service'!$G47-'[1]Strohs Plant in Service'!$H47)/12</f>
        <v>2.9166666666666665</v>
      </c>
      <c r="AC44" s="219">
        <f>'[1]Strohs Plant in Service'!$I47</f>
        <v>220.45919999999995</v>
      </c>
      <c r="AD44" s="219"/>
      <c r="AE44" s="220">
        <f>'[1]Strohs Plant in Service'!$J47</f>
        <v>661.36</v>
      </c>
      <c r="AF44" s="221">
        <v>4850.12</v>
      </c>
      <c r="AG44" s="204"/>
      <c r="AH44" s="451" t="str">
        <f>'[1]Strohs CIAC'!$C47</f>
        <v>Pumping and Water Treatment (20)</v>
      </c>
      <c r="AI44" s="174" t="str">
        <f>'[1]Strohs CIAC'!$D47</f>
        <v>Pumping Equip (CIAC) - Strohs</v>
      </c>
      <c r="AJ44" s="179">
        <f>'[1]Strohs CIAC'!$E47</f>
        <v>45231</v>
      </c>
      <c r="AK44" s="247">
        <f>'[1]Strohs CIAC'!$F47</f>
        <v>54657.49</v>
      </c>
      <c r="AL44" s="248"/>
      <c r="AM44" s="294">
        <f>'[1]Strohs CIAC'!$G47/12</f>
        <v>30</v>
      </c>
      <c r="AN44" s="219">
        <f>('[1]Strohs CIAC'!$G47-'[1]Strohs CIAC'!$H47)/12</f>
        <v>30</v>
      </c>
      <c r="AO44" s="219">
        <f>'[1]Strohs CIAC'!$I47</f>
        <v>0</v>
      </c>
      <c r="AP44" s="219"/>
      <c r="AQ44" s="220">
        <f>'[1]Strohs CIAC'!$J47</f>
        <v>54657.49</v>
      </c>
      <c r="AR44" s="221">
        <f t="shared" si="3"/>
        <v>0</v>
      </c>
      <c r="AY44" s="628"/>
      <c r="AZ44" s="470">
        <v>0.75</v>
      </c>
      <c r="BA44" s="466" t="s">
        <v>747</v>
      </c>
      <c r="BB44" s="211">
        <v>285</v>
      </c>
      <c r="BC44" s="211">
        <v>310</v>
      </c>
      <c r="BD44" s="211">
        <v>398</v>
      </c>
      <c r="BE44" s="211">
        <v>337</v>
      </c>
      <c r="BF44" s="211">
        <v>814</v>
      </c>
      <c r="BG44" s="211">
        <v>769</v>
      </c>
      <c r="BH44" s="211">
        <v>3355</v>
      </c>
      <c r="BI44" s="211">
        <v>3210</v>
      </c>
      <c r="BJ44" s="211">
        <v>1840</v>
      </c>
      <c r="BK44" s="211">
        <v>583</v>
      </c>
      <c r="BL44" s="211">
        <v>277</v>
      </c>
      <c r="BM44" s="211">
        <v>300</v>
      </c>
      <c r="BO44" s="28">
        <f t="shared" si="4"/>
        <v>1039.8333333333333</v>
      </c>
      <c r="BP44" s="28">
        <f t="shared" si="5"/>
        <v>12478</v>
      </c>
      <c r="BS44" s="217"/>
      <c r="BT44" s="217"/>
      <c r="BU44" s="134"/>
      <c r="BV44" s="217"/>
      <c r="BW44" s="217"/>
      <c r="BX44" s="217"/>
    </row>
    <row r="45" spans="1:76" ht="15.95" customHeight="1" x14ac:dyDescent="0.25">
      <c r="A45" s="212" t="s">
        <v>361</v>
      </c>
      <c r="B45" s="213"/>
      <c r="D45" s="82" t="str">
        <f>D24</f>
        <v>Utility Plant</v>
      </c>
      <c r="E45" s="120">
        <f>+Y6</f>
        <v>5402492.179999996</v>
      </c>
      <c r="F45" s="161"/>
      <c r="I45" s="88" t="s">
        <v>492</v>
      </c>
      <c r="J45" s="34">
        <f>J14-J43</f>
        <v>-305853.59999999998</v>
      </c>
      <c r="L45" s="245"/>
      <c r="M45" s="245"/>
      <c r="N45" s="161"/>
      <c r="R45" s="28"/>
      <c r="V45" s="449" t="str">
        <f>'[1]Strohs Plant in Service'!$C48</f>
        <v>Tanks and Wells (25)</v>
      </c>
      <c r="W45" s="292" t="str">
        <f>'[1]Strohs Plant in Service'!$D48</f>
        <v>WELL #2, AEF314 - Strohs (472)</v>
      </c>
      <c r="X45" s="293">
        <f>'[1]Strohs Plant in Service'!$E48</f>
        <v>45231</v>
      </c>
      <c r="Y45" s="297">
        <f>'[1]Strohs Plant in Service'!$F48</f>
        <v>19299.27</v>
      </c>
      <c r="Z45" s="248"/>
      <c r="AA45" s="294">
        <f>'[1]Strohs Plant in Service'!$G$11/12</f>
        <v>6</v>
      </c>
      <c r="AB45" s="219">
        <f>('[1]Strohs Plant in Service'!$G48-'[1]Strohs Plant in Service'!$H48)/12</f>
        <v>1.4166666666666667</v>
      </c>
      <c r="AC45" s="219">
        <f>'[1]Strohs Plant in Service'!$I48</f>
        <v>5263.437272727273</v>
      </c>
      <c r="AD45" s="219"/>
      <c r="AE45" s="220">
        <f>'[1]Strohs Plant in Service'!$J48</f>
        <v>7895.16</v>
      </c>
      <c r="AF45" s="221">
        <v>11404.11</v>
      </c>
      <c r="AG45" s="204"/>
      <c r="AH45" s="451" t="str">
        <f>'[1]Strohs CIAC'!$C48</f>
        <v>Pumping and Water Treatment (20)</v>
      </c>
      <c r="AI45" s="174" t="str">
        <f>'[1]Strohs CIAC'!$D48</f>
        <v>Pumping Equip (CIAC) - Strohs</v>
      </c>
      <c r="AJ45" s="179">
        <f>'[1]Strohs CIAC'!$E48</f>
        <v>45231</v>
      </c>
      <c r="AK45" s="247">
        <f>'[1]Strohs CIAC'!$F48</f>
        <v>1371.23</v>
      </c>
      <c r="AL45" s="248"/>
      <c r="AM45" s="294">
        <f>'[1]Strohs CIAC'!$G48/12</f>
        <v>30</v>
      </c>
      <c r="AN45" s="219">
        <f>('[1]Strohs CIAC'!$G48-'[1]Strohs CIAC'!$H48)/12</f>
        <v>30</v>
      </c>
      <c r="AO45" s="219">
        <f>'[1]Strohs CIAC'!$I48</f>
        <v>0</v>
      </c>
      <c r="AP45" s="219"/>
      <c r="AQ45" s="220">
        <f>'[1]Strohs CIAC'!$J48</f>
        <v>1371.23</v>
      </c>
      <c r="AR45" s="221">
        <f t="shared" si="3"/>
        <v>0</v>
      </c>
      <c r="AY45" s="628"/>
      <c r="AZ45" s="470">
        <v>0.75</v>
      </c>
      <c r="BA45" s="466" t="s">
        <v>748</v>
      </c>
      <c r="BB45" s="211">
        <v>262</v>
      </c>
      <c r="BC45" s="211">
        <v>318</v>
      </c>
      <c r="BD45" s="211">
        <v>312</v>
      </c>
      <c r="BE45" s="211">
        <v>720</v>
      </c>
      <c r="BF45" s="211">
        <v>624</v>
      </c>
      <c r="BG45" s="211">
        <v>1068</v>
      </c>
      <c r="BH45" s="211">
        <v>2836</v>
      </c>
      <c r="BI45" s="211">
        <v>1824</v>
      </c>
      <c r="BJ45" s="211">
        <v>1119</v>
      </c>
      <c r="BK45" s="211">
        <v>277</v>
      </c>
      <c r="BL45" s="211">
        <v>160</v>
      </c>
      <c r="BM45" s="211">
        <v>249</v>
      </c>
      <c r="BO45" s="28">
        <f t="shared" si="4"/>
        <v>814.08333333333337</v>
      </c>
      <c r="BP45" s="28">
        <f t="shared" si="5"/>
        <v>9769</v>
      </c>
      <c r="BS45" s="217"/>
      <c r="BT45" s="217"/>
      <c r="BU45" s="134"/>
      <c r="BV45" s="217"/>
      <c r="BW45" s="217"/>
      <c r="BX45" s="217"/>
    </row>
    <row r="46" spans="1:76" ht="15.95" customHeight="1" x14ac:dyDescent="0.25">
      <c r="A46" s="84" t="s">
        <v>357</v>
      </c>
      <c r="B46" s="214"/>
      <c r="D46" s="82" t="str">
        <f>D26</f>
        <v xml:space="preserve">    Accumulated Depreciation</v>
      </c>
      <c r="E46" s="120">
        <f>-AE6</f>
        <v>-1847908.02</v>
      </c>
      <c r="F46" s="161"/>
      <c r="I46" s="88" t="s">
        <v>28</v>
      </c>
      <c r="J46" s="295">
        <v>0</v>
      </c>
      <c r="K46" s="168"/>
      <c r="L46" s="240"/>
      <c r="M46" s="240"/>
      <c r="N46" s="169"/>
      <c r="V46" s="449" t="str">
        <f>'[1]Strohs Plant in Service'!$C49</f>
        <v>Tanks and Wells (25)</v>
      </c>
      <c r="W46" s="292" t="str">
        <f>'[1]Strohs Plant in Service'!$D49</f>
        <v>WELL #3, AEF315 - Strohs (472)</v>
      </c>
      <c r="X46" s="293">
        <f>'[1]Strohs Plant in Service'!$E49</f>
        <v>45231</v>
      </c>
      <c r="Y46" s="297">
        <f>'[1]Strohs Plant in Service'!$F49</f>
        <v>19359.96</v>
      </c>
      <c r="Z46" s="248"/>
      <c r="AA46" s="294">
        <f>'[1]Strohs Plant in Service'!$G$11/12</f>
        <v>6</v>
      </c>
      <c r="AB46" s="219">
        <f>('[1]Strohs Plant in Service'!$G49-'[1]Strohs Plant in Service'!$H49)/12</f>
        <v>1.4166666666666667</v>
      </c>
      <c r="AC46" s="219">
        <f>'[1]Strohs Plant in Service'!$I49</f>
        <v>5279.9890909090909</v>
      </c>
      <c r="AD46" s="219"/>
      <c r="AE46" s="220">
        <f>'[1]Strohs Plant in Service'!$J49</f>
        <v>7920</v>
      </c>
      <c r="AF46" s="221">
        <v>11439.96</v>
      </c>
      <c r="AG46" s="204"/>
      <c r="AH46" s="451" t="str">
        <f>'[1]Strohs CIAC'!$C49</f>
        <v>Equipment (Laboratory, Office, and Shop) (15)</v>
      </c>
      <c r="AI46" s="174" t="str">
        <f>'[1]Strohs CIAC'!$D49</f>
        <v>Radio Controls (CIAC) - Strohs</v>
      </c>
      <c r="AJ46" s="179">
        <f>'[1]Strohs CIAC'!$E49</f>
        <v>45231</v>
      </c>
      <c r="AK46" s="247">
        <f>'[1]Strohs CIAC'!$F49</f>
        <v>3383.53</v>
      </c>
      <c r="AL46" s="248"/>
      <c r="AM46" s="294">
        <f>'[1]Strohs CIAC'!$G49/12</f>
        <v>30</v>
      </c>
      <c r="AN46" s="219">
        <f>('[1]Strohs CIAC'!$G49-'[1]Strohs CIAC'!$H49)/12</f>
        <v>7.916666666666667</v>
      </c>
      <c r="AO46" s="219">
        <f>'[1]Strohs CIAC'!$I49</f>
        <v>112.78433333333334</v>
      </c>
      <c r="AP46" s="219"/>
      <c r="AQ46" s="220">
        <f>'[1]Strohs CIAC'!$J49</f>
        <v>902.29</v>
      </c>
      <c r="AR46" s="221">
        <f t="shared" si="3"/>
        <v>2481.2400000000002</v>
      </c>
      <c r="AY46" s="628"/>
      <c r="AZ46" s="470">
        <v>0.625</v>
      </c>
      <c r="BA46" s="466" t="s">
        <v>749</v>
      </c>
      <c r="BB46" s="211" t="s">
        <v>655</v>
      </c>
      <c r="BC46" s="211" t="s">
        <v>655</v>
      </c>
      <c r="BD46" s="211" t="s">
        <v>655</v>
      </c>
      <c r="BE46" s="211" t="s">
        <v>655</v>
      </c>
      <c r="BF46" s="211">
        <v>824</v>
      </c>
      <c r="BG46" s="211">
        <v>1175</v>
      </c>
      <c r="BH46" s="211">
        <v>2813</v>
      </c>
      <c r="BI46" s="211">
        <v>2163</v>
      </c>
      <c r="BJ46" s="211">
        <v>1373</v>
      </c>
      <c r="BK46" s="211">
        <v>780</v>
      </c>
      <c r="BL46" s="211">
        <v>567</v>
      </c>
      <c r="BM46" s="211">
        <v>488</v>
      </c>
      <c r="BO46" s="28">
        <f t="shared" si="4"/>
        <v>1272.875</v>
      </c>
      <c r="BP46" s="28">
        <f t="shared" si="5"/>
        <v>10183</v>
      </c>
      <c r="BS46" s="217"/>
      <c r="BT46" s="217"/>
      <c r="BU46" s="134"/>
      <c r="BV46" s="217"/>
      <c r="BW46" s="217"/>
      <c r="BX46" s="217"/>
    </row>
    <row r="47" spans="1:76" ht="15.95" customHeight="1" x14ac:dyDescent="0.25">
      <c r="A47" s="84" t="s">
        <v>358</v>
      </c>
      <c r="B47" s="214"/>
      <c r="D47" s="82" t="s">
        <v>350</v>
      </c>
      <c r="E47" s="159">
        <f>SUM(E45:E46)</f>
        <v>3554584.159999996</v>
      </c>
      <c r="F47" s="161"/>
      <c r="I47" s="88" t="s">
        <v>214</v>
      </c>
      <c r="J47" s="167">
        <v>-115643.17</v>
      </c>
      <c r="K47" s="168"/>
      <c r="L47" s="240"/>
      <c r="M47" s="240"/>
      <c r="N47" s="169"/>
      <c r="R47" s="28"/>
      <c r="V47" s="449" t="str">
        <f>'[1]Strohs Plant in Service'!$C50</f>
        <v>Tanks and Wells (25)</v>
      </c>
      <c r="W47" s="292" t="str">
        <f>'[1]Strohs Plant in Service'!$D50</f>
        <v>WELL #4, AEF227 - Strohs (472)</v>
      </c>
      <c r="X47" s="293">
        <f>'[1]Strohs Plant in Service'!$E50</f>
        <v>45231</v>
      </c>
      <c r="Y47" s="297">
        <f>'[1]Strohs Plant in Service'!$F50</f>
        <v>17782.03</v>
      </c>
      <c r="Z47" s="248"/>
      <c r="AA47" s="294">
        <f>'[1]Strohs Plant in Service'!$G$11/12</f>
        <v>6</v>
      </c>
      <c r="AB47" s="219">
        <f>('[1]Strohs Plant in Service'!$G50-'[1]Strohs Plant in Service'!$H50)/12</f>
        <v>1.4166666666666667</v>
      </c>
      <c r="AC47" s="219">
        <f>'[1]Strohs Plant in Service'!$I50</f>
        <v>4849.6445454545456</v>
      </c>
      <c r="AD47" s="219"/>
      <c r="AE47" s="220">
        <f>'[1]Strohs Plant in Service'!$J50</f>
        <v>7274.51</v>
      </c>
      <c r="AF47" s="221">
        <v>10507.519999999999</v>
      </c>
      <c r="AG47" s="204"/>
      <c r="AH47" s="451" t="str">
        <f>'[1]Strohs CIAC'!$C50</f>
        <v>Mains, Tanks and Reservoirs (50)</v>
      </c>
      <c r="AI47" s="174" t="str">
        <f>'[1]Strohs CIAC'!$D50</f>
        <v>Reservoirs (CIAC) - Strohs</v>
      </c>
      <c r="AJ47" s="179">
        <f>'[1]Strohs CIAC'!$E50</f>
        <v>45231</v>
      </c>
      <c r="AK47" s="247">
        <f>'[1]Strohs CIAC'!$F50</f>
        <v>39892.19</v>
      </c>
      <c r="AL47" s="248"/>
      <c r="AM47" s="294">
        <f>'[1]Strohs CIAC'!$G50/12</f>
        <v>30</v>
      </c>
      <c r="AN47" s="219">
        <f>('[1]Strohs CIAC'!$G50-'[1]Strohs CIAC'!$H50)/12</f>
        <v>30</v>
      </c>
      <c r="AO47" s="219">
        <f>'[1]Strohs CIAC'!$I50</f>
        <v>0</v>
      </c>
      <c r="AP47" s="219"/>
      <c r="AQ47" s="220">
        <f>'[1]Strohs CIAC'!$J50</f>
        <v>39892.19</v>
      </c>
      <c r="AR47" s="221">
        <f t="shared" si="3"/>
        <v>0</v>
      </c>
      <c r="AY47" s="628"/>
      <c r="AZ47" s="470">
        <v>0.75</v>
      </c>
      <c r="BA47" s="466" t="s">
        <v>750</v>
      </c>
      <c r="BB47" s="211">
        <v>314</v>
      </c>
      <c r="BC47" s="211">
        <v>370</v>
      </c>
      <c r="BD47" s="211">
        <v>395</v>
      </c>
      <c r="BE47" s="211">
        <v>407</v>
      </c>
      <c r="BF47" s="211">
        <v>1770</v>
      </c>
      <c r="BG47" s="211">
        <v>1492</v>
      </c>
      <c r="BH47" s="211">
        <v>6369</v>
      </c>
      <c r="BI47" s="211">
        <v>4516</v>
      </c>
      <c r="BJ47" s="211">
        <v>2511</v>
      </c>
      <c r="BK47" s="211">
        <v>550</v>
      </c>
      <c r="BL47" s="211">
        <v>240</v>
      </c>
      <c r="BM47" s="211">
        <v>661</v>
      </c>
      <c r="BO47" s="28">
        <f t="shared" si="4"/>
        <v>1632.9166666666667</v>
      </c>
      <c r="BP47" s="28">
        <f t="shared" si="5"/>
        <v>19595</v>
      </c>
      <c r="BS47" s="217"/>
      <c r="BT47" s="217"/>
      <c r="BU47" s="134"/>
      <c r="BV47" s="217"/>
      <c r="BW47" s="217"/>
      <c r="BX47" s="217"/>
    </row>
    <row r="48" spans="1:76" ht="15.95" customHeight="1" thickBot="1" x14ac:dyDescent="0.3">
      <c r="A48" s="84" t="s">
        <v>358</v>
      </c>
      <c r="B48" s="214"/>
      <c r="D48" s="82"/>
      <c r="F48" s="161"/>
      <c r="I48" s="88" t="s">
        <v>258</v>
      </c>
      <c r="J48" s="94">
        <f>+J43+J46+J47</f>
        <v>490395.72000000003</v>
      </c>
      <c r="L48" s="245"/>
      <c r="M48" s="245"/>
      <c r="N48" s="161"/>
      <c r="V48" s="449" t="str">
        <f>'[1]Strohs Plant in Service'!$C51</f>
        <v>Tanks and Wells (25)</v>
      </c>
      <c r="W48" s="292" t="str">
        <f>'[1]Strohs Plant in Service'!$D51</f>
        <v>WELL #5, AEF313 - Strohs (472)</v>
      </c>
      <c r="X48" s="293">
        <f>'[1]Strohs Plant in Service'!$E51</f>
        <v>45231</v>
      </c>
      <c r="Y48" s="297">
        <f>'[1]Strohs Plant in Service'!$F51</f>
        <v>23244.09</v>
      </c>
      <c r="Z48" s="248"/>
      <c r="AA48" s="294">
        <f>'[1]Strohs Plant in Service'!$G$11/12</f>
        <v>6</v>
      </c>
      <c r="AB48" s="219">
        <f>('[1]Strohs Plant in Service'!$G51-'[1]Strohs Plant in Service'!$H51)/12</f>
        <v>1.4166666666666667</v>
      </c>
      <c r="AC48" s="219">
        <f>'[1]Strohs Plant in Service'!$I51</f>
        <v>6339.2972727272736</v>
      </c>
      <c r="AD48" s="219"/>
      <c r="AE48" s="220">
        <f>'[1]Strohs Plant in Service'!$J51</f>
        <v>9508.94</v>
      </c>
      <c r="AF48" s="221">
        <v>13735.15</v>
      </c>
      <c r="AG48" s="204"/>
      <c r="AH48" s="451" t="str">
        <f>'[1]Strohs CIAC'!$C51</f>
        <v>Mains, Tanks and Reservoirs (50)</v>
      </c>
      <c r="AI48" s="174" t="str">
        <f>'[1]Strohs CIAC'!$D51</f>
        <v>Reservoirs (CIAC) - Strohs</v>
      </c>
      <c r="AJ48" s="179">
        <f>'[1]Strohs CIAC'!$E51</f>
        <v>45231</v>
      </c>
      <c r="AK48" s="247">
        <f>'[1]Strohs CIAC'!$F51</f>
        <v>7200</v>
      </c>
      <c r="AL48" s="248"/>
      <c r="AM48" s="294">
        <f>'[1]Strohs CIAC'!$G51/12</f>
        <v>30</v>
      </c>
      <c r="AN48" s="219">
        <f>('[1]Strohs CIAC'!$G51-'[1]Strohs CIAC'!$H51)/12</f>
        <v>23.416666666666668</v>
      </c>
      <c r="AO48" s="219">
        <f>'[1]Strohs CIAC'!$I51</f>
        <v>240</v>
      </c>
      <c r="AP48" s="219"/>
      <c r="AQ48" s="220">
        <f>'[1]Strohs CIAC'!$J51</f>
        <v>5640</v>
      </c>
      <c r="AR48" s="221">
        <f t="shared" si="3"/>
        <v>1560</v>
      </c>
      <c r="AY48" s="628"/>
      <c r="AZ48" s="470">
        <v>0.75</v>
      </c>
      <c r="BA48" s="466" t="s">
        <v>751</v>
      </c>
      <c r="BB48" s="211">
        <v>820</v>
      </c>
      <c r="BC48" s="211">
        <v>730</v>
      </c>
      <c r="BD48" s="211">
        <v>768</v>
      </c>
      <c r="BE48" s="211">
        <v>845</v>
      </c>
      <c r="BF48" s="211">
        <v>523</v>
      </c>
      <c r="BG48" s="211">
        <v>878</v>
      </c>
      <c r="BH48" s="211">
        <v>764</v>
      </c>
      <c r="BI48" s="211">
        <v>521</v>
      </c>
      <c r="BJ48" s="211">
        <v>883</v>
      </c>
      <c r="BK48" s="211">
        <v>721</v>
      </c>
      <c r="BL48" s="211">
        <v>775</v>
      </c>
      <c r="BM48" s="211">
        <v>600</v>
      </c>
      <c r="BO48" s="28">
        <f t="shared" si="4"/>
        <v>735.66666666666663</v>
      </c>
      <c r="BP48" s="28">
        <f t="shared" si="5"/>
        <v>8828</v>
      </c>
      <c r="BS48" s="217"/>
      <c r="BT48" s="217"/>
      <c r="BU48" s="134"/>
      <c r="BV48" s="217"/>
      <c r="BW48" s="217"/>
      <c r="BX48" s="217"/>
    </row>
    <row r="49" spans="1:76" ht="15.95" customHeight="1" thickTop="1" x14ac:dyDescent="0.25">
      <c r="A49" s="84" t="s">
        <v>372</v>
      </c>
      <c r="B49" s="214"/>
      <c r="D49" s="108"/>
      <c r="E49" s="301">
        <f>(+E24+E26)-E47</f>
        <v>6817.6300000040792</v>
      </c>
      <c r="F49" s="298" t="s">
        <v>382</v>
      </c>
      <c r="I49" s="88" t="s">
        <v>261</v>
      </c>
      <c r="J49" s="35">
        <f>+J14-J48</f>
        <v>-190210.43</v>
      </c>
      <c r="N49" s="161"/>
      <c r="R49" s="28"/>
      <c r="V49" s="449" t="str">
        <f>'[1]Strohs Plant in Service'!$C52</f>
        <v>Tanks and Wells (25)</v>
      </c>
      <c r="W49" s="292" t="str">
        <f>'[1]Strohs Plant in Service'!$D52</f>
        <v>WELL #6, AEF316 - Strohs (472)</v>
      </c>
      <c r="X49" s="293">
        <f>'[1]Strohs Plant in Service'!$E52</f>
        <v>45231</v>
      </c>
      <c r="Y49" s="297">
        <f>'[1]Strohs Plant in Service'!$F52</f>
        <v>19420.650000000001</v>
      </c>
      <c r="Z49" s="248"/>
      <c r="AA49" s="294">
        <f>'[1]Strohs Plant in Service'!$G$11/12</f>
        <v>6</v>
      </c>
      <c r="AB49" s="219">
        <f>('[1]Strohs Plant in Service'!$G52-'[1]Strohs Plant in Service'!$H52)/12</f>
        <v>1.4166666666666667</v>
      </c>
      <c r="AC49" s="219">
        <f>'[1]Strohs Plant in Service'!$I52</f>
        <v>5296.5409090909097</v>
      </c>
      <c r="AD49" s="219"/>
      <c r="AE49" s="220">
        <f>'[1]Strohs Plant in Service'!$J52</f>
        <v>7944.83</v>
      </c>
      <c r="AF49" s="221">
        <v>11475.820000000002</v>
      </c>
      <c r="AG49" s="204"/>
      <c r="AH49" s="451" t="str">
        <f>'[1]Strohs CIAC'!$C52</f>
        <v>Mains, Tanks and Reservoirs (50)</v>
      </c>
      <c r="AI49" s="174" t="str">
        <f>'[1]Strohs CIAC'!$D52</f>
        <v>Reservoirs (CIAC) - Strohs</v>
      </c>
      <c r="AJ49" s="179">
        <f>'[1]Strohs CIAC'!$E52</f>
        <v>45231</v>
      </c>
      <c r="AK49" s="247">
        <f>'[1]Strohs CIAC'!$F52</f>
        <v>39000</v>
      </c>
      <c r="AL49" s="248"/>
      <c r="AM49" s="294">
        <f>'[1]Strohs CIAC'!$G52/12</f>
        <v>30</v>
      </c>
      <c r="AN49" s="219">
        <f>('[1]Strohs CIAC'!$G52-'[1]Strohs CIAC'!$H52)/12</f>
        <v>21.416666666666668</v>
      </c>
      <c r="AO49" s="219">
        <f>'[1]Strohs CIAC'!$I52</f>
        <v>1300</v>
      </c>
      <c r="AP49" s="219"/>
      <c r="AQ49" s="220">
        <f>'[1]Strohs CIAC'!$J52</f>
        <v>27949.96</v>
      </c>
      <c r="AR49" s="221">
        <f t="shared" si="3"/>
        <v>11050.04</v>
      </c>
      <c r="AY49" s="628"/>
      <c r="AZ49" s="470">
        <v>0.75</v>
      </c>
      <c r="BA49" s="466" t="s">
        <v>752</v>
      </c>
      <c r="BB49" s="211">
        <v>82</v>
      </c>
      <c r="BC49" s="211">
        <v>60</v>
      </c>
      <c r="BD49" s="211">
        <v>62</v>
      </c>
      <c r="BE49" s="211">
        <v>64</v>
      </c>
      <c r="BF49" s="211">
        <v>71</v>
      </c>
      <c r="BG49" s="211">
        <v>60</v>
      </c>
      <c r="BH49" s="211">
        <v>94</v>
      </c>
      <c r="BI49" s="211">
        <v>61</v>
      </c>
      <c r="BJ49" s="211">
        <v>72</v>
      </c>
      <c r="BK49" s="211">
        <v>95</v>
      </c>
      <c r="BL49" s="211">
        <v>54</v>
      </c>
      <c r="BM49" s="211">
        <v>95</v>
      </c>
      <c r="BO49" s="28">
        <f t="shared" si="4"/>
        <v>72.5</v>
      </c>
      <c r="BP49" s="28">
        <f t="shared" si="5"/>
        <v>870</v>
      </c>
      <c r="BS49" s="217"/>
      <c r="BT49" s="217"/>
      <c r="BU49" s="134"/>
      <c r="BV49" s="217"/>
      <c r="BW49" s="217"/>
      <c r="BX49" s="217"/>
    </row>
    <row r="50" spans="1:76" ht="15.95" customHeight="1" x14ac:dyDescent="0.25">
      <c r="A50" s="84" t="s">
        <v>371</v>
      </c>
      <c r="B50" s="214"/>
      <c r="I50" s="88"/>
      <c r="J50" s="36"/>
      <c r="N50" s="161"/>
      <c r="V50" s="449" t="str">
        <f>'[1]Strohs Plant in Service'!$C53</f>
        <v>Tanks and Wells (25)</v>
      </c>
      <c r="W50" s="292" t="str">
        <f>'[1]Strohs Plant in Service'!$D53</f>
        <v>WELL #7, AEF317 - Strohs (075)</v>
      </c>
      <c r="X50" s="293">
        <f>'[1]Strohs Plant in Service'!$E53</f>
        <v>45231</v>
      </c>
      <c r="Y50" s="297">
        <f>'[1]Strohs Plant in Service'!$F53</f>
        <v>24776.74</v>
      </c>
      <c r="Z50" s="248"/>
      <c r="AA50" s="294">
        <f>'[1]Strohs Plant in Service'!$G$11/12</f>
        <v>6</v>
      </c>
      <c r="AB50" s="219">
        <f>('[1]Strohs Plant in Service'!$G53-'[1]Strohs Plant in Service'!$H53)/12</f>
        <v>1.4166666666666667</v>
      </c>
      <c r="AC50" s="219">
        <f>'[1]Strohs Plant in Service'!$I53</f>
        <v>6757.2927272727275</v>
      </c>
      <c r="AD50" s="219"/>
      <c r="AE50" s="220">
        <f>'[1]Strohs Plant in Service'!$J53</f>
        <v>10135.969999999999</v>
      </c>
      <c r="AF50" s="221">
        <v>14640.770000000002</v>
      </c>
      <c r="AG50" s="204"/>
      <c r="AH50" s="451" t="str">
        <f>'[1]Strohs CIAC'!$C53</f>
        <v>Mains, Tanks and Reservoirs (50)</v>
      </c>
      <c r="AI50" s="174" t="str">
        <f>'[1]Strohs CIAC'!$D53</f>
        <v>Reservoirs (CIAC) - Strohs</v>
      </c>
      <c r="AJ50" s="179">
        <f>'[1]Strohs CIAC'!$E53</f>
        <v>45231</v>
      </c>
      <c r="AK50" s="247">
        <f>'[1]Strohs CIAC'!$F53</f>
        <v>1724</v>
      </c>
      <c r="AL50" s="248"/>
      <c r="AM50" s="294">
        <f>'[1]Strohs CIAC'!$G53/12</f>
        <v>30</v>
      </c>
      <c r="AN50" s="219">
        <f>('[1]Strohs CIAC'!$G53-'[1]Strohs CIAC'!$H53)/12</f>
        <v>15.916666666666666</v>
      </c>
      <c r="AO50" s="219">
        <f>'[1]Strohs CIAC'!$I53</f>
        <v>57.466666666666669</v>
      </c>
      <c r="AP50" s="219"/>
      <c r="AQ50" s="220">
        <f>'[1]Strohs CIAC'!$J53</f>
        <v>919.48</v>
      </c>
      <c r="AR50" s="221">
        <f t="shared" si="3"/>
        <v>804.52</v>
      </c>
      <c r="AY50" s="628"/>
      <c r="AZ50" s="470">
        <v>0.75</v>
      </c>
      <c r="BA50" s="466" t="s">
        <v>753</v>
      </c>
      <c r="BB50" s="211">
        <v>212</v>
      </c>
      <c r="BC50" s="211">
        <v>295</v>
      </c>
      <c r="BD50" s="211">
        <v>344</v>
      </c>
      <c r="BE50" s="211">
        <v>440</v>
      </c>
      <c r="BF50" s="211">
        <v>227</v>
      </c>
      <c r="BG50" s="211">
        <v>325</v>
      </c>
      <c r="BH50" s="211">
        <v>3703</v>
      </c>
      <c r="BI50" s="211">
        <v>1754</v>
      </c>
      <c r="BJ50" s="211">
        <v>524</v>
      </c>
      <c r="BK50" s="211">
        <v>394</v>
      </c>
      <c r="BL50" s="211">
        <v>411</v>
      </c>
      <c r="BM50" s="211">
        <v>227</v>
      </c>
      <c r="BO50" s="28">
        <f t="shared" si="4"/>
        <v>738</v>
      </c>
      <c r="BP50" s="28">
        <f t="shared" si="5"/>
        <v>8856</v>
      </c>
      <c r="BS50" s="217"/>
      <c r="BT50" s="217"/>
      <c r="BU50" s="134"/>
      <c r="BV50" s="217"/>
      <c r="BW50" s="217"/>
      <c r="BX50" s="217"/>
    </row>
    <row r="51" spans="1:76" x14ac:dyDescent="0.25">
      <c r="A51" s="85" t="s">
        <v>359</v>
      </c>
      <c r="B51" s="215"/>
      <c r="D51" s="695" t="s">
        <v>399</v>
      </c>
      <c r="E51" s="696"/>
      <c r="F51" s="300"/>
      <c r="I51" s="88"/>
      <c r="J51" s="27"/>
      <c r="N51" s="161"/>
      <c r="V51" s="449" t="str">
        <f>'[1]Strohs Plant in Service'!$C54</f>
        <v>Tanks and Wells (25)</v>
      </c>
      <c r="W51" s="292" t="str">
        <f>'[1]Strohs Plant in Service'!$D54</f>
        <v>KUNTZ WELL #2, AAB135 - Strohs (472</v>
      </c>
      <c r="X51" s="293">
        <f>'[1]Strohs Plant in Service'!$E54</f>
        <v>45231</v>
      </c>
      <c r="Y51" s="297">
        <f>'[1]Strohs Plant in Service'!$F54</f>
        <v>25405.38</v>
      </c>
      <c r="Z51" s="248"/>
      <c r="AA51" s="294">
        <f>'[1]Strohs Plant in Service'!$G$11/12</f>
        <v>6</v>
      </c>
      <c r="AB51" s="219">
        <f>('[1]Strohs Plant in Service'!$G54-'[1]Strohs Plant in Service'!$H54)/12</f>
        <v>1.4166666666666667</v>
      </c>
      <c r="AC51" s="219">
        <f>'[1]Strohs Plant in Service'!$I54</f>
        <v>6928.74</v>
      </c>
      <c r="AD51" s="219"/>
      <c r="AE51" s="220">
        <f>'[1]Strohs Plant in Service'!$J54</f>
        <v>10393.11</v>
      </c>
      <c r="AF51" s="221">
        <v>15012.27</v>
      </c>
      <c r="AG51" s="204"/>
      <c r="AH51" s="451" t="str">
        <f>'[1]Strohs CIAC'!$C54</f>
        <v>Mains, Tanks and Reservoirs (50)</v>
      </c>
      <c r="AI51" s="174" t="str">
        <f>'[1]Strohs CIAC'!$D54</f>
        <v>Reservoirs (CIAC) - Strohs</v>
      </c>
      <c r="AJ51" s="179">
        <f>'[1]Strohs CIAC'!$E54</f>
        <v>45231</v>
      </c>
      <c r="AK51" s="247">
        <f>'[1]Strohs CIAC'!$F54</f>
        <v>3776.17</v>
      </c>
      <c r="AL51" s="248"/>
      <c r="AM51" s="294">
        <f>'[1]Strohs CIAC'!$G54/12</f>
        <v>30</v>
      </c>
      <c r="AN51" s="219">
        <f>('[1]Strohs CIAC'!$G54-'[1]Strohs CIAC'!$H54)/12</f>
        <v>12.916666666666666</v>
      </c>
      <c r="AO51" s="219">
        <f>'[1]Strohs CIAC'!$I54</f>
        <v>125.87233333333334</v>
      </c>
      <c r="AP51" s="219"/>
      <c r="AQ51" s="220">
        <f>'[1]Strohs CIAC'!$J54</f>
        <v>1636.35</v>
      </c>
      <c r="AR51" s="221">
        <f t="shared" si="3"/>
        <v>2139.8200000000002</v>
      </c>
      <c r="AY51" s="628"/>
      <c r="AZ51" s="470">
        <v>0.625</v>
      </c>
      <c r="BA51" s="466" t="s">
        <v>754</v>
      </c>
      <c r="BB51" s="211">
        <v>2571</v>
      </c>
      <c r="BC51" s="211">
        <v>2296</v>
      </c>
      <c r="BD51" s="211">
        <v>206</v>
      </c>
      <c r="BE51" s="211">
        <v>934</v>
      </c>
      <c r="BF51" s="211">
        <v>459</v>
      </c>
      <c r="BG51" s="211">
        <v>390</v>
      </c>
      <c r="BH51" s="211">
        <v>481</v>
      </c>
      <c r="BI51" s="211">
        <v>540</v>
      </c>
      <c r="BJ51" s="211">
        <v>813</v>
      </c>
      <c r="BK51" s="211">
        <v>396</v>
      </c>
      <c r="BL51" s="211">
        <v>444</v>
      </c>
      <c r="BM51" s="211">
        <v>560</v>
      </c>
      <c r="BO51" s="28">
        <f t="shared" si="4"/>
        <v>840.83333333333337</v>
      </c>
      <c r="BP51" s="28">
        <f t="shared" si="5"/>
        <v>10090</v>
      </c>
      <c r="BS51" s="217"/>
      <c r="BT51" s="217"/>
      <c r="BU51" s="134"/>
      <c r="BV51" s="217"/>
      <c r="BW51" s="217"/>
      <c r="BX51" s="217"/>
    </row>
    <row r="52" spans="1:76" x14ac:dyDescent="0.25">
      <c r="D52" s="114" t="s">
        <v>290</v>
      </c>
      <c r="E52" s="120">
        <f>AK6</f>
        <v>1780657.14</v>
      </c>
      <c r="F52" s="161"/>
      <c r="I52" s="90" t="s">
        <v>29</v>
      </c>
      <c r="J52" s="27"/>
      <c r="N52" s="161"/>
      <c r="V52" s="449" t="str">
        <f>'[1]Strohs Plant in Service'!$C55</f>
        <v>Tanks and Wells (25)</v>
      </c>
      <c r="W52" s="292" t="str">
        <f>'[1]Strohs Plant in Service'!$D55</f>
        <v>KUNTZ WELL #1, AAD136 - Strohs (472</v>
      </c>
      <c r="X52" s="293">
        <f>'[1]Strohs Plant in Service'!$E55</f>
        <v>45231</v>
      </c>
      <c r="Y52" s="297">
        <f>'[1]Strohs Plant in Service'!$F55</f>
        <v>8836.65</v>
      </c>
      <c r="Z52" s="248"/>
      <c r="AA52" s="294">
        <f>'[1]Strohs Plant in Service'!$G$11/12</f>
        <v>6</v>
      </c>
      <c r="AB52" s="219">
        <f>('[1]Strohs Plant in Service'!$G55-'[1]Strohs Plant in Service'!$H55)/12</f>
        <v>1.4166666666666667</v>
      </c>
      <c r="AC52" s="219">
        <f>'[1]Strohs Plant in Service'!$I55</f>
        <v>2409.9954545454543</v>
      </c>
      <c r="AD52" s="219"/>
      <c r="AE52" s="220">
        <f>'[1]Strohs Plant in Service'!$J55</f>
        <v>3614.95</v>
      </c>
      <c r="AF52" s="221">
        <v>5221.7</v>
      </c>
      <c r="AG52" s="204"/>
      <c r="AH52" s="451" t="str">
        <f>'[1]Strohs CIAC'!$C55</f>
        <v>Plant, Other (40)</v>
      </c>
      <c r="AI52" s="174" t="str">
        <f>'[1]Strohs CIAC'!$D55</f>
        <v>Hydrant (CIAC) - Strohs</v>
      </c>
      <c r="AJ52" s="179">
        <f>'[1]Strohs CIAC'!$E55</f>
        <v>45231</v>
      </c>
      <c r="AK52" s="247">
        <f>'[1]Strohs CIAC'!$F55</f>
        <v>32814.339999999997</v>
      </c>
      <c r="AL52" s="248"/>
      <c r="AM52" s="294">
        <f>'[1]Strohs CIAC'!$G55/12</f>
        <v>30</v>
      </c>
      <c r="AN52" s="219">
        <f>('[1]Strohs CIAC'!$G55-'[1]Strohs CIAC'!$H55)/12</f>
        <v>25.833333333333332</v>
      </c>
      <c r="AO52" s="219">
        <f>'[1]Strohs CIAC'!$I55</f>
        <v>1093.8113333333331</v>
      </c>
      <c r="AP52" s="219"/>
      <c r="AQ52" s="220">
        <f>'[1]Strohs CIAC'!$J55</f>
        <v>28347.93</v>
      </c>
      <c r="AR52" s="221">
        <f t="shared" si="3"/>
        <v>4466.4099999999962</v>
      </c>
      <c r="AY52" s="628"/>
      <c r="AZ52" s="470">
        <v>0.75</v>
      </c>
      <c r="BA52" s="466" t="s">
        <v>755</v>
      </c>
      <c r="BB52" s="211">
        <v>394</v>
      </c>
      <c r="BC52" s="211">
        <v>294</v>
      </c>
      <c r="BD52" s="211">
        <v>349</v>
      </c>
      <c r="BE52" s="211">
        <v>441</v>
      </c>
      <c r="BF52" s="211">
        <v>272</v>
      </c>
      <c r="BG52" s="211">
        <v>308</v>
      </c>
      <c r="BH52" s="211">
        <v>359</v>
      </c>
      <c r="BI52" s="211">
        <v>345</v>
      </c>
      <c r="BJ52" s="211">
        <v>544</v>
      </c>
      <c r="BK52" s="211">
        <v>320</v>
      </c>
      <c r="BL52" s="211">
        <v>317</v>
      </c>
      <c r="BM52" s="211">
        <v>373</v>
      </c>
      <c r="BO52" s="28">
        <f t="shared" si="4"/>
        <v>359.66666666666669</v>
      </c>
      <c r="BP52" s="28">
        <f t="shared" si="5"/>
        <v>4316</v>
      </c>
      <c r="BS52" s="217"/>
      <c r="BT52" s="217"/>
      <c r="BU52" s="134"/>
      <c r="BV52" s="217"/>
      <c r="BW52" s="217"/>
      <c r="BX52" s="217"/>
    </row>
    <row r="53" spans="1:76" x14ac:dyDescent="0.25">
      <c r="D53" s="114" t="s">
        <v>291</v>
      </c>
      <c r="E53" s="120">
        <f>-AQ6</f>
        <v>-983136.67999999982</v>
      </c>
      <c r="F53" s="161"/>
      <c r="I53" s="91" t="s">
        <v>92</v>
      </c>
      <c r="J53" s="116">
        <f>E24-ABS(E25)</f>
        <v>5409495.1600000001</v>
      </c>
      <c r="K53" s="168"/>
      <c r="L53" s="235"/>
      <c r="M53" s="235"/>
      <c r="N53" s="169"/>
      <c r="V53" s="449" t="str">
        <f>'[1]Strohs Plant in Service'!$C56</f>
        <v>Tanks and Wells (25)</v>
      </c>
      <c r="W53" s="292" t="str">
        <f>'[1]Strohs Plant in Service'!$D56</f>
        <v>WELL #1, AAE124 - Strohs (075)</v>
      </c>
      <c r="X53" s="293">
        <f>'[1]Strohs Plant in Service'!$E56</f>
        <v>45231</v>
      </c>
      <c r="Y53" s="297">
        <f>'[1]Strohs Plant in Service'!$F56</f>
        <v>8560.51</v>
      </c>
      <c r="Z53" s="248"/>
      <c r="AA53" s="294">
        <f>'[1]Strohs Plant in Service'!$G$11/12</f>
        <v>6</v>
      </c>
      <c r="AB53" s="219">
        <f>('[1]Strohs Plant in Service'!$G56-'[1]Strohs Plant in Service'!$H56)/12</f>
        <v>1.4166666666666667</v>
      </c>
      <c r="AC53" s="219">
        <f>'[1]Strohs Plant in Service'!$I56</f>
        <v>2334.6845454545455</v>
      </c>
      <c r="AD53" s="219"/>
      <c r="AE53" s="220">
        <f>'[1]Strohs Plant in Service'!$J56</f>
        <v>3502.07</v>
      </c>
      <c r="AF53" s="221">
        <v>5058.4400000000005</v>
      </c>
      <c r="AG53" s="204"/>
      <c r="AH53" s="451" t="str">
        <f>'[1]Strohs CIAC'!$C56</f>
        <v>Plant, Other (40)</v>
      </c>
      <c r="AI53" s="174" t="str">
        <f>'[1]Strohs CIAC'!$D56</f>
        <v>Hydrant (CIAC) - Strohs</v>
      </c>
      <c r="AJ53" s="179">
        <f>'[1]Strohs CIAC'!$E56</f>
        <v>45231</v>
      </c>
      <c r="AK53" s="247">
        <f>'[1]Strohs CIAC'!$F56</f>
        <v>31488.400000000001</v>
      </c>
      <c r="AL53" s="248"/>
      <c r="AM53" s="294">
        <f>'[1]Strohs CIAC'!$G56/12</f>
        <v>30</v>
      </c>
      <c r="AN53" s="219">
        <f>('[1]Strohs CIAC'!$G56-'[1]Strohs CIAC'!$H56)/12</f>
        <v>16.916666666666668</v>
      </c>
      <c r="AO53" s="219">
        <f>'[1]Strohs CIAC'!$I56</f>
        <v>1049.6133333333335</v>
      </c>
      <c r="AP53" s="219"/>
      <c r="AQ53" s="220">
        <f>'[1]Strohs CIAC'!$J56</f>
        <v>17843.46</v>
      </c>
      <c r="AR53" s="221">
        <f t="shared" si="3"/>
        <v>13644.940000000002</v>
      </c>
      <c r="AY53" s="628"/>
      <c r="AZ53" s="470">
        <v>0.75</v>
      </c>
      <c r="BA53" s="466" t="s">
        <v>756</v>
      </c>
      <c r="BB53" s="211">
        <v>429</v>
      </c>
      <c r="BC53" s="211">
        <v>363</v>
      </c>
      <c r="BD53" s="211">
        <v>400</v>
      </c>
      <c r="BE53" s="211">
        <v>438</v>
      </c>
      <c r="BF53" s="211">
        <v>414</v>
      </c>
      <c r="BG53" s="211">
        <v>565</v>
      </c>
      <c r="BH53" s="211">
        <v>1401</v>
      </c>
      <c r="BI53" s="211">
        <v>1835</v>
      </c>
      <c r="BJ53" s="211">
        <v>487</v>
      </c>
      <c r="BK53" s="211">
        <v>338</v>
      </c>
      <c r="BL53" s="211">
        <v>180</v>
      </c>
      <c r="BM53" s="211">
        <v>355</v>
      </c>
      <c r="BO53" s="28">
        <f t="shared" si="4"/>
        <v>600.41666666666663</v>
      </c>
      <c r="BP53" s="28">
        <f t="shared" si="5"/>
        <v>7205</v>
      </c>
      <c r="BS53" s="217"/>
      <c r="BT53" s="217"/>
      <c r="BU53" s="134"/>
      <c r="BV53" s="217"/>
      <c r="BW53" s="217"/>
      <c r="BX53" s="217"/>
    </row>
    <row r="54" spans="1:76" x14ac:dyDescent="0.25">
      <c r="D54" s="82" t="s">
        <v>400</v>
      </c>
      <c r="E54" s="159">
        <f>SUM(E52:E53)</f>
        <v>797520.46000000008</v>
      </c>
      <c r="F54" s="161"/>
      <c r="I54" s="92" t="s">
        <v>30</v>
      </c>
      <c r="J54" s="116">
        <f>-ABS(E26)</f>
        <v>-1848093.37</v>
      </c>
      <c r="K54" s="168"/>
      <c r="L54" s="235"/>
      <c r="M54" s="235"/>
      <c r="N54" s="169"/>
      <c r="V54" s="449" t="str">
        <f>'[1]Strohs Plant in Service'!$C57</f>
        <v>Tanks and Wells (25)</v>
      </c>
      <c r="W54" s="292" t="str">
        <f>'[1]Strohs Plant in Service'!$D57</f>
        <v>Montgomery #2 - Strohs (472)</v>
      </c>
      <c r="X54" s="293">
        <f>'[1]Strohs Plant in Service'!$E57</f>
        <v>45231</v>
      </c>
      <c r="Y54" s="297">
        <f>'[1]Strohs Plant in Service'!$F57</f>
        <v>7926.72</v>
      </c>
      <c r="Z54" s="248"/>
      <c r="AA54" s="294">
        <f>'[1]Strohs Plant in Service'!$G$11/12</f>
        <v>6</v>
      </c>
      <c r="AB54" s="219">
        <f>('[1]Strohs Plant in Service'!$G57-'[1]Strohs Plant in Service'!$H57)/12</f>
        <v>1.4166666666666667</v>
      </c>
      <c r="AC54" s="219">
        <f>'[1]Strohs Plant in Service'!$I57</f>
        <v>2161.8327272727274</v>
      </c>
      <c r="AD54" s="219"/>
      <c r="AE54" s="220">
        <f>'[1]Strohs Plant in Service'!$J57</f>
        <v>3242.71</v>
      </c>
      <c r="AF54" s="221">
        <v>4684.01</v>
      </c>
      <c r="AG54" s="204"/>
      <c r="AH54" s="451" t="str">
        <f>'[1]Strohs CIAC'!$C57</f>
        <v>Plant, Other (40)</v>
      </c>
      <c r="AI54" s="174" t="str">
        <f>'[1]Strohs CIAC'!$D57</f>
        <v>Hydrant (CIAC) - Strohs</v>
      </c>
      <c r="AJ54" s="179">
        <f>'[1]Strohs CIAC'!$E57</f>
        <v>45231</v>
      </c>
      <c r="AK54" s="247">
        <f>'[1]Strohs CIAC'!$F57</f>
        <v>20577</v>
      </c>
      <c r="AL54" s="248"/>
      <c r="AM54" s="294">
        <f>'[1]Strohs CIAC'!$G57/12</f>
        <v>40</v>
      </c>
      <c r="AN54" s="219">
        <f>('[1]Strohs CIAC'!$G57-'[1]Strohs CIAC'!$H57)/12</f>
        <v>3.9166666666666665</v>
      </c>
      <c r="AO54" s="219">
        <f>'[1]Strohs CIAC'!$I57</f>
        <v>514.42499999999995</v>
      </c>
      <c r="AP54" s="219"/>
      <c r="AQ54" s="220">
        <f>'[1]Strohs CIAC'!$J57</f>
        <v>2057.7199999999998</v>
      </c>
      <c r="AR54" s="221">
        <f t="shared" si="3"/>
        <v>18519.28</v>
      </c>
      <c r="AY54" s="628"/>
      <c r="AZ54" s="470">
        <v>0.625</v>
      </c>
      <c r="BA54" s="466" t="s">
        <v>757</v>
      </c>
      <c r="BB54" s="211">
        <v>357</v>
      </c>
      <c r="BC54" s="211">
        <v>326</v>
      </c>
      <c r="BD54" s="211">
        <v>375</v>
      </c>
      <c r="BE54" s="211">
        <v>506</v>
      </c>
      <c r="BF54" s="211">
        <v>1144</v>
      </c>
      <c r="BG54" s="211">
        <v>1197</v>
      </c>
      <c r="BH54" s="211">
        <v>2948</v>
      </c>
      <c r="BI54" s="211">
        <v>3130</v>
      </c>
      <c r="BJ54" s="211">
        <v>2371</v>
      </c>
      <c r="BK54" s="211">
        <v>1462</v>
      </c>
      <c r="BL54" s="211">
        <v>290</v>
      </c>
      <c r="BM54" s="211">
        <v>371</v>
      </c>
      <c r="BO54" s="28">
        <f t="shared" si="4"/>
        <v>1206.4166666666667</v>
      </c>
      <c r="BP54" s="28">
        <f t="shared" si="5"/>
        <v>14477</v>
      </c>
      <c r="BS54" s="217"/>
      <c r="BT54" s="217"/>
      <c r="BU54" s="134"/>
      <c r="BV54" s="217"/>
      <c r="BW54" s="217"/>
      <c r="BX54" s="217"/>
    </row>
    <row r="55" spans="1:76" x14ac:dyDescent="0.25">
      <c r="D55" s="82"/>
      <c r="F55" s="161"/>
      <c r="I55" s="92" t="s">
        <v>206</v>
      </c>
      <c r="J55" s="116">
        <f>(E31-ABS(E32))</f>
        <v>0</v>
      </c>
      <c r="K55" s="168"/>
      <c r="L55" s="235"/>
      <c r="M55" s="235"/>
      <c r="N55" s="169"/>
      <c r="Q55" s="38"/>
      <c r="V55" s="449" t="str">
        <f>'[1]Strohs Plant in Service'!$C58</f>
        <v>Tanks and Wells (25)</v>
      </c>
      <c r="W55" s="292" t="str">
        <f>'[1]Strohs Plant in Service'!$D58</f>
        <v>Wells - Strohs (075)</v>
      </c>
      <c r="X55" s="293">
        <f>'[1]Strohs Plant in Service'!$E58</f>
        <v>45231</v>
      </c>
      <c r="Y55" s="297">
        <f>'[1]Strohs Plant in Service'!$F58</f>
        <v>2427.27</v>
      </c>
      <c r="Z55" s="248"/>
      <c r="AA55" s="294">
        <f>'[1]Strohs Plant in Service'!$G$11/12</f>
        <v>6</v>
      </c>
      <c r="AB55" s="219">
        <f>('[1]Strohs Plant in Service'!$G58-'[1]Strohs Plant in Service'!$H58)/12</f>
        <v>1.4166666666666667</v>
      </c>
      <c r="AC55" s="219">
        <f>'[1]Strohs Plant in Service'!$I58</f>
        <v>661.98272727272729</v>
      </c>
      <c r="AD55" s="219"/>
      <c r="AE55" s="220">
        <f>'[1]Strohs Plant in Service'!$J58</f>
        <v>992.98</v>
      </c>
      <c r="AF55" s="221">
        <v>1434.29</v>
      </c>
      <c r="AG55" s="204"/>
      <c r="AH55" s="451">
        <f>'[1]Strohs CIAC'!$C58</f>
        <v>0</v>
      </c>
      <c r="AI55" s="174" t="str">
        <f>'[1]Strohs CIAC'!$D58</f>
        <v>Misc Equip (CIAC) - Strohs</v>
      </c>
      <c r="AJ55" s="179">
        <f>'[1]Strohs CIAC'!$E58</f>
        <v>45231</v>
      </c>
      <c r="AK55" s="247">
        <f>'[1]Strohs CIAC'!$F58</f>
        <v>3258.43</v>
      </c>
      <c r="AL55" s="248"/>
      <c r="AM55" s="294">
        <f>'[1]Strohs CIAC'!$G58/12</f>
        <v>30</v>
      </c>
      <c r="AN55" s="219">
        <f>('[1]Strohs CIAC'!$G58-'[1]Strohs CIAC'!$H58)/12</f>
        <v>12.916666666666666</v>
      </c>
      <c r="AO55" s="219">
        <f>'[1]Strohs CIAC'!$I58</f>
        <v>108.61433333333333</v>
      </c>
      <c r="AP55" s="219"/>
      <c r="AQ55" s="220">
        <f>'[1]Strohs CIAC'!$J58</f>
        <v>1411.97</v>
      </c>
      <c r="AR55" s="221">
        <f t="shared" si="3"/>
        <v>1846.4599999999998</v>
      </c>
      <c r="AY55" s="628"/>
      <c r="AZ55" s="470">
        <v>0.75</v>
      </c>
      <c r="BA55" s="466" t="s">
        <v>758</v>
      </c>
      <c r="BB55" s="211">
        <v>752</v>
      </c>
      <c r="BC55" s="211">
        <v>545</v>
      </c>
      <c r="BD55" s="211">
        <v>413</v>
      </c>
      <c r="BE55" s="211">
        <v>1287</v>
      </c>
      <c r="BF55" s="211">
        <v>1001</v>
      </c>
      <c r="BG55" s="211">
        <v>736</v>
      </c>
      <c r="BH55" s="211">
        <v>2578</v>
      </c>
      <c r="BI55" s="211">
        <v>1035</v>
      </c>
      <c r="BJ55" s="211">
        <v>2025</v>
      </c>
      <c r="BK55" s="211">
        <v>78</v>
      </c>
      <c r="BL55" s="211">
        <v>272</v>
      </c>
      <c r="BM55" s="211">
        <v>300</v>
      </c>
      <c r="BO55" s="28">
        <f t="shared" si="4"/>
        <v>918.5</v>
      </c>
      <c r="BP55" s="28">
        <f t="shared" si="5"/>
        <v>11022</v>
      </c>
      <c r="BS55" s="217"/>
      <c r="BT55" s="217"/>
      <c r="BU55" s="134"/>
      <c r="BV55" s="217"/>
      <c r="BW55" s="217"/>
      <c r="BX55" s="217"/>
    </row>
    <row r="56" spans="1:76" x14ac:dyDescent="0.25">
      <c r="D56" s="108"/>
      <c r="E56" s="301">
        <f>(+G22+G23)-E54</f>
        <v>0</v>
      </c>
      <c r="F56" s="298" t="s">
        <v>382</v>
      </c>
      <c r="I56" s="91" t="s">
        <v>260</v>
      </c>
      <c r="J56" s="116">
        <f>-ABS(G22)</f>
        <v>-1780657.14</v>
      </c>
      <c r="K56" s="168"/>
      <c r="L56" s="235"/>
      <c r="M56" s="235"/>
      <c r="N56" s="169"/>
      <c r="V56" s="449" t="str">
        <f>'[1]Strohs Plant in Service'!$C59</f>
        <v>Tanks and Wells (25)</v>
      </c>
      <c r="W56" s="292" t="str">
        <f>'[1]Strohs Plant in Service'!$D59</f>
        <v>Wells - Strohs (472)</v>
      </c>
      <c r="X56" s="293">
        <f>'[1]Strohs Plant in Service'!$E59</f>
        <v>45231</v>
      </c>
      <c r="Y56" s="297">
        <f>'[1]Strohs Plant in Service'!$F59</f>
        <v>108.28</v>
      </c>
      <c r="Z56" s="248"/>
      <c r="AA56" s="294">
        <f>'[1]Strohs Plant in Service'!$G$11/12</f>
        <v>6</v>
      </c>
      <c r="AB56" s="219">
        <f>('[1]Strohs Plant in Service'!$G59-'[1]Strohs Plant in Service'!$H59)/12</f>
        <v>1.4166666666666667</v>
      </c>
      <c r="AC56" s="219">
        <f>'[1]Strohs Plant in Service'!$I59</f>
        <v>29.530909090909091</v>
      </c>
      <c r="AD56" s="219"/>
      <c r="AE56" s="220">
        <f>'[1]Strohs Plant in Service'!$J59</f>
        <v>44.28</v>
      </c>
      <c r="AF56" s="221">
        <v>64</v>
      </c>
      <c r="AG56" s="204"/>
      <c r="AH56" s="451">
        <f>'[1]Strohs CIAC'!$C59</f>
        <v>0</v>
      </c>
      <c r="AI56" s="174" t="str">
        <f>'[1]Strohs CIAC'!$D59</f>
        <v>Misc Equip (CIAC) - Strohs</v>
      </c>
      <c r="AJ56" s="179">
        <f>'[1]Strohs CIAC'!$E59</f>
        <v>45231</v>
      </c>
      <c r="AK56" s="247">
        <f>'[1]Strohs CIAC'!$F59</f>
        <v>836.61</v>
      </c>
      <c r="AL56" s="248"/>
      <c r="AM56" s="294">
        <f>'[1]Strohs CIAC'!$G59/12</f>
        <v>30</v>
      </c>
      <c r="AN56" s="219">
        <f>('[1]Strohs CIAC'!$G59-'[1]Strohs CIAC'!$H59)/12</f>
        <v>12.916666666666666</v>
      </c>
      <c r="AO56" s="219">
        <f>'[1]Strohs CIAC'!$I59</f>
        <v>27.887</v>
      </c>
      <c r="AP56" s="219"/>
      <c r="AQ56" s="220">
        <f>'[1]Strohs CIAC'!$J59</f>
        <v>362.48</v>
      </c>
      <c r="AR56" s="221">
        <f t="shared" si="3"/>
        <v>474.13</v>
      </c>
      <c r="AY56" s="628"/>
      <c r="AZ56" s="470">
        <v>0.75</v>
      </c>
      <c r="BA56" s="466" t="s">
        <v>759</v>
      </c>
      <c r="BB56" s="211">
        <v>649</v>
      </c>
      <c r="BC56" s="211">
        <v>491</v>
      </c>
      <c r="BD56" s="211">
        <v>647</v>
      </c>
      <c r="BE56" s="211">
        <v>560</v>
      </c>
      <c r="BF56" s="211">
        <v>603</v>
      </c>
      <c r="BG56" s="211">
        <v>896</v>
      </c>
      <c r="BH56" s="211">
        <v>2123</v>
      </c>
      <c r="BI56" s="211">
        <v>2702</v>
      </c>
      <c r="BJ56" s="211">
        <v>1683</v>
      </c>
      <c r="BK56" s="211">
        <v>566</v>
      </c>
      <c r="BL56" s="211">
        <v>478</v>
      </c>
      <c r="BM56" s="211">
        <v>500</v>
      </c>
      <c r="BO56" s="28">
        <f t="shared" si="4"/>
        <v>991.5</v>
      </c>
      <c r="BP56" s="28">
        <f t="shared" si="5"/>
        <v>11898</v>
      </c>
      <c r="BS56" s="217"/>
      <c r="BT56" s="217"/>
      <c r="BU56" s="134"/>
      <c r="BV56" s="217"/>
      <c r="BW56" s="217"/>
      <c r="BX56" s="217"/>
    </row>
    <row r="57" spans="1:76" x14ac:dyDescent="0.25">
      <c r="I57" s="91" t="s">
        <v>31</v>
      </c>
      <c r="J57" s="116">
        <f>ABS(G23)</f>
        <v>983136.68</v>
      </c>
      <c r="K57" s="168"/>
      <c r="L57" s="235"/>
      <c r="M57" s="235"/>
      <c r="N57" s="169"/>
      <c r="V57" s="449" t="str">
        <f>'[1]Strohs Plant in Service'!$C60</f>
        <v>Tanks and Wells (25)</v>
      </c>
      <c r="W57" s="292" t="str">
        <f>'[1]Strohs Plant in Service'!$D60</f>
        <v>Wells - Strohs (472)</v>
      </c>
      <c r="X57" s="293">
        <f>'[1]Strohs Plant in Service'!$E60</f>
        <v>45231</v>
      </c>
      <c r="Y57" s="297">
        <f>'[1]Strohs Plant in Service'!$F60</f>
        <v>28.75</v>
      </c>
      <c r="Z57" s="248"/>
      <c r="AA57" s="294">
        <f>'[1]Strohs Plant in Service'!$G$11/12</f>
        <v>6</v>
      </c>
      <c r="AB57" s="219">
        <f>('[1]Strohs Plant in Service'!$G60-'[1]Strohs Plant in Service'!$H60)/12</f>
        <v>1.4166666666666667</v>
      </c>
      <c r="AC57" s="219">
        <f>'[1]Strohs Plant in Service'!$I60</f>
        <v>7.8409090909090917</v>
      </c>
      <c r="AD57" s="219"/>
      <c r="AE57" s="220">
        <f>'[1]Strohs Plant in Service'!$J60</f>
        <v>11.72</v>
      </c>
      <c r="AF57" s="221">
        <v>17.03</v>
      </c>
      <c r="AG57" s="204"/>
      <c r="AH57" s="451">
        <f>'[1]Strohs CIAC'!$C60</f>
        <v>0</v>
      </c>
      <c r="AI57" s="174" t="str">
        <f>'[1]Strohs CIAC'!$D60</f>
        <v>Misc Equip (CIAC) - Strohs</v>
      </c>
      <c r="AJ57" s="179">
        <f>'[1]Strohs CIAC'!$E60</f>
        <v>45231</v>
      </c>
      <c r="AK57" s="247">
        <f>'[1]Strohs CIAC'!$F60</f>
        <v>5193.1499999999996</v>
      </c>
      <c r="AL57" s="248"/>
      <c r="AM57" s="294">
        <f>'[1]Strohs CIAC'!$G60/12</f>
        <v>30</v>
      </c>
      <c r="AN57" s="219">
        <f>('[1]Strohs CIAC'!$G60-'[1]Strohs CIAC'!$H60)/12</f>
        <v>12.916666666666666</v>
      </c>
      <c r="AO57" s="219">
        <f>'[1]Strohs CIAC'!$I60</f>
        <v>173.10499999999999</v>
      </c>
      <c r="AP57" s="219"/>
      <c r="AQ57" s="220">
        <f>'[1]Strohs CIAC'!$J60</f>
        <v>2250.42</v>
      </c>
      <c r="AR57" s="221">
        <f t="shared" si="3"/>
        <v>2942.7299999999996</v>
      </c>
      <c r="AT57" s="149"/>
      <c r="AY57" s="628"/>
      <c r="AZ57" s="470">
        <v>0.75</v>
      </c>
      <c r="BA57" s="466" t="s">
        <v>760</v>
      </c>
      <c r="BB57" s="211">
        <v>297</v>
      </c>
      <c r="BC57" s="211">
        <v>515</v>
      </c>
      <c r="BD57" s="211">
        <v>128</v>
      </c>
      <c r="BE57" s="211">
        <v>416</v>
      </c>
      <c r="BF57" s="211">
        <v>231</v>
      </c>
      <c r="BG57" s="211">
        <v>492</v>
      </c>
      <c r="BH57" s="211">
        <v>1080</v>
      </c>
      <c r="BI57" s="211">
        <v>626</v>
      </c>
      <c r="BJ57" s="211">
        <v>790</v>
      </c>
      <c r="BK57" s="211">
        <v>250</v>
      </c>
      <c r="BL57" s="211">
        <v>160</v>
      </c>
      <c r="BM57" s="211">
        <v>200</v>
      </c>
      <c r="BO57" s="28">
        <f t="shared" si="4"/>
        <v>432.08333333333331</v>
      </c>
      <c r="BP57" s="28">
        <f t="shared" si="5"/>
        <v>5185</v>
      </c>
      <c r="BS57" s="217"/>
      <c r="BT57" s="217"/>
      <c r="BU57" s="134"/>
      <c r="BV57" s="217"/>
      <c r="BW57" s="217"/>
      <c r="BX57" s="217"/>
    </row>
    <row r="58" spans="1:76" x14ac:dyDescent="0.25">
      <c r="I58" s="82" t="s">
        <v>617</v>
      </c>
      <c r="J58" s="116">
        <f>'[1]RA4 - GO Plant'!$E$14</f>
        <v>39493.013882000036</v>
      </c>
      <c r="V58" s="449" t="str">
        <f>'[1]Strohs Plant in Service'!$C61</f>
        <v>Tanks and Wells (25)</v>
      </c>
      <c r="W58" s="292" t="str">
        <f>'[1]Strohs Plant in Service'!$D61</f>
        <v>Wells - Strohs (075)</v>
      </c>
      <c r="X58" s="293">
        <f>'[1]Strohs Plant in Service'!$E61</f>
        <v>45231</v>
      </c>
      <c r="Y58" s="297">
        <f>'[1]Strohs Plant in Service'!$F61</f>
        <v>349.73</v>
      </c>
      <c r="Z58" s="248"/>
      <c r="AA58" s="294">
        <f>'[1]Strohs Plant in Service'!$G$11/12</f>
        <v>6</v>
      </c>
      <c r="AB58" s="219">
        <f>('[1]Strohs Plant in Service'!$G61-'[1]Strohs Plant in Service'!$H61)/12</f>
        <v>1.4166666666666667</v>
      </c>
      <c r="AC58" s="219">
        <f>'[1]Strohs Plant in Service'!$I61</f>
        <v>95.3809090909091</v>
      </c>
      <c r="AD58" s="219"/>
      <c r="AE58" s="220">
        <f>'[1]Strohs Plant in Service'!$J61</f>
        <v>143.09</v>
      </c>
      <c r="AF58" s="221">
        <v>206.64000000000001</v>
      </c>
      <c r="AG58" s="204"/>
      <c r="AH58" s="451">
        <f>'[1]Strohs CIAC'!$C61</f>
        <v>0</v>
      </c>
      <c r="AI58" s="174" t="str">
        <f>'[1]Strohs CIAC'!$D61</f>
        <v>Misc Equip (CIAC) - Strohs</v>
      </c>
      <c r="AJ58" s="179">
        <f>'[1]Strohs CIAC'!$E61</f>
        <v>45231</v>
      </c>
      <c r="AK58" s="247">
        <f>'[1]Strohs CIAC'!$F61</f>
        <v>1507.78</v>
      </c>
      <c r="AL58" s="248"/>
      <c r="AM58" s="294">
        <f>'[1]Strohs CIAC'!$G61/12</f>
        <v>30</v>
      </c>
      <c r="AN58" s="219">
        <f>('[1]Strohs CIAC'!$G61-'[1]Strohs CIAC'!$H61)/12</f>
        <v>12.916666666666666</v>
      </c>
      <c r="AO58" s="219">
        <f>'[1]Strohs CIAC'!$I61</f>
        <v>50.259333333333331</v>
      </c>
      <c r="AP58" s="219"/>
      <c r="AQ58" s="220">
        <f>'[1]Strohs CIAC'!$J61</f>
        <v>653.39</v>
      </c>
      <c r="AR58" s="221">
        <f t="shared" si="3"/>
        <v>854.39</v>
      </c>
      <c r="AT58" s="150"/>
      <c r="AY58" s="628"/>
      <c r="AZ58" s="470">
        <v>0.75</v>
      </c>
      <c r="BA58" s="466" t="s">
        <v>653</v>
      </c>
      <c r="BB58" s="211">
        <v>254</v>
      </c>
      <c r="BC58" s="211">
        <v>352</v>
      </c>
      <c r="BD58" s="211">
        <v>391</v>
      </c>
      <c r="BE58" s="211">
        <v>374</v>
      </c>
      <c r="BF58" s="211">
        <v>573</v>
      </c>
      <c r="BG58" s="211">
        <v>275</v>
      </c>
      <c r="BH58" s="211">
        <v>330</v>
      </c>
      <c r="BI58" s="211">
        <v>869</v>
      </c>
      <c r="BJ58" s="211">
        <v>372</v>
      </c>
      <c r="BK58" s="211">
        <v>316</v>
      </c>
      <c r="BL58" s="211">
        <v>290</v>
      </c>
      <c r="BM58" s="211">
        <v>413</v>
      </c>
      <c r="BO58" s="28">
        <f t="shared" si="4"/>
        <v>400.75</v>
      </c>
      <c r="BP58" s="28">
        <f t="shared" si="5"/>
        <v>4809</v>
      </c>
      <c r="BS58" s="217"/>
      <c r="BT58" s="217"/>
      <c r="BU58" s="134"/>
      <c r="BV58" s="217"/>
      <c r="BW58" s="217"/>
      <c r="BX58" s="217"/>
    </row>
    <row r="59" spans="1:76" ht="16.5" thickBot="1" x14ac:dyDescent="0.3">
      <c r="I59" s="91" t="s">
        <v>519</v>
      </c>
      <c r="J59" s="116">
        <v>-5225.04</v>
      </c>
      <c r="K59" s="168"/>
      <c r="L59" s="235"/>
      <c r="M59" s="235"/>
      <c r="N59" s="169"/>
      <c r="V59" s="449" t="str">
        <f>'[1]Strohs Plant in Service'!$C62</f>
        <v>Tanks and Wells (25)</v>
      </c>
      <c r="W59" s="292" t="str">
        <f>'[1]Strohs Plant in Service'!$D62</f>
        <v>Wells - Strohs (472)</v>
      </c>
      <c r="X59" s="293">
        <f>'[1]Strohs Plant in Service'!$E62</f>
        <v>45231</v>
      </c>
      <c r="Y59" s="297">
        <f>'[1]Strohs Plant in Service'!$F62</f>
        <v>262.91000000000003</v>
      </c>
      <c r="Z59" s="248"/>
      <c r="AA59" s="294">
        <f>'[1]Strohs Plant in Service'!$G$11/12</f>
        <v>6</v>
      </c>
      <c r="AB59" s="219">
        <f>('[1]Strohs Plant in Service'!$G62-'[1]Strohs Plant in Service'!$H62)/12</f>
        <v>1.4166666666666667</v>
      </c>
      <c r="AC59" s="219">
        <f>'[1]Strohs Plant in Service'!$I62</f>
        <v>71.702727272727273</v>
      </c>
      <c r="AD59" s="219"/>
      <c r="AE59" s="220">
        <f>'[1]Strohs Plant in Service'!$J62</f>
        <v>107.56</v>
      </c>
      <c r="AF59" s="221">
        <v>155.35000000000002</v>
      </c>
      <c r="AG59" s="204"/>
      <c r="AH59" s="451">
        <f>'[1]Strohs CIAC'!$C62</f>
        <v>0</v>
      </c>
      <c r="AI59" s="174" t="str">
        <f>'[1]Strohs CIAC'!$D62</f>
        <v>Misc Equip (CIAC) - Strohs, HBR Cov</v>
      </c>
      <c r="AJ59" s="179">
        <f>'[1]Strohs CIAC'!$E62</f>
        <v>45231</v>
      </c>
      <c r="AK59" s="247">
        <f>'[1]Strohs CIAC'!$F62</f>
        <v>14983.6</v>
      </c>
      <c r="AL59" s="248"/>
      <c r="AM59" s="294">
        <f>'[1]Strohs CIAC'!$G62/12</f>
        <v>30</v>
      </c>
      <c r="AN59" s="219">
        <f>('[1]Strohs CIAC'!$G62-'[1]Strohs CIAC'!$H62)/12</f>
        <v>11.916666666666666</v>
      </c>
      <c r="AO59" s="219">
        <f>'[1]Strohs CIAC'!$I62</f>
        <v>499.45333333333338</v>
      </c>
      <c r="AP59" s="219"/>
      <c r="AQ59" s="220">
        <f>'[1]Strohs CIAC'!$J62</f>
        <v>5993.43</v>
      </c>
      <c r="AR59" s="221">
        <f t="shared" si="3"/>
        <v>8990.17</v>
      </c>
      <c r="AY59" s="628"/>
      <c r="AZ59" s="470">
        <v>0.75</v>
      </c>
      <c r="BA59" s="466" t="s">
        <v>654</v>
      </c>
      <c r="BB59" s="211">
        <v>4784</v>
      </c>
      <c r="BC59" s="211">
        <v>3241</v>
      </c>
      <c r="BD59" s="211">
        <v>4884</v>
      </c>
      <c r="BE59" s="211" t="s">
        <v>655</v>
      </c>
      <c r="BF59" s="211">
        <v>9990</v>
      </c>
      <c r="BG59" s="211">
        <v>375</v>
      </c>
      <c r="BH59" s="211">
        <v>1812</v>
      </c>
      <c r="BI59" s="211">
        <v>1159</v>
      </c>
      <c r="BJ59" s="211">
        <v>497</v>
      </c>
      <c r="BK59" s="211">
        <v>417</v>
      </c>
      <c r="BL59" s="211">
        <v>478</v>
      </c>
      <c r="BM59" s="211">
        <v>200</v>
      </c>
      <c r="BO59" s="28">
        <f t="shared" si="4"/>
        <v>2530.6363636363635</v>
      </c>
      <c r="BP59" s="28">
        <f t="shared" si="5"/>
        <v>27837</v>
      </c>
      <c r="BS59" s="217"/>
      <c r="BT59" s="217"/>
      <c r="BU59" s="134"/>
      <c r="BV59" s="217"/>
      <c r="BW59" s="217"/>
      <c r="BX59" s="217"/>
    </row>
    <row r="60" spans="1:76" x14ac:dyDescent="0.25">
      <c r="I60" s="108" t="s">
        <v>255</v>
      </c>
      <c r="J60" s="37">
        <f>J53+J54+J55-ABS(J56)+ABS(J57)+J59+J58</f>
        <v>2798149.303882</v>
      </c>
      <c r="K60" s="145">
        <f>K53+K54+K55-ABS(K56)+ABS(K57)+K59</f>
        <v>0</v>
      </c>
      <c r="L60" s="145"/>
      <c r="M60" s="145"/>
      <c r="N60" s="146">
        <f>N53+N54+N55-ABS(N56)+ABS(N57)+N59</f>
        <v>0</v>
      </c>
      <c r="V60" s="449" t="str">
        <f>'[1]Strohs Plant in Service'!$C63</f>
        <v>Tanks and Wells (25)</v>
      </c>
      <c r="W60" s="292" t="str">
        <f>'[1]Strohs Plant in Service'!$D63</f>
        <v>Wells - Strohs (075)</v>
      </c>
      <c r="X60" s="293">
        <f>'[1]Strohs Plant in Service'!$E63</f>
        <v>45231</v>
      </c>
      <c r="Y60" s="297">
        <f>'[1]Strohs Plant in Service'!$F63</f>
        <v>620.47</v>
      </c>
      <c r="Z60" s="248"/>
      <c r="AA60" s="294">
        <f>'[1]Strohs Plant in Service'!$G$11/12</f>
        <v>6</v>
      </c>
      <c r="AB60" s="219">
        <f>('[1]Strohs Plant in Service'!$G63-'[1]Strohs Plant in Service'!$H63)/12</f>
        <v>1.4166666666666667</v>
      </c>
      <c r="AC60" s="219">
        <f>'[1]Strohs Plant in Service'!$I63</f>
        <v>169.21909090909091</v>
      </c>
      <c r="AD60" s="219"/>
      <c r="AE60" s="220">
        <f>'[1]Strohs Plant in Service'!$J63</f>
        <v>253.81</v>
      </c>
      <c r="AF60" s="221">
        <v>366.66</v>
      </c>
      <c r="AG60" s="204"/>
      <c r="AH60" s="451" t="str">
        <f>'[1]Strohs CIAC'!$C63</f>
        <v>Service Connection (30)</v>
      </c>
      <c r="AI60" s="174" t="str">
        <f>'[1]Strohs CIAC'!$D63</f>
        <v>Services (CIAC) - Strohs</v>
      </c>
      <c r="AJ60" s="179">
        <f>'[1]Strohs CIAC'!$E63</f>
        <v>45231</v>
      </c>
      <c r="AK60" s="247">
        <f>'[1]Strohs CIAC'!$F63</f>
        <v>48089.87</v>
      </c>
      <c r="AL60" s="248"/>
      <c r="AM60" s="294">
        <f>'[1]Strohs CIAC'!$G63/12</f>
        <v>30</v>
      </c>
      <c r="AN60" s="219">
        <f>('[1]Strohs CIAC'!$G63-'[1]Strohs CIAC'!$H63)/12</f>
        <v>25.833333333333332</v>
      </c>
      <c r="AO60" s="219">
        <f>'[1]Strohs CIAC'!$I63</f>
        <v>1602.9956666666667</v>
      </c>
      <c r="AP60" s="219"/>
      <c r="AQ60" s="220">
        <f>'[1]Strohs CIAC'!$J63</f>
        <v>41544.269999999997</v>
      </c>
      <c r="AR60" s="221">
        <f t="shared" si="3"/>
        <v>6545.6000000000058</v>
      </c>
      <c r="AY60" s="628"/>
      <c r="AZ60" s="470">
        <v>0.625</v>
      </c>
      <c r="BA60" s="466" t="s">
        <v>656</v>
      </c>
      <c r="BB60" s="211">
        <v>798</v>
      </c>
      <c r="BC60" s="211" t="s">
        <v>655</v>
      </c>
      <c r="BD60" s="211">
        <v>382</v>
      </c>
      <c r="BE60" s="211" t="s">
        <v>655</v>
      </c>
      <c r="BF60" s="211" t="s">
        <v>655</v>
      </c>
      <c r="BG60" s="211" t="s">
        <v>655</v>
      </c>
      <c r="BH60" s="211" t="s">
        <v>655</v>
      </c>
      <c r="BI60" s="211" t="s">
        <v>655</v>
      </c>
      <c r="BJ60" s="211" t="s">
        <v>655</v>
      </c>
      <c r="BK60" s="211" t="s">
        <v>655</v>
      </c>
      <c r="BL60" s="211" t="s">
        <v>655</v>
      </c>
      <c r="BM60" s="211" t="s">
        <v>655</v>
      </c>
      <c r="BO60" s="28">
        <f t="shared" si="4"/>
        <v>590</v>
      </c>
      <c r="BP60" s="28">
        <f t="shared" si="5"/>
        <v>1180</v>
      </c>
      <c r="BS60" s="217"/>
      <c r="BT60" s="217"/>
      <c r="BU60" s="134"/>
      <c r="BV60" s="217"/>
      <c r="BW60" s="217"/>
      <c r="BX60" s="217"/>
    </row>
    <row r="61" spans="1:76" x14ac:dyDescent="0.25">
      <c r="V61" s="449" t="str">
        <f>'[1]Strohs Plant in Service'!$C64</f>
        <v>Tanks and Wells (25)</v>
      </c>
      <c r="W61" s="292" t="str">
        <f>'[1]Strohs Plant in Service'!$D64</f>
        <v>Wells - Strohs (472)</v>
      </c>
      <c r="X61" s="293">
        <f>'[1]Strohs Plant in Service'!$E64</f>
        <v>45231</v>
      </c>
      <c r="Y61" s="297">
        <f>'[1]Strohs Plant in Service'!$F64</f>
        <v>5281.42</v>
      </c>
      <c r="Z61" s="248"/>
      <c r="AA61" s="294">
        <f>'[1]Strohs Plant in Service'!$G$11/12</f>
        <v>6</v>
      </c>
      <c r="AB61" s="219">
        <f>('[1]Strohs Plant in Service'!$G64-'[1]Strohs Plant in Service'!$H64)/12</f>
        <v>1.4166666666666667</v>
      </c>
      <c r="AC61" s="219">
        <f>'[1]Strohs Plant in Service'!$I64</f>
        <v>1440.3872727272728</v>
      </c>
      <c r="AD61" s="219"/>
      <c r="AE61" s="220">
        <f>'[1]Strohs Plant in Service'!$J64</f>
        <v>2160.5500000000002</v>
      </c>
      <c r="AF61" s="221">
        <v>3120.87</v>
      </c>
      <c r="AG61" s="204"/>
      <c r="AH61" s="451" t="str">
        <f>'[1]Strohs CIAC'!$C64</f>
        <v>Service Connection (30)</v>
      </c>
      <c r="AI61" s="174" t="str">
        <f>'[1]Strohs CIAC'!$D64</f>
        <v>Services (CIAC) - Strohs</v>
      </c>
      <c r="AJ61" s="179">
        <f>'[1]Strohs CIAC'!$E64</f>
        <v>45231</v>
      </c>
      <c r="AK61" s="247">
        <f>'[1]Strohs CIAC'!$F64</f>
        <v>2333</v>
      </c>
      <c r="AL61" s="248"/>
      <c r="AM61" s="294">
        <f>'[1]Strohs CIAC'!$G64/12</f>
        <v>30</v>
      </c>
      <c r="AN61" s="219">
        <f>('[1]Strohs CIAC'!$G64-'[1]Strohs CIAC'!$H64)/12</f>
        <v>21.5</v>
      </c>
      <c r="AO61" s="219">
        <f>'[1]Strohs CIAC'!$I64</f>
        <v>77.766666666666666</v>
      </c>
      <c r="AP61" s="219"/>
      <c r="AQ61" s="220">
        <f>'[1]Strohs CIAC'!$J64</f>
        <v>1678.46</v>
      </c>
      <c r="AR61" s="221">
        <f t="shared" si="3"/>
        <v>654.54</v>
      </c>
      <c r="AY61" s="628"/>
      <c r="AZ61" s="470">
        <v>1.5</v>
      </c>
      <c r="BA61" s="466" t="s">
        <v>657</v>
      </c>
      <c r="BB61" s="211">
        <v>17230</v>
      </c>
      <c r="BC61" s="211">
        <v>19784</v>
      </c>
      <c r="BD61" s="211">
        <v>20045</v>
      </c>
      <c r="BE61" s="211">
        <v>19586</v>
      </c>
      <c r="BF61" s="211">
        <v>15777</v>
      </c>
      <c r="BG61" s="211">
        <v>14509</v>
      </c>
      <c r="BH61" s="211">
        <v>10974</v>
      </c>
      <c r="BI61" s="211">
        <v>6907</v>
      </c>
      <c r="BJ61" s="211">
        <v>9059</v>
      </c>
      <c r="BK61" s="211">
        <v>7591</v>
      </c>
      <c r="BL61" s="211">
        <v>7102</v>
      </c>
      <c r="BM61" s="211">
        <v>8205</v>
      </c>
      <c r="BO61" s="28">
        <f t="shared" si="4"/>
        <v>13064.083333333334</v>
      </c>
      <c r="BP61" s="28">
        <f t="shared" si="5"/>
        <v>156769</v>
      </c>
      <c r="BS61" s="217"/>
      <c r="BT61" s="217"/>
      <c r="BU61" s="134"/>
      <c r="BV61" s="217"/>
      <c r="BW61" s="217"/>
      <c r="BX61" s="217"/>
    </row>
    <row r="62" spans="1:76" x14ac:dyDescent="0.25">
      <c r="V62" s="449" t="str">
        <f>'[1]Strohs Plant in Service'!$C65</f>
        <v>Mains, Tanks and Reservoirs (50)</v>
      </c>
      <c r="W62" s="292" t="str">
        <f>'[1]Strohs Plant in Service'!$D65</f>
        <v>Mains, Valves - Strohs, Peacock Rlt</v>
      </c>
      <c r="X62" s="293">
        <f>'[1]Strohs Plant in Service'!$E65</f>
        <v>45231</v>
      </c>
      <c r="Y62" s="297">
        <f>'[1]Strohs Plant in Service'!$F65</f>
        <v>6200</v>
      </c>
      <c r="Z62" s="248"/>
      <c r="AA62" s="294">
        <f>'[1]Strohs Plant in Service'!$G$11/12</f>
        <v>6</v>
      </c>
      <c r="AB62" s="219">
        <f>('[1]Strohs Plant in Service'!$G65-'[1]Strohs Plant in Service'!$H65)/12</f>
        <v>32.416666666666664</v>
      </c>
      <c r="AC62" s="219">
        <f>'[1]Strohs Plant in Service'!$I65</f>
        <v>124</v>
      </c>
      <c r="AD62" s="219"/>
      <c r="AE62" s="220">
        <f>'[1]Strohs Plant in Service'!$J65</f>
        <v>4029.96</v>
      </c>
      <c r="AF62" s="221">
        <v>2170.04</v>
      </c>
      <c r="AG62" s="204"/>
      <c r="AH62" s="451" t="str">
        <f>'[1]Strohs CIAC'!$C65</f>
        <v>Service Connection (30)</v>
      </c>
      <c r="AI62" s="174" t="str">
        <f>'[1]Strohs CIAC'!$D65</f>
        <v>Services (CIAC) - Strohs</v>
      </c>
      <c r="AJ62" s="179">
        <f>'[1]Strohs CIAC'!$E65</f>
        <v>45231</v>
      </c>
      <c r="AK62" s="247">
        <f>'[1]Strohs CIAC'!$F65</f>
        <v>619.72</v>
      </c>
      <c r="AL62" s="248"/>
      <c r="AM62" s="294">
        <f>'[1]Strohs CIAC'!$G65/12</f>
        <v>30</v>
      </c>
      <c r="AN62" s="219">
        <f>('[1]Strohs CIAC'!$G65-'[1]Strohs CIAC'!$H65)/12</f>
        <v>22.25</v>
      </c>
      <c r="AO62" s="219">
        <f>'[1]Strohs CIAC'!$I65</f>
        <v>20.657333333333334</v>
      </c>
      <c r="AP62" s="219"/>
      <c r="AQ62" s="220">
        <f>'[1]Strohs CIAC'!$J65</f>
        <v>461.33</v>
      </c>
      <c r="AR62" s="221">
        <f t="shared" si="3"/>
        <v>158.39000000000004</v>
      </c>
      <c r="AY62" s="628"/>
      <c r="AZ62" s="470">
        <v>0.625</v>
      </c>
      <c r="BA62" s="466" t="s">
        <v>658</v>
      </c>
      <c r="BB62" s="211">
        <v>679</v>
      </c>
      <c r="BC62" s="211">
        <v>644</v>
      </c>
      <c r="BD62" s="211">
        <v>648</v>
      </c>
      <c r="BE62" s="211">
        <v>732</v>
      </c>
      <c r="BF62" s="211">
        <v>289</v>
      </c>
      <c r="BG62" s="211">
        <v>1050</v>
      </c>
      <c r="BH62" s="211">
        <v>1950</v>
      </c>
      <c r="BI62" s="211" t="s">
        <v>655</v>
      </c>
      <c r="BJ62" s="211">
        <v>6099</v>
      </c>
      <c r="BK62" s="211">
        <v>545</v>
      </c>
      <c r="BL62" s="211">
        <v>512</v>
      </c>
      <c r="BM62" s="211">
        <v>508</v>
      </c>
      <c r="BO62" s="28">
        <f t="shared" si="4"/>
        <v>1241.4545454545455</v>
      </c>
      <c r="BP62" s="28">
        <f t="shared" si="5"/>
        <v>13656</v>
      </c>
      <c r="BS62" s="217"/>
      <c r="BT62" s="217"/>
      <c r="BU62" s="134"/>
      <c r="BV62" s="217"/>
      <c r="BW62" s="217"/>
      <c r="BX62" s="217"/>
    </row>
    <row r="63" spans="1:76" x14ac:dyDescent="0.25">
      <c r="V63" s="449" t="str">
        <f>'[1]Strohs Plant in Service'!$C66</f>
        <v>Mains, Tanks and Reservoirs (50)</v>
      </c>
      <c r="W63" s="292" t="str">
        <f>'[1]Strohs Plant in Service'!$D66</f>
        <v>Main Ext - Strohs, 43d Av - 56th St</v>
      </c>
      <c r="X63" s="293">
        <f>'[1]Strohs Plant in Service'!$E66</f>
        <v>45231</v>
      </c>
      <c r="Y63" s="297">
        <f>'[1]Strohs Plant in Service'!$F66</f>
        <v>54870.71</v>
      </c>
      <c r="Z63" s="248"/>
      <c r="AA63" s="294">
        <f>'[1]Strohs Plant in Service'!$G$11/12</f>
        <v>6</v>
      </c>
      <c r="AB63" s="219">
        <f>('[1]Strohs Plant in Service'!$G66-'[1]Strohs Plant in Service'!$H66)/12</f>
        <v>32.416666666666664</v>
      </c>
      <c r="AC63" s="219">
        <f>'[1]Strohs Plant in Service'!$I66</f>
        <v>1097.4141999999999</v>
      </c>
      <c r="AD63" s="219"/>
      <c r="AE63" s="220">
        <f>'[1]Strohs Plant in Service'!$J66</f>
        <v>35665.96</v>
      </c>
      <c r="AF63" s="221">
        <v>19204.75</v>
      </c>
      <c r="AG63" s="204"/>
      <c r="AH63" s="451" t="str">
        <f>'[1]Strohs CIAC'!$C66</f>
        <v>Service Connection (30)</v>
      </c>
      <c r="AI63" s="174" t="str">
        <f>'[1]Strohs CIAC'!$D66</f>
        <v>Services (CIAC) - Strohs</v>
      </c>
      <c r="AJ63" s="179">
        <f>'[1]Strohs CIAC'!$E66</f>
        <v>45231</v>
      </c>
      <c r="AK63" s="247">
        <f>'[1]Strohs CIAC'!$F66</f>
        <v>9725.94</v>
      </c>
      <c r="AL63" s="248"/>
      <c r="AM63" s="294">
        <f>'[1]Strohs CIAC'!$G66/12</f>
        <v>30</v>
      </c>
      <c r="AN63" s="219">
        <f>('[1]Strohs CIAC'!$G66-'[1]Strohs CIAC'!$H66)/12</f>
        <v>20.416666666666668</v>
      </c>
      <c r="AO63" s="219">
        <f>'[1]Strohs CIAC'!$I66</f>
        <v>324.19799999999998</v>
      </c>
      <c r="AP63" s="219"/>
      <c r="AQ63" s="220">
        <f>'[1]Strohs CIAC'!$J66</f>
        <v>6646.1</v>
      </c>
      <c r="AR63" s="221">
        <f t="shared" si="3"/>
        <v>3079.84</v>
      </c>
      <c r="AY63" s="628"/>
      <c r="AZ63" s="470">
        <v>0.75</v>
      </c>
      <c r="BA63" s="466" t="s">
        <v>659</v>
      </c>
      <c r="BB63" s="211">
        <v>451</v>
      </c>
      <c r="BC63" s="211">
        <v>295</v>
      </c>
      <c r="BD63" s="211">
        <v>282</v>
      </c>
      <c r="BE63" s="211">
        <v>219</v>
      </c>
      <c r="BF63" s="211">
        <v>419</v>
      </c>
      <c r="BG63" s="211">
        <v>201</v>
      </c>
      <c r="BH63" s="211">
        <v>12633</v>
      </c>
      <c r="BI63" s="211">
        <v>10247</v>
      </c>
      <c r="BJ63" s="211">
        <v>15118</v>
      </c>
      <c r="BK63" s="211">
        <v>490</v>
      </c>
      <c r="BL63" s="211">
        <v>212</v>
      </c>
      <c r="BM63" s="211">
        <v>163</v>
      </c>
      <c r="BO63" s="28">
        <f t="shared" si="4"/>
        <v>3394.1666666666665</v>
      </c>
      <c r="BP63" s="28">
        <f t="shared" si="5"/>
        <v>40730</v>
      </c>
      <c r="BS63" s="217"/>
      <c r="BT63" s="217"/>
      <c r="BU63" s="134"/>
      <c r="BV63" s="217"/>
      <c r="BW63" s="217"/>
      <c r="BX63" s="217"/>
    </row>
    <row r="64" spans="1:76" x14ac:dyDescent="0.25">
      <c r="V64" s="449" t="str">
        <f>'[1]Strohs Plant in Service'!$C67</f>
        <v>Mains, Tanks and Reservoirs (50)</v>
      </c>
      <c r="W64" s="292" t="str">
        <f>'[1]Strohs Plant in Service'!$D67</f>
        <v>Main Ext - Strohs, 38th to 42d (075</v>
      </c>
      <c r="X64" s="293">
        <f>'[1]Strohs Plant in Service'!$E67</f>
        <v>45231</v>
      </c>
      <c r="Y64" s="297">
        <f>'[1]Strohs Plant in Service'!$F67</f>
        <v>46465</v>
      </c>
      <c r="Z64" s="248"/>
      <c r="AA64" s="294">
        <f>'[1]Strohs Plant in Service'!$G$11/12</f>
        <v>6</v>
      </c>
      <c r="AB64" s="219">
        <f>('[1]Strohs Plant in Service'!$G67-'[1]Strohs Plant in Service'!$H67)/12</f>
        <v>32.416666666666664</v>
      </c>
      <c r="AC64" s="219">
        <f>'[1]Strohs Plant in Service'!$I67</f>
        <v>929.3</v>
      </c>
      <c r="AD64" s="219"/>
      <c r="AE64" s="220">
        <f>'[1]Strohs Plant in Service'!$J67</f>
        <v>30202.23</v>
      </c>
      <c r="AF64" s="221">
        <v>16262.77</v>
      </c>
      <c r="AG64" s="204"/>
      <c r="AH64" s="451" t="str">
        <f>'[1]Strohs CIAC'!$C67</f>
        <v>Service Connection (30)</v>
      </c>
      <c r="AI64" s="174" t="str">
        <f>'[1]Strohs CIAC'!$D67</f>
        <v>Services (CIAC) - Strohs</v>
      </c>
      <c r="AJ64" s="179">
        <f>'[1]Strohs CIAC'!$E67</f>
        <v>45231</v>
      </c>
      <c r="AK64" s="247">
        <f>'[1]Strohs CIAC'!$F67</f>
        <v>3540.11</v>
      </c>
      <c r="AL64" s="248"/>
      <c r="AM64" s="294">
        <f>'[1]Strohs CIAC'!$G67/12</f>
        <v>30</v>
      </c>
      <c r="AN64" s="219">
        <f>('[1]Strohs CIAC'!$G67-'[1]Strohs CIAC'!$H67)/12</f>
        <v>20.416666666666668</v>
      </c>
      <c r="AO64" s="219">
        <f>'[1]Strohs CIAC'!$I67</f>
        <v>118.00366666666666</v>
      </c>
      <c r="AP64" s="219"/>
      <c r="AQ64" s="220">
        <f>'[1]Strohs CIAC'!$J67</f>
        <v>2419.0300000000002</v>
      </c>
      <c r="AR64" s="221">
        <f t="shared" si="3"/>
        <v>1121.08</v>
      </c>
      <c r="AY64" s="628"/>
      <c r="AZ64" s="470">
        <v>0.75</v>
      </c>
      <c r="BA64" s="466" t="s">
        <v>660</v>
      </c>
      <c r="BB64" s="211">
        <v>329</v>
      </c>
      <c r="BC64" s="211">
        <v>311</v>
      </c>
      <c r="BD64" s="211">
        <v>250</v>
      </c>
      <c r="BE64" s="211">
        <v>310</v>
      </c>
      <c r="BF64" s="211">
        <v>745</v>
      </c>
      <c r="BG64" s="211">
        <v>283</v>
      </c>
      <c r="BH64" s="211">
        <v>1032</v>
      </c>
      <c r="BI64" s="211">
        <v>145</v>
      </c>
      <c r="BJ64" s="211">
        <v>885</v>
      </c>
      <c r="BK64" s="211">
        <v>222</v>
      </c>
      <c r="BL64" s="211">
        <v>228</v>
      </c>
      <c r="BM64" s="211">
        <v>150</v>
      </c>
      <c r="BO64" s="28">
        <f t="shared" si="4"/>
        <v>407.5</v>
      </c>
      <c r="BP64" s="28">
        <f t="shared" si="5"/>
        <v>4890</v>
      </c>
      <c r="BS64" s="217"/>
      <c r="BT64" s="217"/>
      <c r="BU64" s="134"/>
      <c r="BV64" s="217"/>
      <c r="BW64" s="217"/>
      <c r="BX64" s="217"/>
    </row>
    <row r="65" spans="22:76" x14ac:dyDescent="0.25">
      <c r="V65" s="449" t="str">
        <f>'[1]Strohs Plant in Service'!$C68</f>
        <v>Mains, Tanks and Reservoirs (50)</v>
      </c>
      <c r="W65" s="292" t="str">
        <f>'[1]Strohs Plant in Service'!$D68</f>
        <v>Main Ext - Strohs, 38th Av (472)</v>
      </c>
      <c r="X65" s="293">
        <f>'[1]Strohs Plant in Service'!$E68</f>
        <v>45231</v>
      </c>
      <c r="Y65" s="297">
        <f>'[1]Strohs Plant in Service'!$F68</f>
        <v>24505</v>
      </c>
      <c r="Z65" s="248"/>
      <c r="AA65" s="294">
        <f>'[1]Strohs Plant in Service'!$G$11/12</f>
        <v>6</v>
      </c>
      <c r="AB65" s="219">
        <f>('[1]Strohs Plant in Service'!$G68-'[1]Strohs Plant in Service'!$H68)/12</f>
        <v>32.416666666666664</v>
      </c>
      <c r="AC65" s="219">
        <f>'[1]Strohs Plant in Service'!$I68</f>
        <v>490.1</v>
      </c>
      <c r="AD65" s="219"/>
      <c r="AE65" s="220">
        <f>'[1]Strohs Plant in Service'!$J68</f>
        <v>15928.23</v>
      </c>
      <c r="AF65" s="221">
        <v>8576.77</v>
      </c>
      <c r="AG65" s="204"/>
      <c r="AH65" s="451" t="str">
        <f>'[1]Strohs CIAC'!$C68</f>
        <v>Service Connection (30)</v>
      </c>
      <c r="AI65" s="174" t="str">
        <f>'[1]Strohs CIAC'!$D68</f>
        <v>Services (CIAC) - Strohs</v>
      </c>
      <c r="AJ65" s="179">
        <f>'[1]Strohs CIAC'!$E68</f>
        <v>45231</v>
      </c>
      <c r="AK65" s="247">
        <f>'[1]Strohs CIAC'!$F68</f>
        <v>1431.84</v>
      </c>
      <c r="AL65" s="248"/>
      <c r="AM65" s="294">
        <f>'[1]Strohs CIAC'!$G68/12</f>
        <v>30</v>
      </c>
      <c r="AN65" s="219">
        <f>('[1]Strohs CIAC'!$G68-'[1]Strohs CIAC'!$H68)/12</f>
        <v>13</v>
      </c>
      <c r="AO65" s="219">
        <f>'[1]Strohs CIAC'!$I68</f>
        <v>47.727999999999994</v>
      </c>
      <c r="AP65" s="219"/>
      <c r="AQ65" s="220">
        <f>'[1]Strohs CIAC'!$J68</f>
        <v>624.48</v>
      </c>
      <c r="AR65" s="221">
        <f t="shared" si="3"/>
        <v>807.3599999999999</v>
      </c>
      <c r="AY65" s="628"/>
      <c r="AZ65" s="470">
        <v>0.75</v>
      </c>
      <c r="BA65" s="466" t="s">
        <v>661</v>
      </c>
      <c r="BB65" s="211">
        <v>744</v>
      </c>
      <c r="BC65" s="211">
        <v>454</v>
      </c>
      <c r="BD65" s="211">
        <v>670</v>
      </c>
      <c r="BE65" s="211">
        <v>930</v>
      </c>
      <c r="BF65" s="211">
        <v>500</v>
      </c>
      <c r="BG65" s="211" t="s">
        <v>655</v>
      </c>
      <c r="BH65" s="211" t="s">
        <v>655</v>
      </c>
      <c r="BI65" s="211" t="s">
        <v>655</v>
      </c>
      <c r="BJ65" s="211" t="s">
        <v>655</v>
      </c>
      <c r="BK65" s="211" t="s">
        <v>655</v>
      </c>
      <c r="BL65" s="211" t="s">
        <v>655</v>
      </c>
      <c r="BM65" s="211" t="s">
        <v>655</v>
      </c>
      <c r="BO65" s="28">
        <f t="shared" si="4"/>
        <v>659.6</v>
      </c>
      <c r="BP65" s="28">
        <f t="shared" si="5"/>
        <v>3298</v>
      </c>
      <c r="BS65" s="217"/>
      <c r="BT65" s="217"/>
      <c r="BU65" s="134"/>
      <c r="BV65" s="217"/>
      <c r="BW65" s="217"/>
      <c r="BX65" s="217"/>
    </row>
    <row r="66" spans="22:76" x14ac:dyDescent="0.25">
      <c r="V66" s="449" t="str">
        <f>'[1]Strohs Plant in Service'!$C69</f>
        <v>Mains, Tanks and Reservoirs (50)</v>
      </c>
      <c r="W66" s="292" t="str">
        <f>'[1]Strohs Plant in Service'!$D69</f>
        <v>Mains, misc sizes- Strohs (075)</v>
      </c>
      <c r="X66" s="293">
        <f>'[1]Strohs Plant in Service'!$E69</f>
        <v>45231</v>
      </c>
      <c r="Y66" s="297">
        <f>'[1]Strohs Plant in Service'!$F69</f>
        <v>54687.82</v>
      </c>
      <c r="Z66" s="248"/>
      <c r="AA66" s="294">
        <f>'[1]Strohs Plant in Service'!$G$11/12</f>
        <v>6</v>
      </c>
      <c r="AB66" s="219">
        <f>('[1]Strohs Plant in Service'!$G69-'[1]Strohs Plant in Service'!$H69)/12</f>
        <v>32.416666666666664</v>
      </c>
      <c r="AC66" s="219">
        <f>'[1]Strohs Plant in Service'!$I69</f>
        <v>1093.7564</v>
      </c>
      <c r="AD66" s="219"/>
      <c r="AE66" s="220">
        <f>'[1]Strohs Plant in Service'!$J69</f>
        <v>35547.11</v>
      </c>
      <c r="AF66" s="221">
        <v>19140.71</v>
      </c>
      <c r="AG66" s="204"/>
      <c r="AH66" s="451" t="str">
        <f>'[1]Strohs CIAC'!$C69</f>
        <v>Service Connection (30)</v>
      </c>
      <c r="AI66" s="174" t="str">
        <f>'[1]Strohs CIAC'!$D69</f>
        <v>Services (CIAC) - Strohs</v>
      </c>
      <c r="AJ66" s="179">
        <f>'[1]Strohs CIAC'!$E69</f>
        <v>45231</v>
      </c>
      <c r="AK66" s="247">
        <f>'[1]Strohs CIAC'!$F69</f>
        <v>2100</v>
      </c>
      <c r="AL66" s="248"/>
      <c r="AM66" s="294">
        <f>'[1]Strohs CIAC'!$G69/12</f>
        <v>30</v>
      </c>
      <c r="AN66" s="219">
        <f>('[1]Strohs CIAC'!$G69-'[1]Strohs CIAC'!$H69)/12</f>
        <v>12.916666666666666</v>
      </c>
      <c r="AO66" s="219">
        <f>'[1]Strohs CIAC'!$I69</f>
        <v>70</v>
      </c>
      <c r="AP66" s="219"/>
      <c r="AQ66" s="220">
        <f>'[1]Strohs CIAC'!$J69</f>
        <v>909.96</v>
      </c>
      <c r="AR66" s="221">
        <f t="shared" si="3"/>
        <v>1190.04</v>
      </c>
      <c r="AY66" s="628"/>
      <c r="AZ66" s="470">
        <v>0.75</v>
      </c>
      <c r="BA66" s="466" t="s">
        <v>662</v>
      </c>
      <c r="BB66" s="211">
        <v>2735</v>
      </c>
      <c r="BC66" s="211">
        <v>2365</v>
      </c>
      <c r="BD66" s="211">
        <v>2260</v>
      </c>
      <c r="BE66" s="211">
        <v>2530</v>
      </c>
      <c r="BF66" s="211">
        <v>1991</v>
      </c>
      <c r="BG66" s="211">
        <v>2421</v>
      </c>
      <c r="BH66" s="211">
        <v>2481</v>
      </c>
      <c r="BI66" s="211">
        <v>2747</v>
      </c>
      <c r="BJ66" s="211">
        <v>1568</v>
      </c>
      <c r="BK66" s="211">
        <v>502</v>
      </c>
      <c r="BL66" s="211">
        <v>427</v>
      </c>
      <c r="BM66" s="211">
        <v>516</v>
      </c>
      <c r="BO66" s="28">
        <f t="shared" si="4"/>
        <v>1878.5833333333333</v>
      </c>
      <c r="BP66" s="28">
        <f t="shared" si="5"/>
        <v>22543</v>
      </c>
      <c r="BS66" s="217"/>
      <c r="BT66" s="217"/>
      <c r="BU66" s="134"/>
      <c r="BV66" s="217"/>
      <c r="BW66" s="217"/>
      <c r="BX66" s="217"/>
    </row>
    <row r="67" spans="22:76" x14ac:dyDescent="0.25">
      <c r="V67" s="449" t="str">
        <f>'[1]Strohs Plant in Service'!$C70</f>
        <v>Mains, Tanks and Reservoirs (50)</v>
      </c>
      <c r="W67" s="292" t="str">
        <f>'[1]Strohs Plant in Service'!$D70</f>
        <v>Mains, misc sizes- Strohs (472)</v>
      </c>
      <c r="X67" s="293">
        <f>'[1]Strohs Plant in Service'!$E70</f>
        <v>45231</v>
      </c>
      <c r="Y67" s="297">
        <f>'[1]Strohs Plant in Service'!$F70</f>
        <v>176446.25</v>
      </c>
      <c r="Z67" s="248"/>
      <c r="AA67" s="294">
        <f>'[1]Strohs Plant in Service'!$G$11/12</f>
        <v>6</v>
      </c>
      <c r="AB67" s="219">
        <f>('[1]Strohs Plant in Service'!$G70-'[1]Strohs Plant in Service'!$H70)/12</f>
        <v>32.416666666666664</v>
      </c>
      <c r="AC67" s="219">
        <f>'[1]Strohs Plant in Service'!$I70</f>
        <v>3528.9250000000002</v>
      </c>
      <c r="AD67" s="219"/>
      <c r="AE67" s="220">
        <f>'[1]Strohs Plant in Service'!$J70</f>
        <v>91561.86</v>
      </c>
      <c r="AF67" s="221">
        <v>84884.39</v>
      </c>
      <c r="AG67" s="204"/>
      <c r="AH67" s="451" t="str">
        <f>'[1]Strohs CIAC'!$C70</f>
        <v>Service Connection (30)</v>
      </c>
      <c r="AI67" s="174" t="str">
        <f>'[1]Strohs CIAC'!$D70</f>
        <v>Services (CIAC) - Strohs</v>
      </c>
      <c r="AJ67" s="179">
        <f>'[1]Strohs CIAC'!$E70</f>
        <v>45231</v>
      </c>
      <c r="AK67" s="247">
        <f>'[1]Strohs CIAC'!$F70</f>
        <v>155.96</v>
      </c>
      <c r="AL67" s="248"/>
      <c r="AM67" s="294">
        <f>'[1]Strohs CIAC'!$G70/12</f>
        <v>30</v>
      </c>
      <c r="AN67" s="219">
        <f>('[1]Strohs CIAC'!$G70-'[1]Strohs CIAC'!$H70)/12</f>
        <v>18.25</v>
      </c>
      <c r="AO67" s="219">
        <f>'[1]Strohs CIAC'!$I70</f>
        <v>5.198666666666667</v>
      </c>
      <c r="AP67" s="219"/>
      <c r="AQ67" s="220">
        <f>'[1]Strohs CIAC'!$J70</f>
        <v>95.27</v>
      </c>
      <c r="AR67" s="221">
        <f t="shared" si="3"/>
        <v>60.690000000000012</v>
      </c>
      <c r="AY67" s="628"/>
      <c r="AZ67" s="470">
        <v>0.75</v>
      </c>
      <c r="BA67" s="466" t="s">
        <v>663</v>
      </c>
      <c r="BB67" s="211">
        <v>898</v>
      </c>
      <c r="BC67" s="211">
        <v>766</v>
      </c>
      <c r="BD67" s="211">
        <v>1033</v>
      </c>
      <c r="BE67" s="211">
        <v>1350</v>
      </c>
      <c r="BF67" s="211">
        <v>1460</v>
      </c>
      <c r="BG67" s="211">
        <v>1819</v>
      </c>
      <c r="BH67" s="211">
        <v>2977</v>
      </c>
      <c r="BI67" s="211">
        <v>3308</v>
      </c>
      <c r="BJ67" s="211">
        <v>2193</v>
      </c>
      <c r="BK67" s="211">
        <v>930</v>
      </c>
      <c r="BL67" s="211">
        <v>953</v>
      </c>
      <c r="BM67" s="211">
        <v>835</v>
      </c>
      <c r="BO67" s="28">
        <f t="shared" si="4"/>
        <v>1543.5</v>
      </c>
      <c r="BP67" s="28">
        <f t="shared" si="5"/>
        <v>18522</v>
      </c>
      <c r="BS67" s="217"/>
      <c r="BT67" s="217"/>
      <c r="BU67" s="134"/>
      <c r="BV67" s="217"/>
      <c r="BW67" s="217"/>
      <c r="BX67" s="217"/>
    </row>
    <row r="68" spans="22:76" x14ac:dyDescent="0.25">
      <c r="V68" s="449" t="str">
        <f>'[1]Strohs Plant in Service'!$C71</f>
        <v>Mains, Tanks and Reservoirs (50)</v>
      </c>
      <c r="W68" s="292" t="str">
        <f>'[1]Strohs Plant in Service'!$D71</f>
        <v>Mains (CIAC) - Strohs</v>
      </c>
      <c r="X68" s="293">
        <f>'[1]Strohs Plant in Service'!$E71</f>
        <v>45231</v>
      </c>
      <c r="Y68" s="297">
        <f>'[1]Strohs Plant in Service'!$F71</f>
        <v>30336.63</v>
      </c>
      <c r="Z68" s="248"/>
      <c r="AA68" s="294">
        <f>'[1]Strohs Plant in Service'!$G$11/12</f>
        <v>6</v>
      </c>
      <c r="AB68" s="219">
        <f>('[1]Strohs Plant in Service'!$G71-'[1]Strohs Plant in Service'!$H71)/12</f>
        <v>26.166666666666668</v>
      </c>
      <c r="AC68" s="219">
        <f>'[1]Strohs Plant in Service'!$I71</f>
        <v>606.73260000000005</v>
      </c>
      <c r="AD68" s="219"/>
      <c r="AE68" s="220">
        <f>'[1]Strohs Plant in Service'!$J71</f>
        <v>15926.73</v>
      </c>
      <c r="AF68" s="221">
        <v>14409.900000000001</v>
      </c>
      <c r="AG68" s="204"/>
      <c r="AH68" s="451" t="str">
        <f>'[1]Strohs CIAC'!$C71</f>
        <v>Service Connection (30)</v>
      </c>
      <c r="AI68" s="174" t="str">
        <f>'[1]Strohs CIAC'!$D71</f>
        <v>Services (CIAC) - Strohs</v>
      </c>
      <c r="AJ68" s="179">
        <f>'[1]Strohs CIAC'!$E71</f>
        <v>45231</v>
      </c>
      <c r="AK68" s="247">
        <f>'[1]Strohs CIAC'!$F71</f>
        <v>2484.5300000000002</v>
      </c>
      <c r="AL68" s="248"/>
      <c r="AM68" s="294">
        <f>'[1]Strohs CIAC'!$G71/12</f>
        <v>30</v>
      </c>
      <c r="AN68" s="219">
        <f>('[1]Strohs CIAC'!$G71-'[1]Strohs CIAC'!$H71)/12</f>
        <v>18.916666666666668</v>
      </c>
      <c r="AO68" s="219">
        <f>'[1]Strohs CIAC'!$I71</f>
        <v>82.817666666666668</v>
      </c>
      <c r="AP68" s="219"/>
      <c r="AQ68" s="220">
        <f>'[1]Strohs CIAC'!$J71</f>
        <v>1573.52</v>
      </c>
      <c r="AR68" s="221">
        <f t="shared" si="3"/>
        <v>911.01000000000022</v>
      </c>
      <c r="AY68" s="628"/>
      <c r="AZ68" s="470">
        <v>0.75</v>
      </c>
      <c r="BA68" s="466" t="s">
        <v>664</v>
      </c>
      <c r="BB68" s="211">
        <v>1520</v>
      </c>
      <c r="BC68" s="211">
        <v>1387</v>
      </c>
      <c r="BD68" s="211">
        <v>1713</v>
      </c>
      <c r="BE68" s="211">
        <v>2395</v>
      </c>
      <c r="BF68" s="211">
        <v>1665</v>
      </c>
      <c r="BG68" s="211">
        <v>4443</v>
      </c>
      <c r="BH68" s="211">
        <v>5469</v>
      </c>
      <c r="BI68" s="211">
        <v>4482</v>
      </c>
      <c r="BJ68" s="211">
        <v>4783</v>
      </c>
      <c r="BK68" s="211">
        <v>1550</v>
      </c>
      <c r="BL68" s="211">
        <v>1513</v>
      </c>
      <c r="BM68" s="211">
        <v>1355</v>
      </c>
      <c r="BO68" s="28">
        <f t="shared" si="4"/>
        <v>2689.5833333333335</v>
      </c>
      <c r="BP68" s="28">
        <f t="shared" si="5"/>
        <v>32275</v>
      </c>
      <c r="BS68" s="217"/>
      <c r="BT68" s="217"/>
      <c r="BU68" s="134"/>
      <c r="BV68" s="217"/>
      <c r="BW68" s="217"/>
      <c r="BX68" s="217"/>
    </row>
    <row r="69" spans="22:76" x14ac:dyDescent="0.25">
      <c r="V69" s="449" t="str">
        <f>'[1]Strohs Plant in Service'!$C72</f>
        <v>Mains, Tanks and Reservoirs (50)</v>
      </c>
      <c r="W69" s="292" t="str">
        <f>'[1]Strohs Plant in Service'!$D72</f>
        <v>Mains - Strohs (472)</v>
      </c>
      <c r="X69" s="293">
        <f>'[1]Strohs Plant in Service'!$E72</f>
        <v>45231</v>
      </c>
      <c r="Y69" s="297">
        <f>'[1]Strohs Plant in Service'!$F72</f>
        <v>64957</v>
      </c>
      <c r="Z69" s="248"/>
      <c r="AA69" s="294">
        <f>'[1]Strohs Plant in Service'!$G$11/12</f>
        <v>6</v>
      </c>
      <c r="AB69" s="219">
        <f>('[1]Strohs Plant in Service'!$G72-'[1]Strohs Plant in Service'!$H72)/12</f>
        <v>24.416666666666668</v>
      </c>
      <c r="AC69" s="219">
        <f>'[1]Strohs Plant in Service'!$I72</f>
        <v>1299.1400000000001</v>
      </c>
      <c r="AD69" s="219"/>
      <c r="AE69" s="220">
        <f>'[1]Strohs Plant in Service'!$J72</f>
        <v>31828.91</v>
      </c>
      <c r="AF69" s="221">
        <v>33128.089999999997</v>
      </c>
      <c r="AG69" s="204"/>
      <c r="AH69" s="451" t="str">
        <f>'[1]Strohs CIAC'!$C72</f>
        <v>Service Connection (30)</v>
      </c>
      <c r="AI69" s="174" t="str">
        <f>'[1]Strohs CIAC'!$D72</f>
        <v>Services (CIAC) - Strohs</v>
      </c>
      <c r="AJ69" s="179">
        <f>'[1]Strohs CIAC'!$E72</f>
        <v>45231</v>
      </c>
      <c r="AK69" s="247">
        <f>'[1]Strohs CIAC'!$F72</f>
        <v>737.51</v>
      </c>
      <c r="AL69" s="248"/>
      <c r="AM69" s="294">
        <f>'[1]Strohs CIAC'!$G72/12</f>
        <v>30</v>
      </c>
      <c r="AN69" s="219">
        <f>('[1]Strohs CIAC'!$G72-'[1]Strohs CIAC'!$H72)/12</f>
        <v>18.166666666666668</v>
      </c>
      <c r="AO69" s="219">
        <f>'[1]Strohs CIAC'!$I72</f>
        <v>24.583666666666666</v>
      </c>
      <c r="AP69" s="219"/>
      <c r="AQ69" s="220">
        <f>'[1]Strohs CIAC'!$J72</f>
        <v>448.67</v>
      </c>
      <c r="AR69" s="221">
        <f t="shared" si="3"/>
        <v>288.83999999999997</v>
      </c>
      <c r="AY69" s="628"/>
      <c r="AZ69" s="470">
        <v>0.625</v>
      </c>
      <c r="BA69" s="466" t="s">
        <v>665</v>
      </c>
      <c r="BB69" s="211" t="s">
        <v>655</v>
      </c>
      <c r="BC69" s="211" t="s">
        <v>655</v>
      </c>
      <c r="BD69" s="211" t="s">
        <v>655</v>
      </c>
      <c r="BE69" s="211">
        <v>55</v>
      </c>
      <c r="BF69" s="211" t="s">
        <v>655</v>
      </c>
      <c r="BG69" s="211" t="s">
        <v>655</v>
      </c>
      <c r="BH69" s="211">
        <v>1</v>
      </c>
      <c r="BI69" s="211">
        <v>2</v>
      </c>
      <c r="BJ69" s="211">
        <v>2</v>
      </c>
      <c r="BK69" s="211">
        <v>47</v>
      </c>
      <c r="BL69" s="211">
        <v>25</v>
      </c>
      <c r="BM69" s="211">
        <v>12</v>
      </c>
      <c r="BO69" s="28">
        <f t="shared" si="4"/>
        <v>20.571428571428573</v>
      </c>
      <c r="BP69" s="28">
        <f t="shared" si="5"/>
        <v>144</v>
      </c>
      <c r="BS69" s="217"/>
      <c r="BT69" s="217"/>
      <c r="BU69" s="134"/>
      <c r="BV69" s="217"/>
      <c r="BW69" s="217"/>
      <c r="BX69" s="217"/>
    </row>
    <row r="70" spans="22:76" x14ac:dyDescent="0.25">
      <c r="V70" s="449" t="str">
        <f>'[1]Strohs Plant in Service'!$C73</f>
        <v>Mains, Tanks and Reservoirs (50)</v>
      </c>
      <c r="W70" s="292" t="str">
        <f>'[1]Strohs Plant in Service'!$D73</f>
        <v>Mains - Strohs (472)</v>
      </c>
      <c r="X70" s="293">
        <f>'[1]Strohs Plant in Service'!$E73</f>
        <v>45231</v>
      </c>
      <c r="Y70" s="297">
        <f>'[1]Strohs Plant in Service'!$F73</f>
        <v>1488</v>
      </c>
      <c r="Z70" s="248"/>
      <c r="AA70" s="294">
        <f>'[1]Strohs Plant in Service'!$G$11/12</f>
        <v>6</v>
      </c>
      <c r="AB70" s="219">
        <f>('[1]Strohs Plant in Service'!$G73-'[1]Strohs Plant in Service'!$H73)/12</f>
        <v>22.583333333333332</v>
      </c>
      <c r="AC70" s="219">
        <f>'[1]Strohs Plant in Service'!$I73</f>
        <v>29.759999999999998</v>
      </c>
      <c r="AD70" s="219"/>
      <c r="AE70" s="220">
        <f>'[1]Strohs Plant in Service'!$J73</f>
        <v>674.56</v>
      </c>
      <c r="AF70" s="221">
        <v>813.44</v>
      </c>
      <c r="AG70" s="204"/>
      <c r="AH70" s="451" t="str">
        <f>'[1]Strohs CIAC'!$C73</f>
        <v>Service Connection (30)</v>
      </c>
      <c r="AI70" s="174" t="str">
        <f>'[1]Strohs CIAC'!$D73</f>
        <v>Services (CIAC) - Strohs</v>
      </c>
      <c r="AJ70" s="179">
        <f>'[1]Strohs CIAC'!$E73</f>
        <v>45231</v>
      </c>
      <c r="AK70" s="247">
        <f>'[1]Strohs CIAC'!$F73</f>
        <v>4584.53</v>
      </c>
      <c r="AL70" s="248"/>
      <c r="AM70" s="294">
        <f>'[1]Strohs CIAC'!$G73/12</f>
        <v>30</v>
      </c>
      <c r="AN70" s="219">
        <f>('[1]Strohs CIAC'!$G73-'[1]Strohs CIAC'!$H73)/12</f>
        <v>17.916666666666668</v>
      </c>
      <c r="AO70" s="219">
        <f>'[1]Strohs CIAC'!$I73</f>
        <v>152.81766666666667</v>
      </c>
      <c r="AP70" s="219"/>
      <c r="AQ70" s="220">
        <f>'[1]Strohs CIAC'!$J73</f>
        <v>2750.69</v>
      </c>
      <c r="AR70" s="221">
        <f t="shared" si="3"/>
        <v>1833.8399999999997</v>
      </c>
      <c r="AY70" s="628"/>
      <c r="AZ70" s="470">
        <v>0.75</v>
      </c>
      <c r="BA70" s="466" t="s">
        <v>666</v>
      </c>
      <c r="BB70" s="211">
        <v>168</v>
      </c>
      <c r="BC70" s="211">
        <v>177</v>
      </c>
      <c r="BD70" s="211">
        <v>270</v>
      </c>
      <c r="BE70" s="211">
        <v>362</v>
      </c>
      <c r="BF70" s="211">
        <v>203</v>
      </c>
      <c r="BG70" s="211">
        <v>345</v>
      </c>
      <c r="BH70" s="211">
        <v>375</v>
      </c>
      <c r="BI70" s="211">
        <v>4134</v>
      </c>
      <c r="BJ70" s="211">
        <v>6090</v>
      </c>
      <c r="BK70" s="211">
        <v>4955</v>
      </c>
      <c r="BL70" s="211">
        <v>670</v>
      </c>
      <c r="BM70" s="211">
        <v>1985</v>
      </c>
      <c r="BO70" s="28">
        <f t="shared" si="4"/>
        <v>1644.5</v>
      </c>
      <c r="BP70" s="28">
        <f t="shared" si="5"/>
        <v>19734</v>
      </c>
      <c r="BS70" s="217"/>
      <c r="BT70" s="217"/>
      <c r="BU70" s="134"/>
      <c r="BV70" s="217"/>
      <c r="BW70" s="217"/>
      <c r="BX70" s="217"/>
    </row>
    <row r="71" spans="22:76" x14ac:dyDescent="0.25">
      <c r="V71" s="449" t="str">
        <f>'[1]Strohs Plant in Service'!$C74</f>
        <v>Mains, Tanks and Reservoirs (50)</v>
      </c>
      <c r="W71" s="292" t="str">
        <f>'[1]Strohs Plant in Service'!$D74</f>
        <v>Mains - Strohs (075)</v>
      </c>
      <c r="X71" s="293">
        <f>'[1]Strohs Plant in Service'!$E74</f>
        <v>45231</v>
      </c>
      <c r="Y71" s="297">
        <f>'[1]Strohs Plant in Service'!$F74</f>
        <v>187</v>
      </c>
      <c r="Z71" s="248"/>
      <c r="AA71" s="294">
        <f>'[1]Strohs Plant in Service'!$G$11/12</f>
        <v>6</v>
      </c>
      <c r="AB71" s="219">
        <f>('[1]Strohs Plant in Service'!$G74-'[1]Strohs Plant in Service'!$H74)/12</f>
        <v>25.416666666666668</v>
      </c>
      <c r="AC71" s="219">
        <f>'[1]Strohs Plant in Service'!$I74</f>
        <v>3.7399999999999998</v>
      </c>
      <c r="AD71" s="219"/>
      <c r="AE71" s="220">
        <f>'[1]Strohs Plant in Service'!$J74</f>
        <v>95.35</v>
      </c>
      <c r="AF71" s="221">
        <v>91.65</v>
      </c>
      <c r="AG71" s="204"/>
      <c r="AH71" s="451" t="str">
        <f>'[1]Strohs CIAC'!$C74</f>
        <v>Service Connection (30)</v>
      </c>
      <c r="AI71" s="174" t="str">
        <f>'[1]Strohs CIAC'!$D74</f>
        <v>Services (CIAC) - Strohs</v>
      </c>
      <c r="AJ71" s="179">
        <f>'[1]Strohs CIAC'!$E74</f>
        <v>45231</v>
      </c>
      <c r="AK71" s="247">
        <f>'[1]Strohs CIAC'!$F74</f>
        <v>1800</v>
      </c>
      <c r="AL71" s="248"/>
      <c r="AM71" s="294">
        <f>'[1]Strohs CIAC'!$G74/12</f>
        <v>30</v>
      </c>
      <c r="AN71" s="219">
        <f>('[1]Strohs CIAC'!$G74-'[1]Strohs CIAC'!$H74)/12</f>
        <v>16.916666666666668</v>
      </c>
      <c r="AO71" s="219">
        <f>'[1]Strohs CIAC'!$I74</f>
        <v>60</v>
      </c>
      <c r="AP71" s="219"/>
      <c r="AQ71" s="220">
        <f>'[1]Strohs CIAC'!$J74</f>
        <v>1020</v>
      </c>
      <c r="AR71" s="221">
        <f t="shared" si="3"/>
        <v>780</v>
      </c>
      <c r="AY71" s="628"/>
      <c r="AZ71" s="470">
        <v>0.75</v>
      </c>
      <c r="BA71" s="466" t="s">
        <v>667</v>
      </c>
      <c r="BB71" s="211">
        <v>301</v>
      </c>
      <c r="BC71" s="211">
        <v>268</v>
      </c>
      <c r="BD71" s="211">
        <v>315</v>
      </c>
      <c r="BE71" s="211" t="s">
        <v>655</v>
      </c>
      <c r="BF71" s="211">
        <v>292</v>
      </c>
      <c r="BG71" s="211">
        <v>342</v>
      </c>
      <c r="BH71" s="211">
        <v>576</v>
      </c>
      <c r="BI71" s="211">
        <v>736</v>
      </c>
      <c r="BJ71" s="211">
        <v>400</v>
      </c>
      <c r="BK71" s="211">
        <v>170</v>
      </c>
      <c r="BL71" s="211">
        <v>115</v>
      </c>
      <c r="BM71" s="211">
        <v>57</v>
      </c>
      <c r="BO71" s="28">
        <f t="shared" si="4"/>
        <v>324.72727272727275</v>
      </c>
      <c r="BP71" s="28">
        <f t="shared" si="5"/>
        <v>3572</v>
      </c>
      <c r="BS71" s="217"/>
      <c r="BT71" s="217"/>
      <c r="BU71" s="134"/>
      <c r="BV71" s="217"/>
      <c r="BW71" s="217"/>
      <c r="BX71" s="217"/>
    </row>
    <row r="72" spans="22:76" x14ac:dyDescent="0.25">
      <c r="V72" s="449" t="str">
        <f>'[1]Strohs Plant in Service'!$C75</f>
        <v>Mains, Tanks and Reservoirs (50)</v>
      </c>
      <c r="W72" s="292" t="str">
        <f>'[1]Strohs Plant in Service'!$D75</f>
        <v>Mains - Strohs, Wollochet Shores (0</v>
      </c>
      <c r="X72" s="293">
        <f>'[1]Strohs Plant in Service'!$E75</f>
        <v>45231</v>
      </c>
      <c r="Y72" s="297">
        <f>'[1]Strohs Plant in Service'!$F75</f>
        <v>21506.54</v>
      </c>
      <c r="Z72" s="248"/>
      <c r="AA72" s="294">
        <f>'[1]Strohs Plant in Service'!$G$11/12</f>
        <v>6</v>
      </c>
      <c r="AB72" s="219">
        <f>('[1]Strohs Plant in Service'!$G75-'[1]Strohs Plant in Service'!$H75)/12</f>
        <v>21.416666666666668</v>
      </c>
      <c r="AC72" s="219">
        <f>'[1]Strohs Plant in Service'!$I75</f>
        <v>716.8846666666667</v>
      </c>
      <c r="AD72" s="219"/>
      <c r="AE72" s="220">
        <f>'[1]Strohs Plant in Service'!$J75</f>
        <v>15413.02</v>
      </c>
      <c r="AF72" s="221">
        <v>6093.52</v>
      </c>
      <c r="AG72" s="204"/>
      <c r="AH72" s="451" t="str">
        <f>'[1]Strohs CIAC'!$C75</f>
        <v>Service Connection (30)</v>
      </c>
      <c r="AI72" s="174" t="str">
        <f>'[1]Strohs CIAC'!$D75</f>
        <v>Services (CIAC) - Strohs</v>
      </c>
      <c r="AJ72" s="179">
        <f>'[1]Strohs CIAC'!$E75</f>
        <v>45231</v>
      </c>
      <c r="AK72" s="247">
        <f>'[1]Strohs CIAC'!$F75</f>
        <v>1120.3599999999999</v>
      </c>
      <c r="AL72" s="248"/>
      <c r="AM72" s="294">
        <f>'[1]Strohs CIAC'!$G75/12</f>
        <v>30</v>
      </c>
      <c r="AN72" s="219">
        <f>('[1]Strohs CIAC'!$G75-'[1]Strohs CIAC'!$H75)/12</f>
        <v>15.916666666666666</v>
      </c>
      <c r="AO72" s="219">
        <f>'[1]Strohs CIAC'!$I75</f>
        <v>37.345333333333329</v>
      </c>
      <c r="AP72" s="219"/>
      <c r="AQ72" s="220">
        <f>'[1]Strohs CIAC'!$J75</f>
        <v>597.5</v>
      </c>
      <c r="AR72" s="221">
        <f t="shared" si="3"/>
        <v>522.8599999999999</v>
      </c>
      <c r="AY72" s="628"/>
      <c r="AZ72" s="470">
        <v>1</v>
      </c>
      <c r="BA72" s="466" t="s">
        <v>668</v>
      </c>
      <c r="BB72" s="211">
        <v>687</v>
      </c>
      <c r="BC72" s="211">
        <v>496</v>
      </c>
      <c r="BD72" s="211">
        <v>612</v>
      </c>
      <c r="BE72" s="211">
        <v>889</v>
      </c>
      <c r="BF72" s="211">
        <v>1349</v>
      </c>
      <c r="BG72" s="211">
        <v>1459</v>
      </c>
      <c r="BH72" s="211">
        <v>4752</v>
      </c>
      <c r="BI72" s="211">
        <v>6170</v>
      </c>
      <c r="BJ72" s="211">
        <v>2872</v>
      </c>
      <c r="BK72" s="211">
        <v>920</v>
      </c>
      <c r="BL72" s="211">
        <v>411</v>
      </c>
      <c r="BM72" s="211">
        <v>347</v>
      </c>
      <c r="BO72" s="28">
        <f t="shared" si="4"/>
        <v>1747</v>
      </c>
      <c r="BP72" s="28">
        <f t="shared" si="5"/>
        <v>20964</v>
      </c>
      <c r="BS72" s="217"/>
      <c r="BT72" s="217"/>
      <c r="BU72" s="134"/>
      <c r="BV72" s="217"/>
      <c r="BW72" s="217"/>
      <c r="BX72" s="217"/>
    </row>
    <row r="73" spans="22:76" x14ac:dyDescent="0.25">
      <c r="V73" s="449" t="str">
        <f>'[1]Strohs Plant in Service'!$C76</f>
        <v>Mains, Tanks and Reservoirs (50)</v>
      </c>
      <c r="W73" s="292" t="str">
        <f>'[1]Strohs Plant in Service'!$D76</f>
        <v>Mains - Strohs (075)</v>
      </c>
      <c r="X73" s="293">
        <f>'[1]Strohs Plant in Service'!$E76</f>
        <v>45231</v>
      </c>
      <c r="Y73" s="297">
        <f>'[1]Strohs Plant in Service'!$F76</f>
        <v>916.96</v>
      </c>
      <c r="Z73" s="248"/>
      <c r="AA73" s="294">
        <f>'[1]Strohs Plant in Service'!$G$11/12</f>
        <v>6</v>
      </c>
      <c r="AB73" s="219">
        <f>('[1]Strohs Plant in Service'!$G76-'[1]Strohs Plant in Service'!$H76)/12</f>
        <v>21.666666666666668</v>
      </c>
      <c r="AC73" s="219">
        <f>'[1]Strohs Plant in Service'!$I76</f>
        <v>30.565333333333335</v>
      </c>
      <c r="AD73" s="219"/>
      <c r="AE73" s="220">
        <f>'[1]Strohs Plant in Service'!$J76</f>
        <v>664.83</v>
      </c>
      <c r="AF73" s="221">
        <v>252.13</v>
      </c>
      <c r="AG73" s="204"/>
      <c r="AH73" s="451" t="str">
        <f>'[1]Strohs CIAC'!$C76</f>
        <v>Service Connection (30)</v>
      </c>
      <c r="AI73" s="174" t="str">
        <f>'[1]Strohs CIAC'!$D76</f>
        <v>Services (CIAC) - Strohs</v>
      </c>
      <c r="AJ73" s="179">
        <f>'[1]Strohs CIAC'!$E76</f>
        <v>45231</v>
      </c>
      <c r="AK73" s="247">
        <f>'[1]Strohs CIAC'!$F76</f>
        <v>2100</v>
      </c>
      <c r="AL73" s="248"/>
      <c r="AM73" s="294">
        <f>'[1]Strohs CIAC'!$G76/12</f>
        <v>30</v>
      </c>
      <c r="AN73" s="219">
        <f>('[1]Strohs CIAC'!$G76-'[1]Strohs CIAC'!$H76)/12</f>
        <v>15.916666666666666</v>
      </c>
      <c r="AO73" s="219">
        <f>'[1]Strohs CIAC'!$I76</f>
        <v>70</v>
      </c>
      <c r="AP73" s="219"/>
      <c r="AQ73" s="220">
        <f>'[1]Strohs CIAC'!$J76</f>
        <v>1119.96</v>
      </c>
      <c r="AR73" s="221">
        <f t="shared" ref="AR73:AR111" si="6">IFERROR(IF(AQ73&gt;AK73,0,(+AK73-AQ73))-AL73,"")</f>
        <v>980.04</v>
      </c>
      <c r="AY73" s="628"/>
      <c r="AZ73" s="470">
        <v>1.5</v>
      </c>
      <c r="BA73" s="466" t="s">
        <v>669</v>
      </c>
      <c r="BB73" s="211">
        <v>8736</v>
      </c>
      <c r="BC73" s="211">
        <v>9106</v>
      </c>
      <c r="BD73" s="211">
        <v>10034</v>
      </c>
      <c r="BE73" s="211">
        <v>9440</v>
      </c>
      <c r="BF73" s="211">
        <v>8765</v>
      </c>
      <c r="BG73" s="211">
        <v>20950</v>
      </c>
      <c r="BH73" s="211">
        <v>50859</v>
      </c>
      <c r="BI73" s="211">
        <v>55392</v>
      </c>
      <c r="BJ73" s="211">
        <v>772</v>
      </c>
      <c r="BK73" s="211">
        <v>12396</v>
      </c>
      <c r="BL73" s="211">
        <v>8305</v>
      </c>
      <c r="BM73" s="211">
        <v>8511</v>
      </c>
      <c r="BO73" s="28">
        <f t="shared" ref="BO73:BO136" si="7">AVERAGE(BB73:BM73)</f>
        <v>16938.833333333332</v>
      </c>
      <c r="BP73" s="28">
        <f t="shared" ref="BP73:BP136" si="8">SUM(BB73:BM73)</f>
        <v>203266</v>
      </c>
      <c r="BS73" s="217"/>
      <c r="BT73" s="217"/>
      <c r="BU73" s="134"/>
      <c r="BV73" s="217"/>
      <c r="BW73" s="217"/>
      <c r="BX73" s="217"/>
    </row>
    <row r="74" spans="22:76" x14ac:dyDescent="0.25">
      <c r="V74" s="449" t="str">
        <f>'[1]Strohs Plant in Service'!$C77</f>
        <v>Mains, Tanks and Reservoirs (50)</v>
      </c>
      <c r="W74" s="292" t="str">
        <f>'[1]Strohs Plant in Service'!$D77</f>
        <v>Mains - Strohs (472)</v>
      </c>
      <c r="X74" s="293">
        <f>'[1]Strohs Plant in Service'!$E77</f>
        <v>45231</v>
      </c>
      <c r="Y74" s="297">
        <f>'[1]Strohs Plant in Service'!$F77</f>
        <v>1296</v>
      </c>
      <c r="Z74" s="248"/>
      <c r="AA74" s="294">
        <f>'[1]Strohs Plant in Service'!$G$11/12</f>
        <v>6</v>
      </c>
      <c r="AB74" s="219">
        <f>('[1]Strohs Plant in Service'!$G77-'[1]Strohs Plant in Service'!$H77)/12</f>
        <v>21</v>
      </c>
      <c r="AC74" s="219">
        <f>'[1]Strohs Plant in Service'!$I77</f>
        <v>25.92</v>
      </c>
      <c r="AD74" s="219"/>
      <c r="AE74" s="220">
        <f>'[1]Strohs Plant in Service'!$J77</f>
        <v>546.48</v>
      </c>
      <c r="AF74" s="221">
        <v>749.52</v>
      </c>
      <c r="AG74" s="204"/>
      <c r="AH74" s="451" t="str">
        <f>'[1]Strohs CIAC'!$C77</f>
        <v>Service Connection (30)</v>
      </c>
      <c r="AI74" s="174" t="str">
        <f>'[1]Strohs CIAC'!$D77</f>
        <v>Services (CIAC) - Strohs</v>
      </c>
      <c r="AJ74" s="179">
        <f>'[1]Strohs CIAC'!$E77</f>
        <v>45231</v>
      </c>
      <c r="AK74" s="247">
        <f>'[1]Strohs CIAC'!$F77</f>
        <v>1200</v>
      </c>
      <c r="AL74" s="248"/>
      <c r="AM74" s="294">
        <f>'[1]Strohs CIAC'!$G77/12</f>
        <v>30</v>
      </c>
      <c r="AN74" s="219">
        <f>('[1]Strohs CIAC'!$G77-'[1]Strohs CIAC'!$H77)/12</f>
        <v>14.916666666666666</v>
      </c>
      <c r="AO74" s="219">
        <f>'[1]Strohs CIAC'!$I77</f>
        <v>40</v>
      </c>
      <c r="AP74" s="219"/>
      <c r="AQ74" s="220">
        <f>'[1]Strohs CIAC'!$J77</f>
        <v>599.96</v>
      </c>
      <c r="AR74" s="221">
        <f t="shared" si="6"/>
        <v>600.04</v>
      </c>
      <c r="AY74" s="628"/>
      <c r="AZ74" s="470">
        <v>0.75</v>
      </c>
      <c r="BA74" s="466" t="s">
        <v>670</v>
      </c>
      <c r="BB74" s="211">
        <v>119</v>
      </c>
      <c r="BC74" s="211">
        <v>501</v>
      </c>
      <c r="BD74" s="211">
        <v>79</v>
      </c>
      <c r="BE74" s="211">
        <v>13</v>
      </c>
      <c r="BF74" s="211">
        <v>388</v>
      </c>
      <c r="BG74" s="211">
        <v>2183</v>
      </c>
      <c r="BH74" s="211">
        <v>5557</v>
      </c>
      <c r="BI74" s="211" t="s">
        <v>655</v>
      </c>
      <c r="BJ74" s="211" t="s">
        <v>655</v>
      </c>
      <c r="BK74" s="211" t="s">
        <v>655</v>
      </c>
      <c r="BL74" s="211" t="s">
        <v>655</v>
      </c>
      <c r="BM74" s="211" t="s">
        <v>655</v>
      </c>
      <c r="BO74" s="28">
        <f t="shared" si="7"/>
        <v>1262.8571428571429</v>
      </c>
      <c r="BP74" s="28">
        <f t="shared" si="8"/>
        <v>8840</v>
      </c>
      <c r="BS74" s="217"/>
      <c r="BT74" s="217"/>
      <c r="BU74" s="134"/>
      <c r="BV74" s="217"/>
      <c r="BW74" s="217"/>
      <c r="BX74" s="217"/>
    </row>
    <row r="75" spans="22:76" x14ac:dyDescent="0.25">
      <c r="V75" s="449" t="str">
        <f>'[1]Strohs Plant in Service'!$C78</f>
        <v>Mains, Tanks and Reservoirs (50)</v>
      </c>
      <c r="W75" s="292" t="str">
        <f>'[1]Strohs Plant in Service'!$D78</f>
        <v>Mains - Strohs (472)</v>
      </c>
      <c r="X75" s="293">
        <f>'[1]Strohs Plant in Service'!$E78</f>
        <v>45231</v>
      </c>
      <c r="Y75" s="297">
        <f>'[1]Strohs Plant in Service'!$F78</f>
        <v>14384</v>
      </c>
      <c r="Z75" s="248"/>
      <c r="AA75" s="294">
        <f>'[1]Strohs Plant in Service'!$G$11/12</f>
        <v>6</v>
      </c>
      <c r="AB75" s="219">
        <f>('[1]Strohs Plant in Service'!$G78-'[1]Strohs Plant in Service'!$H78)/12</f>
        <v>19.916666666666668</v>
      </c>
      <c r="AC75" s="219">
        <f>'[1]Strohs Plant in Service'!$I78</f>
        <v>479.4666666666667</v>
      </c>
      <c r="AD75" s="219"/>
      <c r="AE75" s="220">
        <f>'[1]Strohs Plant in Service'!$J78</f>
        <v>9589.39</v>
      </c>
      <c r="AF75" s="221">
        <v>4794.6100000000006</v>
      </c>
      <c r="AG75" s="204"/>
      <c r="AH75" s="451" t="str">
        <f>'[1]Strohs CIAC'!$C78</f>
        <v>Service Connection (30)</v>
      </c>
      <c r="AI75" s="174" t="str">
        <f>'[1]Strohs CIAC'!$D78</f>
        <v>Services (CIAC) - Strohs</v>
      </c>
      <c r="AJ75" s="179">
        <f>'[1]Strohs CIAC'!$E78</f>
        <v>45231</v>
      </c>
      <c r="AK75" s="247">
        <f>'[1]Strohs CIAC'!$F78</f>
        <v>1200</v>
      </c>
      <c r="AL75" s="248"/>
      <c r="AM75" s="294">
        <f>'[1]Strohs CIAC'!$G78/12</f>
        <v>30</v>
      </c>
      <c r="AN75" s="219">
        <f>('[1]Strohs CIAC'!$G78-'[1]Strohs CIAC'!$H78)/12</f>
        <v>13.916666666666666</v>
      </c>
      <c r="AO75" s="219">
        <f>'[1]Strohs CIAC'!$I78</f>
        <v>40</v>
      </c>
      <c r="AP75" s="219"/>
      <c r="AQ75" s="220">
        <f>'[1]Strohs CIAC'!$J78</f>
        <v>559.96</v>
      </c>
      <c r="AR75" s="221">
        <f t="shared" si="6"/>
        <v>640.04</v>
      </c>
      <c r="AY75" s="628"/>
      <c r="AZ75" s="470">
        <v>0.75</v>
      </c>
      <c r="BA75" s="466" t="s">
        <v>671</v>
      </c>
      <c r="BB75" s="211">
        <v>320</v>
      </c>
      <c r="BC75" s="211">
        <v>214</v>
      </c>
      <c r="BD75" s="211">
        <v>118</v>
      </c>
      <c r="BE75" s="211">
        <v>109</v>
      </c>
      <c r="BF75" s="211">
        <v>179</v>
      </c>
      <c r="BG75" s="211">
        <v>3434</v>
      </c>
      <c r="BH75" s="211">
        <v>2334</v>
      </c>
      <c r="BI75" s="211">
        <v>184</v>
      </c>
      <c r="BJ75" s="211">
        <v>198</v>
      </c>
      <c r="BK75" s="211">
        <v>158</v>
      </c>
      <c r="BL75" s="211">
        <v>110</v>
      </c>
      <c r="BM75" s="211">
        <v>214</v>
      </c>
      <c r="BO75" s="28">
        <f t="shared" si="7"/>
        <v>631</v>
      </c>
      <c r="BP75" s="28">
        <f t="shared" si="8"/>
        <v>7572</v>
      </c>
      <c r="BS75" s="217"/>
      <c r="BT75" s="217"/>
      <c r="BU75" s="134"/>
      <c r="BV75" s="217"/>
      <c r="BW75" s="217"/>
      <c r="BX75" s="217"/>
    </row>
    <row r="76" spans="22:76" x14ac:dyDescent="0.25">
      <c r="V76" s="449" t="str">
        <f>'[1]Strohs Plant in Service'!$C79</f>
        <v>Mains, Tanks and Reservoirs (50)</v>
      </c>
      <c r="W76" s="292" t="str">
        <f>'[1]Strohs Plant in Service'!$D79</f>
        <v>Mains - Strohs (075)</v>
      </c>
      <c r="X76" s="293">
        <f>'[1]Strohs Plant in Service'!$E79</f>
        <v>45231</v>
      </c>
      <c r="Y76" s="297">
        <f>'[1]Strohs Plant in Service'!$F79</f>
        <v>8988.2999999999993</v>
      </c>
      <c r="Z76" s="248"/>
      <c r="AA76" s="294">
        <f>'[1]Strohs Plant in Service'!$G$11/12</f>
        <v>6</v>
      </c>
      <c r="AB76" s="219">
        <f>('[1]Strohs Plant in Service'!$G79-'[1]Strohs Plant in Service'!$H79)/12</f>
        <v>19.916666666666668</v>
      </c>
      <c r="AC76" s="219">
        <f>'[1]Strohs Plant in Service'!$I79</f>
        <v>299.60999999999996</v>
      </c>
      <c r="AD76" s="219"/>
      <c r="AE76" s="220">
        <f>'[1]Strohs Plant in Service'!$J79</f>
        <v>5992.23</v>
      </c>
      <c r="AF76" s="221">
        <v>2996.0699999999997</v>
      </c>
      <c r="AG76" s="204"/>
      <c r="AH76" s="451" t="str">
        <f>'[1]Strohs CIAC'!$C79</f>
        <v>Service Connection (30)</v>
      </c>
      <c r="AI76" s="174" t="str">
        <f>'[1]Strohs CIAC'!$D79</f>
        <v>Services (CIAC) - Strohs</v>
      </c>
      <c r="AJ76" s="179">
        <f>'[1]Strohs CIAC'!$E79</f>
        <v>45231</v>
      </c>
      <c r="AK76" s="247">
        <f>'[1]Strohs CIAC'!$F79</f>
        <v>300</v>
      </c>
      <c r="AL76" s="248"/>
      <c r="AM76" s="294">
        <f>'[1]Strohs CIAC'!$G79/12</f>
        <v>30</v>
      </c>
      <c r="AN76" s="219">
        <f>('[1]Strohs CIAC'!$G79-'[1]Strohs CIAC'!$H79)/12</f>
        <v>12.916666666666666</v>
      </c>
      <c r="AO76" s="219">
        <f>'[1]Strohs CIAC'!$I79</f>
        <v>10</v>
      </c>
      <c r="AP76" s="219"/>
      <c r="AQ76" s="220">
        <f>'[1]Strohs CIAC'!$J79</f>
        <v>129.96</v>
      </c>
      <c r="AR76" s="221">
        <f t="shared" si="6"/>
        <v>170.04</v>
      </c>
      <c r="AY76" s="628"/>
      <c r="AZ76" s="470">
        <v>0.75</v>
      </c>
      <c r="BA76" s="466" t="s">
        <v>672</v>
      </c>
      <c r="BB76" s="211">
        <v>518</v>
      </c>
      <c r="BC76" s="211">
        <v>507</v>
      </c>
      <c r="BD76" s="211">
        <v>585</v>
      </c>
      <c r="BE76" s="211">
        <v>708</v>
      </c>
      <c r="BF76" s="211">
        <v>755</v>
      </c>
      <c r="BG76" s="211">
        <v>1020</v>
      </c>
      <c r="BH76" s="211">
        <v>2224</v>
      </c>
      <c r="BI76" s="211">
        <v>2006</v>
      </c>
      <c r="BJ76" s="211">
        <v>1218</v>
      </c>
      <c r="BK76" s="211">
        <v>585</v>
      </c>
      <c r="BL76" s="211">
        <v>266</v>
      </c>
      <c r="BM76" s="211">
        <v>199</v>
      </c>
      <c r="BO76" s="28">
        <f t="shared" si="7"/>
        <v>882.58333333333337</v>
      </c>
      <c r="BP76" s="28">
        <f t="shared" si="8"/>
        <v>10591</v>
      </c>
      <c r="BS76" s="217"/>
      <c r="BT76" s="217"/>
      <c r="BU76" s="134"/>
      <c r="BV76" s="217"/>
      <c r="BW76" s="217"/>
      <c r="BX76" s="217"/>
    </row>
    <row r="77" spans="22:76" x14ac:dyDescent="0.25">
      <c r="V77" s="449" t="str">
        <f>'[1]Strohs Plant in Service'!$C80</f>
        <v>Mains, Tanks and Reservoirs (50)</v>
      </c>
      <c r="W77" s="292" t="str">
        <f>'[1]Strohs Plant in Service'!$D80</f>
        <v>Mains - Strohs (075)</v>
      </c>
      <c r="X77" s="293">
        <f>'[1]Strohs Plant in Service'!$E80</f>
        <v>45231</v>
      </c>
      <c r="Y77" s="297">
        <f>'[1]Strohs Plant in Service'!$F80</f>
        <v>7495.5</v>
      </c>
      <c r="Z77" s="248"/>
      <c r="AA77" s="294">
        <f>'[1]Strohs Plant in Service'!$G$11/12</f>
        <v>6</v>
      </c>
      <c r="AB77" s="219">
        <f>('[1]Strohs Plant in Service'!$G80-'[1]Strohs Plant in Service'!$H80)/12</f>
        <v>19.916666666666668</v>
      </c>
      <c r="AC77" s="219">
        <f>'[1]Strohs Plant in Service'!$I80</f>
        <v>249.85</v>
      </c>
      <c r="AD77" s="219"/>
      <c r="AE77" s="220">
        <f>'[1]Strohs Plant in Service'!$J80</f>
        <v>4996.99</v>
      </c>
      <c r="AF77" s="221">
        <v>2498.5100000000002</v>
      </c>
      <c r="AG77" s="204"/>
      <c r="AH77" s="451" t="str">
        <f>'[1]Strohs CIAC'!$C80</f>
        <v>Service Connection (30)</v>
      </c>
      <c r="AI77" s="174" t="str">
        <f>'[1]Strohs CIAC'!$D80</f>
        <v>Services (CIAC) - Strohs</v>
      </c>
      <c r="AJ77" s="179">
        <f>'[1]Strohs CIAC'!$E80</f>
        <v>45231</v>
      </c>
      <c r="AK77" s="247">
        <f>'[1]Strohs CIAC'!$F80</f>
        <v>900</v>
      </c>
      <c r="AL77" s="248"/>
      <c r="AM77" s="294">
        <f>'[1]Strohs CIAC'!$G80/12</f>
        <v>30</v>
      </c>
      <c r="AN77" s="219">
        <f>('[1]Strohs CIAC'!$G80-'[1]Strohs CIAC'!$H80)/12</f>
        <v>12.916666666666666</v>
      </c>
      <c r="AO77" s="219">
        <f>'[1]Strohs CIAC'!$I80</f>
        <v>30</v>
      </c>
      <c r="AP77" s="219"/>
      <c r="AQ77" s="220">
        <f>'[1]Strohs CIAC'!$J80</f>
        <v>390</v>
      </c>
      <c r="AR77" s="221">
        <f t="shared" si="6"/>
        <v>510</v>
      </c>
      <c r="AY77" s="628"/>
      <c r="AZ77" s="470">
        <v>0.75</v>
      </c>
      <c r="BA77" s="466" t="s">
        <v>673</v>
      </c>
      <c r="BB77" s="211">
        <v>51</v>
      </c>
      <c r="BC77" s="211">
        <v>3</v>
      </c>
      <c r="BD77" s="211" t="s">
        <v>655</v>
      </c>
      <c r="BE77" s="211" t="s">
        <v>655</v>
      </c>
      <c r="BF77" s="211" t="s">
        <v>655</v>
      </c>
      <c r="BG77" s="211" t="s">
        <v>655</v>
      </c>
      <c r="BH77" s="211" t="s">
        <v>655</v>
      </c>
      <c r="BI77" s="211" t="s">
        <v>655</v>
      </c>
      <c r="BJ77" s="211" t="s">
        <v>655</v>
      </c>
      <c r="BK77" s="211">
        <v>290</v>
      </c>
      <c r="BL77" s="211" t="s">
        <v>655</v>
      </c>
      <c r="BM77" s="211" t="s">
        <v>655</v>
      </c>
      <c r="BO77" s="28">
        <f t="shared" si="7"/>
        <v>114.66666666666667</v>
      </c>
      <c r="BP77" s="28">
        <f t="shared" si="8"/>
        <v>344</v>
      </c>
      <c r="BS77" s="217"/>
      <c r="BT77" s="217"/>
      <c r="BU77" s="134"/>
      <c r="BV77" s="217"/>
      <c r="BW77" s="217"/>
      <c r="BX77" s="217"/>
    </row>
    <row r="78" spans="22:76" x14ac:dyDescent="0.25">
      <c r="V78" s="449" t="str">
        <f>'[1]Strohs Plant in Service'!$C81</f>
        <v>Mains, Tanks and Reservoirs (50)</v>
      </c>
      <c r="W78" s="292" t="str">
        <f>'[1]Strohs Plant in Service'!$D81</f>
        <v>Mains (CIAC) - Strohs (472)</v>
      </c>
      <c r="X78" s="293">
        <f>'[1]Strohs Plant in Service'!$E81</f>
        <v>45231</v>
      </c>
      <c r="Y78" s="297">
        <f>'[1]Strohs Plant in Service'!$F81</f>
        <v>9668.9699999999993</v>
      </c>
      <c r="Z78" s="248"/>
      <c r="AA78" s="294">
        <f>'[1]Strohs Plant in Service'!$G$11/12</f>
        <v>6</v>
      </c>
      <c r="AB78" s="219">
        <f>('[1]Strohs Plant in Service'!$G81-'[1]Strohs Plant in Service'!$H81)/12</f>
        <v>17.916666666666668</v>
      </c>
      <c r="AC78" s="219">
        <f>'[1]Strohs Plant in Service'!$I81</f>
        <v>322.29899999999998</v>
      </c>
      <c r="AD78" s="219"/>
      <c r="AE78" s="220">
        <f>'[1]Strohs Plant in Service'!$J81</f>
        <v>5801.4</v>
      </c>
      <c r="AF78" s="221">
        <v>3867.5699999999997</v>
      </c>
      <c r="AG78" s="204"/>
      <c r="AH78" s="451" t="str">
        <f>'[1]Strohs CIAC'!$C81</f>
        <v>Service Connection (30)</v>
      </c>
      <c r="AI78" s="174" t="str">
        <f>'[1]Strohs CIAC'!$D81</f>
        <v>Services (CIAC) - Strohs</v>
      </c>
      <c r="AJ78" s="179">
        <f>'[1]Strohs CIAC'!$E81</f>
        <v>45231</v>
      </c>
      <c r="AK78" s="247">
        <f>'[1]Strohs CIAC'!$F81</f>
        <v>1200</v>
      </c>
      <c r="AL78" s="248"/>
      <c r="AM78" s="294">
        <f>'[1]Strohs CIAC'!$G81/12</f>
        <v>30</v>
      </c>
      <c r="AN78" s="219">
        <f>('[1]Strohs CIAC'!$G81-'[1]Strohs CIAC'!$H81)/12</f>
        <v>11.916666666666666</v>
      </c>
      <c r="AO78" s="219">
        <f>'[1]Strohs CIAC'!$I81</f>
        <v>40</v>
      </c>
      <c r="AP78" s="219"/>
      <c r="AQ78" s="220">
        <f>'[1]Strohs CIAC'!$J81</f>
        <v>479.96</v>
      </c>
      <c r="AR78" s="221">
        <f t="shared" si="6"/>
        <v>720.04</v>
      </c>
      <c r="AY78" s="628"/>
      <c r="AZ78" s="470">
        <v>0.75</v>
      </c>
      <c r="BA78" s="466" t="s">
        <v>674</v>
      </c>
      <c r="BB78" s="211">
        <v>325</v>
      </c>
      <c r="BC78" s="211">
        <v>230</v>
      </c>
      <c r="BD78" s="211">
        <v>336</v>
      </c>
      <c r="BE78" s="211">
        <v>391</v>
      </c>
      <c r="BF78" s="211">
        <v>367</v>
      </c>
      <c r="BG78" s="211">
        <v>312</v>
      </c>
      <c r="BH78" s="211">
        <v>1907</v>
      </c>
      <c r="BI78" s="211">
        <v>2601</v>
      </c>
      <c r="BJ78" s="211">
        <v>1995</v>
      </c>
      <c r="BK78" s="211">
        <v>314</v>
      </c>
      <c r="BL78" s="211">
        <v>280</v>
      </c>
      <c r="BM78" s="211">
        <v>326</v>
      </c>
      <c r="BO78" s="28">
        <f t="shared" si="7"/>
        <v>782</v>
      </c>
      <c r="BP78" s="28">
        <f t="shared" si="8"/>
        <v>9384</v>
      </c>
      <c r="BS78" s="217"/>
      <c r="BT78" s="217"/>
      <c r="BU78" s="134"/>
      <c r="BV78" s="217"/>
      <c r="BW78" s="217"/>
      <c r="BX78" s="217"/>
    </row>
    <row r="79" spans="22:76" x14ac:dyDescent="0.25">
      <c r="V79" s="449" t="str">
        <f>'[1]Strohs Plant in Service'!$C82</f>
        <v>Mains, Tanks and Reservoirs (50)</v>
      </c>
      <c r="W79" s="292" t="str">
        <f>'[1]Strohs Plant in Service'!$D82</f>
        <v>Mains - Strohs (075)</v>
      </c>
      <c r="X79" s="293">
        <f>'[1]Strohs Plant in Service'!$E82</f>
        <v>45231</v>
      </c>
      <c r="Y79" s="297">
        <f>'[1]Strohs Plant in Service'!$F82</f>
        <v>721.6</v>
      </c>
      <c r="Z79" s="248"/>
      <c r="AA79" s="294">
        <f>'[1]Strohs Plant in Service'!$G$11/12</f>
        <v>6</v>
      </c>
      <c r="AB79" s="219">
        <f>('[1]Strohs Plant in Service'!$G82-'[1]Strohs Plant in Service'!$H82)/12</f>
        <v>17.916666666666668</v>
      </c>
      <c r="AC79" s="219">
        <f>'[1]Strohs Plant in Service'!$I82</f>
        <v>24.053333333333335</v>
      </c>
      <c r="AD79" s="219"/>
      <c r="AE79" s="220">
        <f>'[1]Strohs Plant in Service'!$J82</f>
        <v>432.9</v>
      </c>
      <c r="AF79" s="221">
        <v>288.70000000000005</v>
      </c>
      <c r="AG79" s="204"/>
      <c r="AH79" s="451" t="str">
        <f>'[1]Strohs CIAC'!$C82</f>
        <v>Service Connection (30)</v>
      </c>
      <c r="AI79" s="174" t="str">
        <f>'[1]Strohs CIAC'!$D82</f>
        <v>Services (CIAC) - Strohs</v>
      </c>
      <c r="AJ79" s="179">
        <f>'[1]Strohs CIAC'!$E82</f>
        <v>45231</v>
      </c>
      <c r="AK79" s="247">
        <f>'[1]Strohs CIAC'!$F82</f>
        <v>300</v>
      </c>
      <c r="AL79" s="248"/>
      <c r="AM79" s="294">
        <f>'[1]Strohs CIAC'!$G82/12</f>
        <v>30</v>
      </c>
      <c r="AN79" s="219">
        <f>('[1]Strohs CIAC'!$G82-'[1]Strohs CIAC'!$H82)/12</f>
        <v>10.916666666666666</v>
      </c>
      <c r="AO79" s="219">
        <f>'[1]Strohs CIAC'!$I82</f>
        <v>10</v>
      </c>
      <c r="AP79" s="219"/>
      <c r="AQ79" s="220">
        <f>'[1]Strohs CIAC'!$J82</f>
        <v>109.96</v>
      </c>
      <c r="AR79" s="221">
        <f t="shared" si="6"/>
        <v>190.04000000000002</v>
      </c>
      <c r="AY79" s="628"/>
      <c r="AZ79" s="470">
        <v>1</v>
      </c>
      <c r="BA79" s="466" t="s">
        <v>675</v>
      </c>
      <c r="BB79" s="211" t="s">
        <v>655</v>
      </c>
      <c r="BC79" s="211" t="s">
        <v>655</v>
      </c>
      <c r="BD79" s="211" t="s">
        <v>655</v>
      </c>
      <c r="BE79" s="211">
        <v>632</v>
      </c>
      <c r="BF79" s="211">
        <v>3093</v>
      </c>
      <c r="BG79" s="211">
        <v>851</v>
      </c>
      <c r="BH79" s="211">
        <v>8782</v>
      </c>
      <c r="BI79" s="211">
        <v>15503</v>
      </c>
      <c r="BJ79" s="211">
        <v>11439</v>
      </c>
      <c r="BK79" s="211">
        <v>67</v>
      </c>
      <c r="BL79" s="211">
        <v>50</v>
      </c>
      <c r="BM79" s="211" t="s">
        <v>655</v>
      </c>
      <c r="BO79" s="28">
        <f t="shared" si="7"/>
        <v>5052.125</v>
      </c>
      <c r="BP79" s="28">
        <f t="shared" si="8"/>
        <v>40417</v>
      </c>
      <c r="BS79" s="217"/>
      <c r="BT79" s="217"/>
      <c r="BU79" s="134"/>
      <c r="BV79" s="217"/>
      <c r="BW79" s="217"/>
      <c r="BX79" s="217"/>
    </row>
    <row r="80" spans="22:76" x14ac:dyDescent="0.25">
      <c r="V80" s="449" t="str">
        <f>'[1]Strohs Plant in Service'!$C83</f>
        <v>Mains, Tanks and Reservoirs (50)</v>
      </c>
      <c r="W80" s="292" t="str">
        <f>'[1]Strohs Plant in Service'!$D83</f>
        <v>Mains - Strohs (472)</v>
      </c>
      <c r="X80" s="293">
        <f>'[1]Strohs Plant in Service'!$E83</f>
        <v>45231</v>
      </c>
      <c r="Y80" s="297">
        <f>'[1]Strohs Plant in Service'!$F83</f>
        <v>14582.24</v>
      </c>
      <c r="Z80" s="248"/>
      <c r="AA80" s="294">
        <f>'[1]Strohs Plant in Service'!$G$11/12</f>
        <v>6</v>
      </c>
      <c r="AB80" s="219">
        <f>('[1]Strohs Plant in Service'!$G83-'[1]Strohs Plant in Service'!$H83)/12</f>
        <v>17.083333333333332</v>
      </c>
      <c r="AC80" s="219">
        <f>'[1]Strohs Plant in Service'!$I83</f>
        <v>486.07466666666664</v>
      </c>
      <c r="AD80" s="219"/>
      <c r="AE80" s="220">
        <f>'[1]Strohs Plant in Service'!$J83</f>
        <v>8344.33</v>
      </c>
      <c r="AF80" s="221">
        <v>6237.91</v>
      </c>
      <c r="AG80" s="204"/>
      <c r="AH80" s="451" t="str">
        <f>'[1]Strohs CIAC'!$C83</f>
        <v>Service Connection (30)</v>
      </c>
      <c r="AI80" s="174" t="str">
        <f>'[1]Strohs CIAC'!$D83</f>
        <v>Services (CIAC) - Strohs</v>
      </c>
      <c r="AJ80" s="179">
        <f>'[1]Strohs CIAC'!$E83</f>
        <v>45231</v>
      </c>
      <c r="AK80" s="247">
        <f>'[1]Strohs CIAC'!$F83</f>
        <v>640.38</v>
      </c>
      <c r="AL80" s="248"/>
      <c r="AM80" s="294">
        <f>'[1]Strohs CIAC'!$G83/12</f>
        <v>30</v>
      </c>
      <c r="AN80" s="219">
        <f>('[1]Strohs CIAC'!$G83-'[1]Strohs CIAC'!$H83)/12</f>
        <v>10.916666666666666</v>
      </c>
      <c r="AO80" s="219">
        <f>'[1]Strohs CIAC'!$I83</f>
        <v>21.346</v>
      </c>
      <c r="AP80" s="219"/>
      <c r="AQ80" s="220">
        <f>'[1]Strohs CIAC'!$J83</f>
        <v>234.82</v>
      </c>
      <c r="AR80" s="221">
        <f t="shared" si="6"/>
        <v>405.56</v>
      </c>
      <c r="AY80" s="628"/>
      <c r="AZ80" s="470">
        <v>0.75</v>
      </c>
      <c r="BA80" s="466" t="s">
        <v>676</v>
      </c>
      <c r="BB80" s="211" t="s">
        <v>655</v>
      </c>
      <c r="BC80" s="211" t="s">
        <v>655</v>
      </c>
      <c r="BD80" s="211">
        <v>5</v>
      </c>
      <c r="BE80" s="211">
        <v>109</v>
      </c>
      <c r="BF80" s="211" t="s">
        <v>655</v>
      </c>
      <c r="BG80" s="211" t="s">
        <v>655</v>
      </c>
      <c r="BH80" s="211">
        <v>2128</v>
      </c>
      <c r="BI80" s="211">
        <v>1084</v>
      </c>
      <c r="BJ80" s="211">
        <v>247</v>
      </c>
      <c r="BK80" s="211">
        <v>36</v>
      </c>
      <c r="BL80" s="211" t="s">
        <v>655</v>
      </c>
      <c r="BM80" s="211" t="s">
        <v>655</v>
      </c>
      <c r="BO80" s="28">
        <f t="shared" si="7"/>
        <v>601.5</v>
      </c>
      <c r="BP80" s="28">
        <f t="shared" si="8"/>
        <v>3609</v>
      </c>
      <c r="BS80" s="217"/>
      <c r="BT80" s="217"/>
      <c r="BU80" s="134"/>
      <c r="BV80" s="217"/>
      <c r="BW80" s="217"/>
      <c r="BX80" s="217"/>
    </row>
    <row r="81" spans="22:76" x14ac:dyDescent="0.25">
      <c r="V81" s="449" t="str">
        <f>'[1]Strohs Plant in Service'!$C84</f>
        <v>Mains, Tanks and Reservoirs (50)</v>
      </c>
      <c r="W81" s="292" t="str">
        <f>'[1]Strohs Plant in Service'!$D84</f>
        <v>Mains (CIAC) - Strohs (472)</v>
      </c>
      <c r="X81" s="293">
        <f>'[1]Strohs Plant in Service'!$E84</f>
        <v>45231</v>
      </c>
      <c r="Y81" s="297">
        <f>'[1]Strohs Plant in Service'!$F84</f>
        <v>287107.02</v>
      </c>
      <c r="Z81" s="248"/>
      <c r="AA81" s="294">
        <f>'[1]Strohs Plant in Service'!$G$11/12</f>
        <v>6</v>
      </c>
      <c r="AB81" s="219">
        <f>('[1]Strohs Plant in Service'!$G84-'[1]Strohs Plant in Service'!$H84)/12</f>
        <v>16.916666666666668</v>
      </c>
      <c r="AC81" s="219">
        <f>'[1]Strohs Plant in Service'!$I84</f>
        <v>9570.2340000000004</v>
      </c>
      <c r="AD81" s="219"/>
      <c r="AE81" s="220">
        <f>'[1]Strohs Plant in Service'!$J84</f>
        <v>133864.32000000001</v>
      </c>
      <c r="AF81" s="221">
        <v>153242.70000000001</v>
      </c>
      <c r="AG81" s="204"/>
      <c r="AH81" s="451" t="str">
        <f>'[1]Strohs CIAC'!$C84</f>
        <v>Service Connection (30)</v>
      </c>
      <c r="AI81" s="174" t="str">
        <f>'[1]Strohs CIAC'!$D84</f>
        <v>Services (CIAC) - Strohs</v>
      </c>
      <c r="AJ81" s="179">
        <f>'[1]Strohs CIAC'!$E84</f>
        <v>45231</v>
      </c>
      <c r="AK81" s="247">
        <f>'[1]Strohs CIAC'!$F84</f>
        <v>1200</v>
      </c>
      <c r="AL81" s="248"/>
      <c r="AM81" s="294">
        <f>'[1]Strohs CIAC'!$G84/12</f>
        <v>30</v>
      </c>
      <c r="AN81" s="219">
        <f>('[1]Strohs CIAC'!$G84-'[1]Strohs CIAC'!$H84)/12</f>
        <v>9.9166666666666661</v>
      </c>
      <c r="AO81" s="219">
        <f>'[1]Strohs CIAC'!$I84</f>
        <v>40</v>
      </c>
      <c r="AP81" s="219"/>
      <c r="AQ81" s="220">
        <f>'[1]Strohs CIAC'!$J84</f>
        <v>399.96</v>
      </c>
      <c r="AR81" s="221">
        <f t="shared" si="6"/>
        <v>800.04</v>
      </c>
      <c r="AY81" s="628"/>
      <c r="AZ81" s="470">
        <v>0.625</v>
      </c>
      <c r="BA81" s="466" t="s">
        <v>677</v>
      </c>
      <c r="BB81" s="211">
        <v>374</v>
      </c>
      <c r="BC81" s="211" t="s">
        <v>655</v>
      </c>
      <c r="BD81" s="211">
        <v>702</v>
      </c>
      <c r="BE81" s="211">
        <v>452</v>
      </c>
      <c r="BF81" s="211">
        <v>768</v>
      </c>
      <c r="BG81" s="211">
        <v>1074</v>
      </c>
      <c r="BH81" s="211">
        <v>576</v>
      </c>
      <c r="BI81" s="211" t="s">
        <v>655</v>
      </c>
      <c r="BJ81" s="211" t="s">
        <v>655</v>
      </c>
      <c r="BK81" s="211" t="s">
        <v>655</v>
      </c>
      <c r="BL81" s="211" t="s">
        <v>655</v>
      </c>
      <c r="BM81" s="211" t="s">
        <v>655</v>
      </c>
      <c r="BO81" s="28">
        <f t="shared" si="7"/>
        <v>657.66666666666663</v>
      </c>
      <c r="BP81" s="28">
        <f t="shared" si="8"/>
        <v>3946</v>
      </c>
      <c r="BS81" s="217"/>
      <c r="BT81" s="217"/>
      <c r="BU81" s="134"/>
      <c r="BV81" s="217"/>
      <c r="BW81" s="217"/>
      <c r="BX81" s="217"/>
    </row>
    <row r="82" spans="22:76" x14ac:dyDescent="0.25">
      <c r="V82" s="449" t="str">
        <f>'[1]Strohs Plant in Service'!$C85</f>
        <v>Mains, Tanks and Reservoirs (50)</v>
      </c>
      <c r="W82" s="292" t="str">
        <f>'[1]Strohs Plant in Service'!$D85</f>
        <v>Mains (CIAC) - Strohs (075)</v>
      </c>
      <c r="X82" s="293">
        <f>'[1]Strohs Plant in Service'!$E85</f>
        <v>45231</v>
      </c>
      <c r="Y82" s="297">
        <f>'[1]Strohs Plant in Service'!$F85</f>
        <v>12291.55</v>
      </c>
      <c r="Z82" s="248"/>
      <c r="AA82" s="294">
        <f>'[1]Strohs Plant in Service'!$G$11/12</f>
        <v>6</v>
      </c>
      <c r="AB82" s="219">
        <f>('[1]Strohs Plant in Service'!$G85-'[1]Strohs Plant in Service'!$H85)/12</f>
        <v>16.916666666666668</v>
      </c>
      <c r="AC82" s="219">
        <f>'[1]Strohs Plant in Service'!$I85</f>
        <v>409.71833333333325</v>
      </c>
      <c r="AD82" s="219"/>
      <c r="AE82" s="220">
        <f>'[1]Strohs Plant in Service'!$J85</f>
        <v>6965.17</v>
      </c>
      <c r="AF82" s="221">
        <v>5326.3799999999992</v>
      </c>
      <c r="AG82" s="204"/>
      <c r="AH82" s="451" t="str">
        <f>'[1]Strohs CIAC'!$C85</f>
        <v>Service Connection (30)</v>
      </c>
      <c r="AI82" s="174" t="str">
        <f>'[1]Strohs CIAC'!$D85</f>
        <v>Services (CIAC) - Strohs</v>
      </c>
      <c r="AJ82" s="179">
        <f>'[1]Strohs CIAC'!$E85</f>
        <v>45231</v>
      </c>
      <c r="AK82" s="247">
        <f>'[1]Strohs CIAC'!$F85</f>
        <v>210.56</v>
      </c>
      <c r="AL82" s="248"/>
      <c r="AM82" s="294">
        <f>'[1]Strohs CIAC'!$G85/12</f>
        <v>30</v>
      </c>
      <c r="AN82" s="219">
        <f>('[1]Strohs CIAC'!$G85-'[1]Strohs CIAC'!$H85)/12</f>
        <v>9.9166666666666661</v>
      </c>
      <c r="AO82" s="219">
        <f>'[1]Strohs CIAC'!$I85</f>
        <v>7.0186666666666664</v>
      </c>
      <c r="AP82" s="219"/>
      <c r="AQ82" s="220">
        <f>'[1]Strohs CIAC'!$J85</f>
        <v>70.16</v>
      </c>
      <c r="AR82" s="221">
        <f t="shared" si="6"/>
        <v>140.4</v>
      </c>
      <c r="AY82" s="628"/>
      <c r="AZ82" s="470">
        <v>0.625</v>
      </c>
      <c r="BA82" s="466" t="s">
        <v>678</v>
      </c>
      <c r="BB82" s="211">
        <v>738</v>
      </c>
      <c r="BC82" s="211">
        <v>265</v>
      </c>
      <c r="BD82" s="211">
        <v>1226</v>
      </c>
      <c r="BE82" s="211">
        <v>1307</v>
      </c>
      <c r="BF82" s="211">
        <v>479</v>
      </c>
      <c r="BG82" s="211">
        <v>3194</v>
      </c>
      <c r="BH82" s="211">
        <v>3008</v>
      </c>
      <c r="BI82" s="211">
        <v>3488</v>
      </c>
      <c r="BJ82" s="211">
        <v>1966</v>
      </c>
      <c r="BK82" s="211">
        <v>755</v>
      </c>
      <c r="BL82" s="211">
        <v>491</v>
      </c>
      <c r="BM82" s="211">
        <v>298</v>
      </c>
      <c r="BO82" s="28">
        <f t="shared" si="7"/>
        <v>1434.5833333333333</v>
      </c>
      <c r="BP82" s="28">
        <f t="shared" si="8"/>
        <v>17215</v>
      </c>
      <c r="BS82" s="217"/>
      <c r="BT82" s="217"/>
      <c r="BU82" s="134"/>
      <c r="BV82" s="217"/>
      <c r="BW82" s="217"/>
      <c r="BX82" s="217"/>
    </row>
    <row r="83" spans="22:76" x14ac:dyDescent="0.25">
      <c r="V83" s="449" t="str">
        <f>'[1]Strohs Plant in Service'!$C86</f>
        <v>Mains, Tanks and Reservoirs (50)</v>
      </c>
      <c r="W83" s="292" t="str">
        <f>'[1]Strohs Plant in Service'!$D86</f>
        <v>Mains - Strohs (472)</v>
      </c>
      <c r="X83" s="293">
        <f>'[1]Strohs Plant in Service'!$E86</f>
        <v>45231</v>
      </c>
      <c r="Y83" s="297">
        <f>'[1]Strohs Plant in Service'!$F86</f>
        <v>16854.740000000002</v>
      </c>
      <c r="Z83" s="248"/>
      <c r="AA83" s="294">
        <f>'[1]Strohs Plant in Service'!$G$11/12</f>
        <v>6</v>
      </c>
      <c r="AB83" s="219">
        <f>('[1]Strohs Plant in Service'!$G86-'[1]Strohs Plant in Service'!$H86)/12</f>
        <v>15.916666666666666</v>
      </c>
      <c r="AC83" s="219">
        <f>'[1]Strohs Plant in Service'!$I86</f>
        <v>561.82466666666676</v>
      </c>
      <c r="AD83" s="219"/>
      <c r="AE83" s="220">
        <f>'[1]Strohs Plant in Service'!$J86</f>
        <v>8989.2099999999991</v>
      </c>
      <c r="AF83" s="221">
        <v>7865.5300000000025</v>
      </c>
      <c r="AG83" s="204"/>
      <c r="AH83" s="451" t="str">
        <f>'[1]Strohs CIAC'!$C86</f>
        <v>Service Connection (30)</v>
      </c>
      <c r="AI83" s="174" t="str">
        <f>'[1]Strohs CIAC'!$D86</f>
        <v>Services (CIAC) - Strohs</v>
      </c>
      <c r="AJ83" s="179">
        <f>'[1]Strohs CIAC'!$E86</f>
        <v>45231</v>
      </c>
      <c r="AK83" s="247">
        <f>'[1]Strohs CIAC'!$F86</f>
        <v>2477.14</v>
      </c>
      <c r="AL83" s="248"/>
      <c r="AM83" s="294">
        <f>'[1]Strohs CIAC'!$G86/12</f>
        <v>30</v>
      </c>
      <c r="AN83" s="219">
        <f>('[1]Strohs CIAC'!$G86-'[1]Strohs CIAC'!$H86)/12</f>
        <v>9.9166666666666661</v>
      </c>
      <c r="AO83" s="219">
        <f>'[1]Strohs CIAC'!$I86</f>
        <v>82.571333333333328</v>
      </c>
      <c r="AP83" s="219"/>
      <c r="AQ83" s="220">
        <f>'[1]Strohs CIAC'!$J86</f>
        <v>825.7</v>
      </c>
      <c r="AR83" s="221">
        <f t="shared" si="6"/>
        <v>1651.4399999999998</v>
      </c>
      <c r="AY83" s="628"/>
      <c r="AZ83" s="470">
        <v>0.75</v>
      </c>
      <c r="BA83" s="466" t="s">
        <v>679</v>
      </c>
      <c r="BB83" s="211">
        <v>742</v>
      </c>
      <c r="BC83" s="211">
        <v>351</v>
      </c>
      <c r="BD83" s="211">
        <v>351</v>
      </c>
      <c r="BE83" s="211">
        <v>1671</v>
      </c>
      <c r="BF83" s="211">
        <v>185</v>
      </c>
      <c r="BG83" s="211">
        <v>313</v>
      </c>
      <c r="BH83" s="211">
        <v>6885</v>
      </c>
      <c r="BI83" s="211">
        <v>6488</v>
      </c>
      <c r="BJ83" s="211">
        <v>422</v>
      </c>
      <c r="BK83" s="211">
        <v>300</v>
      </c>
      <c r="BL83" s="211">
        <v>315</v>
      </c>
      <c r="BM83" s="211">
        <v>834</v>
      </c>
      <c r="BO83" s="28">
        <f t="shared" si="7"/>
        <v>1571.4166666666667</v>
      </c>
      <c r="BP83" s="28">
        <f t="shared" si="8"/>
        <v>18857</v>
      </c>
      <c r="BS83" s="217"/>
      <c r="BT83" s="217"/>
      <c r="BU83" s="134"/>
      <c r="BV83" s="217"/>
      <c r="BW83" s="217"/>
      <c r="BX83" s="217"/>
    </row>
    <row r="84" spans="22:76" x14ac:dyDescent="0.25">
      <c r="V84" s="449" t="str">
        <f>'[1]Strohs Plant in Service'!$C87</f>
        <v>Mains, Tanks and Reservoirs (50)</v>
      </c>
      <c r="W84" s="292" t="str">
        <f>'[1]Strohs Plant in Service'!$D87</f>
        <v>Mains (CIAC) - Strohs (075)</v>
      </c>
      <c r="X84" s="293">
        <f>'[1]Strohs Plant in Service'!$E87</f>
        <v>45231</v>
      </c>
      <c r="Y84" s="297">
        <f>'[1]Strohs Plant in Service'!$F87</f>
        <v>6653</v>
      </c>
      <c r="Z84" s="248"/>
      <c r="AA84" s="294">
        <f>'[1]Strohs Plant in Service'!$G$11/12</f>
        <v>6</v>
      </c>
      <c r="AB84" s="219">
        <f>('[1]Strohs Plant in Service'!$G87-'[1]Strohs Plant in Service'!$H87)/12</f>
        <v>14.916666666666666</v>
      </c>
      <c r="AC84" s="219">
        <f>'[1]Strohs Plant in Service'!$I87</f>
        <v>221.76666666666665</v>
      </c>
      <c r="AD84" s="219"/>
      <c r="AE84" s="220">
        <f>'[1]Strohs Plant in Service'!$J87</f>
        <v>3326.49</v>
      </c>
      <c r="AF84" s="221">
        <v>3326.51</v>
      </c>
      <c r="AG84" s="204"/>
      <c r="AH84" s="451" t="str">
        <f>'[1]Strohs CIAC'!$C87</f>
        <v>Service Connection (30)</v>
      </c>
      <c r="AI84" s="174" t="str">
        <f>'[1]Strohs CIAC'!$D87</f>
        <v>Services (CIAC) - Strohs</v>
      </c>
      <c r="AJ84" s="179">
        <f>'[1]Strohs CIAC'!$E87</f>
        <v>45231</v>
      </c>
      <c r="AK84" s="247">
        <f>'[1]Strohs CIAC'!$F87</f>
        <v>300</v>
      </c>
      <c r="AL84" s="248"/>
      <c r="AM84" s="294">
        <f>'[1]Strohs CIAC'!$G87/12</f>
        <v>30</v>
      </c>
      <c r="AN84" s="219">
        <f>('[1]Strohs CIAC'!$G87-'[1]Strohs CIAC'!$H87)/12</f>
        <v>8.9166666666666661</v>
      </c>
      <c r="AO84" s="219">
        <f>'[1]Strohs CIAC'!$I87</f>
        <v>10</v>
      </c>
      <c r="AP84" s="219"/>
      <c r="AQ84" s="220">
        <f>'[1]Strohs CIAC'!$J87</f>
        <v>89.96</v>
      </c>
      <c r="AR84" s="221">
        <f t="shared" si="6"/>
        <v>210.04000000000002</v>
      </c>
      <c r="AY84" s="628"/>
      <c r="AZ84" s="470">
        <v>0.75</v>
      </c>
      <c r="BA84" s="466" t="s">
        <v>680</v>
      </c>
      <c r="BB84" s="211">
        <v>158</v>
      </c>
      <c r="BC84" s="211">
        <v>110</v>
      </c>
      <c r="BD84" s="211">
        <v>231</v>
      </c>
      <c r="BE84" s="211">
        <v>129</v>
      </c>
      <c r="BF84" s="211">
        <v>216</v>
      </c>
      <c r="BG84" s="211">
        <v>216</v>
      </c>
      <c r="BH84" s="211">
        <v>516</v>
      </c>
      <c r="BI84" s="211">
        <v>1128</v>
      </c>
      <c r="BJ84" s="211">
        <v>369</v>
      </c>
      <c r="BK84" s="211">
        <v>251</v>
      </c>
      <c r="BL84" s="211">
        <v>184</v>
      </c>
      <c r="BM84" s="211">
        <v>180</v>
      </c>
      <c r="BO84" s="28">
        <f t="shared" si="7"/>
        <v>307.33333333333331</v>
      </c>
      <c r="BP84" s="28">
        <f t="shared" si="8"/>
        <v>3688</v>
      </c>
      <c r="BS84" s="217"/>
      <c r="BT84" s="217"/>
      <c r="BU84" s="134"/>
      <c r="BV84" s="217"/>
      <c r="BW84" s="217"/>
      <c r="BX84" s="217"/>
    </row>
    <row r="85" spans="22:76" x14ac:dyDescent="0.25">
      <c r="V85" s="449" t="str">
        <f>'[1]Strohs Plant in Service'!$C88</f>
        <v>Mains, Tanks and Reservoirs (50)</v>
      </c>
      <c r="W85" s="292" t="str">
        <f>'[1]Strohs Plant in Service'!$D88</f>
        <v>Mains - Strohs (472)</v>
      </c>
      <c r="X85" s="293">
        <f>'[1]Strohs Plant in Service'!$E88</f>
        <v>45231</v>
      </c>
      <c r="Y85" s="297">
        <f>'[1]Strohs Plant in Service'!$F88</f>
        <v>3695</v>
      </c>
      <c r="Z85" s="248"/>
      <c r="AA85" s="294">
        <f>'[1]Strohs Plant in Service'!$G$11/12</f>
        <v>6</v>
      </c>
      <c r="AB85" s="219">
        <f>('[1]Strohs Plant in Service'!$G88-'[1]Strohs Plant in Service'!$H88)/12</f>
        <v>13.916666666666666</v>
      </c>
      <c r="AC85" s="219">
        <f>'[1]Strohs Plant in Service'!$I88</f>
        <v>123.16666666666667</v>
      </c>
      <c r="AD85" s="219"/>
      <c r="AE85" s="220">
        <f>'[1]Strohs Plant in Service'!$J88</f>
        <v>1724.28</v>
      </c>
      <c r="AF85" s="221">
        <v>1970.72</v>
      </c>
      <c r="AG85" s="204"/>
      <c r="AH85" s="451" t="str">
        <f>'[1]Strohs CIAC'!$C88</f>
        <v>Service Connection (30)</v>
      </c>
      <c r="AI85" s="174" t="str">
        <f>'[1]Strohs CIAC'!$D88</f>
        <v>Services (CIAC) - Strohs</v>
      </c>
      <c r="AJ85" s="179">
        <f>'[1]Strohs CIAC'!$E88</f>
        <v>45231</v>
      </c>
      <c r="AK85" s="247">
        <f>'[1]Strohs CIAC'!$F88</f>
        <v>7698.94</v>
      </c>
      <c r="AL85" s="248"/>
      <c r="AM85" s="294">
        <f>'[1]Strohs CIAC'!$G88/12</f>
        <v>30</v>
      </c>
      <c r="AN85" s="219">
        <f>('[1]Strohs CIAC'!$G88-'[1]Strohs CIAC'!$H88)/12</f>
        <v>8.9166666666666661</v>
      </c>
      <c r="AO85" s="219">
        <f>'[1]Strohs CIAC'!$I88</f>
        <v>256.63133333333332</v>
      </c>
      <c r="AP85" s="219"/>
      <c r="AQ85" s="220">
        <f>'[1]Strohs CIAC'!$J88</f>
        <v>2309.73</v>
      </c>
      <c r="AR85" s="221">
        <f t="shared" si="6"/>
        <v>5389.2099999999991</v>
      </c>
      <c r="AY85" s="628"/>
      <c r="AZ85" s="470">
        <v>0.625</v>
      </c>
      <c r="BA85" s="466" t="s">
        <v>681</v>
      </c>
      <c r="BB85" s="211">
        <v>595</v>
      </c>
      <c r="BC85" s="211">
        <v>499</v>
      </c>
      <c r="BD85" s="211">
        <v>490</v>
      </c>
      <c r="BE85" s="211">
        <v>567</v>
      </c>
      <c r="BF85" s="211">
        <v>502</v>
      </c>
      <c r="BG85" s="211">
        <v>466</v>
      </c>
      <c r="BH85" s="211">
        <v>2155</v>
      </c>
      <c r="BI85" s="211">
        <v>4867</v>
      </c>
      <c r="BJ85" s="211">
        <v>3895</v>
      </c>
      <c r="BK85" s="211">
        <v>403</v>
      </c>
      <c r="BL85" s="211">
        <v>1658</v>
      </c>
      <c r="BM85" s="211">
        <v>548</v>
      </c>
      <c r="BO85" s="28">
        <f t="shared" si="7"/>
        <v>1387.0833333333333</v>
      </c>
      <c r="BP85" s="28">
        <f t="shared" si="8"/>
        <v>16645</v>
      </c>
      <c r="BS85" s="217"/>
      <c r="BT85" s="217"/>
      <c r="BU85" s="134"/>
      <c r="BV85" s="217"/>
      <c r="BW85" s="217"/>
      <c r="BX85" s="217"/>
    </row>
    <row r="86" spans="22:76" x14ac:dyDescent="0.25">
      <c r="V86" s="449" t="str">
        <f>'[1]Strohs Plant in Service'!$C89</f>
        <v>Mains, Tanks and Reservoirs (50)</v>
      </c>
      <c r="W86" s="292" t="str">
        <f>'[1]Strohs Plant in Service'!$D89</f>
        <v>Mains (CIAC) - Strohs (075)</v>
      </c>
      <c r="X86" s="293">
        <f>'[1]Strohs Plant in Service'!$E89</f>
        <v>45231</v>
      </c>
      <c r="Y86" s="297">
        <f>'[1]Strohs Plant in Service'!$F89</f>
        <v>209</v>
      </c>
      <c r="Z86" s="248"/>
      <c r="AA86" s="294">
        <f>'[1]Strohs Plant in Service'!$G$11/12</f>
        <v>6</v>
      </c>
      <c r="AB86" s="219">
        <f>('[1]Strohs Plant in Service'!$G89-'[1]Strohs Plant in Service'!$H89)/12</f>
        <v>13.916666666666666</v>
      </c>
      <c r="AC86" s="219">
        <f>'[1]Strohs Plant in Service'!$I89</f>
        <v>6.9666666666666668</v>
      </c>
      <c r="AD86" s="219"/>
      <c r="AE86" s="220">
        <f>'[1]Strohs Plant in Service'!$J89</f>
        <v>97.53</v>
      </c>
      <c r="AF86" s="221">
        <v>111.47</v>
      </c>
      <c r="AG86" s="204"/>
      <c r="AH86" s="451" t="str">
        <f>'[1]Strohs CIAC'!$C89</f>
        <v>Service Connection (30)</v>
      </c>
      <c r="AI86" s="174" t="str">
        <f>'[1]Strohs CIAC'!$D89</f>
        <v>Services (CIAC) - Strohs</v>
      </c>
      <c r="AJ86" s="179">
        <f>'[1]Strohs CIAC'!$E89</f>
        <v>45231</v>
      </c>
      <c r="AK86" s="247">
        <f>'[1]Strohs CIAC'!$F89</f>
        <v>384.53</v>
      </c>
      <c r="AL86" s="248"/>
      <c r="AM86" s="294">
        <f>'[1]Strohs CIAC'!$G89/12</f>
        <v>30</v>
      </c>
      <c r="AN86" s="219">
        <f>('[1]Strohs CIAC'!$G89-'[1]Strohs CIAC'!$H89)/12</f>
        <v>7.916666666666667</v>
      </c>
      <c r="AO86" s="219">
        <f>'[1]Strohs CIAC'!$I89</f>
        <v>12.817666666666664</v>
      </c>
      <c r="AP86" s="219"/>
      <c r="AQ86" s="220">
        <f>'[1]Strohs CIAC'!$J89</f>
        <v>102.57</v>
      </c>
      <c r="AR86" s="221">
        <f t="shared" si="6"/>
        <v>281.95999999999998</v>
      </c>
      <c r="AY86" s="628"/>
      <c r="AZ86" s="470">
        <v>0.75</v>
      </c>
      <c r="BA86" s="466" t="s">
        <v>682</v>
      </c>
      <c r="BB86" s="211">
        <v>598</v>
      </c>
      <c r="BC86" s="211">
        <v>677</v>
      </c>
      <c r="BD86" s="211">
        <v>807</v>
      </c>
      <c r="BE86" s="211">
        <v>835</v>
      </c>
      <c r="BF86" s="211">
        <v>681</v>
      </c>
      <c r="BG86" s="211">
        <v>744</v>
      </c>
      <c r="BH86" s="211">
        <v>518</v>
      </c>
      <c r="BI86" s="211">
        <v>813</v>
      </c>
      <c r="BJ86" s="211">
        <v>733</v>
      </c>
      <c r="BK86" s="211">
        <v>585</v>
      </c>
      <c r="BL86" s="211">
        <v>250</v>
      </c>
      <c r="BM86" s="211">
        <v>959</v>
      </c>
      <c r="BO86" s="28">
        <f t="shared" si="7"/>
        <v>683.33333333333337</v>
      </c>
      <c r="BP86" s="28">
        <f t="shared" si="8"/>
        <v>8200</v>
      </c>
      <c r="BS86" s="217"/>
      <c r="BT86" s="217"/>
      <c r="BU86" s="134"/>
      <c r="BV86" s="217"/>
      <c r="BW86" s="217"/>
      <c r="BX86" s="217"/>
    </row>
    <row r="87" spans="22:76" x14ac:dyDescent="0.25">
      <c r="V87" s="449" t="str">
        <f>'[1]Strohs Plant in Service'!$C90</f>
        <v>Mains, Tanks and Reservoirs (50)</v>
      </c>
      <c r="W87" s="292" t="str">
        <f>'[1]Strohs Plant in Service'!$D90</f>
        <v>Mains - Strohs (075)</v>
      </c>
      <c r="X87" s="293">
        <f>'[1]Strohs Plant in Service'!$E90</f>
        <v>45231</v>
      </c>
      <c r="Y87" s="297">
        <f>'[1]Strohs Plant in Service'!$F90</f>
        <v>7300.44</v>
      </c>
      <c r="Z87" s="248"/>
      <c r="AA87" s="294">
        <f>'[1]Strohs Plant in Service'!$G$11/12</f>
        <v>6</v>
      </c>
      <c r="AB87" s="219">
        <f>('[1]Strohs Plant in Service'!$G90-'[1]Strohs Plant in Service'!$H90)/12</f>
        <v>13.916666666666666</v>
      </c>
      <c r="AC87" s="219">
        <f>'[1]Strohs Plant in Service'!$I90</f>
        <v>243.34800000000001</v>
      </c>
      <c r="AD87" s="219"/>
      <c r="AE87" s="220">
        <f>'[1]Strohs Plant in Service'!$J90</f>
        <v>3406.89</v>
      </c>
      <c r="AF87" s="221">
        <v>3893.5499999999997</v>
      </c>
      <c r="AG87" s="204"/>
      <c r="AH87" s="451" t="str">
        <f>'[1]Strohs CIAC'!$C90</f>
        <v>Service Connection (30)</v>
      </c>
      <c r="AI87" s="174" t="str">
        <f>'[1]Strohs CIAC'!$D90</f>
        <v>Services (CIAC) Fox Run, upsized -</v>
      </c>
      <c r="AJ87" s="179">
        <f>'[1]Strohs CIAC'!$E90</f>
        <v>45231</v>
      </c>
      <c r="AK87" s="247">
        <f>'[1]Strohs CIAC'!$F90</f>
        <v>12913.88</v>
      </c>
      <c r="AL87" s="248"/>
      <c r="AM87" s="294">
        <f>'[1]Strohs CIAC'!$G90/12</f>
        <v>30</v>
      </c>
      <c r="AN87" s="219">
        <f>('[1]Strohs CIAC'!$G90-'[1]Strohs CIAC'!$H90)/12</f>
        <v>6.916666666666667</v>
      </c>
      <c r="AO87" s="219">
        <f>'[1]Strohs CIAC'!$I90</f>
        <v>430.46266666666668</v>
      </c>
      <c r="AP87" s="219"/>
      <c r="AQ87" s="220">
        <f>'[1]Strohs CIAC'!$J90</f>
        <v>3013.21</v>
      </c>
      <c r="AR87" s="221">
        <f t="shared" si="6"/>
        <v>9900.6699999999983</v>
      </c>
      <c r="AY87" s="628"/>
      <c r="AZ87" s="470">
        <v>0.75</v>
      </c>
      <c r="BA87" s="466" t="s">
        <v>683</v>
      </c>
      <c r="BB87" s="211">
        <v>369</v>
      </c>
      <c r="BC87" s="211">
        <v>47</v>
      </c>
      <c r="BD87" s="211">
        <v>194</v>
      </c>
      <c r="BE87" s="211">
        <v>301</v>
      </c>
      <c r="BF87" s="211">
        <v>324</v>
      </c>
      <c r="BG87" s="211">
        <v>52</v>
      </c>
      <c r="BH87" s="211">
        <v>257</v>
      </c>
      <c r="BI87" s="211">
        <v>325</v>
      </c>
      <c r="BJ87" s="211">
        <v>297</v>
      </c>
      <c r="BK87" s="211">
        <v>276</v>
      </c>
      <c r="BL87" s="211">
        <v>381</v>
      </c>
      <c r="BM87" s="211">
        <v>186</v>
      </c>
      <c r="BO87" s="28">
        <f t="shared" si="7"/>
        <v>250.75</v>
      </c>
      <c r="BP87" s="28">
        <f t="shared" si="8"/>
        <v>3009</v>
      </c>
      <c r="BS87" s="217"/>
      <c r="BT87" s="217"/>
      <c r="BU87" s="134"/>
      <c r="BV87" s="217"/>
      <c r="BW87" s="217"/>
      <c r="BX87" s="217"/>
    </row>
    <row r="88" spans="22:76" x14ac:dyDescent="0.25">
      <c r="V88" s="449" t="str">
        <f>'[1]Strohs Plant in Service'!$C91</f>
        <v>Mains, Tanks and Reservoirs (50)</v>
      </c>
      <c r="W88" s="292" t="str">
        <f>'[1]Strohs Plant in Service'!$D91</f>
        <v>Mains - Strohs (472)</v>
      </c>
      <c r="X88" s="293">
        <f>'[1]Strohs Plant in Service'!$E91</f>
        <v>45231</v>
      </c>
      <c r="Y88" s="297">
        <f>'[1]Strohs Plant in Service'!$F91</f>
        <v>46245.58</v>
      </c>
      <c r="Z88" s="248"/>
      <c r="AA88" s="294">
        <f>'[1]Strohs Plant in Service'!$G$11/12</f>
        <v>6</v>
      </c>
      <c r="AB88" s="219">
        <f>('[1]Strohs Plant in Service'!$G91-'[1]Strohs Plant in Service'!$H91)/12</f>
        <v>12.916666666666666</v>
      </c>
      <c r="AC88" s="219">
        <f>'[1]Strohs Plant in Service'!$I91</f>
        <v>1541.5193333333336</v>
      </c>
      <c r="AD88" s="219"/>
      <c r="AE88" s="220">
        <f>'[1]Strohs Plant in Service'!$J91</f>
        <v>20039.75</v>
      </c>
      <c r="AF88" s="221">
        <v>26205.83</v>
      </c>
      <c r="AG88" s="204"/>
      <c r="AH88" s="451" t="str">
        <f>'[1]Strohs CIAC'!$C91</f>
        <v>Service Connection (30)</v>
      </c>
      <c r="AI88" s="174" t="str">
        <f>'[1]Strohs CIAC'!$D91</f>
        <v>Services (CIAC) - Strohs</v>
      </c>
      <c r="AJ88" s="179">
        <f>'[1]Strohs CIAC'!$E91</f>
        <v>45231</v>
      </c>
      <c r="AK88" s="247">
        <f>'[1]Strohs CIAC'!$F91</f>
        <v>5961.2</v>
      </c>
      <c r="AL88" s="248"/>
      <c r="AM88" s="294">
        <f>'[1]Strohs CIAC'!$G91/12</f>
        <v>30</v>
      </c>
      <c r="AN88" s="219">
        <f>('[1]Strohs CIAC'!$G91-'[1]Strohs CIAC'!$H91)/12</f>
        <v>5.916666666666667</v>
      </c>
      <c r="AO88" s="219">
        <f>'[1]Strohs CIAC'!$I91</f>
        <v>198.70666666666665</v>
      </c>
      <c r="AP88" s="219"/>
      <c r="AQ88" s="220">
        <f>'[1]Strohs CIAC'!$J91</f>
        <v>1192.25</v>
      </c>
      <c r="AR88" s="221">
        <f t="shared" si="6"/>
        <v>4768.95</v>
      </c>
      <c r="AY88" s="628"/>
      <c r="AZ88" s="470">
        <v>0.75</v>
      </c>
      <c r="BA88" s="466" t="s">
        <v>684</v>
      </c>
      <c r="BB88" s="211">
        <v>589</v>
      </c>
      <c r="BC88" s="211">
        <v>419</v>
      </c>
      <c r="BD88" s="211">
        <v>432</v>
      </c>
      <c r="BE88" s="211">
        <v>686</v>
      </c>
      <c r="BF88" s="211">
        <v>662</v>
      </c>
      <c r="BG88" s="211">
        <v>2721</v>
      </c>
      <c r="BH88" s="211">
        <v>13864</v>
      </c>
      <c r="BI88" s="211">
        <v>11871</v>
      </c>
      <c r="BJ88" s="211">
        <v>5144</v>
      </c>
      <c r="BK88" s="211">
        <v>391</v>
      </c>
      <c r="BL88" s="211">
        <v>319</v>
      </c>
      <c r="BM88" s="211">
        <v>375</v>
      </c>
      <c r="BO88" s="28">
        <f t="shared" si="7"/>
        <v>3122.75</v>
      </c>
      <c r="BP88" s="28">
        <f t="shared" si="8"/>
        <v>37473</v>
      </c>
      <c r="BS88" s="217"/>
      <c r="BT88" s="217"/>
      <c r="BU88" s="134"/>
      <c r="BV88" s="217"/>
      <c r="BW88" s="217"/>
      <c r="BX88" s="217"/>
    </row>
    <row r="89" spans="22:76" x14ac:dyDescent="0.25">
      <c r="V89" s="449" t="str">
        <f>'[1]Strohs Plant in Service'!$C92</f>
        <v>Mains, Tanks and Reservoirs (50)</v>
      </c>
      <c r="W89" s="292" t="str">
        <f>'[1]Strohs Plant in Service'!$D92</f>
        <v>Mains (CIAC) - Strohs (472)</v>
      </c>
      <c r="X89" s="293">
        <f>'[1]Strohs Plant in Service'!$E92</f>
        <v>45231</v>
      </c>
      <c r="Y89" s="297">
        <f>'[1]Strohs Plant in Service'!$F92</f>
        <v>4447.8100000000004</v>
      </c>
      <c r="Z89" s="248"/>
      <c r="AA89" s="294">
        <f>'[1]Strohs Plant in Service'!$G$11/12</f>
        <v>6</v>
      </c>
      <c r="AB89" s="219">
        <f>('[1]Strohs Plant in Service'!$G92-'[1]Strohs Plant in Service'!$H92)/12</f>
        <v>16.916666666666668</v>
      </c>
      <c r="AC89" s="219">
        <f>'[1]Strohs Plant in Service'!$I92</f>
        <v>148.26033333333336</v>
      </c>
      <c r="AD89" s="219"/>
      <c r="AE89" s="220">
        <f>'[1]Strohs Plant in Service'!$J92</f>
        <v>2520.4299999999998</v>
      </c>
      <c r="AF89" s="221">
        <v>1927.3800000000006</v>
      </c>
      <c r="AG89" s="204"/>
      <c r="AH89" s="451" t="str">
        <f>'[1]Strohs CIAC'!$C92</f>
        <v>Service Connection (30)</v>
      </c>
      <c r="AI89" s="174" t="str">
        <f>'[1]Strohs CIAC'!$D92</f>
        <v>Services (CIAC) - Stroh</v>
      </c>
      <c r="AJ89" s="179">
        <f>'[1]Strohs CIAC'!$E92</f>
        <v>45231</v>
      </c>
      <c r="AK89" s="247">
        <f>'[1]Strohs CIAC'!$F92</f>
        <v>3981.78</v>
      </c>
      <c r="AL89" s="248"/>
      <c r="AM89" s="294">
        <f>'[1]Strohs CIAC'!$G92/12</f>
        <v>30</v>
      </c>
      <c r="AN89" s="219">
        <f>('[1]Strohs CIAC'!$G92-'[1]Strohs CIAC'!$H92)/12</f>
        <v>5.916666666666667</v>
      </c>
      <c r="AO89" s="219">
        <f>'[1]Strohs CIAC'!$I92</f>
        <v>132.726</v>
      </c>
      <c r="AP89" s="219"/>
      <c r="AQ89" s="220">
        <f>'[1]Strohs CIAC'!$J92</f>
        <v>796.35</v>
      </c>
      <c r="AR89" s="221">
        <f t="shared" si="6"/>
        <v>3185.4300000000003</v>
      </c>
      <c r="AY89" s="628"/>
      <c r="AZ89" s="470">
        <v>0.75</v>
      </c>
      <c r="BA89" s="466" t="s">
        <v>685</v>
      </c>
      <c r="BB89" s="211">
        <v>778</v>
      </c>
      <c r="BC89" s="211">
        <v>625</v>
      </c>
      <c r="BD89" s="211">
        <v>677</v>
      </c>
      <c r="BE89" s="211">
        <v>720</v>
      </c>
      <c r="BF89" s="211">
        <v>603</v>
      </c>
      <c r="BG89" s="211">
        <v>730</v>
      </c>
      <c r="BH89" s="211">
        <v>1631</v>
      </c>
      <c r="BI89" s="211">
        <v>1295</v>
      </c>
      <c r="BJ89" s="211">
        <v>1119</v>
      </c>
      <c r="BK89" s="211" t="s">
        <v>655</v>
      </c>
      <c r="BL89" s="211" t="s">
        <v>655</v>
      </c>
      <c r="BM89" s="211" t="s">
        <v>655</v>
      </c>
      <c r="BO89" s="28">
        <f t="shared" si="7"/>
        <v>908.66666666666663</v>
      </c>
      <c r="BP89" s="28">
        <f t="shared" si="8"/>
        <v>8178</v>
      </c>
      <c r="BS89" s="217"/>
      <c r="BT89" s="217"/>
      <c r="BU89" s="134"/>
      <c r="BV89" s="217"/>
      <c r="BW89" s="217"/>
      <c r="BX89" s="217"/>
    </row>
    <row r="90" spans="22:76" x14ac:dyDescent="0.25">
      <c r="V90" s="449" t="str">
        <f>'[1]Strohs Plant in Service'!$C93</f>
        <v>Mains, Tanks and Reservoirs (50)</v>
      </c>
      <c r="W90" s="292" t="str">
        <f>'[1]Strohs Plant in Service'!$D93</f>
        <v>PR Station (CIAC) - Strohs (472)</v>
      </c>
      <c r="X90" s="293">
        <f>'[1]Strohs Plant in Service'!$E93</f>
        <v>45231</v>
      </c>
      <c r="Y90" s="297">
        <f>'[1]Strohs Plant in Service'!$F93</f>
        <v>18990</v>
      </c>
      <c r="Z90" s="248"/>
      <c r="AA90" s="294">
        <f>'[1]Strohs Plant in Service'!$G$11/12</f>
        <v>6</v>
      </c>
      <c r="AB90" s="219">
        <f>('[1]Strohs Plant in Service'!$G93-'[1]Strohs Plant in Service'!$H93)/12</f>
        <v>18.916666666666668</v>
      </c>
      <c r="AC90" s="219">
        <f>'[1]Strohs Plant in Service'!$I93</f>
        <v>633</v>
      </c>
      <c r="AD90" s="219"/>
      <c r="AE90" s="220">
        <f>'[1]Strohs Plant in Service'!$J93</f>
        <v>12027</v>
      </c>
      <c r="AF90" s="221">
        <v>6963</v>
      </c>
      <c r="AG90" s="204"/>
      <c r="AH90" s="451" t="str">
        <f>'[1]Strohs CIAC'!$C93</f>
        <v>Service Connection (30)</v>
      </c>
      <c r="AI90" s="174" t="str">
        <f>'[1]Strohs CIAC'!$D93</f>
        <v>Services (CIAC) - Stroh</v>
      </c>
      <c r="AJ90" s="179">
        <f>'[1]Strohs CIAC'!$E93</f>
        <v>45231</v>
      </c>
      <c r="AK90" s="247">
        <f>'[1]Strohs CIAC'!$F93</f>
        <v>8229.31</v>
      </c>
      <c r="AL90" s="248"/>
      <c r="AM90" s="294">
        <f>'[1]Strohs CIAC'!$G93/12</f>
        <v>30</v>
      </c>
      <c r="AN90" s="219">
        <f>('[1]Strohs CIAC'!$G93-'[1]Strohs CIAC'!$H93)/12</f>
        <v>5.916666666666667</v>
      </c>
      <c r="AO90" s="219">
        <f>'[1]Strohs CIAC'!$I93</f>
        <v>274.31033333333335</v>
      </c>
      <c r="AP90" s="219"/>
      <c r="AQ90" s="220">
        <f>'[1]Strohs CIAC'!$J93</f>
        <v>1645.87</v>
      </c>
      <c r="AR90" s="221">
        <f t="shared" si="6"/>
        <v>6583.44</v>
      </c>
      <c r="AY90" s="628"/>
      <c r="AZ90" s="470">
        <v>0.75</v>
      </c>
      <c r="BA90" s="466" t="s">
        <v>686</v>
      </c>
      <c r="BB90" s="211">
        <v>576</v>
      </c>
      <c r="BC90" s="211">
        <v>1202</v>
      </c>
      <c r="BD90" s="211">
        <v>399</v>
      </c>
      <c r="BE90" s="211">
        <v>1789</v>
      </c>
      <c r="BF90" s="211">
        <v>900</v>
      </c>
      <c r="BG90" s="211">
        <v>2910</v>
      </c>
      <c r="BH90" s="211">
        <v>3194</v>
      </c>
      <c r="BI90" s="211">
        <v>1567</v>
      </c>
      <c r="BJ90" s="211">
        <v>529</v>
      </c>
      <c r="BK90" s="211">
        <v>600</v>
      </c>
      <c r="BL90" s="211">
        <v>4612</v>
      </c>
      <c r="BM90" s="211">
        <v>488</v>
      </c>
      <c r="BO90" s="28">
        <f t="shared" si="7"/>
        <v>1563.8333333333333</v>
      </c>
      <c r="BP90" s="28">
        <f t="shared" si="8"/>
        <v>18766</v>
      </c>
      <c r="BS90" s="217"/>
      <c r="BT90" s="217"/>
      <c r="BU90" s="134"/>
      <c r="BV90" s="217"/>
      <c r="BW90" s="217"/>
      <c r="BX90" s="217"/>
    </row>
    <row r="91" spans="22:76" x14ac:dyDescent="0.25">
      <c r="V91" s="449" t="str">
        <f>'[1]Strohs Plant in Service'!$C94</f>
        <v>Mains, Tanks and Reservoirs (50)</v>
      </c>
      <c r="W91" s="292" t="str">
        <f>'[1]Strohs Plant in Service'!$D94</f>
        <v>PR Valve Gust - Fillmore - Strohs</v>
      </c>
      <c r="X91" s="293">
        <f>'[1]Strohs Plant in Service'!$E94</f>
        <v>45231</v>
      </c>
      <c r="Y91" s="297">
        <f>'[1]Strohs Plant in Service'!$F94</f>
        <v>2444.19</v>
      </c>
      <c r="Z91" s="248"/>
      <c r="AA91" s="294">
        <f>'[1]Strohs Plant in Service'!$G$11/12</f>
        <v>6</v>
      </c>
      <c r="AB91" s="219">
        <f>('[1]Strohs Plant in Service'!$G94-'[1]Strohs Plant in Service'!$H94)/12</f>
        <v>9.9166666666666661</v>
      </c>
      <c r="AC91" s="219">
        <f>'[1]Strohs Plant in Service'!$I94</f>
        <v>81.472999999999999</v>
      </c>
      <c r="AD91" s="219"/>
      <c r="AE91" s="220">
        <f>'[1]Strohs Plant in Service'!$J94</f>
        <v>814.74</v>
      </c>
      <c r="AF91" s="221">
        <v>1629.45</v>
      </c>
      <c r="AG91" s="204"/>
      <c r="AH91" s="451" t="str">
        <f>'[1]Strohs CIAC'!$C94</f>
        <v>Service Connection (30)</v>
      </c>
      <c r="AI91" s="174" t="str">
        <f>'[1]Strohs CIAC'!$D94</f>
        <v>Services (CIAC) - Strohs</v>
      </c>
      <c r="AJ91" s="179">
        <f>'[1]Strohs CIAC'!$E94</f>
        <v>45231</v>
      </c>
      <c r="AK91" s="247">
        <f>'[1]Strohs CIAC'!$F94</f>
        <v>1006</v>
      </c>
      <c r="AL91" s="248"/>
      <c r="AM91" s="294">
        <f>'[1]Strohs CIAC'!$G94/12</f>
        <v>30</v>
      </c>
      <c r="AN91" s="219">
        <f>('[1]Strohs CIAC'!$G94-'[1]Strohs CIAC'!$H94)/12</f>
        <v>5.916666666666667</v>
      </c>
      <c r="AO91" s="219">
        <f>'[1]Strohs CIAC'!$I94</f>
        <v>33.533333333333331</v>
      </c>
      <c r="AP91" s="219"/>
      <c r="AQ91" s="220">
        <f>'[1]Strohs CIAC'!$J94</f>
        <v>201.14</v>
      </c>
      <c r="AR91" s="221">
        <f t="shared" si="6"/>
        <v>804.86</v>
      </c>
      <c r="AY91" s="628"/>
      <c r="AZ91" s="470">
        <v>0.75</v>
      </c>
      <c r="BA91" s="466" t="s">
        <v>687</v>
      </c>
      <c r="BB91" s="211">
        <v>318</v>
      </c>
      <c r="BC91" s="211">
        <v>284</v>
      </c>
      <c r="BD91" s="211">
        <v>309</v>
      </c>
      <c r="BE91" s="211">
        <v>1088</v>
      </c>
      <c r="BF91" s="211">
        <v>1346</v>
      </c>
      <c r="BG91" s="211">
        <v>1530</v>
      </c>
      <c r="BH91" s="211">
        <v>3637</v>
      </c>
      <c r="BI91" s="211">
        <v>3053</v>
      </c>
      <c r="BJ91" s="211">
        <v>2941</v>
      </c>
      <c r="BK91" s="211">
        <v>1284</v>
      </c>
      <c r="BL91" s="211">
        <v>1100</v>
      </c>
      <c r="BM91" s="211">
        <v>1019</v>
      </c>
      <c r="BO91" s="28">
        <f t="shared" si="7"/>
        <v>1492.4166666666667</v>
      </c>
      <c r="BP91" s="28">
        <f t="shared" si="8"/>
        <v>17909</v>
      </c>
      <c r="BS91" s="217"/>
      <c r="BT91" s="217"/>
      <c r="BU91" s="134"/>
      <c r="BV91" s="217"/>
      <c r="BW91" s="217"/>
      <c r="BX91" s="217"/>
    </row>
    <row r="92" spans="22:76" x14ac:dyDescent="0.25">
      <c r="V92" s="449" t="str">
        <f>'[1]Strohs Plant in Service'!$C95</f>
        <v>Mains, Tanks and Reservoirs (50)</v>
      </c>
      <c r="W92" s="292" t="str">
        <f>'[1]Strohs Plant in Service'!$D95</f>
        <v>Mains - Strohs (472)</v>
      </c>
      <c r="X92" s="293">
        <f>'[1]Strohs Plant in Service'!$E95</f>
        <v>45231</v>
      </c>
      <c r="Y92" s="297">
        <f>'[1]Strohs Plant in Service'!$F95</f>
        <v>33655.230000000003</v>
      </c>
      <c r="Z92" s="248"/>
      <c r="AA92" s="294">
        <f>'[1]Strohs Plant in Service'!$G$11/12</f>
        <v>6</v>
      </c>
      <c r="AB92" s="219">
        <f>('[1]Strohs Plant in Service'!$G95-'[1]Strohs Plant in Service'!$H95)/12</f>
        <v>4.916666666666667</v>
      </c>
      <c r="AC92" s="219">
        <f>'[1]Strohs Plant in Service'!$I95</f>
        <v>1121.8410000000001</v>
      </c>
      <c r="AD92" s="219"/>
      <c r="AE92" s="220">
        <f>'[1]Strohs Plant in Service'!$J95</f>
        <v>5609.25</v>
      </c>
      <c r="AF92" s="221">
        <v>28045.980000000003</v>
      </c>
      <c r="AG92" s="204"/>
      <c r="AH92" s="451" t="str">
        <f>'[1]Strohs CIAC'!$C95</f>
        <v>Service Connection (30)</v>
      </c>
      <c r="AI92" s="174" t="str">
        <f>'[1]Strohs CIAC'!$D95</f>
        <v>Services (CIAC) - Strohs</v>
      </c>
      <c r="AJ92" s="179">
        <f>'[1]Strohs CIAC'!$E95</f>
        <v>45231</v>
      </c>
      <c r="AK92" s="247">
        <f>'[1]Strohs CIAC'!$F95</f>
        <v>1500</v>
      </c>
      <c r="AL92" s="248"/>
      <c r="AM92" s="294">
        <f>'[1]Strohs CIAC'!$G95/12</f>
        <v>30</v>
      </c>
      <c r="AN92" s="219">
        <f>('[1]Strohs CIAC'!$G95-'[1]Strohs CIAC'!$H95)/12</f>
        <v>4.916666666666667</v>
      </c>
      <c r="AO92" s="219">
        <f>'[1]Strohs CIAC'!$I95</f>
        <v>50</v>
      </c>
      <c r="AP92" s="219"/>
      <c r="AQ92" s="220">
        <f>'[1]Strohs CIAC'!$J95</f>
        <v>250.04</v>
      </c>
      <c r="AR92" s="221">
        <f t="shared" si="6"/>
        <v>1249.96</v>
      </c>
      <c r="AY92" s="628"/>
      <c r="AZ92" s="470">
        <v>0.75</v>
      </c>
      <c r="BA92" s="466" t="s">
        <v>688</v>
      </c>
      <c r="BB92" s="211">
        <v>516</v>
      </c>
      <c r="BC92" s="211">
        <v>441</v>
      </c>
      <c r="BD92" s="211">
        <v>235</v>
      </c>
      <c r="BE92" s="211">
        <v>1041</v>
      </c>
      <c r="BF92" s="211">
        <v>164</v>
      </c>
      <c r="BG92" s="211">
        <v>1380</v>
      </c>
      <c r="BH92" s="211">
        <v>2195</v>
      </c>
      <c r="BI92" s="211">
        <v>3230</v>
      </c>
      <c r="BJ92" s="211">
        <v>620</v>
      </c>
      <c r="BK92" s="211">
        <v>400</v>
      </c>
      <c r="BL92" s="211">
        <v>250</v>
      </c>
      <c r="BM92" s="211">
        <v>321</v>
      </c>
      <c r="BO92" s="28">
        <f t="shared" si="7"/>
        <v>899.41666666666663</v>
      </c>
      <c r="BP92" s="28">
        <f t="shared" si="8"/>
        <v>10793</v>
      </c>
      <c r="BS92" s="217"/>
      <c r="BT92" s="217"/>
      <c r="BU92" s="134"/>
      <c r="BV92" s="217"/>
      <c r="BW92" s="217"/>
      <c r="BX92" s="217"/>
    </row>
    <row r="93" spans="22:76" x14ac:dyDescent="0.25">
      <c r="V93" s="449" t="str">
        <f>'[1]Strohs Plant in Service'!$C96</f>
        <v>Mains, Tanks and Reservoirs (50)</v>
      </c>
      <c r="W93" s="292" t="str">
        <f>'[1]Strohs Plant in Service'!$D96</f>
        <v>Mains, Valves - Strohs, Peacock Rlt</v>
      </c>
      <c r="X93" s="293">
        <f>'[1]Strohs Plant in Service'!$E96</f>
        <v>45231</v>
      </c>
      <c r="Y93" s="297">
        <f>'[1]Strohs Plant in Service'!$F96</f>
        <v>5941.2</v>
      </c>
      <c r="Z93" s="248"/>
      <c r="AA93" s="294">
        <f>'[1]Strohs Plant in Service'!$G$11/12</f>
        <v>6</v>
      </c>
      <c r="AB93" s="219">
        <f>('[1]Strohs Plant in Service'!$G96-'[1]Strohs Plant in Service'!$H96)/12</f>
        <v>1.4166666666666667</v>
      </c>
      <c r="AC93" s="219">
        <f>'[1]Strohs Plant in Service'!$I96</f>
        <v>304.67692307692306</v>
      </c>
      <c r="AD93" s="219"/>
      <c r="AE93" s="220">
        <f>'[1]Strohs Plant in Service'!$J96</f>
        <v>457.02</v>
      </c>
      <c r="AF93" s="221">
        <v>5484.18</v>
      </c>
      <c r="AG93" s="204"/>
      <c r="AH93" s="451" t="str">
        <f>'[1]Strohs CIAC'!$C96</f>
        <v>Service Connection (30)</v>
      </c>
      <c r="AI93" s="174" t="str">
        <f>'[1]Strohs CIAC'!$D96</f>
        <v>Services (CIAC) - Strohs, 3516 53d</v>
      </c>
      <c r="AJ93" s="179">
        <f>'[1]Strohs CIAC'!$E96</f>
        <v>45231</v>
      </c>
      <c r="AK93" s="247">
        <f>'[1]Strohs CIAC'!$F96</f>
        <v>1014.01</v>
      </c>
      <c r="AL93" s="248"/>
      <c r="AM93" s="294">
        <f>'[1]Strohs CIAC'!$G96/12</f>
        <v>30</v>
      </c>
      <c r="AN93" s="219">
        <f>('[1]Strohs CIAC'!$G96-'[1]Strohs CIAC'!$H96)/12</f>
        <v>3.9166666666666665</v>
      </c>
      <c r="AO93" s="219">
        <f>'[1]Strohs CIAC'!$I96</f>
        <v>33.800333333333334</v>
      </c>
      <c r="AP93" s="219"/>
      <c r="AQ93" s="220">
        <f>'[1]Strohs CIAC'!$J96</f>
        <v>135.24</v>
      </c>
      <c r="AR93" s="221">
        <f t="shared" si="6"/>
        <v>878.77</v>
      </c>
      <c r="AY93" s="628"/>
      <c r="AZ93" s="470">
        <v>0.75</v>
      </c>
      <c r="BA93" s="466" t="s">
        <v>689</v>
      </c>
      <c r="BB93" s="211">
        <v>551</v>
      </c>
      <c r="BC93" s="211">
        <v>142</v>
      </c>
      <c r="BD93" s="211">
        <v>161</v>
      </c>
      <c r="BE93" s="211">
        <v>154</v>
      </c>
      <c r="BF93" s="211">
        <v>300</v>
      </c>
      <c r="BG93" s="211" t="s">
        <v>655</v>
      </c>
      <c r="BH93" s="211">
        <v>468</v>
      </c>
      <c r="BI93" s="211">
        <v>38</v>
      </c>
      <c r="BJ93" s="211">
        <v>424</v>
      </c>
      <c r="BK93" s="211">
        <v>166</v>
      </c>
      <c r="BL93" s="211">
        <v>96</v>
      </c>
      <c r="BM93" s="211">
        <v>14</v>
      </c>
      <c r="BO93" s="28">
        <f t="shared" si="7"/>
        <v>228.54545454545453</v>
      </c>
      <c r="BP93" s="28">
        <f t="shared" si="8"/>
        <v>2514</v>
      </c>
      <c r="BS93" s="217"/>
      <c r="BT93" s="217"/>
      <c r="BU93" s="134"/>
      <c r="BV93" s="217"/>
      <c r="BW93" s="217"/>
      <c r="BX93" s="217"/>
    </row>
    <row r="94" spans="22:76" x14ac:dyDescent="0.25">
      <c r="V94" s="449" t="str">
        <f>'[1]Strohs Plant in Service'!$C97</f>
        <v>Mains, Tanks and Reservoirs (50)</v>
      </c>
      <c r="W94" s="292" t="str">
        <f>'[1]Strohs Plant in Service'!$D97</f>
        <v>Main Ext - Strohs, 43d Av - 56th St</v>
      </c>
      <c r="X94" s="293">
        <f>'[1]Strohs Plant in Service'!$E97</f>
        <v>45231</v>
      </c>
      <c r="Y94" s="297">
        <f>'[1]Strohs Plant in Service'!$F97</f>
        <v>52580.34</v>
      </c>
      <c r="Z94" s="248"/>
      <c r="AA94" s="294">
        <f>'[1]Strohs Plant in Service'!$G$11/12</f>
        <v>6</v>
      </c>
      <c r="AB94" s="219">
        <f>('[1]Strohs Plant in Service'!$G97-'[1]Strohs Plant in Service'!$H97)/12</f>
        <v>1.4166666666666667</v>
      </c>
      <c r="AC94" s="219">
        <f>'[1]Strohs Plant in Service'!$I97</f>
        <v>2696.4276923076923</v>
      </c>
      <c r="AD94" s="219"/>
      <c r="AE94" s="220">
        <f>'[1]Strohs Plant in Service'!$J97</f>
        <v>4044.61</v>
      </c>
      <c r="AF94" s="221">
        <v>48535.729999999996</v>
      </c>
      <c r="AG94" s="204"/>
      <c r="AH94" s="451" t="str">
        <f>'[1]Strohs CIAC'!$C97</f>
        <v>Service Connection (30)</v>
      </c>
      <c r="AI94" s="174" t="str">
        <f>'[1]Strohs CIAC'!$D97</f>
        <v>Services (CIAC) - Strohs</v>
      </c>
      <c r="AJ94" s="179">
        <f>'[1]Strohs CIAC'!$E97</f>
        <v>45231</v>
      </c>
      <c r="AK94" s="247">
        <f>'[1]Strohs CIAC'!$F97</f>
        <v>1407</v>
      </c>
      <c r="AL94" s="248"/>
      <c r="AM94" s="294">
        <f>'[1]Strohs CIAC'!$G97/12</f>
        <v>30</v>
      </c>
      <c r="AN94" s="219">
        <f>('[1]Strohs CIAC'!$G97-'[1]Strohs CIAC'!$H97)/12</f>
        <v>3.9166666666666665</v>
      </c>
      <c r="AO94" s="219">
        <f>'[1]Strohs CIAC'!$I97</f>
        <v>46.9</v>
      </c>
      <c r="AP94" s="219"/>
      <c r="AQ94" s="220">
        <f>'[1]Strohs CIAC'!$J97</f>
        <v>187.62</v>
      </c>
      <c r="AR94" s="221">
        <f t="shared" si="6"/>
        <v>1219.3800000000001</v>
      </c>
      <c r="AY94" s="628"/>
      <c r="AZ94" s="470">
        <v>0.75</v>
      </c>
      <c r="BA94" s="466" t="s">
        <v>690</v>
      </c>
      <c r="BB94" s="211">
        <v>913</v>
      </c>
      <c r="BC94" s="211">
        <v>741</v>
      </c>
      <c r="BD94" s="211">
        <v>1033</v>
      </c>
      <c r="BE94" s="211">
        <v>740</v>
      </c>
      <c r="BF94" s="211">
        <v>867</v>
      </c>
      <c r="BG94" s="211">
        <v>892</v>
      </c>
      <c r="BH94" s="211">
        <v>1787</v>
      </c>
      <c r="BI94" s="211">
        <v>2047</v>
      </c>
      <c r="BJ94" s="211">
        <v>1106</v>
      </c>
      <c r="BK94" s="211">
        <v>1018</v>
      </c>
      <c r="BL94" s="211">
        <v>834</v>
      </c>
      <c r="BM94" s="211">
        <v>1061</v>
      </c>
      <c r="BO94" s="28">
        <f t="shared" si="7"/>
        <v>1086.5833333333333</v>
      </c>
      <c r="BP94" s="28">
        <f t="shared" si="8"/>
        <v>13039</v>
      </c>
      <c r="BS94" s="217"/>
      <c r="BT94" s="217"/>
      <c r="BU94" s="134"/>
      <c r="BV94" s="217"/>
      <c r="BW94" s="217"/>
      <c r="BX94" s="217"/>
    </row>
    <row r="95" spans="22:76" x14ac:dyDescent="0.25">
      <c r="V95" s="449" t="str">
        <f>'[1]Strohs Plant in Service'!$C98</f>
        <v>Mains, Tanks and Reservoirs (50)</v>
      </c>
      <c r="W95" s="292" t="str">
        <f>'[1]Strohs Plant in Service'!$D98</f>
        <v>Main Ext - Strohs, 38th to 42d (075</v>
      </c>
      <c r="X95" s="293">
        <f>'[1]Strohs Plant in Service'!$E98</f>
        <v>45231</v>
      </c>
      <c r="Y95" s="297">
        <f>'[1]Strohs Plant in Service'!$F98</f>
        <v>44525.49</v>
      </c>
      <c r="Z95" s="248"/>
      <c r="AA95" s="294">
        <f>'[1]Strohs Plant in Service'!$G$11/12</f>
        <v>6</v>
      </c>
      <c r="AB95" s="219">
        <f>('[1]Strohs Plant in Service'!$G98-'[1]Strohs Plant in Service'!$H98)/12</f>
        <v>1.4166666666666667</v>
      </c>
      <c r="AC95" s="219">
        <f>'[1]Strohs Plant in Service'!$I98</f>
        <v>2283.3584615384616</v>
      </c>
      <c r="AD95" s="219"/>
      <c r="AE95" s="220">
        <f>'[1]Strohs Plant in Service'!$J98</f>
        <v>3425.04</v>
      </c>
      <c r="AF95" s="221">
        <v>41100.449999999997</v>
      </c>
      <c r="AG95" s="204"/>
      <c r="AH95" s="451" t="str">
        <f>'[1]Strohs CIAC'!$C98</f>
        <v>Service Connection (30)</v>
      </c>
      <c r="AI95" s="174" t="str">
        <f>'[1]Strohs CIAC'!$D98</f>
        <v>Services (CIAC) - Strohs</v>
      </c>
      <c r="AJ95" s="179">
        <f>'[1]Strohs CIAC'!$E98</f>
        <v>45231</v>
      </c>
      <c r="AK95" s="247">
        <f>'[1]Strohs CIAC'!$F98</f>
        <v>2456</v>
      </c>
      <c r="AL95" s="248"/>
      <c r="AM95" s="294">
        <f>'[1]Strohs CIAC'!$G98/12</f>
        <v>30</v>
      </c>
      <c r="AN95" s="219">
        <f>('[1]Strohs CIAC'!$G98-'[1]Strohs CIAC'!$H98)/12</f>
        <v>3.9166666666666665</v>
      </c>
      <c r="AO95" s="219">
        <f>'[1]Strohs CIAC'!$I98</f>
        <v>81.86666666666666</v>
      </c>
      <c r="AP95" s="219"/>
      <c r="AQ95" s="220">
        <f>'[1]Strohs CIAC'!$J98</f>
        <v>327.44</v>
      </c>
      <c r="AR95" s="221">
        <f t="shared" si="6"/>
        <v>2128.56</v>
      </c>
      <c r="AY95" s="628"/>
      <c r="AZ95" s="470">
        <v>0.75</v>
      </c>
      <c r="BA95" s="466" t="s">
        <v>691</v>
      </c>
      <c r="BB95" s="211">
        <v>518</v>
      </c>
      <c r="BC95" s="211">
        <v>446</v>
      </c>
      <c r="BD95" s="211">
        <v>538</v>
      </c>
      <c r="BE95" s="211">
        <v>572</v>
      </c>
      <c r="BF95" s="211">
        <v>950</v>
      </c>
      <c r="BG95" s="211">
        <v>871</v>
      </c>
      <c r="BH95" s="211">
        <v>1068</v>
      </c>
      <c r="BI95" s="211">
        <v>826</v>
      </c>
      <c r="BJ95" s="211">
        <v>1178</v>
      </c>
      <c r="BK95" s="211">
        <v>700</v>
      </c>
      <c r="BL95" s="211">
        <v>353</v>
      </c>
      <c r="BM95" s="211">
        <v>375</v>
      </c>
      <c r="BO95" s="28">
        <f t="shared" si="7"/>
        <v>699.58333333333337</v>
      </c>
      <c r="BP95" s="28">
        <f t="shared" si="8"/>
        <v>8395</v>
      </c>
      <c r="BS95" s="217"/>
      <c r="BT95" s="217"/>
      <c r="BU95" s="134"/>
      <c r="BV95" s="217"/>
      <c r="BW95" s="217"/>
      <c r="BX95" s="217"/>
    </row>
    <row r="96" spans="22:76" x14ac:dyDescent="0.25">
      <c r="V96" s="449" t="str">
        <f>'[1]Strohs Plant in Service'!$C99</f>
        <v>Mains, Tanks and Reservoirs (50)</v>
      </c>
      <c r="W96" s="292" t="str">
        <f>'[1]Strohs Plant in Service'!$D99</f>
        <v>Main Ext - Strohs, 38th Av (472)</v>
      </c>
      <c r="X96" s="293">
        <f>'[1]Strohs Plant in Service'!$E99</f>
        <v>45231</v>
      </c>
      <c r="Y96" s="297">
        <f>'[1]Strohs Plant in Service'!$F99</f>
        <v>23482.13</v>
      </c>
      <c r="Z96" s="248"/>
      <c r="AA96" s="294">
        <f>'[1]Strohs Plant in Service'!$G$11/12</f>
        <v>6</v>
      </c>
      <c r="AB96" s="219">
        <f>('[1]Strohs Plant in Service'!$G99-'[1]Strohs Plant in Service'!$H99)/12</f>
        <v>1.4166666666666667</v>
      </c>
      <c r="AC96" s="219">
        <f>'[1]Strohs Plant in Service'!$I99</f>
        <v>1204.2117948717951</v>
      </c>
      <c r="AD96" s="219"/>
      <c r="AE96" s="220">
        <f>'[1]Strohs Plant in Service'!$J99</f>
        <v>1806.3</v>
      </c>
      <c r="AF96" s="221">
        <v>21675.83</v>
      </c>
      <c r="AG96" s="204"/>
      <c r="AH96" s="451" t="str">
        <f>'[1]Strohs CIAC'!$C99</f>
        <v>Service Connection (30)</v>
      </c>
      <c r="AI96" s="174" t="str">
        <f>'[1]Strohs CIAC'!$D99</f>
        <v>Services (CIAC) - Strohs</v>
      </c>
      <c r="AJ96" s="179">
        <f>'[1]Strohs CIAC'!$E99</f>
        <v>45231</v>
      </c>
      <c r="AK96" s="247">
        <f>'[1]Strohs CIAC'!$F99</f>
        <v>1561.45</v>
      </c>
      <c r="AL96" s="248"/>
      <c r="AM96" s="294">
        <f>'[1]Strohs CIAC'!$G99/12</f>
        <v>30</v>
      </c>
      <c r="AN96" s="219">
        <f>('[1]Strohs CIAC'!$G99-'[1]Strohs CIAC'!$H99)/12</f>
        <v>2.9166666666666665</v>
      </c>
      <c r="AO96" s="219">
        <f>'[1]Strohs CIAC'!$I99</f>
        <v>52.048333333333332</v>
      </c>
      <c r="AP96" s="219"/>
      <c r="AQ96" s="220">
        <f>'[1]Strohs CIAC'!$J99</f>
        <v>156.18</v>
      </c>
      <c r="AR96" s="221">
        <f t="shared" si="6"/>
        <v>1405.27</v>
      </c>
      <c r="AY96" s="628"/>
      <c r="AZ96" s="470">
        <v>0.75</v>
      </c>
      <c r="BA96" s="466" t="s">
        <v>692</v>
      </c>
      <c r="BB96" s="211">
        <v>319</v>
      </c>
      <c r="BC96" s="211">
        <v>443</v>
      </c>
      <c r="BD96" s="211">
        <v>394</v>
      </c>
      <c r="BE96" s="211">
        <v>607</v>
      </c>
      <c r="BF96" s="211">
        <v>293</v>
      </c>
      <c r="BG96" s="211">
        <v>480</v>
      </c>
      <c r="BH96" s="211">
        <v>752</v>
      </c>
      <c r="BI96" s="211">
        <v>726</v>
      </c>
      <c r="BJ96" s="211">
        <v>560</v>
      </c>
      <c r="BK96" s="211">
        <v>369</v>
      </c>
      <c r="BL96" s="211">
        <v>333</v>
      </c>
      <c r="BM96" s="211">
        <v>456</v>
      </c>
      <c r="BO96" s="28">
        <f t="shared" si="7"/>
        <v>477.66666666666669</v>
      </c>
      <c r="BP96" s="28">
        <f t="shared" si="8"/>
        <v>5732</v>
      </c>
      <c r="BS96" s="217"/>
      <c r="BT96" s="217"/>
      <c r="BU96" s="134"/>
      <c r="BV96" s="217"/>
      <c r="BW96" s="217"/>
      <c r="BX96" s="217"/>
    </row>
    <row r="97" spans="22:83" x14ac:dyDescent="0.25">
      <c r="V97" s="449" t="str">
        <f>'[1]Strohs Plant in Service'!$C100</f>
        <v>Mains, Tanks and Reservoirs (50)</v>
      </c>
      <c r="W97" s="292" t="str">
        <f>'[1]Strohs Plant in Service'!$D100</f>
        <v>Mains, misc sizes- Strohs (075)</v>
      </c>
      <c r="X97" s="293">
        <f>'[1]Strohs Plant in Service'!$E100</f>
        <v>45231</v>
      </c>
      <c r="Y97" s="297">
        <f>'[1]Strohs Plant in Service'!$F100</f>
        <v>52405.08</v>
      </c>
      <c r="Z97" s="248"/>
      <c r="AA97" s="294">
        <f>'[1]Strohs Plant in Service'!$G$11/12</f>
        <v>6</v>
      </c>
      <c r="AB97" s="219">
        <f>('[1]Strohs Plant in Service'!$G100-'[1]Strohs Plant in Service'!$H100)/12</f>
        <v>1.4166666666666667</v>
      </c>
      <c r="AC97" s="219">
        <f>'[1]Strohs Plant in Service'!$I100</f>
        <v>2687.44</v>
      </c>
      <c r="AD97" s="219"/>
      <c r="AE97" s="220">
        <f>'[1]Strohs Plant in Service'!$J100</f>
        <v>4031.16</v>
      </c>
      <c r="AF97" s="221">
        <v>48373.919999999998</v>
      </c>
      <c r="AG97" s="204"/>
      <c r="AH97" s="451" t="str">
        <f>'[1]Strohs CIAC'!$C100</f>
        <v>Service Connection (30)</v>
      </c>
      <c r="AI97" s="174" t="str">
        <f>'[1]Strohs CIAC'!$D100</f>
        <v>Services (CIAC) - Strohs</v>
      </c>
      <c r="AJ97" s="179">
        <f>'[1]Strohs CIAC'!$E100</f>
        <v>45231</v>
      </c>
      <c r="AK97" s="247">
        <f>'[1]Strohs CIAC'!$F100</f>
        <v>7121.88</v>
      </c>
      <c r="AL97" s="248"/>
      <c r="AM97" s="294">
        <f>'[1]Strohs CIAC'!$G100/12</f>
        <v>30</v>
      </c>
      <c r="AN97" s="219">
        <f>('[1]Strohs CIAC'!$G100-'[1]Strohs CIAC'!$H100)/12</f>
        <v>2.9166666666666665</v>
      </c>
      <c r="AO97" s="219">
        <f>'[1]Strohs CIAC'!$I100</f>
        <v>237.39600000000002</v>
      </c>
      <c r="AP97" s="219"/>
      <c r="AQ97" s="220">
        <f>'[1]Strohs CIAC'!$J100</f>
        <v>712.15</v>
      </c>
      <c r="AR97" s="221">
        <f t="shared" si="6"/>
        <v>6409.7300000000005</v>
      </c>
      <c r="AY97" s="628"/>
      <c r="AZ97" s="470">
        <v>0.75</v>
      </c>
      <c r="BA97" s="466" t="s">
        <v>693</v>
      </c>
      <c r="BB97" s="211">
        <v>473</v>
      </c>
      <c r="BC97" s="211">
        <v>307</v>
      </c>
      <c r="BD97" s="211">
        <v>323</v>
      </c>
      <c r="BE97" s="211">
        <v>620</v>
      </c>
      <c r="BF97" s="211">
        <v>268</v>
      </c>
      <c r="BG97" s="211">
        <v>390</v>
      </c>
      <c r="BH97" s="211">
        <v>699</v>
      </c>
      <c r="BI97" s="211">
        <v>300</v>
      </c>
      <c r="BJ97" s="211">
        <v>481</v>
      </c>
      <c r="BK97" s="211">
        <v>232</v>
      </c>
      <c r="BL97" s="211">
        <v>378</v>
      </c>
      <c r="BM97" s="211">
        <v>495</v>
      </c>
      <c r="BO97" s="28">
        <f t="shared" si="7"/>
        <v>413.83333333333331</v>
      </c>
      <c r="BP97" s="28">
        <f t="shared" si="8"/>
        <v>4966</v>
      </c>
      <c r="BS97" s="217"/>
      <c r="BT97" s="217"/>
      <c r="BU97" s="134"/>
      <c r="BV97" s="217"/>
      <c r="BW97" s="217"/>
      <c r="BX97" s="217"/>
    </row>
    <row r="98" spans="22:83" x14ac:dyDescent="0.25">
      <c r="V98" s="449" t="str">
        <f>'[1]Strohs Plant in Service'!$C101</f>
        <v>Mains, Tanks and Reservoirs (50)</v>
      </c>
      <c r="W98" s="292" t="str">
        <f>'[1]Strohs Plant in Service'!$D101</f>
        <v>Mains, misc sizes- Strohs (472)</v>
      </c>
      <c r="X98" s="293">
        <f>'[1]Strohs Plant in Service'!$E101</f>
        <v>45231</v>
      </c>
      <c r="Y98" s="297">
        <f>'[1]Strohs Plant in Service'!$F101</f>
        <v>131891.91</v>
      </c>
      <c r="Z98" s="248"/>
      <c r="AA98" s="294">
        <f>'[1]Strohs Plant in Service'!$G$11/12</f>
        <v>6</v>
      </c>
      <c r="AB98" s="219">
        <f>('[1]Strohs Plant in Service'!$G101-'[1]Strohs Plant in Service'!$H101)/12</f>
        <v>1.4166666666666667</v>
      </c>
      <c r="AC98" s="219">
        <f>'[1]Strohs Plant in Service'!$I101</f>
        <v>6763.6876923076925</v>
      </c>
      <c r="AD98" s="219"/>
      <c r="AE98" s="220">
        <f>'[1]Strohs Plant in Service'!$J101</f>
        <v>10145.52</v>
      </c>
      <c r="AF98" s="221">
        <v>121746.39</v>
      </c>
      <c r="AG98" s="204"/>
      <c r="AH98" s="451" t="str">
        <f>'[1]Strohs CIAC'!$C101</f>
        <v>Service Connection (30)</v>
      </c>
      <c r="AI98" s="174" t="str">
        <f>'[1]Strohs CIAC'!$D101</f>
        <v>Service (CIAC) - Strohs, 3305 38th</v>
      </c>
      <c r="AJ98" s="179">
        <f>'[1]Strohs CIAC'!$E101</f>
        <v>45231</v>
      </c>
      <c r="AK98" s="247">
        <f>'[1]Strohs CIAC'!$F101</f>
        <v>4331.76</v>
      </c>
      <c r="AL98" s="248"/>
      <c r="AM98" s="294">
        <f>'[1]Strohs CIAC'!$G101/12</f>
        <v>30</v>
      </c>
      <c r="AN98" s="219">
        <f>('[1]Strohs CIAC'!$G101-'[1]Strohs CIAC'!$H101)/12</f>
        <v>1.9166666666666667</v>
      </c>
      <c r="AO98" s="219">
        <f>'[1]Strohs CIAC'!$I101</f>
        <v>144.392</v>
      </c>
      <c r="AP98" s="219"/>
      <c r="AQ98" s="220">
        <f>'[1]Strohs CIAC'!$J101</f>
        <v>288.75</v>
      </c>
      <c r="AR98" s="221">
        <f t="shared" si="6"/>
        <v>4043.01</v>
      </c>
      <c r="AY98" s="628"/>
      <c r="AZ98" s="470">
        <v>1</v>
      </c>
      <c r="BA98" s="466" t="s">
        <v>694</v>
      </c>
      <c r="BB98" s="211">
        <v>2968</v>
      </c>
      <c r="BC98" s="211">
        <v>2920</v>
      </c>
      <c r="BD98" s="211">
        <v>1881</v>
      </c>
      <c r="BE98" s="211">
        <v>1240</v>
      </c>
      <c r="BF98" s="211">
        <v>2255</v>
      </c>
      <c r="BG98" s="211">
        <v>1718</v>
      </c>
      <c r="BH98" s="211">
        <v>1939</v>
      </c>
      <c r="BI98" s="211">
        <v>1990</v>
      </c>
      <c r="BJ98" s="211">
        <v>1885</v>
      </c>
      <c r="BK98" s="211">
        <v>6788</v>
      </c>
      <c r="BL98" s="211">
        <v>4072</v>
      </c>
      <c r="BM98" s="211">
        <v>2600</v>
      </c>
      <c r="BO98" s="28">
        <f t="shared" si="7"/>
        <v>2688</v>
      </c>
      <c r="BP98" s="28">
        <f t="shared" si="8"/>
        <v>32256</v>
      </c>
      <c r="BS98" s="217"/>
      <c r="BT98" s="217"/>
      <c r="BU98" s="134"/>
      <c r="BV98" s="217"/>
      <c r="BW98" s="217"/>
      <c r="BX98" s="217"/>
    </row>
    <row r="99" spans="22:83" x14ac:dyDescent="0.25">
      <c r="V99" s="449" t="str">
        <f>'[1]Strohs Plant in Service'!$C102</f>
        <v>Mains, Tanks and Reservoirs (50)</v>
      </c>
      <c r="W99" s="292" t="str">
        <f>'[1]Strohs Plant in Service'!$D102</f>
        <v>Mains (CIAC) - Strohs</v>
      </c>
      <c r="X99" s="293">
        <f>'[1]Strohs Plant in Service'!$E102</f>
        <v>45231</v>
      </c>
      <c r="Y99" s="297">
        <f>'[1]Strohs Plant in Service'!$F102</f>
        <v>29070.34</v>
      </c>
      <c r="Z99" s="248"/>
      <c r="AA99" s="294">
        <f>'[1]Strohs Plant in Service'!$G$11/12</f>
        <v>6</v>
      </c>
      <c r="AB99" s="219">
        <f>('[1]Strohs Plant in Service'!$G102-'[1]Strohs Plant in Service'!$H102)/12</f>
        <v>1.4166666666666667</v>
      </c>
      <c r="AC99" s="219">
        <f>'[1]Strohs Plant in Service'!$I102</f>
        <v>1490.7866666666666</v>
      </c>
      <c r="AD99" s="219"/>
      <c r="AE99" s="220">
        <f>'[1]Strohs Plant in Service'!$J102</f>
        <v>2236.17</v>
      </c>
      <c r="AF99" s="221">
        <v>26834.17</v>
      </c>
      <c r="AG99" s="204"/>
      <c r="AH99" s="451" t="str">
        <f>'[1]Strohs CIAC'!$C102</f>
        <v>Service Connection (30)</v>
      </c>
      <c r="AI99" s="174" t="str">
        <f>'[1]Strohs CIAC'!$D102</f>
        <v>Services (CIAC) - Strohs</v>
      </c>
      <c r="AJ99" s="179">
        <f>'[1]Strohs CIAC'!$E102</f>
        <v>45231</v>
      </c>
      <c r="AK99" s="247">
        <f>'[1]Strohs CIAC'!$F102</f>
        <v>300</v>
      </c>
      <c r="AL99" s="248"/>
      <c r="AM99" s="294">
        <f>'[1]Strohs CIAC'!$G102/12</f>
        <v>30</v>
      </c>
      <c r="AN99" s="219">
        <f>('[1]Strohs CIAC'!$G102-'[1]Strohs CIAC'!$H102)/12</f>
        <v>1.9166666666666667</v>
      </c>
      <c r="AO99" s="219">
        <f>'[1]Strohs CIAC'!$I102</f>
        <v>10</v>
      </c>
      <c r="AP99" s="219"/>
      <c r="AQ99" s="220">
        <f>'[1]Strohs CIAC'!$J102</f>
        <v>19.96</v>
      </c>
      <c r="AR99" s="221">
        <f t="shared" si="6"/>
        <v>280.04000000000002</v>
      </c>
      <c r="AY99" s="628"/>
      <c r="AZ99" s="470">
        <v>0.75</v>
      </c>
      <c r="BA99" s="466" t="s">
        <v>695</v>
      </c>
      <c r="BB99" s="211">
        <v>287</v>
      </c>
      <c r="BC99" s="211">
        <v>245</v>
      </c>
      <c r="BD99" s="211">
        <v>344</v>
      </c>
      <c r="BE99" s="211">
        <v>414</v>
      </c>
      <c r="BF99" s="211">
        <v>518</v>
      </c>
      <c r="BG99" s="211">
        <v>727</v>
      </c>
      <c r="BH99" s="211">
        <v>1535</v>
      </c>
      <c r="BI99" s="211">
        <v>1186</v>
      </c>
      <c r="BJ99" s="211">
        <v>1078</v>
      </c>
      <c r="BK99" s="211">
        <v>654</v>
      </c>
      <c r="BL99" s="211">
        <v>297</v>
      </c>
      <c r="BM99" s="211">
        <v>499</v>
      </c>
      <c r="BO99" s="28">
        <f t="shared" si="7"/>
        <v>648.66666666666663</v>
      </c>
      <c r="BP99" s="28">
        <f t="shared" si="8"/>
        <v>7784</v>
      </c>
      <c r="BS99" s="217"/>
      <c r="BT99" s="217"/>
      <c r="BU99" s="134"/>
      <c r="BV99" s="217"/>
      <c r="BW99" s="217"/>
      <c r="BX99" s="217"/>
    </row>
    <row r="100" spans="22:83" x14ac:dyDescent="0.25">
      <c r="V100" s="449" t="str">
        <f>'[1]Strohs Plant in Service'!$C103</f>
        <v>Mains, Tanks and Reservoirs (50)</v>
      </c>
      <c r="W100" s="292" t="str">
        <f>'[1]Strohs Plant in Service'!$D103</f>
        <v>Mains - Strohs (472)</v>
      </c>
      <c r="X100" s="293">
        <f>'[1]Strohs Plant in Service'!$E103</f>
        <v>45231</v>
      </c>
      <c r="Y100" s="297">
        <f>'[1]Strohs Plant in Service'!$F103</f>
        <v>62245.62</v>
      </c>
      <c r="Z100" s="248"/>
      <c r="AA100" s="294">
        <f>'[1]Strohs Plant in Service'!$G$11/12</f>
        <v>6</v>
      </c>
      <c r="AB100" s="219">
        <f>('[1]Strohs Plant in Service'!$G103-'[1]Strohs Plant in Service'!$H103)/12</f>
        <v>1.4166666666666667</v>
      </c>
      <c r="AC100" s="219">
        <f>'[1]Strohs Plant in Service'!$I103</f>
        <v>3192.083076923077</v>
      </c>
      <c r="AD100" s="219"/>
      <c r="AE100" s="220">
        <f>'[1]Strohs Plant in Service'!$J103</f>
        <v>4788.16</v>
      </c>
      <c r="AF100" s="221">
        <v>57457.460000000006</v>
      </c>
      <c r="AG100" s="204"/>
      <c r="AH100" s="451" t="str">
        <f>'[1]Strohs CIAC'!$C103</f>
        <v>Service Connection (30)</v>
      </c>
      <c r="AI100" s="174" t="str">
        <f>'[1]Strohs CIAC'!$D103</f>
        <v>Service (CIAC) - Strohs, 3909 38th</v>
      </c>
      <c r="AJ100" s="179">
        <f>'[1]Strohs CIAC'!$E103</f>
        <v>45231</v>
      </c>
      <c r="AK100" s="247">
        <f>'[1]Strohs CIAC'!$F103</f>
        <v>4713</v>
      </c>
      <c r="AL100" s="248"/>
      <c r="AM100" s="294">
        <f>'[1]Strohs CIAC'!$G103/12</f>
        <v>30</v>
      </c>
      <c r="AN100" s="219">
        <f>('[1]Strohs CIAC'!$G103-'[1]Strohs CIAC'!$H103)/12</f>
        <v>1.75</v>
      </c>
      <c r="AO100" s="219">
        <f>'[1]Strohs CIAC'!$I103</f>
        <v>157.1</v>
      </c>
      <c r="AP100" s="219"/>
      <c r="AQ100" s="220">
        <f>'[1]Strohs CIAC'!$J103</f>
        <v>288</v>
      </c>
      <c r="AR100" s="221">
        <f t="shared" si="6"/>
        <v>4425</v>
      </c>
      <c r="AY100" s="628"/>
      <c r="AZ100" s="470">
        <v>0.625</v>
      </c>
      <c r="BA100" s="466" t="s">
        <v>696</v>
      </c>
      <c r="BB100" s="211">
        <v>474</v>
      </c>
      <c r="BC100" s="211">
        <v>995</v>
      </c>
      <c r="BD100" s="211">
        <v>1155</v>
      </c>
      <c r="BE100" s="211">
        <v>1304</v>
      </c>
      <c r="BF100" s="211">
        <v>397</v>
      </c>
      <c r="BG100" s="211">
        <v>319</v>
      </c>
      <c r="BH100" s="211">
        <v>1072</v>
      </c>
      <c r="BI100" s="211">
        <v>814</v>
      </c>
      <c r="BJ100" s="211">
        <v>525</v>
      </c>
      <c r="BK100" s="211">
        <v>346</v>
      </c>
      <c r="BL100" s="211">
        <v>340</v>
      </c>
      <c r="BM100" s="211">
        <v>364</v>
      </c>
      <c r="BO100" s="28">
        <f t="shared" si="7"/>
        <v>675.41666666666663</v>
      </c>
      <c r="BP100" s="28">
        <f t="shared" si="8"/>
        <v>8105</v>
      </c>
      <c r="BS100" s="217"/>
      <c r="BT100" s="217"/>
      <c r="BU100" s="134"/>
      <c r="BV100" s="217"/>
      <c r="BW100" s="217"/>
      <c r="BX100" s="217"/>
    </row>
    <row r="101" spans="22:83" x14ac:dyDescent="0.25">
      <c r="V101" s="449" t="str">
        <f>'[1]Strohs Plant in Service'!$C104</f>
        <v>Mains, Tanks and Reservoirs (50)</v>
      </c>
      <c r="W101" s="292" t="str">
        <f>'[1]Strohs Plant in Service'!$D104</f>
        <v>Mains - Strohs (472)</v>
      </c>
      <c r="X101" s="293">
        <f>'[1]Strohs Plant in Service'!$E104</f>
        <v>45231</v>
      </c>
      <c r="Y101" s="297">
        <f>'[1]Strohs Plant in Service'!$F104</f>
        <v>1425.89</v>
      </c>
      <c r="Z101" s="248"/>
      <c r="AA101" s="294">
        <f>'[1]Strohs Plant in Service'!$G$11/12</f>
        <v>6</v>
      </c>
      <c r="AB101" s="219">
        <f>('[1]Strohs Plant in Service'!$G104-'[1]Strohs Plant in Service'!$H104)/12</f>
        <v>1.4166666666666667</v>
      </c>
      <c r="AC101" s="219">
        <f>'[1]Strohs Plant in Service'!$I104</f>
        <v>73.122564102564112</v>
      </c>
      <c r="AD101" s="219"/>
      <c r="AE101" s="220">
        <f>'[1]Strohs Plant in Service'!$J104</f>
        <v>109.64</v>
      </c>
      <c r="AF101" s="221">
        <v>1316.25</v>
      </c>
      <c r="AG101" s="204"/>
      <c r="AH101" s="451" t="str">
        <f>'[1]Strohs CIAC'!$C104</f>
        <v>Service Connection (30)</v>
      </c>
      <c r="AI101" s="174" t="str">
        <f>'[1]Strohs CIAC'!$D104</f>
        <v>Services (CIAC) - Strohs</v>
      </c>
      <c r="AJ101" s="179">
        <f>'[1]Strohs CIAC'!$E104</f>
        <v>45231</v>
      </c>
      <c r="AK101" s="247">
        <f>'[1]Strohs CIAC'!$F104</f>
        <v>1078.49</v>
      </c>
      <c r="AL101" s="248"/>
      <c r="AM101" s="294">
        <f>'[1]Strohs CIAC'!$G104/12</f>
        <v>30</v>
      </c>
      <c r="AN101" s="219">
        <f>('[1]Strohs CIAC'!$G104-'[1]Strohs CIAC'!$H104)/12</f>
        <v>17.916666666666668</v>
      </c>
      <c r="AO101" s="219">
        <f>'[1]Strohs CIAC'!$I104</f>
        <v>35.949666666666666</v>
      </c>
      <c r="AP101" s="219"/>
      <c r="AQ101" s="220">
        <f>'[1]Strohs CIAC'!$J104</f>
        <v>647.15</v>
      </c>
      <c r="AR101" s="221">
        <f t="shared" si="6"/>
        <v>431.34000000000003</v>
      </c>
      <c r="AY101" s="628"/>
      <c r="AZ101" s="470">
        <v>0.75</v>
      </c>
      <c r="BA101" s="466" t="s">
        <v>697</v>
      </c>
      <c r="BB101" s="211">
        <v>496</v>
      </c>
      <c r="BC101" s="211">
        <v>451</v>
      </c>
      <c r="BD101" s="211">
        <v>395</v>
      </c>
      <c r="BE101" s="211">
        <v>423</v>
      </c>
      <c r="BF101" s="211">
        <v>617</v>
      </c>
      <c r="BG101" s="211">
        <v>550</v>
      </c>
      <c r="BH101" s="211">
        <v>663</v>
      </c>
      <c r="BI101" s="211">
        <v>541</v>
      </c>
      <c r="BJ101" s="211">
        <v>418</v>
      </c>
      <c r="BK101" s="211">
        <v>180</v>
      </c>
      <c r="BL101" s="211">
        <v>248</v>
      </c>
      <c r="BM101" s="211">
        <v>197</v>
      </c>
      <c r="BO101" s="28">
        <f t="shared" si="7"/>
        <v>431.58333333333331</v>
      </c>
      <c r="BP101" s="28">
        <f t="shared" si="8"/>
        <v>5179</v>
      </c>
      <c r="BQ101" s="134"/>
      <c r="BR101" s="134"/>
      <c r="BS101" s="217"/>
      <c r="BT101" s="217"/>
      <c r="BU101" s="134"/>
      <c r="BV101" s="217"/>
      <c r="BW101" s="217"/>
      <c r="BX101" s="217"/>
      <c r="BY101" s="134"/>
      <c r="BZ101" s="134"/>
      <c r="CA101" s="134"/>
      <c r="CB101" s="134"/>
      <c r="CC101" s="134"/>
      <c r="CD101" s="134"/>
      <c r="CE101" s="134"/>
    </row>
    <row r="102" spans="22:83" x14ac:dyDescent="0.25">
      <c r="V102" s="449" t="str">
        <f>'[1]Strohs Plant in Service'!$C105</f>
        <v>Mains, Tanks and Reservoirs (50)</v>
      </c>
      <c r="W102" s="292" t="str">
        <f>'[1]Strohs Plant in Service'!$D105</f>
        <v>Mains - Strohs (075)</v>
      </c>
      <c r="X102" s="293">
        <f>'[1]Strohs Plant in Service'!$E105</f>
        <v>45231</v>
      </c>
      <c r="Y102" s="297">
        <f>'[1]Strohs Plant in Service'!$F105</f>
        <v>179.19</v>
      </c>
      <c r="Z102" s="248"/>
      <c r="AA102" s="294">
        <f>'[1]Strohs Plant in Service'!$G$11/12</f>
        <v>6</v>
      </c>
      <c r="AB102" s="219">
        <f>('[1]Strohs Plant in Service'!$G105-'[1]Strohs Plant in Service'!$H105)/12</f>
        <v>1.4166666666666667</v>
      </c>
      <c r="AC102" s="219">
        <f>'[1]Strohs Plant in Service'!$I105</f>
        <v>9.1892307692307682</v>
      </c>
      <c r="AD102" s="219"/>
      <c r="AE102" s="220">
        <f>'[1]Strohs Plant in Service'!$J105</f>
        <v>13.84</v>
      </c>
      <c r="AF102" s="221">
        <v>165.35</v>
      </c>
      <c r="AG102" s="204"/>
      <c r="AH102" s="451" t="str">
        <f>'[1]Strohs CIAC'!$C105</f>
        <v>Meters (20)</v>
      </c>
      <c r="AI102" s="174" t="str">
        <f>'[1]Strohs CIAC'!$D105</f>
        <v>Meters (CIAC, Fox Run) - Strohs</v>
      </c>
      <c r="AJ102" s="179">
        <f>'[1]Strohs CIAC'!$E105</f>
        <v>45231</v>
      </c>
      <c r="AK102" s="247">
        <f>'[1]Strohs CIAC'!$F105</f>
        <v>12704.66</v>
      </c>
      <c r="AL102" s="248"/>
      <c r="AM102" s="294">
        <f>'[1]Strohs CIAC'!$G105/12</f>
        <v>30</v>
      </c>
      <c r="AN102" s="219">
        <f>('[1]Strohs CIAC'!$G105-'[1]Strohs CIAC'!$H105)/12</f>
        <v>7.916666666666667</v>
      </c>
      <c r="AO102" s="219">
        <f>'[1]Strohs CIAC'!$I105</f>
        <v>423.48866666666663</v>
      </c>
      <c r="AP102" s="219"/>
      <c r="AQ102" s="220">
        <f>'[1]Strohs CIAC'!$J105</f>
        <v>3387.9</v>
      </c>
      <c r="AR102" s="221">
        <f t="shared" si="6"/>
        <v>9316.76</v>
      </c>
      <c r="AY102" s="628"/>
      <c r="AZ102" s="470">
        <v>0.75</v>
      </c>
      <c r="BA102" s="466" t="s">
        <v>698</v>
      </c>
      <c r="BB102" s="211">
        <v>729</v>
      </c>
      <c r="BC102" s="211">
        <v>671</v>
      </c>
      <c r="BD102" s="211">
        <v>226</v>
      </c>
      <c r="BE102" s="211">
        <v>1376</v>
      </c>
      <c r="BF102" s="211">
        <v>868</v>
      </c>
      <c r="BG102" s="211">
        <v>970</v>
      </c>
      <c r="BH102" s="211">
        <v>1781</v>
      </c>
      <c r="BI102" s="211">
        <v>1267</v>
      </c>
      <c r="BJ102" s="211" t="s">
        <v>655</v>
      </c>
      <c r="BK102" s="211" t="s">
        <v>655</v>
      </c>
      <c r="BL102" s="211" t="s">
        <v>655</v>
      </c>
      <c r="BM102" s="211">
        <v>3935</v>
      </c>
      <c r="BO102" s="28">
        <f t="shared" si="7"/>
        <v>1313.6666666666667</v>
      </c>
      <c r="BP102" s="28">
        <f t="shared" si="8"/>
        <v>11823</v>
      </c>
      <c r="BS102" s="217"/>
      <c r="BT102" s="217"/>
      <c r="BU102" s="134"/>
      <c r="BV102" s="217"/>
      <c r="BW102" s="217"/>
      <c r="BX102" s="217"/>
    </row>
    <row r="103" spans="22:83" x14ac:dyDescent="0.25">
      <c r="V103" s="449" t="str">
        <f>'[1]Strohs Plant in Service'!$C106</f>
        <v>Mains, Tanks and Reservoirs (50)</v>
      </c>
      <c r="W103" s="292" t="str">
        <f>'[1]Strohs Plant in Service'!$D106</f>
        <v>Mains - Strohs, Wollochet Shores (0</v>
      </c>
      <c r="X103" s="293">
        <f>'[1]Strohs Plant in Service'!$E106</f>
        <v>45231</v>
      </c>
      <c r="Y103" s="297">
        <f>'[1]Strohs Plant in Service'!$F106</f>
        <v>20608.830000000002</v>
      </c>
      <c r="Z103" s="248"/>
      <c r="AA103" s="294">
        <f>'[1]Strohs Plant in Service'!$G$11/12</f>
        <v>6</v>
      </c>
      <c r="AB103" s="219">
        <f>('[1]Strohs Plant in Service'!$G106-'[1]Strohs Plant in Service'!$H106)/12</f>
        <v>1.4166666666666667</v>
      </c>
      <c r="AC103" s="219">
        <f>'[1]Strohs Plant in Service'!$I106</f>
        <v>1056.863076923077</v>
      </c>
      <c r="AD103" s="219"/>
      <c r="AE103" s="220">
        <f>'[1]Strohs Plant in Service'!$J106</f>
        <v>1585.27</v>
      </c>
      <c r="AF103" s="221">
        <v>19023.560000000001</v>
      </c>
      <c r="AG103" s="204"/>
      <c r="AH103" s="451">
        <f>'[1]Strohs CIAC'!$C106</f>
        <v>0</v>
      </c>
      <c r="AI103" s="174" t="str">
        <f>'[1]Strohs CIAC'!$D106</f>
        <v>PR Station (CIAC) - Strohs</v>
      </c>
      <c r="AJ103" s="179">
        <f>'[1]Strohs CIAC'!$E106</f>
        <v>45231</v>
      </c>
      <c r="AK103" s="247">
        <f>'[1]Strohs CIAC'!$F106</f>
        <v>4846.26</v>
      </c>
      <c r="AL103" s="248"/>
      <c r="AM103" s="294">
        <f>'[1]Strohs CIAC'!$G106/12</f>
        <v>30</v>
      </c>
      <c r="AN103" s="219">
        <f>('[1]Strohs CIAC'!$G106-'[1]Strohs CIAC'!$H106)/12</f>
        <v>15.916666666666666</v>
      </c>
      <c r="AO103" s="219">
        <f>'[1]Strohs CIAC'!$I106</f>
        <v>161.54200000000003</v>
      </c>
      <c r="AP103" s="219"/>
      <c r="AQ103" s="220">
        <f>'[1]Strohs CIAC'!$J106</f>
        <v>2584.65</v>
      </c>
      <c r="AR103" s="221">
        <f t="shared" si="6"/>
        <v>2261.61</v>
      </c>
      <c r="AY103" s="628"/>
      <c r="AZ103" s="470">
        <v>1</v>
      </c>
      <c r="BA103" s="466" t="s">
        <v>699</v>
      </c>
      <c r="BB103" s="211">
        <v>1241</v>
      </c>
      <c r="BC103" s="211">
        <v>1180</v>
      </c>
      <c r="BD103" s="211">
        <v>1278</v>
      </c>
      <c r="BE103" s="211">
        <v>3021</v>
      </c>
      <c r="BF103" s="211">
        <v>154</v>
      </c>
      <c r="BG103" s="211">
        <v>236</v>
      </c>
      <c r="BH103" s="211">
        <v>2906</v>
      </c>
      <c r="BI103" s="211">
        <v>2490</v>
      </c>
      <c r="BJ103" s="211">
        <v>2063</v>
      </c>
      <c r="BK103" s="211">
        <v>1220</v>
      </c>
      <c r="BL103" s="211">
        <v>671</v>
      </c>
      <c r="BM103" s="211">
        <v>859</v>
      </c>
      <c r="BO103" s="28">
        <f t="shared" si="7"/>
        <v>1443.25</v>
      </c>
      <c r="BP103" s="28">
        <f t="shared" si="8"/>
        <v>17319</v>
      </c>
      <c r="BQ103" s="134"/>
      <c r="BR103" s="134"/>
      <c r="BS103" s="217"/>
      <c r="BT103" s="217"/>
      <c r="BU103" s="134"/>
      <c r="BV103" s="217"/>
      <c r="BW103" s="217"/>
      <c r="BX103" s="217"/>
      <c r="BY103" s="134"/>
      <c r="BZ103" s="134"/>
    </row>
    <row r="104" spans="22:83" x14ac:dyDescent="0.25">
      <c r="V104" s="449" t="str">
        <f>'[1]Strohs Plant in Service'!$C107</f>
        <v>Mains, Tanks and Reservoirs (50)</v>
      </c>
      <c r="W104" s="292" t="str">
        <f>'[1]Strohs Plant in Service'!$D107</f>
        <v>Mains - Strohs (075)</v>
      </c>
      <c r="X104" s="293">
        <f>'[1]Strohs Plant in Service'!$E107</f>
        <v>45231</v>
      </c>
      <c r="Y104" s="297">
        <f>'[1]Strohs Plant in Service'!$F107</f>
        <v>878.68</v>
      </c>
      <c r="Z104" s="248"/>
      <c r="AA104" s="294">
        <f>'[1]Strohs Plant in Service'!$G$11/12</f>
        <v>6</v>
      </c>
      <c r="AB104" s="219">
        <f>('[1]Strohs Plant in Service'!$G107-'[1]Strohs Plant in Service'!$H107)/12</f>
        <v>1.4166666666666667</v>
      </c>
      <c r="AC104" s="219">
        <f>'[1]Strohs Plant in Service'!$I107</f>
        <v>45.060512820512812</v>
      </c>
      <c r="AD104" s="219"/>
      <c r="AE104" s="220">
        <f>'[1]Strohs Plant in Service'!$J107</f>
        <v>67.599999999999994</v>
      </c>
      <c r="AF104" s="221">
        <v>811.07999999999993</v>
      </c>
      <c r="AG104" s="204"/>
      <c r="AH104" s="451" t="str">
        <f>'[1]Strohs CIAC'!$C107</f>
        <v>Mains, Tanks and Reservoirs (50)</v>
      </c>
      <c r="AI104" s="174" t="str">
        <f>'[1]Strohs CIAC'!$D107</f>
        <v>Mains (CIAC) - Strohs</v>
      </c>
      <c r="AJ104" s="179">
        <f>'[1]Strohs CIAC'!$E107</f>
        <v>45231</v>
      </c>
      <c r="AK104" s="247">
        <f>'[1]Strohs CIAC'!$F107</f>
        <v>78731.03</v>
      </c>
      <c r="AL104" s="248"/>
      <c r="AM104" s="294">
        <f>'[1]Strohs CIAC'!$G107/12</f>
        <v>30</v>
      </c>
      <c r="AN104" s="219">
        <f>('[1]Strohs CIAC'!$G107-'[1]Strohs CIAC'!$H107)/12</f>
        <v>25.833333333333332</v>
      </c>
      <c r="AO104" s="219">
        <f>'[1]Strohs CIAC'!$I107</f>
        <v>2624.3676666666665</v>
      </c>
      <c r="AP104" s="219"/>
      <c r="AQ104" s="220">
        <f>'[1]Strohs CIAC'!$J107</f>
        <v>68014.89</v>
      </c>
      <c r="AR104" s="221">
        <f t="shared" si="6"/>
        <v>10716.14</v>
      </c>
      <c r="AY104" s="628"/>
      <c r="AZ104" s="470">
        <v>0.75</v>
      </c>
      <c r="BA104" s="466" t="s">
        <v>700</v>
      </c>
      <c r="BB104" s="211">
        <v>459</v>
      </c>
      <c r="BC104" s="211">
        <v>234</v>
      </c>
      <c r="BD104" s="211">
        <v>292</v>
      </c>
      <c r="BE104" s="211">
        <v>282</v>
      </c>
      <c r="BF104" s="211">
        <v>293</v>
      </c>
      <c r="BG104" s="211">
        <v>301</v>
      </c>
      <c r="BH104" s="211">
        <v>582</v>
      </c>
      <c r="BI104" s="211">
        <v>998</v>
      </c>
      <c r="BJ104" s="211">
        <v>247</v>
      </c>
      <c r="BK104" s="211">
        <v>817</v>
      </c>
      <c r="BL104" s="211">
        <v>260</v>
      </c>
      <c r="BM104" s="211">
        <v>204</v>
      </c>
      <c r="BO104" s="28">
        <f t="shared" si="7"/>
        <v>414.08333333333331</v>
      </c>
      <c r="BP104" s="28">
        <f t="shared" si="8"/>
        <v>4969</v>
      </c>
      <c r="BS104" s="217"/>
      <c r="BT104" s="217"/>
      <c r="BU104" s="134"/>
      <c r="BV104" s="217"/>
      <c r="BW104" s="217"/>
      <c r="BX104" s="217"/>
    </row>
    <row r="105" spans="22:83" x14ac:dyDescent="0.25">
      <c r="V105" s="449" t="str">
        <f>'[1]Strohs Plant in Service'!$C108</f>
        <v>Mains, Tanks and Reservoirs (50)</v>
      </c>
      <c r="W105" s="292" t="str">
        <f>'[1]Strohs Plant in Service'!$D108</f>
        <v>Mains - Strohs (472)</v>
      </c>
      <c r="X105" s="293">
        <f>'[1]Strohs Plant in Service'!$E108</f>
        <v>45231</v>
      </c>
      <c r="Y105" s="297">
        <f>'[1]Strohs Plant in Service'!$F108</f>
        <v>1241.9000000000001</v>
      </c>
      <c r="Z105" s="248"/>
      <c r="AA105" s="294">
        <f>'[1]Strohs Plant in Service'!$G$11/12</f>
        <v>6</v>
      </c>
      <c r="AB105" s="219">
        <f>('[1]Strohs Plant in Service'!$G108-'[1]Strohs Plant in Service'!$H108)/12</f>
        <v>1.4166666666666667</v>
      </c>
      <c r="AC105" s="219">
        <f>'[1]Strohs Plant in Service'!$I108</f>
        <v>63.687179487179492</v>
      </c>
      <c r="AD105" s="219"/>
      <c r="AE105" s="220">
        <f>'[1]Strohs Plant in Service'!$J108</f>
        <v>95.57</v>
      </c>
      <c r="AF105" s="221">
        <v>1146.3300000000002</v>
      </c>
      <c r="AG105" s="204"/>
      <c r="AH105" s="451" t="str">
        <f>'[1]Strohs CIAC'!$C108</f>
        <v>Mains, Tanks and Reservoirs (50)</v>
      </c>
      <c r="AI105" s="174" t="str">
        <f>'[1]Strohs CIAC'!$D108</f>
        <v>Mains (CIAC) - Strohs</v>
      </c>
      <c r="AJ105" s="179">
        <f>'[1]Strohs CIAC'!$E108</f>
        <v>45231</v>
      </c>
      <c r="AK105" s="247">
        <f>'[1]Strohs CIAC'!$F108</f>
        <v>13380.7</v>
      </c>
      <c r="AL105" s="248"/>
      <c r="AM105" s="294">
        <f>'[1]Strohs CIAC'!$G108/12</f>
        <v>30</v>
      </c>
      <c r="AN105" s="219">
        <f>('[1]Strohs CIAC'!$G108-'[1]Strohs CIAC'!$H108)/12</f>
        <v>25.833333333333332</v>
      </c>
      <c r="AO105" s="219">
        <f>'[1]Strohs CIAC'!$I108</f>
        <v>446.02333333333331</v>
      </c>
      <c r="AP105" s="219"/>
      <c r="AQ105" s="220">
        <f>'[1]Strohs CIAC'!$J108</f>
        <v>11559.45</v>
      </c>
      <c r="AR105" s="221">
        <f t="shared" si="6"/>
        <v>1821.25</v>
      </c>
      <c r="AY105" s="628"/>
      <c r="AZ105" s="470">
        <v>0.75</v>
      </c>
      <c r="BA105" s="466" t="s">
        <v>701</v>
      </c>
      <c r="BB105" s="211">
        <v>664</v>
      </c>
      <c r="BC105" s="211">
        <v>737</v>
      </c>
      <c r="BD105" s="211">
        <v>700</v>
      </c>
      <c r="BE105" s="211">
        <v>744</v>
      </c>
      <c r="BF105" s="211">
        <v>711</v>
      </c>
      <c r="BG105" s="211">
        <v>596</v>
      </c>
      <c r="BH105" s="211">
        <v>1263</v>
      </c>
      <c r="BI105" s="211">
        <v>759</v>
      </c>
      <c r="BJ105" s="211">
        <v>591</v>
      </c>
      <c r="BK105" s="211">
        <v>304</v>
      </c>
      <c r="BL105" s="211">
        <v>660</v>
      </c>
      <c r="BM105" s="211">
        <v>300</v>
      </c>
      <c r="BO105" s="28">
        <f t="shared" si="7"/>
        <v>669.08333333333337</v>
      </c>
      <c r="BP105" s="28">
        <f t="shared" si="8"/>
        <v>8029</v>
      </c>
      <c r="BS105" s="217"/>
      <c r="BT105" s="217"/>
      <c r="BU105" s="134"/>
      <c r="BV105" s="217"/>
      <c r="BW105" s="217"/>
      <c r="BX105" s="217"/>
    </row>
    <row r="106" spans="22:83" x14ac:dyDescent="0.25">
      <c r="V106" s="449" t="str">
        <f>'[1]Strohs Plant in Service'!$C109</f>
        <v>Mains, Tanks and Reservoirs (50)</v>
      </c>
      <c r="W106" s="292" t="str">
        <f>'[1]Strohs Plant in Service'!$D109</f>
        <v>Mains - Strohs (472)</v>
      </c>
      <c r="X106" s="293">
        <f>'[1]Strohs Plant in Service'!$E109</f>
        <v>45231</v>
      </c>
      <c r="Y106" s="297">
        <f>'[1]Strohs Plant in Service'!$F109</f>
        <v>13783.59</v>
      </c>
      <c r="Z106" s="248"/>
      <c r="AA106" s="294">
        <f>'[1]Strohs Plant in Service'!$G$11/12</f>
        <v>6</v>
      </c>
      <c r="AB106" s="219">
        <f>('[1]Strohs Plant in Service'!$G109-'[1]Strohs Plant in Service'!$H109)/12</f>
        <v>1.4166666666666667</v>
      </c>
      <c r="AC106" s="219">
        <f>'[1]Strohs Plant in Service'!$I109</f>
        <v>706.85076923076929</v>
      </c>
      <c r="AD106" s="219"/>
      <c r="AE106" s="220">
        <f>'[1]Strohs Plant in Service'!$J109</f>
        <v>1060.22</v>
      </c>
      <c r="AF106" s="221">
        <v>12723.37</v>
      </c>
      <c r="AG106" s="204"/>
      <c r="AH106" s="451" t="str">
        <f>'[1]Strohs CIAC'!$C109</f>
        <v>Mains, Tanks and Reservoirs (50)</v>
      </c>
      <c r="AI106" s="174" t="str">
        <f>'[1]Strohs CIAC'!$D109</f>
        <v>Mains (CIAC) - Strohs</v>
      </c>
      <c r="AJ106" s="179">
        <f>'[1]Strohs CIAC'!$E109</f>
        <v>45231</v>
      </c>
      <c r="AK106" s="247">
        <f>'[1]Strohs CIAC'!$F109</f>
        <v>54204.53</v>
      </c>
      <c r="AL106" s="248"/>
      <c r="AM106" s="294">
        <f>'[1]Strohs CIAC'!$G109/12</f>
        <v>30</v>
      </c>
      <c r="AN106" s="219">
        <f>('[1]Strohs CIAC'!$G109-'[1]Strohs CIAC'!$H109)/12</f>
        <v>25.833333333333332</v>
      </c>
      <c r="AO106" s="219">
        <f>'[1]Strohs CIAC'!$I109</f>
        <v>1806.8176666666666</v>
      </c>
      <c r="AP106" s="219"/>
      <c r="AQ106" s="220">
        <f>'[1]Strohs CIAC'!$J109</f>
        <v>46826.69</v>
      </c>
      <c r="AR106" s="221">
        <f t="shared" si="6"/>
        <v>7377.8399999999965</v>
      </c>
      <c r="AY106" s="628"/>
      <c r="AZ106" s="470">
        <v>0.625</v>
      </c>
      <c r="BA106" s="466" t="s">
        <v>702</v>
      </c>
      <c r="BB106" s="211">
        <v>405</v>
      </c>
      <c r="BC106" s="211">
        <v>452</v>
      </c>
      <c r="BD106" s="211">
        <v>442</v>
      </c>
      <c r="BE106" s="211">
        <v>539</v>
      </c>
      <c r="BF106" s="211">
        <v>540</v>
      </c>
      <c r="BG106" s="211">
        <v>969</v>
      </c>
      <c r="BH106" s="211">
        <v>2656</v>
      </c>
      <c r="BI106" s="211">
        <v>1952</v>
      </c>
      <c r="BJ106" s="211">
        <v>899</v>
      </c>
      <c r="BK106" s="211">
        <v>933</v>
      </c>
      <c r="BL106" s="211">
        <v>363</v>
      </c>
      <c r="BM106" s="211">
        <v>376</v>
      </c>
      <c r="BO106" s="28">
        <f t="shared" si="7"/>
        <v>877.16666666666663</v>
      </c>
      <c r="BP106" s="28">
        <f t="shared" si="8"/>
        <v>10526</v>
      </c>
      <c r="BS106" s="217"/>
      <c r="BT106" s="217"/>
      <c r="BU106" s="134"/>
      <c r="BV106" s="217"/>
      <c r="BW106" s="217"/>
      <c r="BX106" s="217"/>
    </row>
    <row r="107" spans="22:83" x14ac:dyDescent="0.25">
      <c r="V107" s="449" t="str">
        <f>'[1]Strohs Plant in Service'!$C110</f>
        <v>Mains, Tanks and Reservoirs (50)</v>
      </c>
      <c r="W107" s="292" t="str">
        <f>'[1]Strohs Plant in Service'!$D110</f>
        <v>Mains - Strohs (075)</v>
      </c>
      <c r="X107" s="293">
        <f>'[1]Strohs Plant in Service'!$E110</f>
        <v>45231</v>
      </c>
      <c r="Y107" s="297">
        <f>'[1]Strohs Plant in Service'!$F110</f>
        <v>8613.1200000000008</v>
      </c>
      <c r="Z107" s="248"/>
      <c r="AA107" s="294">
        <f>'[1]Strohs Plant in Service'!$G$11/12</f>
        <v>6</v>
      </c>
      <c r="AB107" s="219">
        <f>('[1]Strohs Plant in Service'!$G110-'[1]Strohs Plant in Service'!$H110)/12</f>
        <v>1.4166666666666667</v>
      </c>
      <c r="AC107" s="219">
        <f>'[1]Strohs Plant in Service'!$I110</f>
        <v>441.69846153846157</v>
      </c>
      <c r="AD107" s="219"/>
      <c r="AE107" s="220">
        <f>'[1]Strohs Plant in Service'!$J110</f>
        <v>662.57</v>
      </c>
      <c r="AF107" s="221">
        <v>7950.5500000000011</v>
      </c>
      <c r="AG107" s="204"/>
      <c r="AH107" s="451" t="str">
        <f>'[1]Strohs CIAC'!$C110</f>
        <v>Mains, Tanks and Reservoirs (50)</v>
      </c>
      <c r="AI107" s="174" t="str">
        <f>'[1]Strohs CIAC'!$D110</f>
        <v>TapPush - STROH - Par#0221207010</v>
      </c>
      <c r="AJ107" s="179">
        <f>'[1]Strohs CIAC'!$E110</f>
        <v>45383</v>
      </c>
      <c r="AK107" s="247">
        <f>'[1]Strohs CIAC'!$F110</f>
        <v>3323.32</v>
      </c>
      <c r="AL107" s="248"/>
      <c r="AM107" s="294">
        <f>'[1]Strohs CIAC'!$G110/12</f>
        <v>30</v>
      </c>
      <c r="AN107" s="219">
        <f>('[1]Strohs CIAC'!$G110-'[1]Strohs CIAC'!$H110)/12</f>
        <v>0.66666666666666663</v>
      </c>
      <c r="AO107" s="219">
        <f>'[1]Strohs CIAC'!$I110</f>
        <v>110.77733333333335</v>
      </c>
      <c r="AP107" s="219"/>
      <c r="AQ107" s="220">
        <f>'[1]Strohs CIAC'!$J110</f>
        <v>91.38</v>
      </c>
      <c r="AR107" s="221">
        <f t="shared" si="6"/>
        <v>3231.94</v>
      </c>
      <c r="AY107" s="628"/>
      <c r="AZ107" s="470">
        <v>0.75</v>
      </c>
      <c r="BA107" s="466" t="s">
        <v>703</v>
      </c>
      <c r="BB107" s="211">
        <v>2063</v>
      </c>
      <c r="BC107" s="211">
        <v>1533</v>
      </c>
      <c r="BD107" s="211">
        <v>2762</v>
      </c>
      <c r="BE107" s="211">
        <v>3102</v>
      </c>
      <c r="BF107" s="211">
        <v>1663</v>
      </c>
      <c r="BG107" s="211">
        <v>1348</v>
      </c>
      <c r="BH107" s="211">
        <v>1987</v>
      </c>
      <c r="BI107" s="211">
        <v>1605</v>
      </c>
      <c r="BJ107" s="211">
        <v>1454</v>
      </c>
      <c r="BK107" s="211">
        <v>567</v>
      </c>
      <c r="BL107" s="211">
        <v>375</v>
      </c>
      <c r="BM107" s="211">
        <v>500</v>
      </c>
      <c r="BO107" s="28">
        <f t="shared" si="7"/>
        <v>1579.9166666666667</v>
      </c>
      <c r="BP107" s="28">
        <f t="shared" si="8"/>
        <v>18959</v>
      </c>
      <c r="BS107" s="217"/>
      <c r="BT107" s="217"/>
      <c r="BU107" s="134"/>
      <c r="BV107" s="217"/>
      <c r="BW107" s="217"/>
      <c r="BX107" s="217"/>
    </row>
    <row r="108" spans="22:83" x14ac:dyDescent="0.25">
      <c r="V108" s="449" t="str">
        <f>'[1]Strohs Plant in Service'!$C111</f>
        <v>Mains, Tanks and Reservoirs (50)</v>
      </c>
      <c r="W108" s="292" t="str">
        <f>'[1]Strohs Plant in Service'!$D111</f>
        <v>Mains - Strohs (075)</v>
      </c>
      <c r="X108" s="293">
        <f>'[1]Strohs Plant in Service'!$E111</f>
        <v>45231</v>
      </c>
      <c r="Y108" s="297">
        <f>'[1]Strohs Plant in Service'!$F111</f>
        <v>7182.63</v>
      </c>
      <c r="Z108" s="248"/>
      <c r="AA108" s="294">
        <f>'[1]Strohs Plant in Service'!$G$11/12</f>
        <v>6</v>
      </c>
      <c r="AB108" s="219">
        <f>('[1]Strohs Plant in Service'!$G111-'[1]Strohs Plant in Service'!$H111)/12</f>
        <v>1.4166666666666667</v>
      </c>
      <c r="AC108" s="219">
        <f>'[1]Strohs Plant in Service'!$I111</f>
        <v>368.34000000000003</v>
      </c>
      <c r="AD108" s="219"/>
      <c r="AE108" s="220">
        <f>'[1]Strohs Plant in Service'!$J111</f>
        <v>552.51</v>
      </c>
      <c r="AF108" s="221">
        <v>6630.12</v>
      </c>
      <c r="AG108" s="204"/>
      <c r="AH108" s="451" t="str">
        <f>'[1]Strohs CIAC'!$C111</f>
        <v>Mains, Tanks and Reservoirs (50)</v>
      </c>
      <c r="AI108" s="174" t="str">
        <f>'[1]Strohs CIAC'!$D111</f>
        <v>Main Ex - Stroh - Par# 0221194053</v>
      </c>
      <c r="AJ108" s="179">
        <f>'[1]Strohs CIAC'!$E111</f>
        <v>45566</v>
      </c>
      <c r="AK108" s="247">
        <f>'[1]Strohs CIAC'!$F111</f>
        <v>283035.67</v>
      </c>
      <c r="AL108" s="248"/>
      <c r="AM108" s="294">
        <f>'[1]Strohs CIAC'!$G111/12</f>
        <v>30</v>
      </c>
      <c r="AN108" s="219">
        <f>('[1]Strohs CIAC'!$G111-'[1]Strohs CIAC'!$H111)/12</f>
        <v>0.16666666666666666</v>
      </c>
      <c r="AO108" s="219">
        <f>'[1]Strohs CIAC'!$I111</f>
        <v>9434.5223333333324</v>
      </c>
      <c r="AP108" s="219"/>
      <c r="AQ108" s="220">
        <f>'[1]Strohs CIAC'!$J111</f>
        <v>2358.63</v>
      </c>
      <c r="AR108" s="221">
        <f t="shared" si="6"/>
        <v>280677.03999999998</v>
      </c>
      <c r="AY108" s="628"/>
      <c r="AZ108" s="470">
        <v>0.75</v>
      </c>
      <c r="BA108" s="466" t="s">
        <v>704</v>
      </c>
      <c r="BB108" s="211">
        <v>1270</v>
      </c>
      <c r="BC108" s="211">
        <v>1274</v>
      </c>
      <c r="BD108" s="211">
        <v>1235</v>
      </c>
      <c r="BE108" s="211">
        <v>1168</v>
      </c>
      <c r="BF108" s="211">
        <v>907</v>
      </c>
      <c r="BG108" s="211">
        <v>1087</v>
      </c>
      <c r="BH108" s="211">
        <v>1244</v>
      </c>
      <c r="BI108" s="211">
        <v>972</v>
      </c>
      <c r="BJ108" s="211">
        <v>1081</v>
      </c>
      <c r="BK108" s="211">
        <v>973</v>
      </c>
      <c r="BL108" s="211">
        <v>935</v>
      </c>
      <c r="BM108" s="211">
        <v>1077</v>
      </c>
      <c r="BO108" s="28">
        <f t="shared" si="7"/>
        <v>1101.9166666666667</v>
      </c>
      <c r="BP108" s="28">
        <f t="shared" si="8"/>
        <v>13223</v>
      </c>
      <c r="BS108" s="217"/>
      <c r="BT108" s="217"/>
      <c r="BU108" s="134"/>
      <c r="BV108" s="217"/>
      <c r="BW108" s="217"/>
      <c r="BX108" s="217"/>
    </row>
    <row r="109" spans="22:83" x14ac:dyDescent="0.25">
      <c r="V109" s="449" t="str">
        <f>'[1]Strohs Plant in Service'!$C112</f>
        <v>Mains, Tanks and Reservoirs (50)</v>
      </c>
      <c r="W109" s="292" t="str">
        <f>'[1]Strohs Plant in Service'!$D112</f>
        <v>Mains (CIAC) - Strohs (472)</v>
      </c>
      <c r="X109" s="293">
        <f>'[1]Strohs Plant in Service'!$E112</f>
        <v>45231</v>
      </c>
      <c r="Y109" s="297">
        <f>'[1]Strohs Plant in Service'!$F112</f>
        <v>9265.3799999999992</v>
      </c>
      <c r="Z109" s="248"/>
      <c r="AA109" s="294">
        <f>'[1]Strohs Plant in Service'!$G$11/12</f>
        <v>6</v>
      </c>
      <c r="AB109" s="219">
        <f>('[1]Strohs Plant in Service'!$G112-'[1]Strohs Plant in Service'!$H112)/12</f>
        <v>1.4166666666666667</v>
      </c>
      <c r="AC109" s="219">
        <f>'[1]Strohs Plant in Service'!$I112</f>
        <v>475.1476923076923</v>
      </c>
      <c r="AD109" s="219"/>
      <c r="AE109" s="220">
        <f>'[1]Strohs Plant in Service'!$J112</f>
        <v>712.78</v>
      </c>
      <c r="AF109" s="221">
        <v>8552.5999999999985</v>
      </c>
      <c r="AG109" s="204"/>
      <c r="AH109" s="451" t="str">
        <f>'[1]Strohs CIAC'!$C112</f>
        <v>Plant, Other (40)</v>
      </c>
      <c r="AI109" s="174" t="str">
        <f>'[1]Strohs CIAC'!$D112</f>
        <v>Hydra - Stroh - Par# 0221194053</v>
      </c>
      <c r="AJ109" s="179">
        <f>'[1]Strohs CIAC'!$E112</f>
        <v>45566</v>
      </c>
      <c r="AK109" s="247">
        <f>'[1]Strohs CIAC'!$F112</f>
        <v>13489.02</v>
      </c>
      <c r="AL109" s="248"/>
      <c r="AM109" s="294">
        <f>'[1]Strohs CIAC'!$G112/12</f>
        <v>40</v>
      </c>
      <c r="AN109" s="219">
        <f>('[1]Strohs CIAC'!$G112-'[1]Strohs CIAC'!$H112)/12</f>
        <v>0.16666666666666666</v>
      </c>
      <c r="AO109" s="219">
        <f>'[1]Strohs CIAC'!$I112</f>
        <v>337.22550000000001</v>
      </c>
      <c r="AP109" s="219"/>
      <c r="AQ109" s="220">
        <f>'[1]Strohs CIAC'!$J112</f>
        <v>84.3</v>
      </c>
      <c r="AR109" s="221">
        <f t="shared" si="6"/>
        <v>13404.720000000001</v>
      </c>
      <c r="AY109" s="628"/>
      <c r="AZ109" s="470">
        <v>0.75</v>
      </c>
      <c r="BA109" s="466" t="s">
        <v>705</v>
      </c>
      <c r="BB109" s="211">
        <v>846</v>
      </c>
      <c r="BC109" s="211">
        <v>397</v>
      </c>
      <c r="BD109" s="211">
        <v>461</v>
      </c>
      <c r="BE109" s="211">
        <v>625</v>
      </c>
      <c r="BF109" s="211">
        <v>520</v>
      </c>
      <c r="BG109" s="211">
        <v>537</v>
      </c>
      <c r="BH109" s="211">
        <v>1363</v>
      </c>
      <c r="BI109" s="211">
        <v>2392</v>
      </c>
      <c r="BJ109" s="211">
        <v>681</v>
      </c>
      <c r="BK109" s="211">
        <v>542</v>
      </c>
      <c r="BL109" s="211">
        <v>1290</v>
      </c>
      <c r="BM109" s="211">
        <v>411</v>
      </c>
      <c r="BO109" s="28">
        <f t="shared" si="7"/>
        <v>838.75</v>
      </c>
      <c r="BP109" s="28">
        <f t="shared" si="8"/>
        <v>10065</v>
      </c>
      <c r="BS109" s="217"/>
      <c r="BT109" s="217"/>
      <c r="BU109" s="134"/>
      <c r="BV109" s="217"/>
      <c r="BW109" s="217"/>
      <c r="BX109" s="217"/>
    </row>
    <row r="110" spans="22:83" x14ac:dyDescent="0.25">
      <c r="V110" s="449" t="str">
        <f>'[1]Strohs Plant in Service'!$C113</f>
        <v>Mains, Tanks and Reservoirs (50)</v>
      </c>
      <c r="W110" s="292" t="str">
        <f>'[1]Strohs Plant in Service'!$D113</f>
        <v>Mains - Strohs (075)</v>
      </c>
      <c r="X110" s="293">
        <f>'[1]Strohs Plant in Service'!$E113</f>
        <v>45231</v>
      </c>
      <c r="Y110" s="297">
        <f>'[1]Strohs Plant in Service'!$F113</f>
        <v>691.48</v>
      </c>
      <c r="Z110" s="248"/>
      <c r="AA110" s="294">
        <f>'[1]Strohs Plant in Service'!$G$11/12</f>
        <v>6</v>
      </c>
      <c r="AB110" s="219">
        <f>('[1]Strohs Plant in Service'!$G113-'[1]Strohs Plant in Service'!$H113)/12</f>
        <v>1.4166666666666667</v>
      </c>
      <c r="AC110" s="219">
        <f>'[1]Strohs Plant in Service'!$I113</f>
        <v>35.460512820512825</v>
      </c>
      <c r="AD110" s="219"/>
      <c r="AE110" s="220">
        <f>'[1]Strohs Plant in Service'!$J113</f>
        <v>53.2</v>
      </c>
      <c r="AF110" s="221">
        <v>638.28</v>
      </c>
      <c r="AG110" s="204"/>
      <c r="AH110" s="451" t="str">
        <f>'[1]Strohs CIAC'!$C113</f>
        <v>Service Connection (30)</v>
      </c>
      <c r="AI110" s="174" t="str">
        <f>'[1]Strohs CIAC'!$D113</f>
        <v>Svc - Stroh - Par# 0221194053</v>
      </c>
      <c r="AJ110" s="179">
        <f>'[1]Strohs CIAC'!$E113</f>
        <v>45566</v>
      </c>
      <c r="AK110" s="247">
        <f>'[1]Strohs CIAC'!$F113</f>
        <v>10376.16</v>
      </c>
      <c r="AL110" s="248"/>
      <c r="AM110" s="294">
        <f>'[1]Strohs CIAC'!$G113/12</f>
        <v>30</v>
      </c>
      <c r="AN110" s="219">
        <f>('[1]Strohs CIAC'!$G113-'[1]Strohs CIAC'!$H113)/12</f>
        <v>0.16666666666666666</v>
      </c>
      <c r="AO110" s="219">
        <f>'[1]Strohs CIAC'!$I113</f>
        <v>345.87200000000001</v>
      </c>
      <c r="AP110" s="219"/>
      <c r="AQ110" s="220">
        <f>'[1]Strohs CIAC'!$J113</f>
        <v>86.46</v>
      </c>
      <c r="AR110" s="221">
        <f t="shared" si="6"/>
        <v>10289.700000000001</v>
      </c>
      <c r="AY110" s="628"/>
      <c r="AZ110" s="470">
        <v>0.75</v>
      </c>
      <c r="BA110" s="466" t="s">
        <v>706</v>
      </c>
      <c r="BB110" s="211">
        <v>1272</v>
      </c>
      <c r="BC110" s="211">
        <v>678</v>
      </c>
      <c r="BD110" s="211">
        <v>1028</v>
      </c>
      <c r="BE110" s="211">
        <v>1246</v>
      </c>
      <c r="BF110" s="211">
        <v>1701</v>
      </c>
      <c r="BG110" s="211">
        <v>3182</v>
      </c>
      <c r="BH110" s="211">
        <v>968</v>
      </c>
      <c r="BI110" s="211">
        <v>4418</v>
      </c>
      <c r="BJ110" s="211">
        <v>2354</v>
      </c>
      <c r="BK110" s="211">
        <v>663</v>
      </c>
      <c r="BL110" s="211">
        <v>987</v>
      </c>
      <c r="BM110" s="211">
        <v>3711</v>
      </c>
      <c r="BO110" s="28">
        <f t="shared" si="7"/>
        <v>1850.6666666666667</v>
      </c>
      <c r="BP110" s="28">
        <f t="shared" si="8"/>
        <v>22208</v>
      </c>
      <c r="BS110" s="217"/>
      <c r="BT110" s="217"/>
      <c r="BU110" s="134"/>
      <c r="BV110" s="217"/>
      <c r="BW110" s="217"/>
      <c r="BX110" s="217"/>
    </row>
    <row r="111" spans="22:83" x14ac:dyDescent="0.25">
      <c r="V111" s="449" t="str">
        <f>'[1]Strohs Plant in Service'!$C114</f>
        <v>Mains, Tanks and Reservoirs (50)</v>
      </c>
      <c r="W111" s="292" t="str">
        <f>'[1]Strohs Plant in Service'!$D114</f>
        <v>Mains - Strohs (472)</v>
      </c>
      <c r="X111" s="293">
        <f>'[1]Strohs Plant in Service'!$E114</f>
        <v>45231</v>
      </c>
      <c r="Y111" s="297">
        <f>'[1]Strohs Plant in Service'!$F114</f>
        <v>13973.56</v>
      </c>
      <c r="Z111" s="248"/>
      <c r="AA111" s="294">
        <f>'[1]Strohs Plant in Service'!$G$11/12</f>
        <v>6</v>
      </c>
      <c r="AB111" s="219">
        <f>('[1]Strohs Plant in Service'!$G114-'[1]Strohs Plant in Service'!$H114)/12</f>
        <v>1.4166666666666667</v>
      </c>
      <c r="AC111" s="219">
        <f>'[1]Strohs Plant in Service'!$I114</f>
        <v>716.59282051282048</v>
      </c>
      <c r="AD111" s="219"/>
      <c r="AE111" s="220">
        <f>'[1]Strohs Plant in Service'!$J114</f>
        <v>1074.94</v>
      </c>
      <c r="AF111" s="221">
        <v>12898.619999999999</v>
      </c>
      <c r="AG111" s="204"/>
      <c r="AH111" s="451" t="str">
        <f>'[1]Strohs CIAC'!$C114</f>
        <v>Service Connection (30)</v>
      </c>
      <c r="AI111" s="174" t="str">
        <f>'[1]Strohs CIAC'!$D114</f>
        <v>Svc - Stroh - Par# 0221194053</v>
      </c>
      <c r="AJ111" s="179">
        <f>'[1]Strohs CIAC'!$E114</f>
        <v>45566</v>
      </c>
      <c r="AK111" s="247">
        <f>'[1]Strohs CIAC'!$F114</f>
        <v>6225.7</v>
      </c>
      <c r="AL111" s="248"/>
      <c r="AM111" s="294">
        <f>'[1]Strohs CIAC'!$G114/12</f>
        <v>30</v>
      </c>
      <c r="AN111" s="219">
        <f>('[1]Strohs CIAC'!$G114-'[1]Strohs CIAC'!$H114)/12</f>
        <v>0.16666666666666666</v>
      </c>
      <c r="AO111" s="219">
        <f>'[1]Strohs CIAC'!$I114</f>
        <v>207.52333333333334</v>
      </c>
      <c r="AP111" s="219"/>
      <c r="AQ111" s="220">
        <f>'[1]Strohs CIAC'!$J114</f>
        <v>51.87</v>
      </c>
      <c r="AR111" s="221">
        <f t="shared" si="6"/>
        <v>6173.83</v>
      </c>
      <c r="AY111" s="628"/>
      <c r="AZ111" s="470">
        <v>0.75</v>
      </c>
      <c r="BA111" s="466" t="s">
        <v>707</v>
      </c>
      <c r="BB111" s="211">
        <v>497</v>
      </c>
      <c r="BC111" s="211">
        <v>1025</v>
      </c>
      <c r="BD111" s="211">
        <v>427</v>
      </c>
      <c r="BE111" s="211">
        <v>1454</v>
      </c>
      <c r="BF111" s="211">
        <v>2821</v>
      </c>
      <c r="BG111" s="211">
        <v>2864</v>
      </c>
      <c r="BH111" s="211">
        <v>3236</v>
      </c>
      <c r="BI111" s="211">
        <v>3072</v>
      </c>
      <c r="BJ111" s="211">
        <v>3741</v>
      </c>
      <c r="BK111" s="211">
        <v>2762</v>
      </c>
      <c r="BL111" s="211">
        <v>200</v>
      </c>
      <c r="BM111" s="211">
        <v>252</v>
      </c>
      <c r="BO111" s="28">
        <f t="shared" si="7"/>
        <v>1862.5833333333333</v>
      </c>
      <c r="BP111" s="28">
        <f t="shared" si="8"/>
        <v>22351</v>
      </c>
      <c r="BS111" s="217"/>
      <c r="BT111" s="217"/>
      <c r="BU111" s="134"/>
      <c r="BV111" s="217"/>
      <c r="BW111" s="217"/>
      <c r="BX111" s="217"/>
    </row>
    <row r="112" spans="22:83" x14ac:dyDescent="0.25">
      <c r="V112" s="449" t="str">
        <f>'[1]Strohs Plant in Service'!$C115</f>
        <v>Mains, Tanks and Reservoirs (50)</v>
      </c>
      <c r="W112" s="292" t="str">
        <f>'[1]Strohs Plant in Service'!$D115</f>
        <v>Mains (CIAC) - Strohs (472)</v>
      </c>
      <c r="X112" s="293">
        <f>'[1]Strohs Plant in Service'!$E115</f>
        <v>45231</v>
      </c>
      <c r="Y112" s="297">
        <f>'[1]Strohs Plant in Service'!$F115</f>
        <v>255158.94</v>
      </c>
      <c r="Z112" s="248"/>
      <c r="AA112" s="294">
        <f>'[1]Strohs Plant in Service'!$G$11/12</f>
        <v>6</v>
      </c>
      <c r="AB112" s="219">
        <f>('[1]Strohs Plant in Service'!$G115-'[1]Strohs Plant in Service'!$H115)/12</f>
        <v>1.4166666666666667</v>
      </c>
      <c r="AC112" s="219">
        <f>'[1]Strohs Plant in Service'!$I115</f>
        <v>13085.073846153848</v>
      </c>
      <c r="AD112" s="219"/>
      <c r="AE112" s="220">
        <f>'[1]Strohs Plant in Service'!$J115</f>
        <v>18905.669999999998</v>
      </c>
      <c r="AF112" s="221">
        <v>236253.27000000002</v>
      </c>
      <c r="AG112" s="204"/>
      <c r="AH112" s="178"/>
      <c r="AI112" s="174"/>
      <c r="AJ112" s="179"/>
      <c r="AK112" s="247"/>
      <c r="AL112" s="248"/>
      <c r="AM112" s="294"/>
      <c r="AN112" s="219"/>
      <c r="AO112" s="219"/>
      <c r="AP112" s="219"/>
      <c r="AQ112" s="220"/>
      <c r="AR112" s="221"/>
      <c r="AY112" s="628"/>
      <c r="AZ112" s="470">
        <v>0.75</v>
      </c>
      <c r="BA112" s="466" t="s">
        <v>708</v>
      </c>
      <c r="BB112" s="211">
        <v>324</v>
      </c>
      <c r="BC112" s="211">
        <v>363</v>
      </c>
      <c r="BD112" s="211">
        <v>323</v>
      </c>
      <c r="BE112" s="211">
        <v>381</v>
      </c>
      <c r="BF112" s="211">
        <v>762</v>
      </c>
      <c r="BG112" s="211" t="s">
        <v>655</v>
      </c>
      <c r="BH112" s="211">
        <v>749</v>
      </c>
      <c r="BI112" s="211">
        <v>709</v>
      </c>
      <c r="BJ112" s="211">
        <v>634</v>
      </c>
      <c r="BK112" s="211">
        <v>392</v>
      </c>
      <c r="BL112" s="211">
        <v>415</v>
      </c>
      <c r="BM112" s="211">
        <v>378</v>
      </c>
      <c r="BO112" s="28">
        <f t="shared" si="7"/>
        <v>493.63636363636363</v>
      </c>
      <c r="BP112" s="28">
        <f t="shared" si="8"/>
        <v>5430</v>
      </c>
      <c r="BS112" s="217"/>
      <c r="BT112" s="217"/>
      <c r="BU112" s="134"/>
      <c r="BV112" s="217"/>
      <c r="BW112" s="217"/>
      <c r="BX112" s="217"/>
    </row>
    <row r="113" spans="22:76" x14ac:dyDescent="0.25">
      <c r="V113" s="449" t="str">
        <f>'[1]Strohs Plant in Service'!$C116</f>
        <v>Mains, Tanks and Reservoirs (50)</v>
      </c>
      <c r="W113" s="292" t="str">
        <f>'[1]Strohs Plant in Service'!$D116</f>
        <v>Mains (CIAC) - Strohs (075)</v>
      </c>
      <c r="X113" s="293">
        <f>'[1]Strohs Plant in Service'!$E116</f>
        <v>45231</v>
      </c>
      <c r="Y113" s="297">
        <f>'[1]Strohs Plant in Service'!$F116</f>
        <v>11778.49</v>
      </c>
      <c r="Z113" s="248"/>
      <c r="AA113" s="294">
        <f>'[1]Strohs Plant in Service'!$G$11/12</f>
        <v>6</v>
      </c>
      <c r="AB113" s="219">
        <f>('[1]Strohs Plant in Service'!$G116-'[1]Strohs Plant in Service'!$H116)/12</f>
        <v>1.4166666666666667</v>
      </c>
      <c r="AC113" s="219">
        <f>'[1]Strohs Plant in Service'!$I116</f>
        <v>604.02512820512823</v>
      </c>
      <c r="AD113" s="219"/>
      <c r="AE113" s="220">
        <f>'[1]Strohs Plant in Service'!$J116</f>
        <v>906.1</v>
      </c>
      <c r="AF113" s="221">
        <v>10872.39</v>
      </c>
      <c r="AG113" s="204"/>
      <c r="AH113" s="178"/>
      <c r="AI113" s="174"/>
      <c r="AJ113" s="179"/>
      <c r="AK113" s="247"/>
      <c r="AL113" s="248"/>
      <c r="AM113" s="294"/>
      <c r="AN113" s="219"/>
      <c r="AO113" s="219"/>
      <c r="AP113" s="219"/>
      <c r="AQ113" s="220"/>
      <c r="AR113" s="221"/>
      <c r="AY113" s="628"/>
      <c r="AZ113" s="470">
        <v>0.75</v>
      </c>
      <c r="BA113" s="466">
        <v>1022542471</v>
      </c>
      <c r="BB113" s="211">
        <v>636</v>
      </c>
      <c r="BC113" s="211">
        <v>513</v>
      </c>
      <c r="BD113" s="211">
        <v>591</v>
      </c>
      <c r="BE113" s="211">
        <v>687</v>
      </c>
      <c r="BF113" s="211">
        <v>3345</v>
      </c>
      <c r="BG113" s="211">
        <v>2468</v>
      </c>
      <c r="BH113" s="211">
        <v>4848</v>
      </c>
      <c r="BI113" s="211">
        <v>4113</v>
      </c>
      <c r="BJ113" s="211">
        <v>2743</v>
      </c>
      <c r="BK113" s="211">
        <v>1278</v>
      </c>
      <c r="BL113" s="211">
        <v>514</v>
      </c>
      <c r="BM113" s="211">
        <v>329</v>
      </c>
      <c r="BO113" s="28">
        <f t="shared" si="7"/>
        <v>1838.75</v>
      </c>
      <c r="BP113" s="28">
        <f t="shared" si="8"/>
        <v>22065</v>
      </c>
      <c r="BS113" s="217"/>
      <c r="BT113" s="217"/>
      <c r="BU113" s="134"/>
      <c r="BV113" s="217"/>
      <c r="BW113" s="217"/>
      <c r="BX113" s="217"/>
    </row>
    <row r="114" spans="22:76" x14ac:dyDescent="0.25">
      <c r="V114" s="449" t="str">
        <f>'[1]Strohs Plant in Service'!$C117</f>
        <v>Mains, Tanks and Reservoirs (50)</v>
      </c>
      <c r="W114" s="292" t="str">
        <f>'[1]Strohs Plant in Service'!$D117</f>
        <v>Mains - Strohs (472)</v>
      </c>
      <c r="X114" s="293">
        <f>'[1]Strohs Plant in Service'!$E117</f>
        <v>45231</v>
      </c>
      <c r="Y114" s="297">
        <f>'[1]Strohs Plant in Service'!$F117</f>
        <v>16151.2</v>
      </c>
      <c r="Z114" s="248"/>
      <c r="AA114" s="294">
        <f>'[1]Strohs Plant in Service'!$G$11/12</f>
        <v>6</v>
      </c>
      <c r="AB114" s="219">
        <f>('[1]Strohs Plant in Service'!$G117-'[1]Strohs Plant in Service'!$H117)/12</f>
        <v>1.4166666666666667</v>
      </c>
      <c r="AC114" s="219">
        <f>'[1]Strohs Plant in Service'!$I117</f>
        <v>828.26666666666665</v>
      </c>
      <c r="AD114" s="219"/>
      <c r="AE114" s="220">
        <f>'[1]Strohs Plant in Service'!$J117</f>
        <v>1242.3699999999999</v>
      </c>
      <c r="AF114" s="221">
        <v>14908.830000000002</v>
      </c>
      <c r="AG114" s="204"/>
      <c r="AH114" s="178"/>
      <c r="AI114" s="174"/>
      <c r="AJ114" s="179"/>
      <c r="AK114" s="247"/>
      <c r="AL114" s="248"/>
      <c r="AM114" s="294"/>
      <c r="AN114" s="219"/>
      <c r="AO114" s="219"/>
      <c r="AP114" s="219"/>
      <c r="AQ114" s="220"/>
      <c r="AR114" s="221"/>
      <c r="AY114" s="628"/>
      <c r="AZ114" s="470">
        <v>0.75</v>
      </c>
      <c r="BA114" s="466">
        <v>1034603768</v>
      </c>
      <c r="BB114" s="211">
        <v>331</v>
      </c>
      <c r="BC114" s="211">
        <v>262</v>
      </c>
      <c r="BD114" s="211">
        <v>304</v>
      </c>
      <c r="BE114" s="211">
        <v>501</v>
      </c>
      <c r="BF114" s="211">
        <v>231</v>
      </c>
      <c r="BG114" s="211">
        <v>31</v>
      </c>
      <c r="BH114" s="211">
        <v>1387</v>
      </c>
      <c r="BI114" s="211">
        <v>380</v>
      </c>
      <c r="BJ114" s="211">
        <v>316</v>
      </c>
      <c r="BK114" s="211">
        <v>397</v>
      </c>
      <c r="BL114" s="211">
        <v>412</v>
      </c>
      <c r="BM114" s="211">
        <v>145</v>
      </c>
      <c r="BO114" s="28">
        <f t="shared" si="7"/>
        <v>391.41666666666669</v>
      </c>
      <c r="BP114" s="28">
        <f t="shared" si="8"/>
        <v>4697</v>
      </c>
      <c r="BS114" s="217"/>
      <c r="BT114" s="217"/>
      <c r="BU114" s="134"/>
      <c r="BV114" s="217"/>
      <c r="BW114" s="217"/>
      <c r="BX114" s="217"/>
    </row>
    <row r="115" spans="22:76" x14ac:dyDescent="0.25">
      <c r="V115" s="449" t="str">
        <f>'[1]Strohs Plant in Service'!$C118</f>
        <v>Mains, Tanks and Reservoirs (50)</v>
      </c>
      <c r="W115" s="292" t="str">
        <f>'[1]Strohs Plant in Service'!$D118</f>
        <v>Mains (CIAC) - Strohs (075)</v>
      </c>
      <c r="X115" s="293">
        <f>'[1]Strohs Plant in Service'!$E118</f>
        <v>45231</v>
      </c>
      <c r="Y115" s="297">
        <f>'[1]Strohs Plant in Service'!$F118</f>
        <v>6375.3</v>
      </c>
      <c r="Z115" s="248"/>
      <c r="AA115" s="294">
        <f>'[1]Strohs Plant in Service'!$G$11/12</f>
        <v>6</v>
      </c>
      <c r="AB115" s="219">
        <f>('[1]Strohs Plant in Service'!$G118-'[1]Strohs Plant in Service'!$H118)/12</f>
        <v>1.4166666666666667</v>
      </c>
      <c r="AC115" s="219">
        <f>'[1]Strohs Plant in Service'!$I118</f>
        <v>326.93846153846152</v>
      </c>
      <c r="AD115" s="219"/>
      <c r="AE115" s="220">
        <f>'[1]Strohs Plant in Service'!$J118</f>
        <v>490.38</v>
      </c>
      <c r="AF115" s="221">
        <v>5884.92</v>
      </c>
      <c r="AG115" s="204"/>
      <c r="AH115" s="178"/>
      <c r="AI115" s="174"/>
      <c r="AJ115" s="179"/>
      <c r="AK115" s="247"/>
      <c r="AL115" s="248"/>
      <c r="AM115" s="294"/>
      <c r="AN115" s="219"/>
      <c r="AO115" s="219"/>
      <c r="AP115" s="219"/>
      <c r="AQ115" s="220"/>
      <c r="AR115" s="221"/>
      <c r="AY115" s="628"/>
      <c r="AZ115" s="470">
        <v>0.75</v>
      </c>
      <c r="BA115" s="466">
        <v>1051743670</v>
      </c>
      <c r="BB115" s="211">
        <v>328</v>
      </c>
      <c r="BC115" s="211">
        <v>484</v>
      </c>
      <c r="BD115" s="211">
        <v>316</v>
      </c>
      <c r="BE115" s="211">
        <v>282</v>
      </c>
      <c r="BF115" s="211">
        <v>1008</v>
      </c>
      <c r="BG115" s="211">
        <v>953</v>
      </c>
      <c r="BH115" s="211">
        <v>2972</v>
      </c>
      <c r="BI115" s="211">
        <v>3361</v>
      </c>
      <c r="BJ115" s="211">
        <v>2526</v>
      </c>
      <c r="BK115" s="211">
        <v>1726</v>
      </c>
      <c r="BL115" s="211">
        <v>1844</v>
      </c>
      <c r="BM115" s="211">
        <v>195</v>
      </c>
      <c r="BO115" s="28">
        <f t="shared" si="7"/>
        <v>1332.9166666666667</v>
      </c>
      <c r="BP115" s="28">
        <f t="shared" si="8"/>
        <v>15995</v>
      </c>
      <c r="BS115" s="217"/>
      <c r="BT115" s="217"/>
      <c r="BU115" s="134"/>
      <c r="BV115" s="217"/>
      <c r="BW115" s="217"/>
      <c r="BX115" s="217"/>
    </row>
    <row r="116" spans="22:76" x14ac:dyDescent="0.25">
      <c r="V116" s="449" t="str">
        <f>'[1]Strohs Plant in Service'!$C119</f>
        <v>Mains, Tanks and Reservoirs (50)</v>
      </c>
      <c r="W116" s="292" t="str">
        <f>'[1]Strohs Plant in Service'!$D119</f>
        <v>Mains - Strohs (472)</v>
      </c>
      <c r="X116" s="293">
        <f>'[1]Strohs Plant in Service'!$E119</f>
        <v>45231</v>
      </c>
      <c r="Y116" s="297">
        <f>'[1]Strohs Plant in Service'!$F119</f>
        <v>3540.77</v>
      </c>
      <c r="Z116" s="248"/>
      <c r="AA116" s="294">
        <f>'[1]Strohs Plant in Service'!$G$11/12</f>
        <v>6</v>
      </c>
      <c r="AB116" s="219">
        <f>('[1]Strohs Plant in Service'!$G119-'[1]Strohs Plant in Service'!$H119)/12</f>
        <v>1.4166666666666667</v>
      </c>
      <c r="AC116" s="219">
        <f>'[1]Strohs Plant in Service'!$I119</f>
        <v>181.57794871794871</v>
      </c>
      <c r="AD116" s="219"/>
      <c r="AE116" s="220">
        <f>'[1]Strohs Plant in Service'!$J119</f>
        <v>272.35000000000002</v>
      </c>
      <c r="AF116" s="221">
        <v>3268.42</v>
      </c>
      <c r="AG116" s="204"/>
      <c r="AH116" s="178"/>
      <c r="AI116" s="174"/>
      <c r="AJ116" s="179"/>
      <c r="AK116" s="247"/>
      <c r="AL116" s="248"/>
      <c r="AM116" s="294"/>
      <c r="AN116" s="219"/>
      <c r="AO116" s="219"/>
      <c r="AP116" s="219"/>
      <c r="AQ116" s="220"/>
      <c r="AR116" s="221"/>
      <c r="AY116" s="628"/>
      <c r="AZ116" s="470">
        <v>0.75</v>
      </c>
      <c r="BA116" s="466">
        <v>1094045815</v>
      </c>
      <c r="BB116" s="211">
        <v>564</v>
      </c>
      <c r="BC116" s="211">
        <v>515</v>
      </c>
      <c r="BD116" s="211">
        <v>663</v>
      </c>
      <c r="BE116" s="211">
        <v>662</v>
      </c>
      <c r="BF116" s="211">
        <v>703</v>
      </c>
      <c r="BG116" s="211">
        <v>641</v>
      </c>
      <c r="BH116" s="211">
        <v>1620</v>
      </c>
      <c r="BI116" s="211">
        <v>884</v>
      </c>
      <c r="BJ116" s="211">
        <v>641</v>
      </c>
      <c r="BK116" s="211">
        <v>666</v>
      </c>
      <c r="BL116" s="211">
        <v>580</v>
      </c>
      <c r="BM116" s="211">
        <v>202</v>
      </c>
      <c r="BO116" s="28">
        <f t="shared" si="7"/>
        <v>695.08333333333337</v>
      </c>
      <c r="BP116" s="28">
        <f t="shared" si="8"/>
        <v>8341</v>
      </c>
      <c r="BS116" s="217"/>
      <c r="BT116" s="217"/>
      <c r="BU116" s="134"/>
      <c r="BV116" s="217"/>
      <c r="BW116" s="217"/>
      <c r="BX116" s="217"/>
    </row>
    <row r="117" spans="22:76" x14ac:dyDescent="0.25">
      <c r="V117" s="449" t="str">
        <f>'[1]Strohs Plant in Service'!$C120</f>
        <v>Mains, Tanks and Reservoirs (50)</v>
      </c>
      <c r="W117" s="292" t="str">
        <f>'[1]Strohs Plant in Service'!$D120</f>
        <v>Mains (CIAC) - Strohs (075)</v>
      </c>
      <c r="X117" s="293">
        <f>'[1]Strohs Plant in Service'!$E120</f>
        <v>45231</v>
      </c>
      <c r="Y117" s="297">
        <f>'[1]Strohs Plant in Service'!$F120</f>
        <v>200.28</v>
      </c>
      <c r="Z117" s="248"/>
      <c r="AA117" s="294">
        <f>'[1]Strohs Plant in Service'!$G$11/12</f>
        <v>6</v>
      </c>
      <c r="AB117" s="219">
        <f>('[1]Strohs Plant in Service'!$G120-'[1]Strohs Plant in Service'!$H120)/12</f>
        <v>1.4166666666666667</v>
      </c>
      <c r="AC117" s="219">
        <f>'[1]Strohs Plant in Service'!$I120</f>
        <v>10.270769230769231</v>
      </c>
      <c r="AD117" s="219"/>
      <c r="AE117" s="220">
        <f>'[1]Strohs Plant in Service'!$J120</f>
        <v>15.46</v>
      </c>
      <c r="AF117" s="221">
        <v>184.82</v>
      </c>
      <c r="AG117" s="204"/>
      <c r="AH117" s="178"/>
      <c r="AI117" s="174"/>
      <c r="AJ117" s="179"/>
      <c r="AK117" s="247"/>
      <c r="AL117" s="248"/>
      <c r="AM117" s="294"/>
      <c r="AN117" s="219"/>
      <c r="AO117" s="219"/>
      <c r="AP117" s="219"/>
      <c r="AQ117" s="220"/>
      <c r="AR117" s="221"/>
      <c r="AY117" s="628"/>
      <c r="AZ117" s="470">
        <v>1</v>
      </c>
      <c r="BA117" s="466">
        <v>1110149011</v>
      </c>
      <c r="BB117" s="211">
        <v>4</v>
      </c>
      <c r="BC117" s="211" t="s">
        <v>655</v>
      </c>
      <c r="BD117" s="211">
        <v>2</v>
      </c>
      <c r="BE117" s="211">
        <v>2</v>
      </c>
      <c r="BF117" s="211">
        <v>9</v>
      </c>
      <c r="BG117" s="211">
        <v>3056</v>
      </c>
      <c r="BH117" s="211">
        <v>13319</v>
      </c>
      <c r="BI117" s="211">
        <v>12447</v>
      </c>
      <c r="BJ117" s="211">
        <v>14646</v>
      </c>
      <c r="BK117" s="211">
        <v>6433</v>
      </c>
      <c r="BL117" s="211">
        <v>1</v>
      </c>
      <c r="BM117" s="211">
        <v>1</v>
      </c>
      <c r="BO117" s="28">
        <f t="shared" si="7"/>
        <v>4538.181818181818</v>
      </c>
      <c r="BP117" s="28">
        <f t="shared" si="8"/>
        <v>49920</v>
      </c>
      <c r="BS117" s="217"/>
      <c r="BT117" s="217"/>
      <c r="BU117" s="134"/>
      <c r="BV117" s="217"/>
      <c r="BW117" s="217"/>
      <c r="BX117" s="217"/>
    </row>
    <row r="118" spans="22:76" x14ac:dyDescent="0.25">
      <c r="V118" s="449" t="str">
        <f>'[1]Strohs Plant in Service'!$C121</f>
        <v>Mains, Tanks and Reservoirs (50)</v>
      </c>
      <c r="W118" s="292" t="str">
        <f>'[1]Strohs Plant in Service'!$D121</f>
        <v>Mains - Strohs (075)</v>
      </c>
      <c r="X118" s="293">
        <f>'[1]Strohs Plant in Service'!$E121</f>
        <v>45231</v>
      </c>
      <c r="Y118" s="297">
        <f>'[1]Strohs Plant in Service'!$F121</f>
        <v>6995.71</v>
      </c>
      <c r="Z118" s="248"/>
      <c r="AA118" s="294">
        <f>'[1]Strohs Plant in Service'!$G$11/12</f>
        <v>6</v>
      </c>
      <c r="AB118" s="219">
        <f>('[1]Strohs Plant in Service'!$G121-'[1]Strohs Plant in Service'!$H121)/12</f>
        <v>1.4166666666666667</v>
      </c>
      <c r="AC118" s="219">
        <f>'[1]Strohs Plant in Service'!$I121</f>
        <v>358.75435897435898</v>
      </c>
      <c r="AD118" s="219"/>
      <c r="AE118" s="220">
        <f>'[1]Strohs Plant in Service'!$J121</f>
        <v>538.17999999999995</v>
      </c>
      <c r="AF118" s="221">
        <v>6457.53</v>
      </c>
      <c r="AG118" s="204"/>
      <c r="AH118" s="178"/>
      <c r="AI118" s="174"/>
      <c r="AJ118" s="179"/>
      <c r="AK118" s="247"/>
      <c r="AL118" s="248"/>
      <c r="AM118" s="294"/>
      <c r="AN118" s="219"/>
      <c r="AO118" s="219"/>
      <c r="AP118" s="219"/>
      <c r="AQ118" s="220"/>
      <c r="AR118" s="221"/>
      <c r="AY118" s="628"/>
      <c r="AZ118" s="470">
        <v>0.625</v>
      </c>
      <c r="BA118" s="466">
        <v>1111211890</v>
      </c>
      <c r="BB118" s="211">
        <v>198</v>
      </c>
      <c r="BC118" s="211">
        <v>198</v>
      </c>
      <c r="BD118" s="211">
        <v>179</v>
      </c>
      <c r="BE118" s="211">
        <v>856</v>
      </c>
      <c r="BF118" s="211">
        <v>1372</v>
      </c>
      <c r="BG118" s="211">
        <v>1617</v>
      </c>
      <c r="BH118" s="211">
        <v>4670</v>
      </c>
      <c r="BI118" s="211">
        <v>4443</v>
      </c>
      <c r="BJ118" s="211">
        <v>2929</v>
      </c>
      <c r="BK118" s="211">
        <v>539</v>
      </c>
      <c r="BL118" s="211">
        <v>330</v>
      </c>
      <c r="BM118" s="211">
        <v>156</v>
      </c>
      <c r="BO118" s="28">
        <f t="shared" si="7"/>
        <v>1457.25</v>
      </c>
      <c r="BP118" s="28">
        <f t="shared" si="8"/>
        <v>17487</v>
      </c>
      <c r="BS118" s="217"/>
      <c r="BT118" s="217"/>
      <c r="BU118" s="134"/>
      <c r="BV118" s="217"/>
      <c r="BW118" s="217"/>
      <c r="BX118" s="217"/>
    </row>
    <row r="119" spans="22:76" x14ac:dyDescent="0.25">
      <c r="V119" s="449" t="str">
        <f>'[1]Strohs Plant in Service'!$C122</f>
        <v>Mains, Tanks and Reservoirs (50)</v>
      </c>
      <c r="W119" s="292" t="str">
        <f>'[1]Strohs Plant in Service'!$D122</f>
        <v>Mains - Strohs (472)</v>
      </c>
      <c r="X119" s="293">
        <f>'[1]Strohs Plant in Service'!$E122</f>
        <v>45231</v>
      </c>
      <c r="Y119" s="297">
        <f>'[1]Strohs Plant in Service'!$F122</f>
        <v>44315.23</v>
      </c>
      <c r="Z119" s="248"/>
      <c r="AA119" s="294">
        <f>'[1]Strohs Plant in Service'!$G$11/12</f>
        <v>6</v>
      </c>
      <c r="AB119" s="219">
        <f>('[1]Strohs Plant in Service'!$G122-'[1]Strohs Plant in Service'!$H122)/12</f>
        <v>1.4166666666666667</v>
      </c>
      <c r="AC119" s="219">
        <f>'[1]Strohs Plant in Service'!$I122</f>
        <v>2272.5758974358978</v>
      </c>
      <c r="AD119" s="219"/>
      <c r="AE119" s="220">
        <f>'[1]Strohs Plant in Service'!$J122</f>
        <v>3408.85</v>
      </c>
      <c r="AF119" s="221">
        <v>40906.380000000005</v>
      </c>
      <c r="AG119" s="204"/>
      <c r="AH119" s="178"/>
      <c r="AI119" s="174"/>
      <c r="AJ119" s="179"/>
      <c r="AK119" s="247"/>
      <c r="AL119" s="248"/>
      <c r="AM119" s="294"/>
      <c r="AN119" s="219"/>
      <c r="AO119" s="219"/>
      <c r="AP119" s="219"/>
      <c r="AQ119" s="220"/>
      <c r="AR119" s="221"/>
      <c r="AY119" s="628"/>
      <c r="AZ119" s="470">
        <v>0.625</v>
      </c>
      <c r="BA119" s="466">
        <v>1117741789</v>
      </c>
      <c r="BB119" s="211">
        <v>201</v>
      </c>
      <c r="BC119" s="211">
        <v>200</v>
      </c>
      <c r="BD119" s="211">
        <v>186</v>
      </c>
      <c r="BE119" s="211">
        <v>221</v>
      </c>
      <c r="BF119" s="211">
        <v>184</v>
      </c>
      <c r="BG119" s="211">
        <v>381</v>
      </c>
      <c r="BH119" s="211">
        <v>1104</v>
      </c>
      <c r="BI119" s="211" t="s">
        <v>655</v>
      </c>
      <c r="BJ119" s="211">
        <v>1</v>
      </c>
      <c r="BK119" s="211" t="s">
        <v>655</v>
      </c>
      <c r="BL119" s="211">
        <v>275</v>
      </c>
      <c r="BM119" s="211">
        <v>565</v>
      </c>
      <c r="BO119" s="28">
        <f t="shared" si="7"/>
        <v>331.8</v>
      </c>
      <c r="BP119" s="28">
        <f t="shared" si="8"/>
        <v>3318</v>
      </c>
      <c r="BS119" s="217"/>
      <c r="BT119" s="217"/>
      <c r="BU119" s="134"/>
      <c r="BV119" s="217"/>
      <c r="BW119" s="217"/>
      <c r="BX119" s="217"/>
    </row>
    <row r="120" spans="22:76" x14ac:dyDescent="0.25">
      <c r="V120" s="449" t="str">
        <f>'[1]Strohs Plant in Service'!$C123</f>
        <v>Mains, Tanks and Reservoirs (50)</v>
      </c>
      <c r="W120" s="292" t="str">
        <f>'[1]Strohs Plant in Service'!$D123</f>
        <v>Mains (CIAC) - Strohs (472)</v>
      </c>
      <c r="X120" s="293">
        <f>'[1]Strohs Plant in Service'!$E123</f>
        <v>45231</v>
      </c>
      <c r="Y120" s="297">
        <f>'[1]Strohs Plant in Service'!$F123</f>
        <v>4262.1499999999996</v>
      </c>
      <c r="Z120" s="248"/>
      <c r="AA120" s="294">
        <f>'[1]Strohs Plant in Service'!$G$11/12</f>
        <v>6</v>
      </c>
      <c r="AB120" s="219">
        <f>('[1]Strohs Plant in Service'!$G123-'[1]Strohs Plant in Service'!$H123)/12</f>
        <v>1.4166666666666667</v>
      </c>
      <c r="AC120" s="219">
        <f>'[1]Strohs Plant in Service'!$I123</f>
        <v>218.57179487179485</v>
      </c>
      <c r="AD120" s="219"/>
      <c r="AE120" s="220">
        <f>'[1]Strohs Plant in Service'!$J123</f>
        <v>327.8</v>
      </c>
      <c r="AF120" s="221">
        <v>3934.3499999999995</v>
      </c>
      <c r="AG120" s="204"/>
      <c r="AH120" s="178"/>
      <c r="AI120" s="174"/>
      <c r="AJ120" s="179"/>
      <c r="AK120" s="247"/>
      <c r="AL120" s="248"/>
      <c r="AM120" s="294"/>
      <c r="AN120" s="219"/>
      <c r="AO120" s="219"/>
      <c r="AP120" s="219"/>
      <c r="AQ120" s="220"/>
      <c r="AR120" s="221"/>
      <c r="AY120" s="628"/>
      <c r="AZ120" s="470">
        <v>0.625</v>
      </c>
      <c r="BA120" s="466">
        <v>1132517750</v>
      </c>
      <c r="BB120" s="211">
        <v>467</v>
      </c>
      <c r="BC120" s="211">
        <v>339</v>
      </c>
      <c r="BD120" s="211">
        <v>353</v>
      </c>
      <c r="BE120" s="211">
        <v>483</v>
      </c>
      <c r="BF120" s="211">
        <v>322</v>
      </c>
      <c r="BG120" s="211">
        <v>267</v>
      </c>
      <c r="BH120" s="211">
        <v>738</v>
      </c>
      <c r="BI120" s="211">
        <v>300</v>
      </c>
      <c r="BJ120" s="211">
        <v>439</v>
      </c>
      <c r="BK120" s="211">
        <v>120</v>
      </c>
      <c r="BL120" s="211">
        <v>249</v>
      </c>
      <c r="BM120" s="211">
        <v>296</v>
      </c>
      <c r="BO120" s="28">
        <f t="shared" si="7"/>
        <v>364.41666666666669</v>
      </c>
      <c r="BP120" s="28">
        <f t="shared" si="8"/>
        <v>4373</v>
      </c>
      <c r="BS120" s="217"/>
      <c r="BT120" s="217"/>
      <c r="BU120" s="134"/>
      <c r="BV120" s="217"/>
      <c r="BW120" s="217"/>
      <c r="BX120" s="217"/>
    </row>
    <row r="121" spans="22:76" x14ac:dyDescent="0.25">
      <c r="V121" s="449" t="str">
        <f>'[1]Strohs Plant in Service'!$C124</f>
        <v>Mains, Tanks and Reservoirs (50)</v>
      </c>
      <c r="W121" s="292" t="str">
        <f>'[1]Strohs Plant in Service'!$D124</f>
        <v>PR Station (CIAC) - Strohs (472)</v>
      </c>
      <c r="X121" s="293">
        <f>'[1]Strohs Plant in Service'!$E124</f>
        <v>45231</v>
      </c>
      <c r="Y121" s="297">
        <f>'[1]Strohs Plant in Service'!$F124</f>
        <v>18197.330000000002</v>
      </c>
      <c r="Z121" s="248"/>
      <c r="AA121" s="294">
        <f>'[1]Strohs Plant in Service'!$G$11/12</f>
        <v>6</v>
      </c>
      <c r="AB121" s="219">
        <f>('[1]Strohs Plant in Service'!$G124-'[1]Strohs Plant in Service'!$H124)/12</f>
        <v>1.4166666666666667</v>
      </c>
      <c r="AC121" s="219">
        <f>'[1]Strohs Plant in Service'!$I124</f>
        <v>933.19641025641033</v>
      </c>
      <c r="AD121" s="219"/>
      <c r="AE121" s="220">
        <f>'[1]Strohs Plant in Service'!$J124</f>
        <v>1399.84</v>
      </c>
      <c r="AF121" s="221">
        <v>16797.490000000002</v>
      </c>
      <c r="AG121" s="204"/>
      <c r="AH121" s="178"/>
      <c r="AI121" s="174"/>
      <c r="AJ121" s="179"/>
      <c r="AK121" s="247"/>
      <c r="AL121" s="248"/>
      <c r="AM121" s="294"/>
      <c r="AN121" s="219"/>
      <c r="AO121" s="219"/>
      <c r="AP121" s="219"/>
      <c r="AQ121" s="220"/>
      <c r="AR121" s="221"/>
      <c r="AY121" s="628"/>
      <c r="AZ121" s="470">
        <v>0.75</v>
      </c>
      <c r="BA121" s="466">
        <v>1134539614</v>
      </c>
      <c r="BB121" s="211">
        <v>356</v>
      </c>
      <c r="BC121" s="211">
        <v>458</v>
      </c>
      <c r="BD121" s="211">
        <v>500</v>
      </c>
      <c r="BE121" s="211">
        <v>578</v>
      </c>
      <c r="BF121" s="211">
        <v>616</v>
      </c>
      <c r="BG121" s="211">
        <v>370</v>
      </c>
      <c r="BH121" s="211">
        <v>704</v>
      </c>
      <c r="BI121" s="211">
        <v>2140</v>
      </c>
      <c r="BJ121" s="211">
        <v>3309</v>
      </c>
      <c r="BK121" s="211">
        <v>826</v>
      </c>
      <c r="BL121" s="211">
        <v>1300</v>
      </c>
      <c r="BM121" s="211">
        <v>1050</v>
      </c>
      <c r="BO121" s="28">
        <f t="shared" si="7"/>
        <v>1017.25</v>
      </c>
      <c r="BP121" s="28">
        <f t="shared" si="8"/>
        <v>12207</v>
      </c>
      <c r="BS121" s="217"/>
      <c r="BT121" s="217"/>
      <c r="BU121" s="134"/>
      <c r="BV121" s="217"/>
      <c r="BW121" s="217"/>
      <c r="BX121" s="217"/>
    </row>
    <row r="122" spans="22:76" x14ac:dyDescent="0.25">
      <c r="V122" s="449" t="str">
        <f>'[1]Strohs Plant in Service'!$C125</f>
        <v>Mains, Tanks and Reservoirs (50)</v>
      </c>
      <c r="W122" s="292" t="str">
        <f>'[1]Strohs Plant in Service'!$D125</f>
        <v>PR Valve Gust - Fillmore - Strohs</v>
      </c>
      <c r="X122" s="293">
        <f>'[1]Strohs Plant in Service'!$E125</f>
        <v>45231</v>
      </c>
      <c r="Y122" s="297">
        <f>'[1]Strohs Plant in Service'!$F125</f>
        <v>2342.17</v>
      </c>
      <c r="Z122" s="248"/>
      <c r="AA122" s="294">
        <f>'[1]Strohs Plant in Service'!$G$11/12</f>
        <v>6</v>
      </c>
      <c r="AB122" s="219">
        <f>('[1]Strohs Plant in Service'!$G125-'[1]Strohs Plant in Service'!$H125)/12</f>
        <v>1.4166666666666667</v>
      </c>
      <c r="AC122" s="219">
        <f>'[1]Strohs Plant in Service'!$I125</f>
        <v>120.11128205128206</v>
      </c>
      <c r="AD122" s="219"/>
      <c r="AE122" s="220">
        <f>'[1]Strohs Plant in Service'!$J125</f>
        <v>180.18</v>
      </c>
      <c r="AF122" s="221">
        <v>2161.9900000000002</v>
      </c>
      <c r="AG122" s="204"/>
      <c r="AH122" s="178"/>
      <c r="AI122" s="174"/>
      <c r="AJ122" s="179"/>
      <c r="AK122" s="247"/>
      <c r="AL122" s="248"/>
      <c r="AM122" s="294"/>
      <c r="AN122" s="219"/>
      <c r="AO122" s="219"/>
      <c r="AP122" s="219"/>
      <c r="AQ122" s="220"/>
      <c r="AR122" s="221"/>
      <c r="AY122" s="628"/>
      <c r="AZ122" s="470">
        <v>0.75</v>
      </c>
      <c r="BA122" s="466">
        <v>1137609815</v>
      </c>
      <c r="BB122" s="211">
        <v>823</v>
      </c>
      <c r="BC122" s="211">
        <v>770</v>
      </c>
      <c r="BD122" s="211">
        <v>819</v>
      </c>
      <c r="BE122" s="211">
        <v>876</v>
      </c>
      <c r="BF122" s="211">
        <v>777</v>
      </c>
      <c r="BG122" s="211">
        <v>724</v>
      </c>
      <c r="BH122" s="211">
        <v>1311</v>
      </c>
      <c r="BI122" s="211">
        <v>823</v>
      </c>
      <c r="BJ122" s="211">
        <v>821</v>
      </c>
      <c r="BK122" s="211">
        <v>735</v>
      </c>
      <c r="BL122" s="211">
        <v>751</v>
      </c>
      <c r="BM122" s="211">
        <v>764</v>
      </c>
      <c r="BO122" s="28">
        <f t="shared" si="7"/>
        <v>832.83333333333337</v>
      </c>
      <c r="BP122" s="28">
        <f t="shared" si="8"/>
        <v>9994</v>
      </c>
      <c r="BS122" s="217"/>
      <c r="BT122" s="217"/>
      <c r="BU122" s="134"/>
      <c r="BV122" s="217"/>
      <c r="BW122" s="217"/>
      <c r="BX122" s="217"/>
    </row>
    <row r="123" spans="22:76" x14ac:dyDescent="0.25">
      <c r="V123" s="449" t="str">
        <f>'[1]Strohs Plant in Service'!$C126</f>
        <v>Mains, Tanks and Reservoirs (50)</v>
      </c>
      <c r="W123" s="292" t="str">
        <f>'[1]Strohs Plant in Service'!$D126</f>
        <v>Mains - Strohs (472)</v>
      </c>
      <c r="X123" s="293">
        <f>'[1]Strohs Plant in Service'!$E126</f>
        <v>45231</v>
      </c>
      <c r="Y123" s="297">
        <f>'[1]Strohs Plant in Service'!$F126</f>
        <v>32250.42</v>
      </c>
      <c r="Z123" s="248"/>
      <c r="AA123" s="294">
        <f>'[1]Strohs Plant in Service'!$G$11/12</f>
        <v>6</v>
      </c>
      <c r="AB123" s="219">
        <f>('[1]Strohs Plant in Service'!$G126-'[1]Strohs Plant in Service'!$H126)/12</f>
        <v>1.4166666666666667</v>
      </c>
      <c r="AC123" s="219">
        <f>'[1]Strohs Plant in Service'!$I126</f>
        <v>1653.8676923076921</v>
      </c>
      <c r="AD123" s="219"/>
      <c r="AE123" s="220">
        <f>'[1]Strohs Plant in Service'!$J126</f>
        <v>2480.77</v>
      </c>
      <c r="AF123" s="221">
        <v>29769.649999999998</v>
      </c>
      <c r="AG123" s="204"/>
      <c r="AH123" s="178"/>
      <c r="AI123" s="174"/>
      <c r="AJ123" s="179"/>
      <c r="AK123" s="247"/>
      <c r="AL123" s="248"/>
      <c r="AM123" s="294"/>
      <c r="AN123" s="219"/>
      <c r="AO123" s="219"/>
      <c r="AP123" s="219"/>
      <c r="AQ123" s="220"/>
      <c r="AR123" s="221"/>
      <c r="AY123" s="628"/>
      <c r="AZ123" s="470">
        <v>0.75</v>
      </c>
      <c r="BA123" s="466">
        <v>1144639053</v>
      </c>
      <c r="BB123" s="211">
        <v>180</v>
      </c>
      <c r="BC123" s="211">
        <v>202</v>
      </c>
      <c r="BD123" s="211">
        <v>199</v>
      </c>
      <c r="BE123" s="211">
        <v>243</v>
      </c>
      <c r="BF123" s="211">
        <v>191</v>
      </c>
      <c r="BG123" s="211">
        <v>394</v>
      </c>
      <c r="BH123" s="211">
        <v>533</v>
      </c>
      <c r="BI123" s="211">
        <v>769</v>
      </c>
      <c r="BJ123" s="211">
        <v>210</v>
      </c>
      <c r="BK123" s="211">
        <v>204</v>
      </c>
      <c r="BL123" s="211">
        <v>37</v>
      </c>
      <c r="BM123" s="211">
        <v>278</v>
      </c>
      <c r="BO123" s="28">
        <f t="shared" si="7"/>
        <v>286.66666666666669</v>
      </c>
      <c r="BP123" s="28">
        <f t="shared" si="8"/>
        <v>3440</v>
      </c>
      <c r="BS123" s="217"/>
      <c r="BT123" s="217"/>
      <c r="BU123" s="134"/>
      <c r="BV123" s="217"/>
      <c r="BW123" s="217"/>
      <c r="BX123" s="217"/>
    </row>
    <row r="124" spans="22:76" x14ac:dyDescent="0.25">
      <c r="V124" s="449" t="str">
        <f>'[1]Strohs Plant in Service'!$C127</f>
        <v>Plant, Structures, and Improvements (35)</v>
      </c>
      <c r="W124" s="292" t="str">
        <f>'[1]Strohs Plant in Service'!$D127</f>
        <v>Pumphouse (CIAC) parcel 3632000100</v>
      </c>
      <c r="X124" s="293">
        <f>'[1]Strohs Plant in Service'!$E127</f>
        <v>45231</v>
      </c>
      <c r="Y124" s="297">
        <f>'[1]Strohs Plant in Service'!$F127</f>
        <v>20279.28</v>
      </c>
      <c r="Z124" s="248"/>
      <c r="AA124" s="294">
        <f>'[1]Strohs Plant in Service'!$G$11/12</f>
        <v>6</v>
      </c>
      <c r="AB124" s="219">
        <f>('[1]Strohs Plant in Service'!$G127-'[1]Strohs Plant in Service'!$H127)/12</f>
        <v>25.833333333333332</v>
      </c>
      <c r="AC124" s="219">
        <f>'[1]Strohs Plant in Service'!$I127</f>
        <v>705.36626086956517</v>
      </c>
      <c r="AD124" s="219"/>
      <c r="AE124" s="220">
        <f>'[1]Strohs Plant in Service'!$J127</f>
        <v>18277.53</v>
      </c>
      <c r="AF124" s="221">
        <v>2001.75</v>
      </c>
      <c r="AG124" s="204"/>
      <c r="AH124" s="178"/>
      <c r="AI124" s="174"/>
      <c r="AJ124" s="179"/>
      <c r="AK124" s="247"/>
      <c r="AL124" s="248"/>
      <c r="AM124" s="294"/>
      <c r="AN124" s="219"/>
      <c r="AO124" s="219"/>
      <c r="AP124" s="219"/>
      <c r="AQ124" s="220"/>
      <c r="AR124" s="221"/>
      <c r="AY124" s="628"/>
      <c r="AZ124" s="470">
        <v>0.625</v>
      </c>
      <c r="BA124" s="466">
        <v>1145943059</v>
      </c>
      <c r="BB124" s="211">
        <v>205</v>
      </c>
      <c r="BC124" s="211">
        <v>1760</v>
      </c>
      <c r="BD124" s="211">
        <v>410</v>
      </c>
      <c r="BE124" s="211">
        <v>1462</v>
      </c>
      <c r="BF124" s="211">
        <v>875</v>
      </c>
      <c r="BG124" s="211">
        <v>905</v>
      </c>
      <c r="BH124" s="211">
        <v>1183</v>
      </c>
      <c r="BI124" s="211">
        <v>907</v>
      </c>
      <c r="BJ124" s="211">
        <v>1038</v>
      </c>
      <c r="BK124" s="211">
        <v>838</v>
      </c>
      <c r="BL124" s="211">
        <v>743</v>
      </c>
      <c r="BM124" s="211">
        <v>907</v>
      </c>
      <c r="BO124" s="28">
        <f t="shared" si="7"/>
        <v>936.08333333333337</v>
      </c>
      <c r="BP124" s="28">
        <f t="shared" si="8"/>
        <v>11233</v>
      </c>
      <c r="BS124" s="217"/>
      <c r="BT124" s="217"/>
      <c r="BU124" s="134"/>
      <c r="BV124" s="217"/>
      <c r="BW124" s="217"/>
      <c r="BX124" s="217"/>
    </row>
    <row r="125" spans="22:76" x14ac:dyDescent="0.25">
      <c r="V125" s="449" t="str">
        <f>'[1]Strohs Plant in Service'!$C128</f>
        <v>Plant, Structures, and Improvements (35)</v>
      </c>
      <c r="W125" s="292" t="str">
        <f>'[1]Strohs Plant in Service'!$D128</f>
        <v>Structures (CIAC) - Strohs (472)</v>
      </c>
      <c r="X125" s="293">
        <f>'[1]Strohs Plant in Service'!$E128</f>
        <v>45231</v>
      </c>
      <c r="Y125" s="297">
        <f>'[1]Strohs Plant in Service'!$F128</f>
        <v>531</v>
      </c>
      <c r="Z125" s="248"/>
      <c r="AA125" s="294">
        <f>'[1]Strohs Plant in Service'!$G$11/12</f>
        <v>6</v>
      </c>
      <c r="AB125" s="219">
        <f>('[1]Strohs Plant in Service'!$G128-'[1]Strohs Plant in Service'!$H128)/12</f>
        <v>24.2</v>
      </c>
      <c r="AC125" s="219">
        <f>'[1]Strohs Plant in Service'!$I128</f>
        <v>15.171428571428571</v>
      </c>
      <c r="AD125" s="219"/>
      <c r="AE125" s="220">
        <f>'[1]Strohs Plant in Service'!$J128</f>
        <v>368.36</v>
      </c>
      <c r="AF125" s="221">
        <v>162.63999999999999</v>
      </c>
      <c r="AG125" s="204"/>
      <c r="AH125" s="178"/>
      <c r="AI125" s="174"/>
      <c r="AJ125" s="179"/>
      <c r="AK125" s="247"/>
      <c r="AL125" s="248"/>
      <c r="AM125" s="294"/>
      <c r="AN125" s="219"/>
      <c r="AO125" s="219"/>
      <c r="AP125" s="219"/>
      <c r="AQ125" s="220"/>
      <c r="AR125" s="221"/>
      <c r="AY125" s="628"/>
      <c r="AZ125" s="470">
        <v>0.625</v>
      </c>
      <c r="BA125" s="466">
        <v>1156960980</v>
      </c>
      <c r="BB125" s="211">
        <v>67</v>
      </c>
      <c r="BC125" s="211">
        <v>100</v>
      </c>
      <c r="BD125" s="211">
        <v>86</v>
      </c>
      <c r="BE125" s="211">
        <v>364</v>
      </c>
      <c r="BF125" s="211">
        <v>62</v>
      </c>
      <c r="BG125" s="211">
        <v>24</v>
      </c>
      <c r="BH125" s="211">
        <v>87</v>
      </c>
      <c r="BI125" s="211">
        <v>90</v>
      </c>
      <c r="BJ125" s="211">
        <v>121</v>
      </c>
      <c r="BK125" s="211">
        <v>110</v>
      </c>
      <c r="BL125" s="211">
        <v>53</v>
      </c>
      <c r="BM125" s="211">
        <v>90</v>
      </c>
      <c r="BO125" s="28">
        <f t="shared" si="7"/>
        <v>104.5</v>
      </c>
      <c r="BP125" s="28">
        <f t="shared" si="8"/>
        <v>1254</v>
      </c>
      <c r="BS125" s="217"/>
      <c r="BT125" s="217"/>
      <c r="BU125" s="134"/>
      <c r="BV125" s="217"/>
      <c r="BW125" s="217"/>
      <c r="BX125" s="217"/>
    </row>
    <row r="126" spans="22:76" x14ac:dyDescent="0.25">
      <c r="V126" s="449" t="str">
        <f>'[1]Strohs Plant in Service'!$C129</f>
        <v>Plant, Structures, and Improvements (35)</v>
      </c>
      <c r="W126" s="292" t="str">
        <f>'[1]Strohs Plant in Service'!$D129</f>
        <v>Peacock Realty fence - asphalt - St</v>
      </c>
      <c r="X126" s="293">
        <f>'[1]Strohs Plant in Service'!$E129</f>
        <v>45231</v>
      </c>
      <c r="Y126" s="297">
        <f>'[1]Strohs Plant in Service'!$F129</f>
        <v>1437</v>
      </c>
      <c r="Z126" s="248"/>
      <c r="AA126" s="294">
        <f>'[1]Strohs Plant in Service'!$G$11/12</f>
        <v>6</v>
      </c>
      <c r="AB126" s="219">
        <f>('[1]Strohs Plant in Service'!$G129-'[1]Strohs Plant in Service'!$H129)/12</f>
        <v>23.416666666666668</v>
      </c>
      <c r="AC126" s="219">
        <f>'[1]Strohs Plant in Service'!$I129</f>
        <v>41.057142857142857</v>
      </c>
      <c r="AD126" s="219"/>
      <c r="AE126" s="220">
        <f>'[1]Strohs Plant in Service'!$J129</f>
        <v>964.82</v>
      </c>
      <c r="AF126" s="221">
        <v>472.17999999999995</v>
      </c>
      <c r="AG126" s="204"/>
      <c r="AH126" s="178"/>
      <c r="AI126" s="174"/>
      <c r="AJ126" s="179"/>
      <c r="AK126" s="247"/>
      <c r="AL126" s="248"/>
      <c r="AM126" s="294"/>
      <c r="AN126" s="219"/>
      <c r="AO126" s="219"/>
      <c r="AP126" s="219"/>
      <c r="AQ126" s="220"/>
      <c r="AR126" s="221"/>
      <c r="AY126" s="628"/>
      <c r="AZ126" s="470">
        <v>0.75</v>
      </c>
      <c r="BA126" s="466">
        <v>1159521437</v>
      </c>
      <c r="BB126" s="211">
        <v>237</v>
      </c>
      <c r="BC126" s="211">
        <v>239</v>
      </c>
      <c r="BD126" s="211">
        <v>204</v>
      </c>
      <c r="BE126" s="211">
        <v>271</v>
      </c>
      <c r="BF126" s="211">
        <v>224</v>
      </c>
      <c r="BG126" s="211">
        <v>337</v>
      </c>
      <c r="BH126" s="211">
        <v>492</v>
      </c>
      <c r="BI126" s="211">
        <v>512</v>
      </c>
      <c r="BJ126" s="211">
        <v>338</v>
      </c>
      <c r="BK126" s="211">
        <v>316</v>
      </c>
      <c r="BL126" s="211">
        <v>226</v>
      </c>
      <c r="BM126" s="211">
        <v>278</v>
      </c>
      <c r="BO126" s="28">
        <f t="shared" si="7"/>
        <v>306.16666666666669</v>
      </c>
      <c r="BP126" s="28">
        <f t="shared" si="8"/>
        <v>3674</v>
      </c>
      <c r="BS126" s="217"/>
      <c r="BT126" s="217"/>
      <c r="BU126" s="134"/>
      <c r="BV126" s="217"/>
      <c r="BW126" s="217"/>
      <c r="BX126" s="217"/>
    </row>
    <row r="127" spans="22:76" x14ac:dyDescent="0.25">
      <c r="V127" s="449" t="str">
        <f>'[1]Strohs Plant in Service'!$C130</f>
        <v>Plant, Structures, and Improvements (35)</v>
      </c>
      <c r="W127" s="292" t="str">
        <f>'[1]Strohs Plant in Service'!$D130</f>
        <v>Structures - Strohs (472)</v>
      </c>
      <c r="X127" s="293">
        <f>'[1]Strohs Plant in Service'!$E130</f>
        <v>45231</v>
      </c>
      <c r="Y127" s="297">
        <f>'[1]Strohs Plant in Service'!$F130</f>
        <v>547</v>
      </c>
      <c r="Z127" s="248"/>
      <c r="AA127" s="294">
        <f>'[1]Strohs Plant in Service'!$G$11/12</f>
        <v>6</v>
      </c>
      <c r="AB127" s="219">
        <f>('[1]Strohs Plant in Service'!$G130-'[1]Strohs Plant in Service'!$H130)/12</f>
        <v>22.916666666666668</v>
      </c>
      <c r="AC127" s="219">
        <f>'[1]Strohs Plant in Service'!$I130</f>
        <v>15.62857142857143</v>
      </c>
      <c r="AD127" s="219"/>
      <c r="AE127" s="220">
        <f>'[1]Strohs Plant in Service'!$J130</f>
        <v>359.43</v>
      </c>
      <c r="AF127" s="221">
        <v>187.57</v>
      </c>
      <c r="AG127" s="204"/>
      <c r="AH127" s="178"/>
      <c r="AI127" s="174"/>
      <c r="AJ127" s="179"/>
      <c r="AK127" s="247"/>
      <c r="AL127" s="248"/>
      <c r="AM127" s="294"/>
      <c r="AN127" s="219"/>
      <c r="AO127" s="219"/>
      <c r="AP127" s="219"/>
      <c r="AQ127" s="220"/>
      <c r="AR127" s="221"/>
      <c r="AY127" s="628"/>
      <c r="AZ127" s="470">
        <v>0.75</v>
      </c>
      <c r="BA127" s="466">
        <v>1170402190</v>
      </c>
      <c r="BB127" s="211">
        <v>542</v>
      </c>
      <c r="BC127" s="211">
        <v>790</v>
      </c>
      <c r="BD127" s="211">
        <v>423</v>
      </c>
      <c r="BE127" s="211">
        <v>595</v>
      </c>
      <c r="BF127" s="211">
        <v>522</v>
      </c>
      <c r="BG127" s="211">
        <v>603</v>
      </c>
      <c r="BH127" s="211">
        <v>743</v>
      </c>
      <c r="BI127" s="211">
        <v>497</v>
      </c>
      <c r="BJ127" s="211">
        <v>685</v>
      </c>
      <c r="BK127" s="211">
        <v>632</v>
      </c>
      <c r="BL127" s="211">
        <v>433</v>
      </c>
      <c r="BM127" s="211">
        <v>626</v>
      </c>
      <c r="BO127" s="28">
        <f t="shared" si="7"/>
        <v>590.91666666666663</v>
      </c>
      <c r="BP127" s="28">
        <f t="shared" si="8"/>
        <v>7091</v>
      </c>
      <c r="BS127" s="217"/>
      <c r="BT127" s="217"/>
      <c r="BU127" s="134"/>
      <c r="BV127" s="217"/>
      <c r="BW127" s="217"/>
      <c r="BX127" s="217"/>
    </row>
    <row r="128" spans="22:76" x14ac:dyDescent="0.25">
      <c r="V128" s="449" t="str">
        <f>'[1]Strohs Plant in Service'!$C131</f>
        <v>Plant, Structures, and Improvements (35)</v>
      </c>
      <c r="W128" s="292" t="str">
        <f>'[1]Strohs Plant in Service'!$D131</f>
        <v>Structures - Strohs (472)</v>
      </c>
      <c r="X128" s="293">
        <f>'[1]Strohs Plant in Service'!$E131</f>
        <v>45231</v>
      </c>
      <c r="Y128" s="297">
        <f>'[1]Strohs Plant in Service'!$F131</f>
        <v>1463.4</v>
      </c>
      <c r="Z128" s="248"/>
      <c r="AA128" s="294">
        <f>'[1]Strohs Plant in Service'!$G$11/12</f>
        <v>6</v>
      </c>
      <c r="AB128" s="219">
        <f>('[1]Strohs Plant in Service'!$G131-'[1]Strohs Plant in Service'!$H131)/12</f>
        <v>18</v>
      </c>
      <c r="AC128" s="219">
        <f>'[1]Strohs Plant in Service'!$I131</f>
        <v>41.811428571428571</v>
      </c>
      <c r="AD128" s="219"/>
      <c r="AE128" s="220">
        <f>'[1]Strohs Plant in Service'!$J131</f>
        <v>756.03</v>
      </c>
      <c r="AF128" s="221">
        <v>707.37000000000012</v>
      </c>
      <c r="AG128" s="204"/>
      <c r="AH128" s="178"/>
      <c r="AI128" s="174"/>
      <c r="AJ128" s="179"/>
      <c r="AK128" s="247"/>
      <c r="AL128" s="248"/>
      <c r="AM128" s="294"/>
      <c r="AN128" s="219"/>
      <c r="AO128" s="219"/>
      <c r="AP128" s="219"/>
      <c r="AQ128" s="220"/>
      <c r="AR128" s="221"/>
      <c r="AY128" s="628"/>
      <c r="AZ128" s="470">
        <v>0.75</v>
      </c>
      <c r="BA128" s="466">
        <v>1186378694</v>
      </c>
      <c r="BB128" s="211">
        <v>710</v>
      </c>
      <c r="BC128" s="211">
        <v>532</v>
      </c>
      <c r="BD128" s="211">
        <v>560</v>
      </c>
      <c r="BE128" s="211">
        <v>154</v>
      </c>
      <c r="BF128" s="211" t="s">
        <v>655</v>
      </c>
      <c r="BG128" s="211">
        <v>2</v>
      </c>
      <c r="BH128" s="211" t="s">
        <v>655</v>
      </c>
      <c r="BI128" s="211">
        <v>7</v>
      </c>
      <c r="BJ128" s="211" t="s">
        <v>655</v>
      </c>
      <c r="BK128" s="211">
        <v>14</v>
      </c>
      <c r="BL128" s="211" t="s">
        <v>655</v>
      </c>
      <c r="BM128" s="211" t="s">
        <v>655</v>
      </c>
      <c r="BO128" s="28">
        <f t="shared" si="7"/>
        <v>282.71428571428572</v>
      </c>
      <c r="BP128" s="28">
        <f t="shared" si="8"/>
        <v>1979</v>
      </c>
      <c r="BS128" s="217"/>
      <c r="BT128" s="217"/>
      <c r="BU128" s="134"/>
      <c r="BV128" s="217"/>
      <c r="BW128" s="217"/>
      <c r="BX128" s="217"/>
    </row>
    <row r="129" spans="22:76" x14ac:dyDescent="0.25">
      <c r="V129" s="449" t="str">
        <f>'[1]Strohs Plant in Service'!$C132</f>
        <v>Plant, Structures, and Improvements (35)</v>
      </c>
      <c r="W129" s="292" t="str">
        <f>'[1]Strohs Plant in Service'!$D132</f>
        <v>Structures - Strohs (472)</v>
      </c>
      <c r="X129" s="293">
        <f>'[1]Strohs Plant in Service'!$E132</f>
        <v>45231</v>
      </c>
      <c r="Y129" s="297">
        <f>'[1]Strohs Plant in Service'!$F132</f>
        <v>766.93</v>
      </c>
      <c r="Z129" s="248"/>
      <c r="AA129" s="294">
        <f>'[1]Strohs Plant in Service'!$G$11/12</f>
        <v>6</v>
      </c>
      <c r="AB129" s="219">
        <f>('[1]Strohs Plant in Service'!$G132-'[1]Strohs Plant in Service'!$H132)/12</f>
        <v>18</v>
      </c>
      <c r="AC129" s="219">
        <f>'[1]Strohs Plant in Service'!$I132</f>
        <v>21.912285714285716</v>
      </c>
      <c r="AD129" s="219"/>
      <c r="AE129" s="220">
        <f>'[1]Strohs Plant in Service'!$J132</f>
        <v>396.3</v>
      </c>
      <c r="AF129" s="221">
        <v>370.62999999999994</v>
      </c>
      <c r="AG129" s="204"/>
      <c r="AH129" s="178"/>
      <c r="AI129" s="174"/>
      <c r="AJ129" s="179"/>
      <c r="AK129" s="247"/>
      <c r="AL129" s="248"/>
      <c r="AM129" s="294"/>
      <c r="AN129" s="219"/>
      <c r="AO129" s="219"/>
      <c r="AP129" s="219"/>
      <c r="AQ129" s="220"/>
      <c r="AR129" s="221"/>
      <c r="AY129" s="628"/>
      <c r="AZ129" s="470">
        <v>0.75</v>
      </c>
      <c r="BA129" s="466">
        <v>1192944313</v>
      </c>
      <c r="BB129" s="211">
        <v>220</v>
      </c>
      <c r="BC129" s="211">
        <v>320</v>
      </c>
      <c r="BD129" s="211">
        <v>2316</v>
      </c>
      <c r="BE129" s="211" t="s">
        <v>655</v>
      </c>
      <c r="BF129" s="211" t="s">
        <v>655</v>
      </c>
      <c r="BG129" s="211">
        <v>472</v>
      </c>
      <c r="BH129" s="211">
        <v>920</v>
      </c>
      <c r="BI129" s="211">
        <v>736</v>
      </c>
      <c r="BJ129" s="211">
        <v>738</v>
      </c>
      <c r="BK129" s="211">
        <v>590</v>
      </c>
      <c r="BL129" s="211">
        <v>397</v>
      </c>
      <c r="BM129" s="211">
        <v>522</v>
      </c>
      <c r="BO129" s="28">
        <f t="shared" si="7"/>
        <v>723.1</v>
      </c>
      <c r="BP129" s="28">
        <f t="shared" si="8"/>
        <v>7231</v>
      </c>
      <c r="BS129" s="217"/>
      <c r="BT129" s="217"/>
      <c r="BU129" s="134"/>
      <c r="BV129" s="217"/>
      <c r="BW129" s="217"/>
      <c r="BX129" s="217"/>
    </row>
    <row r="130" spans="22:76" x14ac:dyDescent="0.25">
      <c r="V130" s="449" t="str">
        <f>'[1]Strohs Plant in Service'!$C133</f>
        <v>Plant, Structures, and Improvements (35)</v>
      </c>
      <c r="W130" s="292" t="str">
        <f>'[1]Strohs Plant in Service'!$D133</f>
        <v>Structures (CIAC) - Strohs (472)</v>
      </c>
      <c r="X130" s="293">
        <f>'[1]Strohs Plant in Service'!$E133</f>
        <v>45231</v>
      </c>
      <c r="Y130" s="297">
        <f>'[1]Strohs Plant in Service'!$F133</f>
        <v>22455.81</v>
      </c>
      <c r="Z130" s="248"/>
      <c r="AA130" s="294">
        <f>'[1]Strohs Plant in Service'!$G$11/12</f>
        <v>6</v>
      </c>
      <c r="AB130" s="219">
        <f>('[1]Strohs Plant in Service'!$G133-'[1]Strohs Plant in Service'!$H133)/12</f>
        <v>14.916666666666666</v>
      </c>
      <c r="AC130" s="219">
        <f>'[1]Strohs Plant in Service'!$I133</f>
        <v>641.5945714285715</v>
      </c>
      <c r="AD130" s="219"/>
      <c r="AE130" s="220">
        <f>'[1]Strohs Plant in Service'!$J133</f>
        <v>8390.44</v>
      </c>
      <c r="AF130" s="221">
        <v>14065.37</v>
      </c>
      <c r="AG130" s="204"/>
      <c r="AH130" s="178"/>
      <c r="AI130" s="174"/>
      <c r="AJ130" s="179"/>
      <c r="AK130" s="247"/>
      <c r="AL130" s="248"/>
      <c r="AM130" s="294"/>
      <c r="AN130" s="219"/>
      <c r="AO130" s="219"/>
      <c r="AP130" s="219"/>
      <c r="AQ130" s="220"/>
      <c r="AR130" s="221"/>
      <c r="AY130" s="628"/>
      <c r="AZ130" s="470">
        <v>0.75</v>
      </c>
      <c r="BA130" s="466">
        <v>1201864485</v>
      </c>
      <c r="BB130" s="211">
        <v>494</v>
      </c>
      <c r="BC130" s="211">
        <v>462</v>
      </c>
      <c r="BD130" s="211">
        <v>552</v>
      </c>
      <c r="BE130" s="211">
        <v>506</v>
      </c>
      <c r="BF130" s="211">
        <v>416</v>
      </c>
      <c r="BG130" s="211">
        <v>345</v>
      </c>
      <c r="BH130" s="211">
        <v>1223</v>
      </c>
      <c r="BI130" s="211">
        <v>1417</v>
      </c>
      <c r="BJ130" s="211">
        <v>1526</v>
      </c>
      <c r="BK130" s="211">
        <v>1063</v>
      </c>
      <c r="BL130" s="211">
        <v>434</v>
      </c>
      <c r="BM130" s="211">
        <v>345</v>
      </c>
      <c r="BO130" s="28">
        <f t="shared" si="7"/>
        <v>731.91666666666663</v>
      </c>
      <c r="BP130" s="28">
        <f t="shared" si="8"/>
        <v>8783</v>
      </c>
      <c r="BS130" s="217"/>
      <c r="BT130" s="217"/>
      <c r="BU130" s="134"/>
      <c r="BV130" s="217"/>
      <c r="BW130" s="217"/>
      <c r="BX130" s="217"/>
    </row>
    <row r="131" spans="22:76" x14ac:dyDescent="0.25">
      <c r="V131" s="449" t="str">
        <f>'[1]Strohs Plant in Service'!$C134</f>
        <v>Plant, Structures, and Improvements (35)</v>
      </c>
      <c r="W131" s="292" t="str">
        <f>'[1]Strohs Plant in Service'!$D134</f>
        <v>Structures (CIAC) - Strohs (472)</v>
      </c>
      <c r="X131" s="293">
        <f>'[1]Strohs Plant in Service'!$E134</f>
        <v>45231</v>
      </c>
      <c r="Y131" s="297">
        <f>'[1]Strohs Plant in Service'!$F134</f>
        <v>1093.95</v>
      </c>
      <c r="Z131" s="248"/>
      <c r="AA131" s="294">
        <f>'[1]Strohs Plant in Service'!$G$11/12</f>
        <v>6</v>
      </c>
      <c r="AB131" s="219">
        <f>('[1]Strohs Plant in Service'!$G134-'[1]Strohs Plant in Service'!$H134)/12</f>
        <v>12.916666666666666</v>
      </c>
      <c r="AC131" s="219">
        <f>'[1]Strohs Plant in Service'!$I134</f>
        <v>31.255714285714287</v>
      </c>
      <c r="AD131" s="219"/>
      <c r="AE131" s="220">
        <f>'[1]Strohs Plant in Service'!$J134</f>
        <v>406.26</v>
      </c>
      <c r="AF131" s="221">
        <v>687.69</v>
      </c>
      <c r="AG131" s="204"/>
      <c r="AH131" s="178"/>
      <c r="AI131" s="174"/>
      <c r="AJ131" s="179"/>
      <c r="AK131" s="247"/>
      <c r="AL131" s="248"/>
      <c r="AM131" s="294"/>
      <c r="AN131" s="219"/>
      <c r="AO131" s="219"/>
      <c r="AP131" s="219"/>
      <c r="AQ131" s="220"/>
      <c r="AR131" s="221"/>
      <c r="AY131" s="628"/>
      <c r="AZ131" s="470">
        <v>0.75</v>
      </c>
      <c r="BA131" s="466">
        <v>1250634159</v>
      </c>
      <c r="BB131" s="211">
        <v>717</v>
      </c>
      <c r="BC131" s="211">
        <v>673</v>
      </c>
      <c r="BD131" s="211">
        <v>682</v>
      </c>
      <c r="BE131" s="211">
        <v>765</v>
      </c>
      <c r="BF131" s="211">
        <v>633</v>
      </c>
      <c r="BG131" s="211">
        <v>1690</v>
      </c>
      <c r="BH131" s="211">
        <v>7180</v>
      </c>
      <c r="BI131" s="211">
        <v>6334</v>
      </c>
      <c r="BJ131" s="211">
        <v>3674</v>
      </c>
      <c r="BK131" s="211">
        <v>197</v>
      </c>
      <c r="BL131" s="211">
        <v>495</v>
      </c>
      <c r="BM131" s="211">
        <v>510</v>
      </c>
      <c r="BO131" s="28">
        <f t="shared" si="7"/>
        <v>1962.5</v>
      </c>
      <c r="BP131" s="28">
        <f t="shared" si="8"/>
        <v>23550</v>
      </c>
      <c r="BS131" s="217"/>
      <c r="BT131" s="217"/>
      <c r="BU131" s="134"/>
      <c r="BV131" s="217"/>
      <c r="BW131" s="217"/>
      <c r="BX131" s="217"/>
    </row>
    <row r="132" spans="22:76" x14ac:dyDescent="0.25">
      <c r="V132" s="449" t="str">
        <f>'[1]Strohs Plant in Service'!$C135</f>
        <v>Plant, Structures, and Improvements (35)</v>
      </c>
      <c r="W132" s="292" t="str">
        <f>'[1]Strohs Plant in Service'!$D135</f>
        <v>Structures - Strohs (472)</v>
      </c>
      <c r="X132" s="293">
        <f>'[1]Strohs Plant in Service'!$E135</f>
        <v>45231</v>
      </c>
      <c r="Y132" s="297">
        <f>'[1]Strohs Plant in Service'!$F135</f>
        <v>1790.25</v>
      </c>
      <c r="Z132" s="248"/>
      <c r="AA132" s="294">
        <f>'[1]Strohs Plant in Service'!$G$11/12</f>
        <v>6</v>
      </c>
      <c r="AB132" s="219">
        <f>('[1]Strohs Plant in Service'!$G135-'[1]Strohs Plant in Service'!$H135)/12</f>
        <v>9.9166666666666661</v>
      </c>
      <c r="AC132" s="219">
        <f>'[1]Strohs Plant in Service'!$I135</f>
        <v>51.150000000000006</v>
      </c>
      <c r="AD132" s="219"/>
      <c r="AE132" s="220">
        <f>'[1]Strohs Plant in Service'!$J135</f>
        <v>511.47</v>
      </c>
      <c r="AF132" s="221">
        <v>1278.78</v>
      </c>
      <c r="AG132" s="204"/>
      <c r="AH132" s="178"/>
      <c r="AI132" s="174"/>
      <c r="AJ132" s="179"/>
      <c r="AK132" s="247"/>
      <c r="AL132" s="248"/>
      <c r="AM132" s="294"/>
      <c r="AN132" s="219"/>
      <c r="AO132" s="219"/>
      <c r="AP132" s="219"/>
      <c r="AQ132" s="220"/>
      <c r="AR132" s="221"/>
      <c r="AY132" s="628"/>
      <c r="AZ132" s="470">
        <v>0.75</v>
      </c>
      <c r="BA132" s="466">
        <v>1267110463</v>
      </c>
      <c r="BB132" s="211" t="s">
        <v>655</v>
      </c>
      <c r="BC132" s="211">
        <v>568</v>
      </c>
      <c r="BD132" s="211">
        <v>277</v>
      </c>
      <c r="BE132" s="211">
        <v>337</v>
      </c>
      <c r="BF132" s="211">
        <v>357</v>
      </c>
      <c r="BG132" s="211">
        <v>630</v>
      </c>
      <c r="BH132" s="211">
        <v>540</v>
      </c>
      <c r="BI132" s="211">
        <v>800</v>
      </c>
      <c r="BJ132" s="211">
        <v>817</v>
      </c>
      <c r="BK132" s="211">
        <v>643</v>
      </c>
      <c r="BL132" s="211">
        <v>415</v>
      </c>
      <c r="BM132" s="211">
        <v>400</v>
      </c>
      <c r="BO132" s="28">
        <f t="shared" si="7"/>
        <v>525.81818181818187</v>
      </c>
      <c r="BP132" s="28">
        <f t="shared" si="8"/>
        <v>5784</v>
      </c>
      <c r="BS132" s="217"/>
      <c r="BT132" s="217"/>
      <c r="BU132" s="134"/>
      <c r="BV132" s="217"/>
      <c r="BW132" s="217"/>
      <c r="BX132" s="217"/>
    </row>
    <row r="133" spans="22:76" x14ac:dyDescent="0.25">
      <c r="V133" s="449" t="str">
        <f>'[1]Strohs Plant in Service'!$C136</f>
        <v>Plant, Structures, and Improvements (35)</v>
      </c>
      <c r="W133" s="292" t="str">
        <f>'[1]Strohs Plant in Service'!$D136</f>
        <v>Structures - Strohs (472)</v>
      </c>
      <c r="X133" s="293">
        <f>'[1]Strohs Plant in Service'!$E136</f>
        <v>45231</v>
      </c>
      <c r="Y133" s="297">
        <f>'[1]Strohs Plant in Service'!$F136</f>
        <v>1022.03</v>
      </c>
      <c r="Z133" s="248"/>
      <c r="AA133" s="294">
        <f>'[1]Strohs Plant in Service'!$G$11/12</f>
        <v>6</v>
      </c>
      <c r="AB133" s="219">
        <f>('[1]Strohs Plant in Service'!$G136-'[1]Strohs Plant in Service'!$H136)/12</f>
        <v>9.9166666666666661</v>
      </c>
      <c r="AC133" s="219">
        <f>'[1]Strohs Plant in Service'!$I136</f>
        <v>29.200857142857142</v>
      </c>
      <c r="AD133" s="219"/>
      <c r="AE133" s="220">
        <f>'[1]Strohs Plant in Service'!$J136</f>
        <v>291.95999999999998</v>
      </c>
      <c r="AF133" s="221">
        <v>730.06999999999994</v>
      </c>
      <c r="AG133" s="204"/>
      <c r="AH133" s="178"/>
      <c r="AI133" s="174"/>
      <c r="AJ133" s="179"/>
      <c r="AK133" s="247"/>
      <c r="AL133" s="248"/>
      <c r="AM133" s="294"/>
      <c r="AN133" s="219"/>
      <c r="AO133" s="219"/>
      <c r="AP133" s="219"/>
      <c r="AQ133" s="220"/>
      <c r="AR133" s="221"/>
      <c r="AY133" s="628"/>
      <c r="AZ133" s="470">
        <v>1</v>
      </c>
      <c r="BA133" s="466">
        <v>1276788716</v>
      </c>
      <c r="BB133" s="211">
        <v>1242</v>
      </c>
      <c r="BC133" s="211">
        <v>1472</v>
      </c>
      <c r="BD133" s="211">
        <v>1711</v>
      </c>
      <c r="BE133" s="211">
        <v>1652</v>
      </c>
      <c r="BF133" s="211">
        <v>1425</v>
      </c>
      <c r="BG133" s="211">
        <v>758</v>
      </c>
      <c r="BH133" s="211">
        <v>4282</v>
      </c>
      <c r="BI133" s="211">
        <v>5051</v>
      </c>
      <c r="BJ133" s="211">
        <v>2631</v>
      </c>
      <c r="BK133" s="211">
        <v>1584</v>
      </c>
      <c r="BL133" s="211">
        <v>1661</v>
      </c>
      <c r="BM133" s="211">
        <v>1713</v>
      </c>
      <c r="BO133" s="28">
        <f t="shared" si="7"/>
        <v>2098.5</v>
      </c>
      <c r="BP133" s="28">
        <f t="shared" si="8"/>
        <v>25182</v>
      </c>
      <c r="BS133" s="217"/>
      <c r="BT133" s="217"/>
      <c r="BU133" s="134"/>
      <c r="BV133" s="217"/>
      <c r="BW133" s="217"/>
      <c r="BX133" s="217"/>
    </row>
    <row r="134" spans="22:76" x14ac:dyDescent="0.25">
      <c r="V134" s="449" t="str">
        <f>'[1]Strohs Plant in Service'!$C137</f>
        <v>Plant, Structures, and Improvements (35)</v>
      </c>
      <c r="W134" s="292" t="str">
        <f>'[1]Strohs Plant in Service'!$D137</f>
        <v>Structures (CIAC) - Strohs (472)</v>
      </c>
      <c r="X134" s="293">
        <f>'[1]Strohs Plant in Service'!$E137</f>
        <v>45231</v>
      </c>
      <c r="Y134" s="297">
        <f>'[1]Strohs Plant in Service'!$F137</f>
        <v>14018.64</v>
      </c>
      <c r="Z134" s="248"/>
      <c r="AA134" s="294">
        <f>'[1]Strohs Plant in Service'!$G$11/12</f>
        <v>6</v>
      </c>
      <c r="AB134" s="219">
        <f>('[1]Strohs Plant in Service'!$G137-'[1]Strohs Plant in Service'!$H137)/12</f>
        <v>8.6666666666666661</v>
      </c>
      <c r="AC134" s="219">
        <f>'[1]Strohs Plant in Service'!$I137</f>
        <v>400.53257142857137</v>
      </c>
      <c r="AD134" s="219"/>
      <c r="AE134" s="220">
        <f>'[1]Strohs Plant in Service'!$J137</f>
        <v>3504.69</v>
      </c>
      <c r="AF134" s="221">
        <v>10513.949999999999</v>
      </c>
      <c r="AG134" s="204"/>
      <c r="AH134" s="178"/>
      <c r="AI134" s="174"/>
      <c r="AJ134" s="179"/>
      <c r="AK134" s="247"/>
      <c r="AL134" s="248"/>
      <c r="AM134" s="294"/>
      <c r="AN134" s="219"/>
      <c r="AO134" s="219"/>
      <c r="AP134" s="219"/>
      <c r="AQ134" s="220"/>
      <c r="AR134" s="221"/>
      <c r="AY134" s="628"/>
      <c r="AZ134" s="470">
        <v>0.75</v>
      </c>
      <c r="BA134" s="466">
        <v>1282306393</v>
      </c>
      <c r="BB134" s="211">
        <v>1822</v>
      </c>
      <c r="BC134" s="211">
        <v>2925</v>
      </c>
      <c r="BD134" s="211">
        <v>1449</v>
      </c>
      <c r="BE134" s="211">
        <v>1174</v>
      </c>
      <c r="BF134" s="211">
        <v>873</v>
      </c>
      <c r="BG134" s="211">
        <v>682</v>
      </c>
      <c r="BH134" s="211">
        <v>2743</v>
      </c>
      <c r="BI134" s="211">
        <v>4544</v>
      </c>
      <c r="BJ134" s="211">
        <v>5663</v>
      </c>
      <c r="BK134" s="211">
        <v>1483</v>
      </c>
      <c r="BL134" s="211">
        <v>1247</v>
      </c>
      <c r="BM134" s="211">
        <v>1097</v>
      </c>
      <c r="BO134" s="28">
        <f t="shared" si="7"/>
        <v>2141.8333333333335</v>
      </c>
      <c r="BP134" s="28">
        <f t="shared" si="8"/>
        <v>25702</v>
      </c>
      <c r="BS134" s="217"/>
      <c r="BT134" s="217"/>
      <c r="BU134" s="134"/>
      <c r="BV134" s="217"/>
      <c r="BW134" s="217"/>
      <c r="BX134" s="217"/>
    </row>
    <row r="135" spans="22:76" x14ac:dyDescent="0.25">
      <c r="V135" s="449" t="str">
        <f>'[1]Strohs Plant in Service'!$C138</f>
        <v>Plant, Structures, and Improvements (35)</v>
      </c>
      <c r="W135" s="292" t="str">
        <f>'[1]Strohs Plant in Service'!$D138</f>
        <v>Structures - Strohs (472)</v>
      </c>
      <c r="X135" s="293">
        <f>'[1]Strohs Plant in Service'!$E138</f>
        <v>45231</v>
      </c>
      <c r="Y135" s="297">
        <f>'[1]Strohs Plant in Service'!$F138</f>
        <v>8670.36</v>
      </c>
      <c r="Z135" s="248"/>
      <c r="AA135" s="294">
        <f>'[1]Strohs Plant in Service'!$G$11/12</f>
        <v>6</v>
      </c>
      <c r="AB135" s="219">
        <f>('[1]Strohs Plant in Service'!$G138-'[1]Strohs Plant in Service'!$H138)/12</f>
        <v>2.9166666666666665</v>
      </c>
      <c r="AC135" s="219">
        <f>'[1]Strohs Plant in Service'!$I138</f>
        <v>247.72457142857147</v>
      </c>
      <c r="AD135" s="219"/>
      <c r="AE135" s="220">
        <f>'[1]Strohs Plant in Service'!$J138</f>
        <v>743.13</v>
      </c>
      <c r="AF135" s="221">
        <v>7927.2300000000005</v>
      </c>
      <c r="AG135" s="204"/>
      <c r="AH135" s="178"/>
      <c r="AI135" s="174"/>
      <c r="AJ135" s="179"/>
      <c r="AK135" s="247"/>
      <c r="AL135" s="248"/>
      <c r="AM135" s="294"/>
      <c r="AN135" s="219"/>
      <c r="AO135" s="219"/>
      <c r="AP135" s="219"/>
      <c r="AQ135" s="220"/>
      <c r="AR135" s="221"/>
      <c r="AY135" s="628"/>
      <c r="AZ135" s="470">
        <v>0.75</v>
      </c>
      <c r="BA135" s="466">
        <v>1293315461</v>
      </c>
      <c r="BB135" s="211">
        <v>447</v>
      </c>
      <c r="BC135" s="211">
        <v>259</v>
      </c>
      <c r="BD135" s="211">
        <v>210</v>
      </c>
      <c r="BE135" s="211">
        <v>290</v>
      </c>
      <c r="BF135" s="211">
        <v>278</v>
      </c>
      <c r="BG135" s="211">
        <v>1574</v>
      </c>
      <c r="BH135" s="211">
        <v>1252</v>
      </c>
      <c r="BI135" s="211">
        <v>758</v>
      </c>
      <c r="BJ135" s="211">
        <v>620</v>
      </c>
      <c r="BK135" s="211">
        <v>330</v>
      </c>
      <c r="BL135" s="211">
        <v>312</v>
      </c>
      <c r="BM135" s="211">
        <v>138</v>
      </c>
      <c r="BO135" s="28">
        <f t="shared" si="7"/>
        <v>539</v>
      </c>
      <c r="BP135" s="28">
        <f t="shared" si="8"/>
        <v>6468</v>
      </c>
      <c r="BS135" s="217"/>
      <c r="BT135" s="217"/>
      <c r="BU135" s="134"/>
      <c r="BV135" s="217"/>
      <c r="BW135" s="217"/>
      <c r="BX135" s="217"/>
    </row>
    <row r="136" spans="22:76" x14ac:dyDescent="0.25">
      <c r="V136" s="449" t="str">
        <f>'[1]Strohs Plant in Service'!$C139</f>
        <v>Plant, Structures, and Improvements (35)</v>
      </c>
      <c r="W136" s="292" t="str">
        <f>'[1]Strohs Plant in Service'!$D139</f>
        <v>Pumphouse (CIAC) parcel 3632000100</v>
      </c>
      <c r="X136" s="293">
        <f>'[1]Strohs Plant in Service'!$E139</f>
        <v>45231</v>
      </c>
      <c r="Y136" s="297">
        <f>'[1]Strohs Plant in Service'!$F139</f>
        <v>16894.099999999999</v>
      </c>
      <c r="Z136" s="248"/>
      <c r="AA136" s="294">
        <f>'[1]Strohs Plant in Service'!$G$11/12</f>
        <v>6</v>
      </c>
      <c r="AB136" s="219">
        <f>('[1]Strohs Plant in Service'!$G139-'[1]Strohs Plant in Service'!$H139)/12</f>
        <v>1.4166666666666667</v>
      </c>
      <c r="AC136" s="219">
        <f>'[1]Strohs Plant in Service'!$I139</f>
        <v>841.19999999999993</v>
      </c>
      <c r="AD136" s="219"/>
      <c r="AE136" s="220">
        <f>'[1]Strohs Plant in Service'!$J139</f>
        <v>1261.8</v>
      </c>
      <c r="AF136" s="221">
        <v>15632.3</v>
      </c>
      <c r="AG136" s="204"/>
      <c r="AH136" s="178"/>
      <c r="AI136" s="174"/>
      <c r="AJ136" s="179"/>
      <c r="AK136" s="247"/>
      <c r="AL136" s="248"/>
      <c r="AM136" s="294"/>
      <c r="AN136" s="219"/>
      <c r="AO136" s="219"/>
      <c r="AP136" s="219"/>
      <c r="AQ136" s="220"/>
      <c r="AR136" s="221"/>
      <c r="AY136" s="628"/>
      <c r="AZ136" s="470">
        <v>0.625</v>
      </c>
      <c r="BA136" s="466">
        <v>1309074268</v>
      </c>
      <c r="BB136" s="211">
        <v>363</v>
      </c>
      <c r="BC136" s="211">
        <v>435</v>
      </c>
      <c r="BD136" s="211">
        <v>337</v>
      </c>
      <c r="BE136" s="211">
        <v>111</v>
      </c>
      <c r="BF136" s="211" t="s">
        <v>655</v>
      </c>
      <c r="BG136" s="211">
        <v>1133</v>
      </c>
      <c r="BH136" s="211">
        <v>686</v>
      </c>
      <c r="BI136" s="211">
        <v>201</v>
      </c>
      <c r="BJ136" s="211">
        <v>1492</v>
      </c>
      <c r="BK136" s="211">
        <v>400</v>
      </c>
      <c r="BL136" s="211">
        <v>541</v>
      </c>
      <c r="BM136" s="211">
        <v>497</v>
      </c>
      <c r="BO136" s="28">
        <f t="shared" si="7"/>
        <v>563.27272727272725</v>
      </c>
      <c r="BP136" s="28">
        <f t="shared" si="8"/>
        <v>6196</v>
      </c>
      <c r="BS136" s="217"/>
      <c r="BT136" s="217"/>
      <c r="BU136" s="134"/>
      <c r="BV136" s="217"/>
      <c r="BW136" s="217"/>
      <c r="BX136" s="217"/>
    </row>
    <row r="137" spans="22:76" x14ac:dyDescent="0.25">
      <c r="V137" s="449" t="str">
        <f>'[1]Strohs Plant in Service'!$C140</f>
        <v>Plant, Structures, and Improvements (35)</v>
      </c>
      <c r="W137" s="292" t="str">
        <f>'[1]Strohs Plant in Service'!$D140</f>
        <v>Structures (CIAC) - Strohs (472)</v>
      </c>
      <c r="X137" s="293">
        <f>'[1]Strohs Plant in Service'!$E140</f>
        <v>45231</v>
      </c>
      <c r="Y137" s="297">
        <f>'[1]Strohs Plant in Service'!$F140</f>
        <v>508.84</v>
      </c>
      <c r="Z137" s="248"/>
      <c r="AA137" s="294">
        <f>'[1]Strohs Plant in Service'!$G$11/12</f>
        <v>6</v>
      </c>
      <c r="AB137" s="219">
        <f>('[1]Strohs Plant in Service'!$G140-'[1]Strohs Plant in Service'!$H140)/12</f>
        <v>1.4166666666666667</v>
      </c>
      <c r="AC137" s="219">
        <f>'[1]Strohs Plant in Service'!$I140</f>
        <v>25.336431535269707</v>
      </c>
      <c r="AD137" s="219"/>
      <c r="AE137" s="220">
        <f>'[1]Strohs Plant in Service'!$J140</f>
        <v>37.99</v>
      </c>
      <c r="AF137" s="221">
        <v>470.84999999999997</v>
      </c>
      <c r="AG137" s="204"/>
      <c r="AH137" s="178"/>
      <c r="AI137" s="174"/>
      <c r="AJ137" s="179"/>
      <c r="AK137" s="247"/>
      <c r="AL137" s="248"/>
      <c r="AM137" s="294"/>
      <c r="AN137" s="219"/>
      <c r="AO137" s="219"/>
      <c r="AP137" s="219"/>
      <c r="AQ137" s="220"/>
      <c r="AR137" s="221"/>
      <c r="AY137" s="628"/>
      <c r="AZ137" s="470">
        <v>0.75</v>
      </c>
      <c r="BA137" s="466">
        <v>1329243858</v>
      </c>
      <c r="BB137" s="211">
        <v>529</v>
      </c>
      <c r="BC137" s="211">
        <v>509</v>
      </c>
      <c r="BD137" s="211">
        <v>504</v>
      </c>
      <c r="BE137" s="211">
        <v>408</v>
      </c>
      <c r="BF137" s="211">
        <v>821</v>
      </c>
      <c r="BG137" s="211">
        <v>1145</v>
      </c>
      <c r="BH137" s="211">
        <v>557</v>
      </c>
      <c r="BI137" s="211">
        <v>765</v>
      </c>
      <c r="BJ137" s="211">
        <v>2047</v>
      </c>
      <c r="BK137" s="211">
        <v>326</v>
      </c>
      <c r="BL137" s="211">
        <v>222</v>
      </c>
      <c r="BM137" s="211">
        <v>1437</v>
      </c>
      <c r="BO137" s="28">
        <f t="shared" ref="BO137:BO200" si="9">AVERAGE(BB137:BM137)</f>
        <v>772.5</v>
      </c>
      <c r="BP137" s="28">
        <f t="shared" ref="BP137:BP200" si="10">SUM(BB137:BM137)</f>
        <v>9270</v>
      </c>
      <c r="BS137" s="217"/>
      <c r="BT137" s="217"/>
      <c r="BU137" s="134"/>
      <c r="BV137" s="217"/>
      <c r="BW137" s="217"/>
      <c r="BX137" s="217"/>
    </row>
    <row r="138" spans="22:76" x14ac:dyDescent="0.25">
      <c r="V138" s="449" t="str">
        <f>'[1]Strohs Plant in Service'!$C141</f>
        <v>Plant, Structures, and Improvements (35)</v>
      </c>
      <c r="W138" s="292" t="str">
        <f>'[1]Strohs Plant in Service'!$D141</f>
        <v>Peacock Realty fence - asphalt - St</v>
      </c>
      <c r="X138" s="293">
        <f>'[1]Strohs Plant in Service'!$E141</f>
        <v>45231</v>
      </c>
      <c r="Y138" s="297">
        <f>'[1]Strohs Plant in Service'!$F141</f>
        <v>1377.02</v>
      </c>
      <c r="Z138" s="248"/>
      <c r="AA138" s="294">
        <f>'[1]Strohs Plant in Service'!$G$11/12</f>
        <v>6</v>
      </c>
      <c r="AB138" s="219">
        <f>('[1]Strohs Plant in Service'!$G141-'[1]Strohs Plant in Service'!$H141)/12</f>
        <v>1.4166666666666667</v>
      </c>
      <c r="AC138" s="219">
        <f>'[1]Strohs Plant in Service'!$I141</f>
        <v>68.565311203319496</v>
      </c>
      <c r="AD138" s="219"/>
      <c r="AE138" s="220">
        <f>'[1]Strohs Plant in Service'!$J141</f>
        <v>102.8</v>
      </c>
      <c r="AF138" s="221">
        <v>1274.22</v>
      </c>
      <c r="AG138" s="204"/>
      <c r="AH138" s="178"/>
      <c r="AI138" s="174"/>
      <c r="AJ138" s="179"/>
      <c r="AK138" s="247"/>
      <c r="AL138" s="248"/>
      <c r="AM138" s="294"/>
      <c r="AN138" s="219"/>
      <c r="AO138" s="219"/>
      <c r="AP138" s="219"/>
      <c r="AQ138" s="220"/>
      <c r="AR138" s="221"/>
      <c r="AY138" s="628"/>
      <c r="AZ138" s="470">
        <v>1</v>
      </c>
      <c r="BA138" s="466">
        <v>1335498629</v>
      </c>
      <c r="BB138" s="211">
        <v>203</v>
      </c>
      <c r="BC138" s="211">
        <v>318</v>
      </c>
      <c r="BD138" s="211">
        <v>272</v>
      </c>
      <c r="BE138" s="211">
        <v>342</v>
      </c>
      <c r="BF138" s="211">
        <v>193</v>
      </c>
      <c r="BG138" s="211">
        <v>308</v>
      </c>
      <c r="BH138" s="211">
        <v>1680</v>
      </c>
      <c r="BI138" s="211">
        <v>2900</v>
      </c>
      <c r="BJ138" s="211">
        <v>1901</v>
      </c>
      <c r="BK138" s="211">
        <v>370</v>
      </c>
      <c r="BL138" s="211">
        <v>374</v>
      </c>
      <c r="BM138" s="211">
        <v>267</v>
      </c>
      <c r="BO138" s="28">
        <f t="shared" si="9"/>
        <v>760.66666666666663</v>
      </c>
      <c r="BP138" s="28">
        <f t="shared" si="10"/>
        <v>9128</v>
      </c>
      <c r="BS138" s="217"/>
      <c r="BT138" s="217"/>
      <c r="BU138" s="134"/>
      <c r="BV138" s="217"/>
      <c r="BW138" s="217"/>
      <c r="BX138" s="217"/>
    </row>
    <row r="139" spans="22:76" x14ac:dyDescent="0.25">
      <c r="V139" s="449" t="str">
        <f>'[1]Strohs Plant in Service'!$C142</f>
        <v>Plant, Structures, and Improvements (35)</v>
      </c>
      <c r="W139" s="292" t="str">
        <f>'[1]Strohs Plant in Service'!$D142</f>
        <v>Structures - Strohs (472)</v>
      </c>
      <c r="X139" s="293">
        <f>'[1]Strohs Plant in Service'!$E142</f>
        <v>45231</v>
      </c>
      <c r="Y139" s="297">
        <f>'[1]Strohs Plant in Service'!$F142</f>
        <v>524.16999999999996</v>
      </c>
      <c r="Z139" s="248"/>
      <c r="AA139" s="294">
        <f>'[1]Strohs Plant in Service'!$G$11/12</f>
        <v>6</v>
      </c>
      <c r="AB139" s="219">
        <f>('[1]Strohs Plant in Service'!$G142-'[1]Strohs Plant in Service'!$H142)/12</f>
        <v>1.4166666666666667</v>
      </c>
      <c r="AC139" s="219">
        <f>'[1]Strohs Plant in Service'!$I142</f>
        <v>26.099751037344397</v>
      </c>
      <c r="AD139" s="219"/>
      <c r="AE139" s="220">
        <f>'[1]Strohs Plant in Service'!$J142</f>
        <v>39.15</v>
      </c>
      <c r="AF139" s="221">
        <v>485.02</v>
      </c>
      <c r="AG139" s="204"/>
      <c r="AH139" s="178"/>
      <c r="AI139" s="174"/>
      <c r="AJ139" s="179"/>
      <c r="AK139" s="247"/>
      <c r="AL139" s="248"/>
      <c r="AM139" s="294"/>
      <c r="AN139" s="219"/>
      <c r="AO139" s="219"/>
      <c r="AP139" s="219"/>
      <c r="AQ139" s="220"/>
      <c r="AR139" s="221"/>
      <c r="AY139" s="628"/>
      <c r="AZ139" s="470">
        <v>0.75</v>
      </c>
      <c r="BA139" s="466">
        <v>1340402987</v>
      </c>
      <c r="BB139" s="211">
        <v>107</v>
      </c>
      <c r="BC139" s="211">
        <v>533</v>
      </c>
      <c r="BD139" s="211">
        <v>967</v>
      </c>
      <c r="BE139" s="211">
        <v>860</v>
      </c>
      <c r="BF139" s="211">
        <v>875</v>
      </c>
      <c r="BG139" s="211">
        <v>872</v>
      </c>
      <c r="BH139" s="211">
        <v>763</v>
      </c>
      <c r="BI139" s="211">
        <v>689</v>
      </c>
      <c r="BJ139" s="211">
        <v>614</v>
      </c>
      <c r="BK139" s="211">
        <v>393</v>
      </c>
      <c r="BL139" s="211">
        <v>212</v>
      </c>
      <c r="BM139" s="211">
        <v>682</v>
      </c>
      <c r="BO139" s="28">
        <f t="shared" si="9"/>
        <v>630.58333333333337</v>
      </c>
      <c r="BP139" s="28">
        <f t="shared" si="10"/>
        <v>7567</v>
      </c>
      <c r="BS139" s="217"/>
      <c r="BT139" s="217"/>
      <c r="BU139" s="134"/>
      <c r="BV139" s="217"/>
      <c r="BW139" s="217"/>
      <c r="BX139" s="217"/>
    </row>
    <row r="140" spans="22:76" x14ac:dyDescent="0.25">
      <c r="V140" s="449" t="str">
        <f>'[1]Strohs Plant in Service'!$C143</f>
        <v>Plant, Structures, and Improvements (35)</v>
      </c>
      <c r="W140" s="292" t="str">
        <f>'[1]Strohs Plant in Service'!$D143</f>
        <v>Structures - Strohs (472)</v>
      </c>
      <c r="X140" s="293">
        <f>'[1]Strohs Plant in Service'!$E143</f>
        <v>45231</v>
      </c>
      <c r="Y140" s="297">
        <f>'[1]Strohs Plant in Service'!$F143</f>
        <v>1402.32</v>
      </c>
      <c r="Z140" s="248"/>
      <c r="AA140" s="294">
        <f>'[1]Strohs Plant in Service'!$G$11/12</f>
        <v>6</v>
      </c>
      <c r="AB140" s="219">
        <f>('[1]Strohs Plant in Service'!$G143-'[1]Strohs Plant in Service'!$H143)/12</f>
        <v>1.4166666666666667</v>
      </c>
      <c r="AC140" s="219">
        <f>'[1]Strohs Plant in Service'!$I143</f>
        <v>69.825062240663897</v>
      </c>
      <c r="AD140" s="219"/>
      <c r="AE140" s="220">
        <f>'[1]Strohs Plant in Service'!$J143</f>
        <v>104.75</v>
      </c>
      <c r="AF140" s="221">
        <v>1297.57</v>
      </c>
      <c r="AG140" s="204"/>
      <c r="AH140" s="178"/>
      <c r="AI140" s="174"/>
      <c r="AJ140" s="179"/>
      <c r="AK140" s="247"/>
      <c r="AL140" s="248"/>
      <c r="AM140" s="294"/>
      <c r="AN140" s="219"/>
      <c r="AO140" s="219"/>
      <c r="AP140" s="219"/>
      <c r="AQ140" s="220"/>
      <c r="AR140" s="221"/>
      <c r="AY140" s="628"/>
      <c r="AZ140" s="470">
        <v>0.75</v>
      </c>
      <c r="BA140" s="466">
        <v>1345110543</v>
      </c>
      <c r="BB140" s="211">
        <v>103</v>
      </c>
      <c r="BC140" s="211">
        <v>18</v>
      </c>
      <c r="BD140" s="211">
        <v>38</v>
      </c>
      <c r="BE140" s="211">
        <v>172</v>
      </c>
      <c r="BF140" s="211">
        <v>160</v>
      </c>
      <c r="BG140" s="211">
        <v>189</v>
      </c>
      <c r="BH140" s="211">
        <v>1172</v>
      </c>
      <c r="BI140" s="211">
        <v>913</v>
      </c>
      <c r="BJ140" s="211">
        <v>426</v>
      </c>
      <c r="BK140" s="211">
        <v>6</v>
      </c>
      <c r="BL140" s="211">
        <v>18</v>
      </c>
      <c r="BM140" s="211">
        <v>1</v>
      </c>
      <c r="BO140" s="28">
        <f t="shared" si="9"/>
        <v>268</v>
      </c>
      <c r="BP140" s="28">
        <f t="shared" si="10"/>
        <v>3216</v>
      </c>
      <c r="BS140" s="217"/>
      <c r="BT140" s="217"/>
      <c r="BU140" s="134"/>
      <c r="BV140" s="217"/>
      <c r="BW140" s="217"/>
      <c r="BX140" s="217"/>
    </row>
    <row r="141" spans="22:76" x14ac:dyDescent="0.25">
      <c r="V141" s="449" t="str">
        <f>'[1]Strohs Plant in Service'!$C144</f>
        <v>Plant, Structures, and Improvements (35)</v>
      </c>
      <c r="W141" s="292" t="str">
        <f>'[1]Strohs Plant in Service'!$D144</f>
        <v>Structures - Strohs (472)</v>
      </c>
      <c r="X141" s="293">
        <f>'[1]Strohs Plant in Service'!$E144</f>
        <v>45231</v>
      </c>
      <c r="Y141" s="297">
        <f>'[1]Strohs Plant in Service'!$F144</f>
        <v>734.92</v>
      </c>
      <c r="Z141" s="248"/>
      <c r="AA141" s="294">
        <f>'[1]Strohs Plant in Service'!$G$11/12</f>
        <v>6</v>
      </c>
      <c r="AB141" s="219">
        <f>('[1]Strohs Plant in Service'!$G144-'[1]Strohs Plant in Service'!$H144)/12</f>
        <v>1.4166666666666667</v>
      </c>
      <c r="AC141" s="219">
        <f>'[1]Strohs Plant in Service'!$I144</f>
        <v>36.593526970954358</v>
      </c>
      <c r="AD141" s="219"/>
      <c r="AE141" s="220">
        <f>'[1]Strohs Plant in Service'!$J144</f>
        <v>54.9</v>
      </c>
      <c r="AF141" s="221">
        <v>680.02</v>
      </c>
      <c r="AG141" s="204"/>
      <c r="AH141" s="178"/>
      <c r="AI141" s="174"/>
      <c r="AJ141" s="179"/>
      <c r="AK141" s="247"/>
      <c r="AL141" s="248"/>
      <c r="AM141" s="294"/>
      <c r="AN141" s="219"/>
      <c r="AO141" s="219"/>
      <c r="AP141" s="219"/>
      <c r="AQ141" s="220"/>
      <c r="AR141" s="221"/>
      <c r="AY141" s="628"/>
      <c r="AZ141" s="470">
        <v>1</v>
      </c>
      <c r="BA141" s="466">
        <v>1355754565</v>
      </c>
      <c r="BB141" s="211">
        <v>121</v>
      </c>
      <c r="BC141" s="211">
        <v>438</v>
      </c>
      <c r="BD141" s="211">
        <v>684</v>
      </c>
      <c r="BE141" s="211">
        <v>843</v>
      </c>
      <c r="BF141" s="211">
        <v>3045</v>
      </c>
      <c r="BG141" s="211">
        <v>3811</v>
      </c>
      <c r="BH141" s="211">
        <v>6147</v>
      </c>
      <c r="BI141" s="211">
        <v>13000</v>
      </c>
      <c r="BJ141" s="211">
        <v>6433</v>
      </c>
      <c r="BK141" s="211">
        <v>1615</v>
      </c>
      <c r="BL141" s="211">
        <v>435</v>
      </c>
      <c r="BM141" s="211">
        <v>450</v>
      </c>
      <c r="BO141" s="28">
        <f t="shared" si="9"/>
        <v>3085.1666666666665</v>
      </c>
      <c r="BP141" s="28">
        <f t="shared" si="10"/>
        <v>37022</v>
      </c>
      <c r="BS141" s="217"/>
      <c r="BT141" s="217"/>
      <c r="BU141" s="134"/>
      <c r="BV141" s="217"/>
      <c r="BW141" s="217"/>
      <c r="BX141" s="217"/>
    </row>
    <row r="142" spans="22:76" x14ac:dyDescent="0.25">
      <c r="V142" s="449" t="str">
        <f>'[1]Strohs Plant in Service'!$C145</f>
        <v>Plant, Structures, and Improvements (35)</v>
      </c>
      <c r="W142" s="292" t="str">
        <f>'[1]Strohs Plant in Service'!$D145</f>
        <v>Structures (CIAC) - Strohs (472)</v>
      </c>
      <c r="X142" s="293">
        <f>'[1]Strohs Plant in Service'!$E145</f>
        <v>45231</v>
      </c>
      <c r="Y142" s="297">
        <f>'[1]Strohs Plant in Service'!$F145</f>
        <v>18415.63</v>
      </c>
      <c r="Z142" s="248"/>
      <c r="AA142" s="294">
        <f>'[1]Strohs Plant in Service'!$G$11/12</f>
        <v>6</v>
      </c>
      <c r="AB142" s="219">
        <f>('[1]Strohs Plant in Service'!$G145-'[1]Strohs Plant in Service'!$H145)/12</f>
        <v>1.4166666666666667</v>
      </c>
      <c r="AC142" s="219">
        <f>'[1]Strohs Plant in Service'!$I145</f>
        <v>916.96082987551881</v>
      </c>
      <c r="AD142" s="219"/>
      <c r="AE142" s="220">
        <f>'[1]Strohs Plant in Service'!$J145</f>
        <v>1375.4</v>
      </c>
      <c r="AF142" s="221">
        <v>17040.23</v>
      </c>
      <c r="AG142" s="204"/>
      <c r="AH142" s="178"/>
      <c r="AI142" s="174"/>
      <c r="AJ142" s="179"/>
      <c r="AK142" s="247"/>
      <c r="AL142" s="248"/>
      <c r="AM142" s="294"/>
      <c r="AN142" s="219"/>
      <c r="AO142" s="219"/>
      <c r="AP142" s="219"/>
      <c r="AQ142" s="220"/>
      <c r="AR142" s="221"/>
      <c r="AY142" s="628"/>
      <c r="AZ142" s="470">
        <v>0.75</v>
      </c>
      <c r="BA142" s="466">
        <v>1379353163</v>
      </c>
      <c r="BB142" s="211">
        <v>1463</v>
      </c>
      <c r="BC142" s="211">
        <v>1999</v>
      </c>
      <c r="BD142" s="211">
        <v>2133</v>
      </c>
      <c r="BE142" s="211">
        <v>1914</v>
      </c>
      <c r="BF142" s="211">
        <v>1480</v>
      </c>
      <c r="BG142" s="211">
        <v>1419</v>
      </c>
      <c r="BH142" s="211">
        <v>2053</v>
      </c>
      <c r="BI142" s="211">
        <v>2314</v>
      </c>
      <c r="BJ142" s="211">
        <v>1514</v>
      </c>
      <c r="BK142" s="211">
        <v>782</v>
      </c>
      <c r="BL142" s="211">
        <v>1009</v>
      </c>
      <c r="BM142" s="211">
        <v>1728</v>
      </c>
      <c r="BO142" s="28">
        <f t="shared" si="9"/>
        <v>1650.6666666666667</v>
      </c>
      <c r="BP142" s="28">
        <f t="shared" si="10"/>
        <v>19808</v>
      </c>
      <c r="BS142" s="217"/>
      <c r="BT142" s="217"/>
      <c r="BU142" s="134"/>
      <c r="BV142" s="217"/>
      <c r="BW142" s="217"/>
      <c r="BX142" s="217"/>
    </row>
    <row r="143" spans="22:76" x14ac:dyDescent="0.25">
      <c r="V143" s="449" t="str">
        <f>'[1]Strohs Plant in Service'!$C146</f>
        <v>Plant, Structures, and Improvements (35)</v>
      </c>
      <c r="W143" s="292" t="str">
        <f>'[1]Strohs Plant in Service'!$D146</f>
        <v>Structures (CIAC) - Strohs (472)</v>
      </c>
      <c r="X143" s="293">
        <f>'[1]Strohs Plant in Service'!$E146</f>
        <v>45231</v>
      </c>
      <c r="Y143" s="297">
        <f>'[1]Strohs Plant in Service'!$F146</f>
        <v>1048.29</v>
      </c>
      <c r="Z143" s="248"/>
      <c r="AA143" s="294">
        <f>'[1]Strohs Plant in Service'!$G$11/12</f>
        <v>6</v>
      </c>
      <c r="AB143" s="219">
        <f>('[1]Strohs Plant in Service'!$G146-'[1]Strohs Plant in Service'!$H146)/12</f>
        <v>1.4166666666666667</v>
      </c>
      <c r="AC143" s="219">
        <f>'[1]Strohs Plant in Service'!$I146</f>
        <v>52.197012448132782</v>
      </c>
      <c r="AD143" s="219"/>
      <c r="AE143" s="220">
        <f>'[1]Strohs Plant in Service'!$J146</f>
        <v>78.3</v>
      </c>
      <c r="AF143" s="221">
        <v>969.99</v>
      </c>
      <c r="AG143" s="204"/>
      <c r="AH143" s="178"/>
      <c r="AI143" s="174"/>
      <c r="AJ143" s="179"/>
      <c r="AK143" s="247"/>
      <c r="AL143" s="248"/>
      <c r="AM143" s="294"/>
      <c r="AN143" s="219"/>
      <c r="AO143" s="219"/>
      <c r="AP143" s="219"/>
      <c r="AQ143" s="220"/>
      <c r="AR143" s="221"/>
      <c r="AY143" s="628"/>
      <c r="AZ143" s="470">
        <v>0.625</v>
      </c>
      <c r="BA143" s="466">
        <v>1384495419</v>
      </c>
      <c r="BB143" s="211">
        <v>402</v>
      </c>
      <c r="BC143" s="211">
        <v>358</v>
      </c>
      <c r="BD143" s="211">
        <v>415</v>
      </c>
      <c r="BE143" s="211">
        <v>378</v>
      </c>
      <c r="BF143" s="211">
        <v>1241</v>
      </c>
      <c r="BG143" s="211">
        <v>2351</v>
      </c>
      <c r="BH143" s="211">
        <v>5451</v>
      </c>
      <c r="BI143" s="211">
        <v>2768</v>
      </c>
      <c r="BJ143" s="211">
        <v>1634</v>
      </c>
      <c r="BK143" s="211">
        <v>377</v>
      </c>
      <c r="BL143" s="211">
        <v>357</v>
      </c>
      <c r="BM143" s="211">
        <v>280</v>
      </c>
      <c r="BO143" s="28">
        <f t="shared" si="9"/>
        <v>1334.3333333333333</v>
      </c>
      <c r="BP143" s="28">
        <f t="shared" si="10"/>
        <v>16012</v>
      </c>
      <c r="BS143" s="217"/>
      <c r="BT143" s="217"/>
      <c r="BU143" s="134"/>
      <c r="BV143" s="217"/>
      <c r="BW143" s="217"/>
      <c r="BX143" s="217"/>
    </row>
    <row r="144" spans="22:76" x14ac:dyDescent="0.25">
      <c r="V144" s="449" t="str">
        <f>'[1]Strohs Plant in Service'!$C147</f>
        <v>Plant, Structures, and Improvements (35)</v>
      </c>
      <c r="W144" s="292" t="str">
        <f>'[1]Strohs Plant in Service'!$D147</f>
        <v>Structures - Strohs (472)</v>
      </c>
      <c r="X144" s="293">
        <f>'[1]Strohs Plant in Service'!$E147</f>
        <v>45231</v>
      </c>
      <c r="Y144" s="297">
        <f>'[1]Strohs Plant in Service'!$F147</f>
        <v>1715.53</v>
      </c>
      <c r="Z144" s="248"/>
      <c r="AA144" s="294">
        <f>'[1]Strohs Plant in Service'!$G$11/12</f>
        <v>6</v>
      </c>
      <c r="AB144" s="219">
        <f>('[1]Strohs Plant in Service'!$G147-'[1]Strohs Plant in Service'!$H147)/12</f>
        <v>1.4166666666666667</v>
      </c>
      <c r="AC144" s="219">
        <f>'[1]Strohs Plant in Service'!$I147</f>
        <v>85.420580912863073</v>
      </c>
      <c r="AD144" s="219"/>
      <c r="AE144" s="220">
        <f>'[1]Strohs Plant in Service'!$J147</f>
        <v>128.15</v>
      </c>
      <c r="AF144" s="221">
        <v>1587.3799999999999</v>
      </c>
      <c r="AG144" s="204"/>
      <c r="AH144" s="178"/>
      <c r="AI144" s="174"/>
      <c r="AJ144" s="179"/>
      <c r="AK144" s="247"/>
      <c r="AL144" s="248"/>
      <c r="AM144" s="294"/>
      <c r="AN144" s="219"/>
      <c r="AO144" s="219"/>
      <c r="AP144" s="219"/>
      <c r="AQ144" s="220"/>
      <c r="AR144" s="221"/>
      <c r="AY144" s="628"/>
      <c r="AZ144" s="470">
        <v>1</v>
      </c>
      <c r="BA144" s="466">
        <v>1385053089</v>
      </c>
      <c r="BB144" s="211">
        <v>203</v>
      </c>
      <c r="BC144" s="211">
        <v>137</v>
      </c>
      <c r="BD144" s="211">
        <v>139</v>
      </c>
      <c r="BE144" s="211">
        <v>195</v>
      </c>
      <c r="BF144" s="211">
        <v>163</v>
      </c>
      <c r="BG144" s="211">
        <v>196</v>
      </c>
      <c r="BH144" s="211">
        <v>457</v>
      </c>
      <c r="BI144" s="211" t="s">
        <v>655</v>
      </c>
      <c r="BJ144" s="211">
        <v>85</v>
      </c>
      <c r="BK144" s="211">
        <v>154</v>
      </c>
      <c r="BL144" s="211">
        <v>130</v>
      </c>
      <c r="BM144" s="211">
        <v>150</v>
      </c>
      <c r="BO144" s="28">
        <f t="shared" si="9"/>
        <v>182.63636363636363</v>
      </c>
      <c r="BP144" s="28">
        <f t="shared" si="10"/>
        <v>2009</v>
      </c>
      <c r="BS144" s="217"/>
      <c r="BT144" s="217"/>
      <c r="BU144" s="134"/>
      <c r="BV144" s="217"/>
      <c r="BW144" s="217"/>
      <c r="BX144" s="217"/>
    </row>
    <row r="145" spans="22:76" x14ac:dyDescent="0.25">
      <c r="V145" s="449" t="str">
        <f>'[1]Strohs Plant in Service'!$C148</f>
        <v>Plant, Structures, and Improvements (35)</v>
      </c>
      <c r="W145" s="292" t="str">
        <f>'[1]Strohs Plant in Service'!$D148</f>
        <v>Structures - Strohs (472)</v>
      </c>
      <c r="X145" s="293">
        <f>'[1]Strohs Plant in Service'!$E148</f>
        <v>45231</v>
      </c>
      <c r="Y145" s="297">
        <f>'[1]Strohs Plant in Service'!$F148</f>
        <v>979.37</v>
      </c>
      <c r="Z145" s="248"/>
      <c r="AA145" s="294">
        <f>'[1]Strohs Plant in Service'!$G$11/12</f>
        <v>6</v>
      </c>
      <c r="AB145" s="219">
        <f>('[1]Strohs Plant in Service'!$G148-'[1]Strohs Plant in Service'!$H148)/12</f>
        <v>1.4166666666666667</v>
      </c>
      <c r="AC145" s="219">
        <f>'[1]Strohs Plant in Service'!$I148</f>
        <v>48.765311203319506</v>
      </c>
      <c r="AD145" s="219"/>
      <c r="AE145" s="220">
        <f>'[1]Strohs Plant in Service'!$J148</f>
        <v>73.099999999999994</v>
      </c>
      <c r="AF145" s="221">
        <v>906.27</v>
      </c>
      <c r="AG145" s="204"/>
      <c r="AH145" s="178"/>
      <c r="AI145" s="174"/>
      <c r="AJ145" s="179"/>
      <c r="AK145" s="247"/>
      <c r="AL145" s="248"/>
      <c r="AM145" s="294"/>
      <c r="AN145" s="219"/>
      <c r="AO145" s="219"/>
      <c r="AP145" s="219"/>
      <c r="AQ145" s="220"/>
      <c r="AR145" s="221"/>
      <c r="AY145" s="628"/>
      <c r="AZ145" s="470">
        <v>0.75</v>
      </c>
      <c r="BA145" s="466">
        <v>1401992479</v>
      </c>
      <c r="BB145" s="211">
        <v>689</v>
      </c>
      <c r="BC145" s="211">
        <v>483</v>
      </c>
      <c r="BD145" s="211">
        <v>596</v>
      </c>
      <c r="BE145" s="211">
        <v>760</v>
      </c>
      <c r="BF145" s="211">
        <v>577</v>
      </c>
      <c r="BG145" s="211">
        <v>1338</v>
      </c>
      <c r="BH145" s="211">
        <v>4218</v>
      </c>
      <c r="BI145" s="211">
        <v>4513</v>
      </c>
      <c r="BJ145" s="211">
        <v>2701</v>
      </c>
      <c r="BK145" s="211">
        <v>489</v>
      </c>
      <c r="BL145" s="211">
        <v>614</v>
      </c>
      <c r="BM145" s="211">
        <v>341</v>
      </c>
      <c r="BO145" s="28">
        <f t="shared" si="9"/>
        <v>1443.25</v>
      </c>
      <c r="BP145" s="28">
        <f t="shared" si="10"/>
        <v>17319</v>
      </c>
      <c r="BS145" s="217"/>
      <c r="BT145" s="217"/>
      <c r="BU145" s="134"/>
      <c r="BV145" s="217"/>
      <c r="BW145" s="217"/>
      <c r="BX145" s="217"/>
    </row>
    <row r="146" spans="22:76" x14ac:dyDescent="0.25">
      <c r="V146" s="449" t="str">
        <f>'[1]Strohs Plant in Service'!$C149</f>
        <v>Plant, Structures, and Improvements (35)</v>
      </c>
      <c r="W146" s="292" t="str">
        <f>'[1]Strohs Plant in Service'!$D149</f>
        <v>Structures (CIAC) - Strohs (472)</v>
      </c>
      <c r="X146" s="293">
        <f>'[1]Strohs Plant in Service'!$E149</f>
        <v>45231</v>
      </c>
      <c r="Y146" s="297">
        <f>'[1]Strohs Plant in Service'!$F149</f>
        <v>13433.48</v>
      </c>
      <c r="Z146" s="248"/>
      <c r="AA146" s="294">
        <f>'[1]Strohs Plant in Service'!$G$11/12</f>
        <v>6</v>
      </c>
      <c r="AB146" s="219">
        <f>('[1]Strohs Plant in Service'!$G149-'[1]Strohs Plant in Service'!$H149)/12</f>
        <v>1.4166666666666667</v>
      </c>
      <c r="AC146" s="219">
        <f>'[1]Strohs Plant in Service'!$I149</f>
        <v>668.8869709543568</v>
      </c>
      <c r="AD146" s="219"/>
      <c r="AE146" s="220">
        <f>'[1]Strohs Plant in Service'!$J149</f>
        <v>1003.32</v>
      </c>
      <c r="AF146" s="221">
        <v>12430.16</v>
      </c>
      <c r="AG146" s="204"/>
      <c r="AH146" s="178"/>
      <c r="AI146" s="174"/>
      <c r="AJ146" s="179"/>
      <c r="AK146" s="247"/>
      <c r="AL146" s="248"/>
      <c r="AM146" s="294"/>
      <c r="AN146" s="219"/>
      <c r="AO146" s="219"/>
      <c r="AP146" s="219"/>
      <c r="AQ146" s="220"/>
      <c r="AR146" s="221"/>
      <c r="AY146" s="628"/>
      <c r="AZ146" s="470">
        <v>1</v>
      </c>
      <c r="BA146" s="466">
        <v>1435280385</v>
      </c>
      <c r="BB146" s="211">
        <v>1717</v>
      </c>
      <c r="BC146" s="211">
        <v>1674</v>
      </c>
      <c r="BD146" s="211">
        <v>1878</v>
      </c>
      <c r="BE146" s="211">
        <v>2155</v>
      </c>
      <c r="BF146" s="211">
        <v>1800</v>
      </c>
      <c r="BG146" s="211">
        <v>1839</v>
      </c>
      <c r="BH146" s="211">
        <v>2404</v>
      </c>
      <c r="BI146" s="211">
        <v>1873</v>
      </c>
      <c r="BJ146" s="211">
        <v>2275</v>
      </c>
      <c r="BK146" s="211">
        <v>2994</v>
      </c>
      <c r="BL146" s="211">
        <v>966</v>
      </c>
      <c r="BM146" s="211">
        <v>1975</v>
      </c>
      <c r="BO146" s="28">
        <f t="shared" si="9"/>
        <v>1962.5</v>
      </c>
      <c r="BP146" s="28">
        <f t="shared" si="10"/>
        <v>23550</v>
      </c>
      <c r="BS146" s="217"/>
      <c r="BT146" s="217"/>
      <c r="BU146" s="134"/>
      <c r="BV146" s="217"/>
      <c r="BW146" s="217"/>
      <c r="BX146" s="217"/>
    </row>
    <row r="147" spans="22:76" x14ac:dyDescent="0.25">
      <c r="V147" s="449" t="str">
        <f>'[1]Strohs Plant in Service'!$C150</f>
        <v>Plant, Structures, and Improvements (35)</v>
      </c>
      <c r="W147" s="292" t="str">
        <f>'[1]Strohs Plant in Service'!$D150</f>
        <v>Structures - Strohs (472)</v>
      </c>
      <c r="X147" s="293">
        <f>'[1]Strohs Plant in Service'!$E150</f>
        <v>45231</v>
      </c>
      <c r="Y147" s="297">
        <f>'[1]Strohs Plant in Service'!$F150</f>
        <v>8308.4500000000007</v>
      </c>
      <c r="Z147" s="248"/>
      <c r="AA147" s="294">
        <f>'[1]Strohs Plant in Service'!$G$11/12</f>
        <v>6</v>
      </c>
      <c r="AB147" s="219">
        <f>('[1]Strohs Plant in Service'!$G150-'[1]Strohs Plant in Service'!$H150)/12</f>
        <v>1.4166666666666667</v>
      </c>
      <c r="AC147" s="219">
        <f>'[1]Strohs Plant in Service'!$I150</f>
        <v>413.698755186722</v>
      </c>
      <c r="AD147" s="219"/>
      <c r="AE147" s="220">
        <f>'[1]Strohs Plant in Service'!$J150</f>
        <v>620.53</v>
      </c>
      <c r="AF147" s="221">
        <v>7687.920000000001</v>
      </c>
      <c r="AG147" s="204"/>
      <c r="AH147" s="178"/>
      <c r="AI147" s="174"/>
      <c r="AJ147" s="179"/>
      <c r="AK147" s="247"/>
      <c r="AL147" s="248"/>
      <c r="AM147" s="294"/>
      <c r="AN147" s="219"/>
      <c r="AO147" s="219"/>
      <c r="AP147" s="219"/>
      <c r="AQ147" s="220"/>
      <c r="AR147" s="221"/>
      <c r="AY147" s="628"/>
      <c r="AZ147" s="470">
        <v>1.5</v>
      </c>
      <c r="BA147" s="466">
        <v>1439209245</v>
      </c>
      <c r="BB147" s="211">
        <v>4594</v>
      </c>
      <c r="BC147" s="211">
        <v>4235</v>
      </c>
      <c r="BD147" s="211">
        <v>4876</v>
      </c>
      <c r="BE147" s="211">
        <v>5040</v>
      </c>
      <c r="BF147" s="211">
        <v>5078</v>
      </c>
      <c r="BG147" s="211">
        <v>4763</v>
      </c>
      <c r="BH147" s="211">
        <v>4642</v>
      </c>
      <c r="BI147" s="211">
        <v>4304</v>
      </c>
      <c r="BJ147" s="211">
        <v>5163</v>
      </c>
      <c r="BK147" s="211">
        <v>4480</v>
      </c>
      <c r="BL147" s="211">
        <v>4353</v>
      </c>
      <c r="BM147" s="211">
        <v>4550</v>
      </c>
      <c r="BO147" s="28">
        <f t="shared" si="9"/>
        <v>4673.166666666667</v>
      </c>
      <c r="BP147" s="28">
        <f t="shared" si="10"/>
        <v>56078</v>
      </c>
      <c r="BS147" s="217"/>
      <c r="BT147" s="217"/>
      <c r="BU147" s="134"/>
      <c r="BV147" s="217"/>
      <c r="BW147" s="217"/>
      <c r="BX147" s="217"/>
    </row>
    <row r="148" spans="22:76" x14ac:dyDescent="0.25">
      <c r="V148" s="449" t="str">
        <f>'[1]Strohs Plant in Service'!$C151</f>
        <v>Plant, Structures, and Improvements (35)</v>
      </c>
      <c r="W148" s="292" t="str">
        <f>'[1]Strohs Plant in Service'!$D151</f>
        <v>CIAC, Pumping Equip - Strohs</v>
      </c>
      <c r="X148" s="293">
        <f>'[1]Strohs Plant in Service'!$E151</f>
        <v>45231</v>
      </c>
      <c r="Y148" s="297">
        <f>'[1]Strohs Plant in Service'!$F151</f>
        <v>86712.31</v>
      </c>
      <c r="Z148" s="248"/>
      <c r="AA148" s="294">
        <f>'[1]Strohs Plant in Service'!$G$11/12</f>
        <v>6</v>
      </c>
      <c r="AB148" s="219">
        <f>('[1]Strohs Plant in Service'!$G151-'[1]Strohs Plant in Service'!$H151)/12</f>
        <v>20.833333333333332</v>
      </c>
      <c r="AC148" s="219">
        <f>'[1]Strohs Plant in Service'!$I151</f>
        <v>3811.53010989011</v>
      </c>
      <c r="AD148" s="219"/>
      <c r="AE148" s="220">
        <f>'[1]Strohs Plant in Service'!$J151</f>
        <v>79764.710000000006</v>
      </c>
      <c r="AF148" s="221">
        <v>6947.5999999999913</v>
      </c>
      <c r="AG148" s="204"/>
      <c r="AH148" s="178"/>
      <c r="AI148" s="174"/>
      <c r="AJ148" s="179"/>
      <c r="AK148" s="247"/>
      <c r="AL148" s="248"/>
      <c r="AM148" s="294"/>
      <c r="AN148" s="219"/>
      <c r="AO148" s="219"/>
      <c r="AP148" s="219"/>
      <c r="AQ148" s="220"/>
      <c r="AR148" s="221"/>
      <c r="AY148" s="628"/>
      <c r="AZ148" s="470">
        <v>1</v>
      </c>
      <c r="BA148" s="466">
        <v>1448099780</v>
      </c>
      <c r="BB148" s="211">
        <v>2177</v>
      </c>
      <c r="BC148" s="211">
        <v>2357</v>
      </c>
      <c r="BD148" s="211">
        <v>646</v>
      </c>
      <c r="BE148" s="211">
        <v>440</v>
      </c>
      <c r="BF148" s="211">
        <v>1051</v>
      </c>
      <c r="BG148" s="211">
        <v>477</v>
      </c>
      <c r="BH148" s="211">
        <v>332</v>
      </c>
      <c r="BI148" s="211">
        <v>344</v>
      </c>
      <c r="BJ148" s="211">
        <v>656</v>
      </c>
      <c r="BK148" s="211">
        <v>2182</v>
      </c>
      <c r="BL148" s="211">
        <v>356</v>
      </c>
      <c r="BM148" s="211">
        <v>632</v>
      </c>
      <c r="BO148" s="28">
        <f t="shared" si="9"/>
        <v>970.83333333333337</v>
      </c>
      <c r="BP148" s="28">
        <f t="shared" si="10"/>
        <v>11650</v>
      </c>
      <c r="BS148" s="217"/>
      <c r="BT148" s="217"/>
      <c r="BU148" s="134"/>
      <c r="BV148" s="217"/>
      <c r="BW148" s="217"/>
      <c r="BX148" s="217"/>
    </row>
    <row r="149" spans="22:76" x14ac:dyDescent="0.25">
      <c r="V149" s="449" t="str">
        <f>'[1]Strohs Plant in Service'!$C152</f>
        <v>Plant, Structures, and Improvements (35)</v>
      </c>
      <c r="W149" s="292" t="str">
        <f>'[1]Strohs Plant in Service'!$D152</f>
        <v>CIAC, Pumping Equip - Strohs</v>
      </c>
      <c r="X149" s="293">
        <f>'[1]Strohs Plant in Service'!$E152</f>
        <v>45231</v>
      </c>
      <c r="Y149" s="297">
        <f>'[1]Strohs Plant in Service'!$F152</f>
        <v>1379</v>
      </c>
      <c r="Z149" s="248"/>
      <c r="AA149" s="294">
        <f>'[1]Strohs Plant in Service'!$G$11/12</f>
        <v>6</v>
      </c>
      <c r="AB149" s="219">
        <f>('[1]Strohs Plant in Service'!$G152-'[1]Strohs Plant in Service'!$H152)/12</f>
        <v>20</v>
      </c>
      <c r="AC149" s="219">
        <f>'[1]Strohs Plant in Service'!$I152</f>
        <v>0</v>
      </c>
      <c r="AD149" s="219"/>
      <c r="AE149" s="220">
        <f>'[1]Strohs Plant in Service'!$J152</f>
        <v>1379</v>
      </c>
      <c r="AF149" s="221">
        <v>0</v>
      </c>
      <c r="AG149" s="204"/>
      <c r="AH149" s="178"/>
      <c r="AI149" s="174"/>
      <c r="AJ149" s="179"/>
      <c r="AK149" s="247"/>
      <c r="AL149" s="248"/>
      <c r="AM149" s="294"/>
      <c r="AN149" s="219"/>
      <c r="AO149" s="219"/>
      <c r="AP149" s="219"/>
      <c r="AQ149" s="220"/>
      <c r="AR149" s="221"/>
      <c r="AY149" s="628"/>
      <c r="AZ149" s="470">
        <v>0.625</v>
      </c>
      <c r="BA149" s="466">
        <v>1448895999</v>
      </c>
      <c r="BB149" s="211">
        <v>38</v>
      </c>
      <c r="BC149" s="211">
        <v>174</v>
      </c>
      <c r="BD149" s="211">
        <v>201</v>
      </c>
      <c r="BE149" s="211">
        <v>282</v>
      </c>
      <c r="BF149" s="211">
        <v>125</v>
      </c>
      <c r="BG149" s="211" t="s">
        <v>655</v>
      </c>
      <c r="BH149" s="211" t="s">
        <v>655</v>
      </c>
      <c r="BI149" s="211" t="s">
        <v>655</v>
      </c>
      <c r="BJ149" s="211" t="s">
        <v>655</v>
      </c>
      <c r="BK149" s="211" t="s">
        <v>655</v>
      </c>
      <c r="BL149" s="211" t="s">
        <v>655</v>
      </c>
      <c r="BM149" s="211" t="s">
        <v>655</v>
      </c>
      <c r="BO149" s="28">
        <f t="shared" si="9"/>
        <v>164</v>
      </c>
      <c r="BP149" s="28">
        <f t="shared" si="10"/>
        <v>820</v>
      </c>
      <c r="BS149" s="217"/>
      <c r="BT149" s="217"/>
      <c r="BU149" s="134"/>
      <c r="BV149" s="217"/>
      <c r="BW149" s="217"/>
      <c r="BX149" s="217"/>
    </row>
    <row r="150" spans="22:76" x14ac:dyDescent="0.25">
      <c r="V150" s="449" t="str">
        <f>'[1]Strohs Plant in Service'!$C153</f>
        <v>Pumping and Water Treatment (20)</v>
      </c>
      <c r="W150" s="292" t="str">
        <f>'[1]Strohs Plant in Service'!$D153</f>
        <v>Pumping Equip - Strohs</v>
      </c>
      <c r="X150" s="293">
        <f>'[1]Strohs Plant in Service'!$E153</f>
        <v>45231</v>
      </c>
      <c r="Y150" s="297">
        <f>'[1]Strohs Plant in Service'!$F153</f>
        <v>458.22</v>
      </c>
      <c r="Z150" s="248"/>
      <c r="AA150" s="294">
        <f>'[1]Strohs Plant in Service'!$G$11/12</f>
        <v>6</v>
      </c>
      <c r="AB150" s="219">
        <f>('[1]Strohs Plant in Service'!$G153-'[1]Strohs Plant in Service'!$H153)/12</f>
        <v>20</v>
      </c>
      <c r="AC150" s="219">
        <f>'[1]Strohs Plant in Service'!$I153</f>
        <v>0</v>
      </c>
      <c r="AD150" s="219"/>
      <c r="AE150" s="220">
        <f>'[1]Strohs Plant in Service'!$J153</f>
        <v>458.22</v>
      </c>
      <c r="AF150" s="221">
        <v>0</v>
      </c>
      <c r="AG150" s="204"/>
      <c r="AH150" s="178"/>
      <c r="AI150" s="174"/>
      <c r="AJ150" s="179"/>
      <c r="AK150" s="247"/>
      <c r="AL150" s="248"/>
      <c r="AM150" s="294"/>
      <c r="AN150" s="219"/>
      <c r="AO150" s="219"/>
      <c r="AP150" s="219"/>
      <c r="AQ150" s="220"/>
      <c r="AR150" s="221"/>
      <c r="AY150" s="628"/>
      <c r="AZ150" s="470">
        <v>0.75</v>
      </c>
      <c r="BA150" s="466">
        <v>1458899431</v>
      </c>
      <c r="BB150" s="211">
        <v>361</v>
      </c>
      <c r="BC150" s="211">
        <v>265</v>
      </c>
      <c r="BD150" s="211">
        <v>257</v>
      </c>
      <c r="BE150" s="211">
        <v>364</v>
      </c>
      <c r="BF150" s="211">
        <v>319</v>
      </c>
      <c r="BG150" s="211">
        <v>467</v>
      </c>
      <c r="BH150" s="211">
        <v>409</v>
      </c>
      <c r="BI150" s="211">
        <v>385</v>
      </c>
      <c r="BJ150" s="211">
        <v>516</v>
      </c>
      <c r="BK150" s="211">
        <v>246</v>
      </c>
      <c r="BL150" s="211">
        <v>200</v>
      </c>
      <c r="BM150" s="211">
        <v>255</v>
      </c>
      <c r="BO150" s="28">
        <f t="shared" si="9"/>
        <v>337</v>
      </c>
      <c r="BP150" s="28">
        <f t="shared" si="10"/>
        <v>4044</v>
      </c>
      <c r="BS150" s="217"/>
      <c r="BT150" s="217"/>
      <c r="BU150" s="134"/>
      <c r="BV150" s="217"/>
      <c r="BW150" s="217"/>
      <c r="BX150" s="217"/>
    </row>
    <row r="151" spans="22:76" x14ac:dyDescent="0.25">
      <c r="V151" s="449" t="str">
        <f>'[1]Strohs Plant in Service'!$C154</f>
        <v>Pumping and Water Treatment (20)</v>
      </c>
      <c r="W151" s="292" t="str">
        <f>'[1]Strohs Plant in Service'!$D154</f>
        <v>Pumping Equip - Strohs</v>
      </c>
      <c r="X151" s="293">
        <f>'[1]Strohs Plant in Service'!$E154</f>
        <v>45231</v>
      </c>
      <c r="Y151" s="297">
        <f>'[1]Strohs Plant in Service'!$F154</f>
        <v>1273</v>
      </c>
      <c r="Z151" s="248"/>
      <c r="AA151" s="294">
        <f>'[1]Strohs Plant in Service'!$G$11/12</f>
        <v>6</v>
      </c>
      <c r="AB151" s="219">
        <f>('[1]Strohs Plant in Service'!$G154-'[1]Strohs Plant in Service'!$H154)/12</f>
        <v>20</v>
      </c>
      <c r="AC151" s="219">
        <f>'[1]Strohs Plant in Service'!$I154</f>
        <v>0</v>
      </c>
      <c r="AD151" s="219"/>
      <c r="AE151" s="220">
        <f>'[1]Strohs Plant in Service'!$J154</f>
        <v>1273</v>
      </c>
      <c r="AF151" s="221">
        <v>0</v>
      </c>
      <c r="AG151" s="204"/>
      <c r="AH151" s="178"/>
      <c r="AI151" s="174"/>
      <c r="AJ151" s="179"/>
      <c r="AK151" s="247"/>
      <c r="AL151" s="248"/>
      <c r="AM151" s="294"/>
      <c r="AN151" s="219"/>
      <c r="AO151" s="219"/>
      <c r="AP151" s="219"/>
      <c r="AQ151" s="220"/>
      <c r="AR151" s="221"/>
      <c r="AY151" s="628"/>
      <c r="AZ151" s="470">
        <v>0.75</v>
      </c>
      <c r="BA151" s="466">
        <v>1477556540</v>
      </c>
      <c r="BB151" s="211">
        <v>401</v>
      </c>
      <c r="BC151" s="211">
        <v>362</v>
      </c>
      <c r="BD151" s="211">
        <v>389</v>
      </c>
      <c r="BE151" s="211">
        <v>416</v>
      </c>
      <c r="BF151" s="211">
        <v>458</v>
      </c>
      <c r="BG151" s="211">
        <v>391</v>
      </c>
      <c r="BH151" s="211">
        <v>1446</v>
      </c>
      <c r="BI151" s="211">
        <v>1245</v>
      </c>
      <c r="BJ151" s="211">
        <v>17</v>
      </c>
      <c r="BK151" s="211">
        <v>1098</v>
      </c>
      <c r="BL151" s="211">
        <v>335</v>
      </c>
      <c r="BM151" s="211">
        <v>390</v>
      </c>
      <c r="BO151" s="28">
        <f t="shared" si="9"/>
        <v>579</v>
      </c>
      <c r="BP151" s="28">
        <f t="shared" si="10"/>
        <v>6948</v>
      </c>
      <c r="BS151" s="217"/>
      <c r="BT151" s="217"/>
      <c r="BU151" s="134"/>
      <c r="BV151" s="217"/>
      <c r="BW151" s="217"/>
      <c r="BX151" s="217"/>
    </row>
    <row r="152" spans="22:76" x14ac:dyDescent="0.25">
      <c r="V152" s="449" t="str">
        <f>'[1]Strohs Plant in Service'!$C155</f>
        <v>Pumping and Water Treatment (20)</v>
      </c>
      <c r="W152" s="292" t="str">
        <f>'[1]Strohs Plant in Service'!$D155</f>
        <v>Pumping Equip - Strohs</v>
      </c>
      <c r="X152" s="293">
        <f>'[1]Strohs Plant in Service'!$E155</f>
        <v>45231</v>
      </c>
      <c r="Y152" s="297">
        <f>'[1]Strohs Plant in Service'!$F155</f>
        <v>214</v>
      </c>
      <c r="Z152" s="248"/>
      <c r="AA152" s="294">
        <f>'[1]Strohs Plant in Service'!$G$11/12</f>
        <v>6</v>
      </c>
      <c r="AB152" s="219">
        <f>('[1]Strohs Plant in Service'!$G155-'[1]Strohs Plant in Service'!$H155)/12</f>
        <v>20</v>
      </c>
      <c r="AC152" s="219">
        <f>'[1]Strohs Plant in Service'!$I155</f>
        <v>0</v>
      </c>
      <c r="AD152" s="219"/>
      <c r="AE152" s="220">
        <f>'[1]Strohs Plant in Service'!$J155</f>
        <v>214</v>
      </c>
      <c r="AF152" s="221">
        <v>0</v>
      </c>
      <c r="AG152" s="204"/>
      <c r="AH152" s="178"/>
      <c r="AI152" s="174"/>
      <c r="AJ152" s="179"/>
      <c r="AK152" s="247"/>
      <c r="AL152" s="248"/>
      <c r="AM152" s="294"/>
      <c r="AN152" s="219"/>
      <c r="AO152" s="219"/>
      <c r="AP152" s="219"/>
      <c r="AQ152" s="220"/>
      <c r="AR152" s="221"/>
      <c r="AY152" s="628"/>
      <c r="AZ152" s="470">
        <v>1.5</v>
      </c>
      <c r="BA152" s="466">
        <v>1484274814</v>
      </c>
      <c r="BB152" s="211">
        <v>476</v>
      </c>
      <c r="BC152" s="211">
        <v>2911</v>
      </c>
      <c r="BD152" s="211">
        <v>642</v>
      </c>
      <c r="BE152" s="211">
        <v>823</v>
      </c>
      <c r="BF152" s="211">
        <v>863</v>
      </c>
      <c r="BG152" s="211">
        <v>30675</v>
      </c>
      <c r="BH152" s="211">
        <v>36811</v>
      </c>
      <c r="BI152" s="211">
        <v>32984</v>
      </c>
      <c r="BJ152" s="211">
        <v>11252</v>
      </c>
      <c r="BK152" s="211">
        <v>1337</v>
      </c>
      <c r="BL152" s="211">
        <v>1033</v>
      </c>
      <c r="BM152" s="211">
        <v>850</v>
      </c>
      <c r="BO152" s="28">
        <f t="shared" si="9"/>
        <v>10054.75</v>
      </c>
      <c r="BP152" s="28">
        <f t="shared" si="10"/>
        <v>120657</v>
      </c>
      <c r="BS152" s="217"/>
      <c r="BT152" s="217"/>
      <c r="BU152" s="134"/>
      <c r="BV152" s="217"/>
      <c r="BW152" s="217"/>
      <c r="BX152" s="217"/>
    </row>
    <row r="153" spans="22:76" x14ac:dyDescent="0.25">
      <c r="V153" s="449" t="str">
        <f>'[1]Strohs Plant in Service'!$C156</f>
        <v>Pumping and Water Treatment (20)</v>
      </c>
      <c r="W153" s="292" t="str">
        <f>'[1]Strohs Plant in Service'!$D156</f>
        <v>Pumping Equip - Strohs</v>
      </c>
      <c r="X153" s="293">
        <f>'[1]Strohs Plant in Service'!$E156</f>
        <v>45231</v>
      </c>
      <c r="Y153" s="297">
        <f>'[1]Strohs Plant in Service'!$F156</f>
        <v>2938</v>
      </c>
      <c r="Z153" s="248"/>
      <c r="AA153" s="294">
        <f>'[1]Strohs Plant in Service'!$G$11/12</f>
        <v>6</v>
      </c>
      <c r="AB153" s="219">
        <f>('[1]Strohs Plant in Service'!$G156-'[1]Strohs Plant in Service'!$H156)/12</f>
        <v>16.416666666666668</v>
      </c>
      <c r="AC153" s="219">
        <f>'[1]Strohs Plant in Service'!$I156</f>
        <v>146.9</v>
      </c>
      <c r="AD153" s="219"/>
      <c r="AE153" s="220">
        <f>'[1]Strohs Plant in Service'!$J156</f>
        <v>2423.83</v>
      </c>
      <c r="AF153" s="221">
        <v>514.17000000000007</v>
      </c>
      <c r="AG153" s="204"/>
      <c r="AH153" s="178"/>
      <c r="AI153" s="174"/>
      <c r="AJ153" s="179"/>
      <c r="AK153" s="247"/>
      <c r="AL153" s="248"/>
      <c r="AM153" s="294"/>
      <c r="AN153" s="219"/>
      <c r="AO153" s="219"/>
      <c r="AP153" s="219"/>
      <c r="AQ153" s="220"/>
      <c r="AR153" s="221"/>
      <c r="AY153" s="628"/>
      <c r="AZ153" s="470">
        <v>0.75</v>
      </c>
      <c r="BA153" s="466">
        <v>1491680782</v>
      </c>
      <c r="BB153" s="211">
        <v>757</v>
      </c>
      <c r="BC153" s="211">
        <v>995</v>
      </c>
      <c r="BD153" s="211">
        <v>1203</v>
      </c>
      <c r="BE153" s="211">
        <v>7</v>
      </c>
      <c r="BF153" s="211">
        <v>5878</v>
      </c>
      <c r="BG153" s="211">
        <v>2638</v>
      </c>
      <c r="BH153" s="211">
        <v>13119</v>
      </c>
      <c r="BI153" s="211">
        <v>21977</v>
      </c>
      <c r="BJ153" s="211">
        <v>7921</v>
      </c>
      <c r="BK153" s="211">
        <v>4789</v>
      </c>
      <c r="BL153" s="211">
        <v>1478</v>
      </c>
      <c r="BM153" s="211">
        <v>3500</v>
      </c>
      <c r="BO153" s="28">
        <f t="shared" si="9"/>
        <v>5355.166666666667</v>
      </c>
      <c r="BP153" s="28">
        <f t="shared" si="10"/>
        <v>64262</v>
      </c>
      <c r="BS153" s="217"/>
      <c r="BT153" s="217"/>
      <c r="BU153" s="134"/>
      <c r="BV153" s="217"/>
      <c r="BW153" s="217"/>
      <c r="BX153" s="217"/>
    </row>
    <row r="154" spans="22:76" x14ac:dyDescent="0.25">
      <c r="V154" s="449" t="str">
        <f>'[1]Strohs Plant in Service'!$C157</f>
        <v>Pumping and Water Treatment (20)</v>
      </c>
      <c r="W154" s="292" t="str">
        <f>'[1]Strohs Plant in Service'!$D157</f>
        <v>Pumping Equip - Strohs</v>
      </c>
      <c r="X154" s="293">
        <f>'[1]Strohs Plant in Service'!$E157</f>
        <v>45231</v>
      </c>
      <c r="Y154" s="297">
        <f>'[1]Strohs Plant in Service'!$F157</f>
        <v>2133.9</v>
      </c>
      <c r="Z154" s="248"/>
      <c r="AA154" s="294">
        <f>'[1]Strohs Plant in Service'!$G$11/12</f>
        <v>6</v>
      </c>
      <c r="AB154" s="219">
        <f>('[1]Strohs Plant in Service'!$G157-'[1]Strohs Plant in Service'!$H157)/12</f>
        <v>18</v>
      </c>
      <c r="AC154" s="219">
        <f>'[1]Strohs Plant in Service'!$I157</f>
        <v>106.69500000000002</v>
      </c>
      <c r="AD154" s="219"/>
      <c r="AE154" s="220">
        <f>'[1]Strohs Plant in Service'!$J157</f>
        <v>1929.39</v>
      </c>
      <c r="AF154" s="221">
        <v>204.51</v>
      </c>
      <c r="AG154" s="204"/>
      <c r="AH154" s="178"/>
      <c r="AI154" s="174"/>
      <c r="AJ154" s="179"/>
      <c r="AK154" s="247"/>
      <c r="AL154" s="248"/>
      <c r="AM154" s="294"/>
      <c r="AN154" s="219"/>
      <c r="AO154" s="219"/>
      <c r="AP154" s="219"/>
      <c r="AQ154" s="220"/>
      <c r="AR154" s="221"/>
      <c r="AY154" s="628"/>
      <c r="AZ154" s="470">
        <v>0.625</v>
      </c>
      <c r="BA154" s="466">
        <v>1492103397</v>
      </c>
      <c r="BB154" s="211">
        <v>719</v>
      </c>
      <c r="BC154" s="211">
        <v>646</v>
      </c>
      <c r="BD154" s="211">
        <v>595</v>
      </c>
      <c r="BE154" s="211">
        <v>711</v>
      </c>
      <c r="BF154" s="211">
        <v>1025</v>
      </c>
      <c r="BG154" s="211">
        <v>1826</v>
      </c>
      <c r="BH154" s="211">
        <v>2172</v>
      </c>
      <c r="BI154" s="211">
        <v>1928</v>
      </c>
      <c r="BJ154" s="211">
        <v>2107</v>
      </c>
      <c r="BK154" s="211" t="s">
        <v>655</v>
      </c>
      <c r="BL154" s="211">
        <v>2032</v>
      </c>
      <c r="BM154" s="211">
        <v>762</v>
      </c>
      <c r="BO154" s="28">
        <f t="shared" si="9"/>
        <v>1320.2727272727273</v>
      </c>
      <c r="BP154" s="28">
        <f t="shared" si="10"/>
        <v>14523</v>
      </c>
      <c r="BS154" s="217"/>
      <c r="BT154" s="217"/>
      <c r="BU154" s="134"/>
      <c r="BV154" s="217"/>
      <c r="BW154" s="217"/>
      <c r="BX154" s="217"/>
    </row>
    <row r="155" spans="22:76" x14ac:dyDescent="0.25">
      <c r="V155" s="449" t="str">
        <f>'[1]Strohs Plant in Service'!$C158</f>
        <v>Pumping and Water Treatment (20)</v>
      </c>
      <c r="W155" s="292" t="str">
        <f>'[1]Strohs Plant in Service'!$D158</f>
        <v>Pumping Equip - Strohs</v>
      </c>
      <c r="X155" s="293">
        <f>'[1]Strohs Plant in Service'!$E158</f>
        <v>45231</v>
      </c>
      <c r="Y155" s="297">
        <f>'[1]Strohs Plant in Service'!$F158</f>
        <v>163.68</v>
      </c>
      <c r="Z155" s="248"/>
      <c r="AA155" s="294">
        <f>'[1]Strohs Plant in Service'!$G$11/12</f>
        <v>6</v>
      </c>
      <c r="AB155" s="219">
        <f>('[1]Strohs Plant in Service'!$G158-'[1]Strohs Plant in Service'!$H158)/12</f>
        <v>17.583333333333332</v>
      </c>
      <c r="AC155" s="219">
        <f>'[1]Strohs Plant in Service'!$I158</f>
        <v>8.1840000000000011</v>
      </c>
      <c r="AD155" s="219"/>
      <c r="AE155" s="220">
        <f>'[1]Strohs Plant in Service'!$J158</f>
        <v>144.56</v>
      </c>
      <c r="AF155" s="221">
        <v>19.120000000000005</v>
      </c>
      <c r="AG155" s="204"/>
      <c r="AH155" s="178"/>
      <c r="AI155" s="174"/>
      <c r="AJ155" s="179"/>
      <c r="AK155" s="247"/>
      <c r="AL155" s="248"/>
      <c r="AM155" s="294"/>
      <c r="AN155" s="219"/>
      <c r="AO155" s="219"/>
      <c r="AP155" s="219"/>
      <c r="AQ155" s="220"/>
      <c r="AR155" s="221"/>
      <c r="AY155" s="628"/>
      <c r="AZ155" s="470">
        <v>0.75</v>
      </c>
      <c r="BA155" s="466">
        <v>1510352957</v>
      </c>
      <c r="BB155" s="211">
        <v>1068</v>
      </c>
      <c r="BC155" s="211">
        <v>840</v>
      </c>
      <c r="BD155" s="211">
        <v>1062</v>
      </c>
      <c r="BE155" s="211">
        <v>970</v>
      </c>
      <c r="BF155" s="211">
        <v>1622</v>
      </c>
      <c r="BG155" s="211">
        <v>1402</v>
      </c>
      <c r="BH155" s="211">
        <v>2689</v>
      </c>
      <c r="BI155" s="211">
        <v>2102</v>
      </c>
      <c r="BJ155" s="211">
        <v>1620</v>
      </c>
      <c r="BK155" s="211">
        <v>1235</v>
      </c>
      <c r="BL155" s="211">
        <v>1047</v>
      </c>
      <c r="BM155" s="211">
        <v>1158</v>
      </c>
      <c r="BO155" s="28">
        <f t="shared" si="9"/>
        <v>1401.25</v>
      </c>
      <c r="BP155" s="28">
        <f t="shared" si="10"/>
        <v>16815</v>
      </c>
      <c r="BS155" s="217"/>
      <c r="BT155" s="217"/>
      <c r="BU155" s="134"/>
      <c r="BV155" s="217"/>
      <c r="BW155" s="217"/>
      <c r="BX155" s="217"/>
    </row>
    <row r="156" spans="22:76" x14ac:dyDescent="0.25">
      <c r="V156" s="449" t="str">
        <f>'[1]Strohs Plant in Service'!$C159</f>
        <v>Pumping and Water Treatment (20)</v>
      </c>
      <c r="W156" s="292" t="str">
        <f>'[1]Strohs Plant in Service'!$D159</f>
        <v>Pumping Equip - Strohs</v>
      </c>
      <c r="X156" s="293">
        <f>'[1]Strohs Plant in Service'!$E159</f>
        <v>45231</v>
      </c>
      <c r="Y156" s="297">
        <f>'[1]Strohs Plant in Service'!$F159</f>
        <v>9373.02</v>
      </c>
      <c r="Z156" s="248"/>
      <c r="AA156" s="294">
        <f>'[1]Strohs Plant in Service'!$G$11/12</f>
        <v>6</v>
      </c>
      <c r="AB156" s="219">
        <f>('[1]Strohs Plant in Service'!$G159-'[1]Strohs Plant in Service'!$H159)/12</f>
        <v>16.916666666666668</v>
      </c>
      <c r="AC156" s="219">
        <f>'[1]Strohs Plant in Service'!$I159</f>
        <v>468.65100000000007</v>
      </c>
      <c r="AD156" s="219"/>
      <c r="AE156" s="220">
        <f>'[1]Strohs Plant in Service'!$J159</f>
        <v>7967.04</v>
      </c>
      <c r="AF156" s="221">
        <v>1405.9800000000005</v>
      </c>
      <c r="AG156" s="204"/>
      <c r="AH156" s="178"/>
      <c r="AI156" s="174"/>
      <c r="AJ156" s="179"/>
      <c r="AK156" s="247"/>
      <c r="AL156" s="248"/>
      <c r="AM156" s="294"/>
      <c r="AN156" s="219"/>
      <c r="AO156" s="219"/>
      <c r="AP156" s="219"/>
      <c r="AQ156" s="220"/>
      <c r="AR156" s="221"/>
      <c r="AY156" s="628"/>
      <c r="AZ156" s="470">
        <v>0.75</v>
      </c>
      <c r="BA156" s="466">
        <v>1518678461</v>
      </c>
      <c r="BB156" s="211">
        <v>956</v>
      </c>
      <c r="BC156" s="211">
        <v>888</v>
      </c>
      <c r="BD156" s="211">
        <v>753</v>
      </c>
      <c r="BE156" s="211">
        <v>780</v>
      </c>
      <c r="BF156" s="211">
        <v>1868</v>
      </c>
      <c r="BG156" s="211">
        <v>6190</v>
      </c>
      <c r="BH156" s="211">
        <v>6439</v>
      </c>
      <c r="BI156" s="211">
        <v>3596</v>
      </c>
      <c r="BJ156" s="211">
        <v>516</v>
      </c>
      <c r="BK156" s="211">
        <v>4759</v>
      </c>
      <c r="BL156" s="211">
        <v>1654</v>
      </c>
      <c r="BM156" s="211">
        <v>4490</v>
      </c>
      <c r="BO156" s="28">
        <f t="shared" si="9"/>
        <v>2740.75</v>
      </c>
      <c r="BP156" s="28">
        <f t="shared" si="10"/>
        <v>32889</v>
      </c>
      <c r="BS156" s="217"/>
      <c r="BT156" s="217"/>
      <c r="BU156" s="134"/>
      <c r="BV156" s="217"/>
      <c r="BW156" s="217"/>
      <c r="BX156" s="217"/>
    </row>
    <row r="157" spans="22:76" x14ac:dyDescent="0.25">
      <c r="V157" s="449" t="str">
        <f>'[1]Strohs Plant in Service'!$C160</f>
        <v>Pumping and Water Treatment (20)</v>
      </c>
      <c r="W157" s="292" t="str">
        <f>'[1]Strohs Plant in Service'!$D160</f>
        <v>Pumping Equip - Strohs</v>
      </c>
      <c r="X157" s="293">
        <f>'[1]Strohs Plant in Service'!$E160</f>
        <v>45231</v>
      </c>
      <c r="Y157" s="297">
        <f>'[1]Strohs Plant in Service'!$F160</f>
        <v>7773.45</v>
      </c>
      <c r="Z157" s="248"/>
      <c r="AA157" s="294">
        <f>'[1]Strohs Plant in Service'!$G$11/12</f>
        <v>6</v>
      </c>
      <c r="AB157" s="219">
        <f>('[1]Strohs Plant in Service'!$G160-'[1]Strohs Plant in Service'!$H160)/12</f>
        <v>13.916666666666666</v>
      </c>
      <c r="AC157" s="219">
        <f>'[1]Strohs Plant in Service'!$I160</f>
        <v>388.67250000000001</v>
      </c>
      <c r="AD157" s="219"/>
      <c r="AE157" s="220">
        <f>'[1]Strohs Plant in Service'!$J160</f>
        <v>5441.42</v>
      </c>
      <c r="AF157" s="221">
        <v>2332.0299999999997</v>
      </c>
      <c r="AG157" s="204"/>
      <c r="AH157" s="178"/>
      <c r="AI157" s="174"/>
      <c r="AJ157" s="179"/>
      <c r="AK157" s="247"/>
      <c r="AL157" s="248"/>
      <c r="AM157" s="294"/>
      <c r="AN157" s="219"/>
      <c r="AO157" s="219"/>
      <c r="AP157" s="219"/>
      <c r="AQ157" s="220"/>
      <c r="AR157" s="221"/>
      <c r="AY157" s="628"/>
      <c r="AZ157" s="470">
        <v>0.75</v>
      </c>
      <c r="BA157" s="466">
        <v>1537711114</v>
      </c>
      <c r="BB157" s="211">
        <v>475</v>
      </c>
      <c r="BC157" s="211">
        <v>591</v>
      </c>
      <c r="BD157" s="211">
        <v>692</v>
      </c>
      <c r="BE157" s="211">
        <v>971</v>
      </c>
      <c r="BF157" s="211">
        <v>835</v>
      </c>
      <c r="BG157" s="211">
        <v>758</v>
      </c>
      <c r="BH157" s="211">
        <v>814</v>
      </c>
      <c r="BI157" s="211">
        <v>1117</v>
      </c>
      <c r="BJ157" s="211">
        <v>1069</v>
      </c>
      <c r="BK157" s="211">
        <v>1372</v>
      </c>
      <c r="BL157" s="211">
        <v>1450</v>
      </c>
      <c r="BM157" s="211">
        <v>1513</v>
      </c>
      <c r="BO157" s="28">
        <f t="shared" si="9"/>
        <v>971.41666666666663</v>
      </c>
      <c r="BP157" s="28">
        <f t="shared" si="10"/>
        <v>11657</v>
      </c>
      <c r="BS157" s="217"/>
      <c r="BT157" s="217"/>
      <c r="BU157" s="134"/>
      <c r="BV157" s="217"/>
      <c r="BW157" s="217"/>
      <c r="BX157" s="217"/>
    </row>
    <row r="158" spans="22:76" x14ac:dyDescent="0.25">
      <c r="V158" s="449" t="str">
        <f>'[1]Strohs Plant in Service'!$C161</f>
        <v>Pumping and Water Treatment (20)</v>
      </c>
      <c r="W158" s="292" t="str">
        <f>'[1]Strohs Plant in Service'!$D161</f>
        <v>Pump Equip - Strohs (075)</v>
      </c>
      <c r="X158" s="293">
        <f>'[1]Strohs Plant in Service'!$E161</f>
        <v>45231</v>
      </c>
      <c r="Y158" s="297">
        <f>'[1]Strohs Plant in Service'!$F161</f>
        <v>1175.42</v>
      </c>
      <c r="Z158" s="248"/>
      <c r="AA158" s="294">
        <f>'[1]Strohs Plant in Service'!$G$11/12</f>
        <v>6</v>
      </c>
      <c r="AB158" s="219">
        <f>('[1]Strohs Plant in Service'!$G161-'[1]Strohs Plant in Service'!$H161)/12</f>
        <v>13.916666666666666</v>
      </c>
      <c r="AC158" s="219">
        <f>'[1]Strohs Plant in Service'!$I161</f>
        <v>58.771000000000001</v>
      </c>
      <c r="AD158" s="219"/>
      <c r="AE158" s="220">
        <f>'[1]Strohs Plant in Service'!$J161</f>
        <v>822.83</v>
      </c>
      <c r="AF158" s="221">
        <v>352.59000000000003</v>
      </c>
      <c r="AG158" s="204"/>
      <c r="AH158" s="178"/>
      <c r="AI158" s="174"/>
      <c r="AJ158" s="179"/>
      <c r="AK158" s="247"/>
      <c r="AL158" s="248"/>
      <c r="AM158" s="294"/>
      <c r="AN158" s="219"/>
      <c r="AO158" s="219"/>
      <c r="AP158" s="219"/>
      <c r="AQ158" s="220"/>
      <c r="AR158" s="221"/>
      <c r="AY158" s="628"/>
      <c r="AZ158" s="470">
        <v>0.75</v>
      </c>
      <c r="BA158" s="466">
        <v>1554206948</v>
      </c>
      <c r="BB158" s="211">
        <v>420</v>
      </c>
      <c r="BC158" s="211">
        <v>270</v>
      </c>
      <c r="BD158" s="211">
        <v>439</v>
      </c>
      <c r="BE158" s="211">
        <v>447</v>
      </c>
      <c r="BF158" s="211" t="s">
        <v>655</v>
      </c>
      <c r="BG158" s="211" t="s">
        <v>655</v>
      </c>
      <c r="BH158" s="211" t="s">
        <v>655</v>
      </c>
      <c r="BI158" s="211" t="s">
        <v>655</v>
      </c>
      <c r="BJ158" s="211" t="s">
        <v>655</v>
      </c>
      <c r="BK158" s="211" t="s">
        <v>655</v>
      </c>
      <c r="BL158" s="211" t="s">
        <v>655</v>
      </c>
      <c r="BM158" s="211" t="s">
        <v>655</v>
      </c>
      <c r="BO158" s="28">
        <f t="shared" si="9"/>
        <v>394</v>
      </c>
      <c r="BP158" s="28">
        <f t="shared" si="10"/>
        <v>1576</v>
      </c>
      <c r="BS158" s="217"/>
      <c r="BT158" s="217"/>
      <c r="BU158" s="134"/>
      <c r="BV158" s="217"/>
      <c r="BW158" s="217"/>
      <c r="BX158" s="217"/>
    </row>
    <row r="159" spans="22:76" x14ac:dyDescent="0.25">
      <c r="V159" s="449" t="str">
        <f>'[1]Strohs Plant in Service'!$C162</f>
        <v>Mains, Tanks and Reservoirs (50)</v>
      </c>
      <c r="W159" s="292" t="str">
        <f>'[1]Strohs Plant in Service'!$D162</f>
        <v>Ck Valves - Montgomery (472)</v>
      </c>
      <c r="X159" s="293">
        <f>'[1]Strohs Plant in Service'!$E162</f>
        <v>45231</v>
      </c>
      <c r="Y159" s="297">
        <f>'[1]Strohs Plant in Service'!$F162</f>
        <v>2500</v>
      </c>
      <c r="Z159" s="248"/>
      <c r="AA159" s="294">
        <f>'[1]Strohs Plant in Service'!$G$11/12</f>
        <v>6</v>
      </c>
      <c r="AB159" s="219">
        <f>('[1]Strohs Plant in Service'!$G162-'[1]Strohs Plant in Service'!$H162)/12</f>
        <v>13.916666666666666</v>
      </c>
      <c r="AC159" s="219">
        <f>'[1]Strohs Plant in Service'!$I162</f>
        <v>125</v>
      </c>
      <c r="AD159" s="219"/>
      <c r="AE159" s="220">
        <f>'[1]Strohs Plant in Service'!$J162</f>
        <v>1750.04</v>
      </c>
      <c r="AF159" s="221">
        <v>749.96</v>
      </c>
      <c r="AG159" s="204"/>
      <c r="AH159" s="178"/>
      <c r="AI159" s="174"/>
      <c r="AJ159" s="179"/>
      <c r="AK159" s="247"/>
      <c r="AL159" s="248"/>
      <c r="AM159" s="294"/>
      <c r="AN159" s="219"/>
      <c r="AO159" s="219"/>
      <c r="AP159" s="219"/>
      <c r="AQ159" s="220"/>
      <c r="AR159" s="221"/>
      <c r="AY159" s="628"/>
      <c r="AZ159" s="470">
        <v>0.75</v>
      </c>
      <c r="BA159" s="466">
        <v>1574014080</v>
      </c>
      <c r="BB159" s="211">
        <v>687</v>
      </c>
      <c r="BC159" s="211">
        <v>631</v>
      </c>
      <c r="BD159" s="211">
        <v>637</v>
      </c>
      <c r="BE159" s="211">
        <v>1097</v>
      </c>
      <c r="BF159" s="211">
        <v>2457</v>
      </c>
      <c r="BG159" s="211">
        <v>2464</v>
      </c>
      <c r="BH159" s="211">
        <v>3557</v>
      </c>
      <c r="BI159" s="211">
        <v>2862</v>
      </c>
      <c r="BJ159" s="211">
        <v>3018</v>
      </c>
      <c r="BK159" s="211">
        <v>1477</v>
      </c>
      <c r="BL159" s="211">
        <v>738</v>
      </c>
      <c r="BM159" s="211">
        <v>778</v>
      </c>
      <c r="BO159" s="28">
        <f t="shared" si="9"/>
        <v>1700.25</v>
      </c>
      <c r="BP159" s="28">
        <f t="shared" si="10"/>
        <v>20403</v>
      </c>
      <c r="BS159" s="217"/>
      <c r="BT159" s="217"/>
      <c r="BU159" s="134"/>
      <c r="BV159" s="217"/>
      <c r="BW159" s="217"/>
      <c r="BX159" s="217"/>
    </row>
    <row r="160" spans="22:76" x14ac:dyDescent="0.25">
      <c r="V160" s="449" t="str">
        <f>'[1]Strohs Plant in Service'!$C163</f>
        <v>Pumping and Water Treatment (20)</v>
      </c>
      <c r="W160" s="292" t="str">
        <f>'[1]Strohs Plant in Service'!$D163</f>
        <v>Pumping Equip - Strohs</v>
      </c>
      <c r="X160" s="293">
        <f>'[1]Strohs Plant in Service'!$E163</f>
        <v>45231</v>
      </c>
      <c r="Y160" s="297">
        <f>'[1]Strohs Plant in Service'!$F163</f>
        <v>2548.4899999999998</v>
      </c>
      <c r="Z160" s="248"/>
      <c r="AA160" s="294">
        <f>'[1]Strohs Plant in Service'!$G$11/12</f>
        <v>6</v>
      </c>
      <c r="AB160" s="219">
        <f>('[1]Strohs Plant in Service'!$G163-'[1]Strohs Plant in Service'!$H163)/12</f>
        <v>9.9166666666666661</v>
      </c>
      <c r="AC160" s="219">
        <f>'[1]Strohs Plant in Service'!$I163</f>
        <v>127.42449999999999</v>
      </c>
      <c r="AD160" s="219"/>
      <c r="AE160" s="220">
        <f>'[1]Strohs Plant in Service'!$J163</f>
        <v>1274.26</v>
      </c>
      <c r="AF160" s="221">
        <v>1274.2299999999998</v>
      </c>
      <c r="AG160" s="204"/>
      <c r="AH160" s="178"/>
      <c r="AI160" s="174"/>
      <c r="AJ160" s="179"/>
      <c r="AK160" s="247"/>
      <c r="AL160" s="248"/>
      <c r="AM160" s="294"/>
      <c r="AN160" s="219"/>
      <c r="AO160" s="219"/>
      <c r="AP160" s="219"/>
      <c r="AQ160" s="220"/>
      <c r="AR160" s="221"/>
      <c r="AY160" s="628"/>
      <c r="AZ160" s="470">
        <v>0.75</v>
      </c>
      <c r="BA160" s="466">
        <v>1584652979</v>
      </c>
      <c r="BB160" s="211">
        <v>235</v>
      </c>
      <c r="BC160" s="211">
        <v>451</v>
      </c>
      <c r="BD160" s="211">
        <v>251</v>
      </c>
      <c r="BE160" s="211">
        <v>538</v>
      </c>
      <c r="BF160" s="211">
        <v>728</v>
      </c>
      <c r="BG160" s="211">
        <v>741</v>
      </c>
      <c r="BH160" s="211">
        <v>1853</v>
      </c>
      <c r="BI160" s="211">
        <v>1735</v>
      </c>
      <c r="BJ160" s="211">
        <v>983</v>
      </c>
      <c r="BK160" s="211">
        <v>488</v>
      </c>
      <c r="BL160" s="211">
        <v>162</v>
      </c>
      <c r="BM160" s="211">
        <v>150</v>
      </c>
      <c r="BO160" s="28">
        <f t="shared" si="9"/>
        <v>692.91666666666663</v>
      </c>
      <c r="BP160" s="28">
        <f t="shared" si="10"/>
        <v>8315</v>
      </c>
      <c r="BS160" s="217"/>
      <c r="BT160" s="217"/>
      <c r="BU160" s="134"/>
      <c r="BV160" s="217"/>
      <c r="BW160" s="217"/>
      <c r="BX160" s="217"/>
    </row>
    <row r="161" spans="22:76" x14ac:dyDescent="0.25">
      <c r="V161" s="449" t="str">
        <f>'[1]Strohs Plant in Service'!$C164</f>
        <v>Pumping and Water Treatment (20)</v>
      </c>
      <c r="W161" s="292" t="str">
        <f>'[1]Strohs Plant in Service'!$D164</f>
        <v>CIAC, Pumping Equip - Strohs</v>
      </c>
      <c r="X161" s="293">
        <f>'[1]Strohs Plant in Service'!$E164</f>
        <v>45231</v>
      </c>
      <c r="Y161" s="297">
        <f>'[1]Strohs Plant in Service'!$F164</f>
        <v>73104.44</v>
      </c>
      <c r="Z161" s="248"/>
      <c r="AA161" s="294">
        <f>'[1]Strohs Plant in Service'!$G$11/12</f>
        <v>6</v>
      </c>
      <c r="AB161" s="219">
        <f>('[1]Strohs Plant in Service'!$G164-'[1]Strohs Plant in Service'!$H164)/12</f>
        <v>1.4166666666666667</v>
      </c>
      <c r="AC161" s="219">
        <f>'[1]Strohs Plant in Service'!$I164</f>
        <v>22493.673846153848</v>
      </c>
      <c r="AD161" s="219"/>
      <c r="AE161" s="220">
        <f>'[1]Strohs Plant in Service'!$J164</f>
        <v>33740.480000000003</v>
      </c>
      <c r="AF161" s="221">
        <v>39363.96</v>
      </c>
      <c r="AG161" s="204"/>
      <c r="AH161" s="178"/>
      <c r="AI161" s="174"/>
      <c r="AJ161" s="179"/>
      <c r="AK161" s="247"/>
      <c r="AL161" s="248"/>
      <c r="AM161" s="294"/>
      <c r="AN161" s="219"/>
      <c r="AO161" s="219"/>
      <c r="AP161" s="219"/>
      <c r="AQ161" s="220"/>
      <c r="AR161" s="221"/>
      <c r="AY161" s="628"/>
      <c r="AZ161" s="470">
        <v>0.75</v>
      </c>
      <c r="BA161" s="466">
        <v>1585052574</v>
      </c>
      <c r="BB161" s="211">
        <v>431</v>
      </c>
      <c r="BC161" s="211">
        <v>426</v>
      </c>
      <c r="BD161" s="211">
        <v>551</v>
      </c>
      <c r="BE161" s="211">
        <v>502</v>
      </c>
      <c r="BF161" s="211">
        <v>478</v>
      </c>
      <c r="BG161" s="211">
        <v>525</v>
      </c>
      <c r="BH161" s="211">
        <v>520</v>
      </c>
      <c r="BI161" s="211">
        <v>570</v>
      </c>
      <c r="BJ161" s="211">
        <v>1278</v>
      </c>
      <c r="BK161" s="211">
        <v>1300</v>
      </c>
      <c r="BL161" s="211">
        <v>500</v>
      </c>
      <c r="BM161" s="211">
        <v>420</v>
      </c>
      <c r="BO161" s="28">
        <f t="shared" si="9"/>
        <v>625.08333333333337</v>
      </c>
      <c r="BP161" s="28">
        <f t="shared" si="10"/>
        <v>7501</v>
      </c>
      <c r="BS161" s="217"/>
      <c r="BT161" s="217"/>
      <c r="BU161" s="134"/>
      <c r="BV161" s="217"/>
      <c r="BW161" s="217"/>
      <c r="BX161" s="217"/>
    </row>
    <row r="162" spans="22:76" x14ac:dyDescent="0.25">
      <c r="V162" s="449" t="str">
        <f>'[1]Strohs Plant in Service'!$C165</f>
        <v>Pumping and Water Treatment (20)</v>
      </c>
      <c r="W162" s="292" t="str">
        <f>'[1]Strohs Plant in Service'!$D165</f>
        <v>CIAC, Pumping Equip - Strohs</v>
      </c>
      <c r="X162" s="293">
        <f>'[1]Strohs Plant in Service'!$E165</f>
        <v>45231</v>
      </c>
      <c r="Y162" s="297">
        <f>'[1]Strohs Plant in Service'!$F165</f>
        <v>1321.44</v>
      </c>
      <c r="Z162" s="248"/>
      <c r="AA162" s="294">
        <f>'[1]Strohs Plant in Service'!$G$11/12</f>
        <v>6</v>
      </c>
      <c r="AB162" s="219">
        <f>('[1]Strohs Plant in Service'!$G165-'[1]Strohs Plant in Service'!$H165)/12</f>
        <v>1.4166666666666667</v>
      </c>
      <c r="AC162" s="219">
        <f>'[1]Strohs Plant in Service'!$I165</f>
        <v>406.59692307692313</v>
      </c>
      <c r="AD162" s="219"/>
      <c r="AE162" s="220">
        <f>'[1]Strohs Plant in Service'!$J165</f>
        <v>609.86</v>
      </c>
      <c r="AF162" s="221">
        <v>711.58</v>
      </c>
      <c r="AG162" s="204"/>
      <c r="AH162" s="178"/>
      <c r="AI162" s="174"/>
      <c r="AJ162" s="179"/>
      <c r="AK162" s="247"/>
      <c r="AL162" s="248"/>
      <c r="AM162" s="294"/>
      <c r="AN162" s="219"/>
      <c r="AO162" s="219"/>
      <c r="AP162" s="219"/>
      <c r="AQ162" s="220"/>
      <c r="AR162" s="221"/>
      <c r="AY162" s="628"/>
      <c r="AZ162" s="470">
        <v>0.75</v>
      </c>
      <c r="BA162" s="466">
        <v>1591733301</v>
      </c>
      <c r="BB162" s="211">
        <v>535</v>
      </c>
      <c r="BC162" s="211">
        <v>470</v>
      </c>
      <c r="BD162" s="211">
        <v>637</v>
      </c>
      <c r="BE162" s="211">
        <v>1822</v>
      </c>
      <c r="BF162" s="211">
        <v>6893</v>
      </c>
      <c r="BG162" s="211">
        <v>8794</v>
      </c>
      <c r="BH162" s="211">
        <v>8875</v>
      </c>
      <c r="BI162" s="211">
        <v>9994</v>
      </c>
      <c r="BJ162" s="211">
        <v>6415</v>
      </c>
      <c r="BK162" s="211">
        <v>2545</v>
      </c>
      <c r="BL162" s="211">
        <v>491</v>
      </c>
      <c r="BM162" s="211">
        <v>488</v>
      </c>
      <c r="BO162" s="28">
        <f t="shared" si="9"/>
        <v>3996.5833333333335</v>
      </c>
      <c r="BP162" s="28">
        <f t="shared" si="10"/>
        <v>47959</v>
      </c>
      <c r="BS162" s="217"/>
      <c r="BT162" s="217"/>
      <c r="BU162" s="134"/>
      <c r="BV162" s="217"/>
      <c r="BW162" s="217"/>
      <c r="BX162" s="217"/>
    </row>
    <row r="163" spans="22:76" x14ac:dyDescent="0.25">
      <c r="V163" s="449" t="str">
        <f>'[1]Strohs Plant in Service'!$C166</f>
        <v>Pumping and Water Treatment (20)</v>
      </c>
      <c r="W163" s="292" t="str">
        <f>'[1]Strohs Plant in Service'!$D166</f>
        <v>Pumping Equip - Strohs</v>
      </c>
      <c r="X163" s="293">
        <f>'[1]Strohs Plant in Service'!$E166</f>
        <v>45231</v>
      </c>
      <c r="Y163" s="297">
        <f>'[1]Strohs Plant in Service'!$F166</f>
        <v>439.09</v>
      </c>
      <c r="Z163" s="248"/>
      <c r="AA163" s="294">
        <f>'[1]Strohs Plant in Service'!$G$11/12</f>
        <v>6</v>
      </c>
      <c r="AB163" s="219">
        <f>('[1]Strohs Plant in Service'!$G166-'[1]Strohs Plant in Service'!$H166)/12</f>
        <v>1.4166666666666667</v>
      </c>
      <c r="AC163" s="219">
        <f>'[1]Strohs Plant in Service'!$I166</f>
        <v>135.10461538461539</v>
      </c>
      <c r="AD163" s="219"/>
      <c r="AE163" s="220">
        <f>'[1]Strohs Plant in Service'!$J166</f>
        <v>202.67</v>
      </c>
      <c r="AF163" s="221">
        <v>236.42</v>
      </c>
      <c r="AG163" s="204"/>
      <c r="AH163" s="178"/>
      <c r="AI163" s="174"/>
      <c r="AJ163" s="179"/>
      <c r="AK163" s="247"/>
      <c r="AL163" s="248"/>
      <c r="AM163" s="294"/>
      <c r="AN163" s="219"/>
      <c r="AO163" s="219"/>
      <c r="AP163" s="219"/>
      <c r="AQ163" s="220"/>
      <c r="AR163" s="221"/>
      <c r="AY163" s="628"/>
      <c r="AZ163" s="470">
        <v>0.625</v>
      </c>
      <c r="BA163" s="466">
        <v>1595485857</v>
      </c>
      <c r="BB163" s="211">
        <v>332</v>
      </c>
      <c r="BC163" s="211">
        <v>283</v>
      </c>
      <c r="BD163" s="211">
        <v>290</v>
      </c>
      <c r="BE163" s="211">
        <v>301</v>
      </c>
      <c r="BF163" s="211">
        <v>253</v>
      </c>
      <c r="BG163" s="211">
        <v>263</v>
      </c>
      <c r="BH163" s="211">
        <v>1262</v>
      </c>
      <c r="BI163" s="211">
        <v>246</v>
      </c>
      <c r="BJ163" s="211">
        <v>309</v>
      </c>
      <c r="BK163" s="211" t="s">
        <v>655</v>
      </c>
      <c r="BL163" s="211" t="s">
        <v>655</v>
      </c>
      <c r="BM163" s="211">
        <v>1043</v>
      </c>
      <c r="BO163" s="28">
        <f t="shared" si="9"/>
        <v>458.2</v>
      </c>
      <c r="BP163" s="28">
        <f t="shared" si="10"/>
        <v>4582</v>
      </c>
      <c r="BS163" s="217"/>
      <c r="BT163" s="217"/>
      <c r="BU163" s="134"/>
      <c r="BV163" s="217"/>
      <c r="BW163" s="217"/>
      <c r="BX163" s="217"/>
    </row>
    <row r="164" spans="22:76" x14ac:dyDescent="0.25">
      <c r="V164" s="449" t="str">
        <f>'[1]Strohs Plant in Service'!$C167</f>
        <v>Pumping and Water Treatment (20)</v>
      </c>
      <c r="W164" s="292" t="str">
        <f>'[1]Strohs Plant in Service'!$D167</f>
        <v>Pumping Equip - Strohs</v>
      </c>
      <c r="X164" s="293">
        <f>'[1]Strohs Plant in Service'!$E167</f>
        <v>45231</v>
      </c>
      <c r="Y164" s="297">
        <f>'[1]Strohs Plant in Service'!$F167</f>
        <v>1219.8599999999999</v>
      </c>
      <c r="Z164" s="248"/>
      <c r="AA164" s="294">
        <f>'[1]Strohs Plant in Service'!$G$11/12</f>
        <v>6</v>
      </c>
      <c r="AB164" s="219">
        <f>('[1]Strohs Plant in Service'!$G167-'[1]Strohs Plant in Service'!$H167)/12</f>
        <v>1.4166666666666667</v>
      </c>
      <c r="AC164" s="219">
        <f>'[1]Strohs Plant in Service'!$I167</f>
        <v>375.34153846153845</v>
      </c>
      <c r="AD164" s="219"/>
      <c r="AE164" s="220">
        <f>'[1]Strohs Plant in Service'!$J167</f>
        <v>563.03</v>
      </c>
      <c r="AF164" s="221">
        <v>656.82999999999993</v>
      </c>
      <c r="AG164" s="204"/>
      <c r="AH164" s="178"/>
      <c r="AI164" s="174"/>
      <c r="AJ164" s="179"/>
      <c r="AK164" s="247"/>
      <c r="AL164" s="248"/>
      <c r="AM164" s="294"/>
      <c r="AN164" s="219"/>
      <c r="AO164" s="219"/>
      <c r="AP164" s="219"/>
      <c r="AQ164" s="220"/>
      <c r="AR164" s="221"/>
      <c r="AY164" s="628"/>
      <c r="AZ164" s="470">
        <v>0.75</v>
      </c>
      <c r="BA164" s="466">
        <v>1632554172</v>
      </c>
      <c r="BB164" s="211">
        <v>1587</v>
      </c>
      <c r="BC164" s="211">
        <v>1284</v>
      </c>
      <c r="BD164" s="211">
        <v>1539</v>
      </c>
      <c r="BE164" s="211">
        <v>1743</v>
      </c>
      <c r="BF164" s="211">
        <v>1162</v>
      </c>
      <c r="BG164" s="211">
        <v>1587</v>
      </c>
      <c r="BH164" s="211">
        <v>2408</v>
      </c>
      <c r="BI164" s="211">
        <v>2075</v>
      </c>
      <c r="BJ164" s="211">
        <v>1765</v>
      </c>
      <c r="BK164" s="211">
        <v>1632</v>
      </c>
      <c r="BL164" s="211">
        <v>1533</v>
      </c>
      <c r="BM164" s="211">
        <v>1635</v>
      </c>
      <c r="BO164" s="28">
        <f t="shared" si="9"/>
        <v>1662.5</v>
      </c>
      <c r="BP164" s="28">
        <f t="shared" si="10"/>
        <v>19950</v>
      </c>
      <c r="BS164" s="217"/>
      <c r="BT164" s="217"/>
      <c r="BU164" s="134"/>
      <c r="BV164" s="217"/>
      <c r="BW164" s="217"/>
      <c r="BX164" s="217"/>
    </row>
    <row r="165" spans="22:76" x14ac:dyDescent="0.25">
      <c r="V165" s="449" t="str">
        <f>'[1]Strohs Plant in Service'!$C168</f>
        <v>Pumping and Water Treatment (20)</v>
      </c>
      <c r="W165" s="292" t="str">
        <f>'[1]Strohs Plant in Service'!$D168</f>
        <v>Pumping Equip - Strohs</v>
      </c>
      <c r="X165" s="293">
        <f>'[1]Strohs Plant in Service'!$E168</f>
        <v>45231</v>
      </c>
      <c r="Y165" s="297">
        <f>'[1]Strohs Plant in Service'!$F168</f>
        <v>205.07</v>
      </c>
      <c r="Z165" s="248"/>
      <c r="AA165" s="294">
        <f>'[1]Strohs Plant in Service'!$G$11/12</f>
        <v>6</v>
      </c>
      <c r="AB165" s="219">
        <f>('[1]Strohs Plant in Service'!$G168-'[1]Strohs Plant in Service'!$H168)/12</f>
        <v>1.4166666666666667</v>
      </c>
      <c r="AC165" s="219">
        <f>'[1]Strohs Plant in Service'!$I168</f>
        <v>63.098461538461535</v>
      </c>
      <c r="AD165" s="219"/>
      <c r="AE165" s="220">
        <f>'[1]Strohs Plant in Service'!$J168</f>
        <v>94.67</v>
      </c>
      <c r="AF165" s="221">
        <v>110.39999999999999</v>
      </c>
      <c r="AG165" s="204"/>
      <c r="AH165" s="178"/>
      <c r="AI165" s="174"/>
      <c r="AJ165" s="179"/>
      <c r="AK165" s="247"/>
      <c r="AL165" s="248"/>
      <c r="AM165" s="294"/>
      <c r="AN165" s="219"/>
      <c r="AO165" s="219"/>
      <c r="AP165" s="219"/>
      <c r="AQ165" s="220"/>
      <c r="AR165" s="221"/>
      <c r="AY165" s="628"/>
      <c r="AZ165" s="470">
        <v>0.75</v>
      </c>
      <c r="BA165" s="466">
        <v>1632640530</v>
      </c>
      <c r="BB165" s="211" t="s">
        <v>655</v>
      </c>
      <c r="BC165" s="211" t="s">
        <v>655</v>
      </c>
      <c r="BD165" s="211" t="s">
        <v>655</v>
      </c>
      <c r="BE165" s="211" t="s">
        <v>655</v>
      </c>
      <c r="BF165" s="211">
        <v>226</v>
      </c>
      <c r="BG165" s="211" t="s">
        <v>655</v>
      </c>
      <c r="BH165" s="211" t="s">
        <v>655</v>
      </c>
      <c r="BI165" s="211" t="s">
        <v>655</v>
      </c>
      <c r="BJ165" s="211" t="s">
        <v>655</v>
      </c>
      <c r="BK165" s="211">
        <v>8</v>
      </c>
      <c r="BL165" s="211" t="s">
        <v>655</v>
      </c>
      <c r="BM165" s="211">
        <v>3</v>
      </c>
      <c r="BO165" s="28">
        <f t="shared" si="9"/>
        <v>79</v>
      </c>
      <c r="BP165" s="28">
        <f t="shared" si="10"/>
        <v>237</v>
      </c>
      <c r="BS165" s="217"/>
      <c r="BT165" s="217"/>
      <c r="BU165" s="134"/>
      <c r="BV165" s="217"/>
      <c r="BW165" s="217"/>
      <c r="BX165" s="217"/>
    </row>
    <row r="166" spans="22:76" x14ac:dyDescent="0.25">
      <c r="V166" s="449" t="str">
        <f>'[1]Strohs Plant in Service'!$C169</f>
        <v>Pumping and Water Treatment (20)</v>
      </c>
      <c r="W166" s="292" t="str">
        <f>'[1]Strohs Plant in Service'!$D169</f>
        <v>Pumping Equip - Strohs</v>
      </c>
      <c r="X166" s="293">
        <f>'[1]Strohs Plant in Service'!$E169</f>
        <v>45231</v>
      </c>
      <c r="Y166" s="297">
        <f>'[1]Strohs Plant in Service'!$F169</f>
        <v>2815.36</v>
      </c>
      <c r="Z166" s="248"/>
      <c r="AA166" s="294">
        <f>'[1]Strohs Plant in Service'!$G$11/12</f>
        <v>6</v>
      </c>
      <c r="AB166" s="219">
        <f>('[1]Strohs Plant in Service'!$G169-'[1]Strohs Plant in Service'!$H169)/12</f>
        <v>1.4166666666666667</v>
      </c>
      <c r="AC166" s="219">
        <f>'[1]Strohs Plant in Service'!$I169</f>
        <v>866.26461538461535</v>
      </c>
      <c r="AD166" s="219"/>
      <c r="AE166" s="220">
        <f>'[1]Strohs Plant in Service'!$J169</f>
        <v>1299.4100000000001</v>
      </c>
      <c r="AF166" s="221">
        <v>1515.95</v>
      </c>
      <c r="AG166" s="204"/>
      <c r="AH166" s="178"/>
      <c r="AI166" s="174"/>
      <c r="AJ166" s="179"/>
      <c r="AK166" s="247"/>
      <c r="AL166" s="248"/>
      <c r="AM166" s="294"/>
      <c r="AN166" s="219"/>
      <c r="AO166" s="219"/>
      <c r="AP166" s="219"/>
      <c r="AQ166" s="220"/>
      <c r="AR166" s="221"/>
      <c r="AY166" s="628"/>
      <c r="AZ166" s="470">
        <v>0.75</v>
      </c>
      <c r="BA166" s="466">
        <v>1633060101</v>
      </c>
      <c r="BB166" s="211">
        <v>266</v>
      </c>
      <c r="BC166" s="211">
        <v>493</v>
      </c>
      <c r="BD166" s="211">
        <v>300</v>
      </c>
      <c r="BE166" s="211">
        <v>324</v>
      </c>
      <c r="BF166" s="211">
        <v>387</v>
      </c>
      <c r="BG166" s="211">
        <v>474</v>
      </c>
      <c r="BH166" s="211">
        <v>1708</v>
      </c>
      <c r="BI166" s="211">
        <v>2242</v>
      </c>
      <c r="BJ166" s="211">
        <v>438</v>
      </c>
      <c r="BK166" s="211">
        <v>248</v>
      </c>
      <c r="BL166" s="211">
        <v>202</v>
      </c>
      <c r="BM166" s="211">
        <v>1500</v>
      </c>
      <c r="BO166" s="28">
        <f t="shared" si="9"/>
        <v>715.16666666666663</v>
      </c>
      <c r="BP166" s="28">
        <f t="shared" si="10"/>
        <v>8582</v>
      </c>
      <c r="BS166" s="217"/>
      <c r="BT166" s="217"/>
      <c r="BU166" s="134"/>
      <c r="BV166" s="217"/>
      <c r="BW166" s="217"/>
      <c r="BX166" s="217"/>
    </row>
    <row r="167" spans="22:76" x14ac:dyDescent="0.25">
      <c r="V167" s="449" t="str">
        <f>'[1]Strohs Plant in Service'!$C170</f>
        <v>Pumping and Water Treatment (20)</v>
      </c>
      <c r="W167" s="292" t="str">
        <f>'[1]Strohs Plant in Service'!$D170</f>
        <v>Pumping Equip - Strohs</v>
      </c>
      <c r="X167" s="293">
        <f>'[1]Strohs Plant in Service'!$E170</f>
        <v>45231</v>
      </c>
      <c r="Y167" s="297">
        <f>'[1]Strohs Plant in Service'!$F170</f>
        <v>2044.83</v>
      </c>
      <c r="Z167" s="248"/>
      <c r="AA167" s="294">
        <f>'[1]Strohs Plant in Service'!$G$11/12</f>
        <v>6</v>
      </c>
      <c r="AB167" s="219">
        <f>('[1]Strohs Plant in Service'!$G170-'[1]Strohs Plant in Service'!$H170)/12</f>
        <v>1.4166666666666667</v>
      </c>
      <c r="AC167" s="219">
        <f>'[1]Strohs Plant in Service'!$I170</f>
        <v>629.17846153846153</v>
      </c>
      <c r="AD167" s="219"/>
      <c r="AE167" s="220">
        <f>'[1]Strohs Plant in Service'!$J170</f>
        <v>943.75</v>
      </c>
      <c r="AF167" s="221">
        <v>1101.08</v>
      </c>
      <c r="AG167" s="204"/>
      <c r="AH167" s="178"/>
      <c r="AI167" s="174"/>
      <c r="AJ167" s="179"/>
      <c r="AK167" s="247"/>
      <c r="AL167" s="248"/>
      <c r="AM167" s="294"/>
      <c r="AN167" s="219"/>
      <c r="AO167" s="219"/>
      <c r="AP167" s="219"/>
      <c r="AQ167" s="220"/>
      <c r="AR167" s="221"/>
      <c r="AY167" s="628"/>
      <c r="AZ167" s="470">
        <v>0.625</v>
      </c>
      <c r="BA167" s="466">
        <v>1638989906</v>
      </c>
      <c r="BB167" s="211">
        <v>244</v>
      </c>
      <c r="BC167" s="211">
        <v>490</v>
      </c>
      <c r="BD167" s="211">
        <v>517</v>
      </c>
      <c r="BE167" s="211">
        <v>563</v>
      </c>
      <c r="BF167" s="211">
        <v>450</v>
      </c>
      <c r="BG167" s="211">
        <v>503</v>
      </c>
      <c r="BH167" s="211">
        <v>627</v>
      </c>
      <c r="BI167" s="211">
        <v>671</v>
      </c>
      <c r="BJ167" s="211">
        <v>665</v>
      </c>
      <c r="BK167" s="211">
        <v>657</v>
      </c>
      <c r="BL167" s="211">
        <v>541</v>
      </c>
      <c r="BM167" s="211">
        <v>551</v>
      </c>
      <c r="BO167" s="28">
        <f t="shared" si="9"/>
        <v>539.91666666666663</v>
      </c>
      <c r="BP167" s="28">
        <f t="shared" si="10"/>
        <v>6479</v>
      </c>
      <c r="BS167" s="217"/>
      <c r="BT167" s="217"/>
      <c r="BU167" s="134"/>
      <c r="BV167" s="217"/>
      <c r="BW167" s="217"/>
      <c r="BX167" s="217"/>
    </row>
    <row r="168" spans="22:76" x14ac:dyDescent="0.25">
      <c r="V168" s="449" t="str">
        <f>'[1]Strohs Plant in Service'!$C171</f>
        <v>Pumping and Water Treatment (20)</v>
      </c>
      <c r="W168" s="292" t="str">
        <f>'[1]Strohs Plant in Service'!$D171</f>
        <v>Pumping Equip - Strohs</v>
      </c>
      <c r="X168" s="293">
        <f>'[1]Strohs Plant in Service'!$E171</f>
        <v>45231</v>
      </c>
      <c r="Y168" s="297">
        <f>'[1]Strohs Plant in Service'!$F171</f>
        <v>156.85</v>
      </c>
      <c r="Z168" s="248"/>
      <c r="AA168" s="294">
        <f>'[1]Strohs Plant in Service'!$G$11/12</f>
        <v>6</v>
      </c>
      <c r="AB168" s="219">
        <f>('[1]Strohs Plant in Service'!$G171-'[1]Strohs Plant in Service'!$H171)/12</f>
        <v>1.4166666666666667</v>
      </c>
      <c r="AC168" s="219">
        <f>'[1]Strohs Plant in Service'!$I171</f>
        <v>48.261538461538464</v>
      </c>
      <c r="AD168" s="219"/>
      <c r="AE168" s="220">
        <f>'[1]Strohs Plant in Service'!$J171</f>
        <v>72.37</v>
      </c>
      <c r="AF168" s="221">
        <v>84.47999999999999</v>
      </c>
      <c r="AG168" s="204"/>
      <c r="AH168" s="178"/>
      <c r="AI168" s="174"/>
      <c r="AJ168" s="179"/>
      <c r="AK168" s="247"/>
      <c r="AL168" s="248"/>
      <c r="AM168" s="294"/>
      <c r="AN168" s="219"/>
      <c r="AO168" s="219"/>
      <c r="AP168" s="219"/>
      <c r="AQ168" s="220"/>
      <c r="AR168" s="221"/>
      <c r="AY168" s="628"/>
      <c r="AZ168" s="470">
        <v>0.625</v>
      </c>
      <c r="BA168" s="466">
        <v>1647427804</v>
      </c>
      <c r="BB168" s="211">
        <v>691</v>
      </c>
      <c r="BC168" s="211">
        <v>1601</v>
      </c>
      <c r="BD168" s="211">
        <v>423</v>
      </c>
      <c r="BE168" s="211">
        <v>397</v>
      </c>
      <c r="BF168" s="211">
        <v>663</v>
      </c>
      <c r="BG168" s="211">
        <v>1384</v>
      </c>
      <c r="BH168" s="211">
        <v>1625</v>
      </c>
      <c r="BI168" s="211">
        <v>1899</v>
      </c>
      <c r="BJ168" s="211">
        <v>2072</v>
      </c>
      <c r="BK168" s="211">
        <v>1152</v>
      </c>
      <c r="BL168" s="211">
        <v>1152</v>
      </c>
      <c r="BM168" s="211">
        <v>1056</v>
      </c>
      <c r="BO168" s="28">
        <f t="shared" si="9"/>
        <v>1176.25</v>
      </c>
      <c r="BP168" s="28">
        <f t="shared" si="10"/>
        <v>14115</v>
      </c>
      <c r="BS168" s="217"/>
      <c r="BT168" s="217"/>
      <c r="BU168" s="134"/>
      <c r="BV168" s="217"/>
      <c r="BW168" s="217"/>
      <c r="BX168" s="217"/>
    </row>
    <row r="169" spans="22:76" x14ac:dyDescent="0.25">
      <c r="V169" s="449" t="str">
        <f>'[1]Strohs Plant in Service'!$C172</f>
        <v>Pumping and Water Treatment (20)</v>
      </c>
      <c r="W169" s="292" t="str">
        <f>'[1]Strohs Plant in Service'!$D172</f>
        <v>Pumping Equip - Strohs</v>
      </c>
      <c r="X169" s="293">
        <f>'[1]Strohs Plant in Service'!$E172</f>
        <v>45231</v>
      </c>
      <c r="Y169" s="297">
        <f>'[1]Strohs Plant in Service'!$F172</f>
        <v>8981.7800000000007</v>
      </c>
      <c r="Z169" s="248"/>
      <c r="AA169" s="294">
        <f>'[1]Strohs Plant in Service'!$G$11/12</f>
        <v>6</v>
      </c>
      <c r="AB169" s="219">
        <f>('[1]Strohs Plant in Service'!$G172-'[1]Strohs Plant in Service'!$H172)/12</f>
        <v>1.4166666666666667</v>
      </c>
      <c r="AC169" s="219">
        <f>'[1]Strohs Plant in Service'!$I172</f>
        <v>2763.6246153846159</v>
      </c>
      <c r="AD169" s="219"/>
      <c r="AE169" s="220">
        <f>'[1]Strohs Plant in Service'!$J172</f>
        <v>4145.41</v>
      </c>
      <c r="AF169" s="221">
        <v>4836.3700000000008</v>
      </c>
      <c r="AG169" s="204"/>
      <c r="AH169" s="178"/>
      <c r="AI169" s="174"/>
      <c r="AJ169" s="179"/>
      <c r="AK169" s="247"/>
      <c r="AL169" s="248"/>
      <c r="AM169" s="294"/>
      <c r="AN169" s="219"/>
      <c r="AO169" s="219"/>
      <c r="AP169" s="219"/>
      <c r="AQ169" s="220"/>
      <c r="AR169" s="221"/>
      <c r="AY169" s="628"/>
      <c r="AZ169" s="470">
        <v>0.75</v>
      </c>
      <c r="BA169" s="466">
        <v>1655491305</v>
      </c>
      <c r="BB169" s="211">
        <v>706</v>
      </c>
      <c r="BC169" s="211">
        <v>568</v>
      </c>
      <c r="BD169" s="211">
        <v>359</v>
      </c>
      <c r="BE169" s="211">
        <v>804</v>
      </c>
      <c r="BF169" s="211">
        <v>528</v>
      </c>
      <c r="BG169" s="211">
        <v>583</v>
      </c>
      <c r="BH169" s="211">
        <v>1354</v>
      </c>
      <c r="BI169" s="211">
        <v>1706</v>
      </c>
      <c r="BJ169" s="211">
        <v>1845</v>
      </c>
      <c r="BK169" s="211">
        <v>300</v>
      </c>
      <c r="BL169" s="211">
        <v>900</v>
      </c>
      <c r="BM169" s="211">
        <v>330</v>
      </c>
      <c r="BO169" s="28">
        <f t="shared" si="9"/>
        <v>831.91666666666663</v>
      </c>
      <c r="BP169" s="28">
        <f t="shared" si="10"/>
        <v>9983</v>
      </c>
      <c r="BS169" s="217"/>
      <c r="BT169" s="217"/>
      <c r="BU169" s="134"/>
      <c r="BV169" s="217"/>
      <c r="BW169" s="217"/>
      <c r="BX169" s="217"/>
    </row>
    <row r="170" spans="22:76" x14ac:dyDescent="0.25">
      <c r="V170" s="449" t="str">
        <f>'[1]Strohs Plant in Service'!$C173</f>
        <v>Pumping and Water Treatment (20)</v>
      </c>
      <c r="W170" s="292" t="str">
        <f>'[1]Strohs Plant in Service'!$D173</f>
        <v>Pumping Equip - Strohs</v>
      </c>
      <c r="X170" s="293">
        <f>'[1]Strohs Plant in Service'!$E173</f>
        <v>45231</v>
      </c>
      <c r="Y170" s="297">
        <f>'[1]Strohs Plant in Service'!$F173</f>
        <v>7448.98</v>
      </c>
      <c r="Z170" s="248"/>
      <c r="AA170" s="294">
        <f>'[1]Strohs Plant in Service'!$G$11/12</f>
        <v>6</v>
      </c>
      <c r="AB170" s="219">
        <f>('[1]Strohs Plant in Service'!$G173-'[1]Strohs Plant in Service'!$H173)/12</f>
        <v>1.4166666666666667</v>
      </c>
      <c r="AC170" s="219">
        <f>'[1]Strohs Plant in Service'!$I173</f>
        <v>2291.9938461538459</v>
      </c>
      <c r="AD170" s="219"/>
      <c r="AE170" s="220">
        <f>'[1]Strohs Plant in Service'!$J173</f>
        <v>3438</v>
      </c>
      <c r="AF170" s="221">
        <v>4010.9799999999996</v>
      </c>
      <c r="AG170" s="204"/>
      <c r="AH170" s="178"/>
      <c r="AI170" s="174"/>
      <c r="AJ170" s="179"/>
      <c r="AK170" s="247"/>
      <c r="AL170" s="248"/>
      <c r="AM170" s="294"/>
      <c r="AN170" s="219"/>
      <c r="AO170" s="219"/>
      <c r="AP170" s="219"/>
      <c r="AQ170" s="220"/>
      <c r="AR170" s="221"/>
      <c r="AY170" s="628"/>
      <c r="AZ170" s="470">
        <v>0.75</v>
      </c>
      <c r="BA170" s="466">
        <v>1673589579</v>
      </c>
      <c r="BB170" s="211">
        <v>416</v>
      </c>
      <c r="BC170" s="211">
        <v>440</v>
      </c>
      <c r="BD170" s="211">
        <v>912</v>
      </c>
      <c r="BE170" s="211">
        <v>525</v>
      </c>
      <c r="BF170" s="211">
        <v>1768</v>
      </c>
      <c r="BG170" s="211">
        <v>1457</v>
      </c>
      <c r="BH170" s="211">
        <v>2854</v>
      </c>
      <c r="BI170" s="211">
        <v>3318</v>
      </c>
      <c r="BJ170" s="211">
        <v>1850</v>
      </c>
      <c r="BK170" s="211">
        <v>956</v>
      </c>
      <c r="BL170" s="211">
        <v>180</v>
      </c>
      <c r="BM170" s="211">
        <v>189</v>
      </c>
      <c r="BO170" s="28">
        <f t="shared" si="9"/>
        <v>1238.75</v>
      </c>
      <c r="BP170" s="28">
        <f t="shared" si="10"/>
        <v>14865</v>
      </c>
      <c r="BS170" s="217"/>
      <c r="BT170" s="217"/>
      <c r="BU170" s="134"/>
      <c r="BV170" s="217"/>
      <c r="BW170" s="217"/>
      <c r="BX170" s="217"/>
    </row>
    <row r="171" spans="22:76" x14ac:dyDescent="0.25">
      <c r="V171" s="449" t="str">
        <f>'[1]Strohs Plant in Service'!$C174</f>
        <v>Pumping and Water Treatment (20)</v>
      </c>
      <c r="W171" s="292" t="str">
        <f>'[1]Strohs Plant in Service'!$D174</f>
        <v>Pump Equip - Strohs (075)</v>
      </c>
      <c r="X171" s="293">
        <f>'[1]Strohs Plant in Service'!$E174</f>
        <v>45231</v>
      </c>
      <c r="Y171" s="297">
        <f>'[1]Strohs Plant in Service'!$F174</f>
        <v>1126.3599999999999</v>
      </c>
      <c r="Z171" s="248"/>
      <c r="AA171" s="294">
        <f>'[1]Strohs Plant in Service'!$G$11/12</f>
        <v>6</v>
      </c>
      <c r="AB171" s="219">
        <f>('[1]Strohs Plant in Service'!$G174-'[1]Strohs Plant in Service'!$H174)/12</f>
        <v>1.4166666666666667</v>
      </c>
      <c r="AC171" s="219">
        <f>'[1]Strohs Plant in Service'!$I174</f>
        <v>346.57230769230762</v>
      </c>
      <c r="AD171" s="219"/>
      <c r="AE171" s="220">
        <f>'[1]Strohs Plant in Service'!$J174</f>
        <v>519.85</v>
      </c>
      <c r="AF171" s="221">
        <v>606.50999999999988</v>
      </c>
      <c r="AG171" s="204"/>
      <c r="AH171" s="178"/>
      <c r="AI171" s="174"/>
      <c r="AJ171" s="179"/>
      <c r="AK171" s="247"/>
      <c r="AL171" s="248"/>
      <c r="AM171" s="294"/>
      <c r="AN171" s="219"/>
      <c r="AO171" s="219"/>
      <c r="AP171" s="219"/>
      <c r="AQ171" s="220"/>
      <c r="AR171" s="221"/>
      <c r="AY171" s="628"/>
      <c r="AZ171" s="470">
        <v>0.75</v>
      </c>
      <c r="BA171" s="466">
        <v>1676765191</v>
      </c>
      <c r="BB171" s="211">
        <v>253</v>
      </c>
      <c r="BC171" s="211">
        <v>293</v>
      </c>
      <c r="BD171" s="211">
        <v>352</v>
      </c>
      <c r="BE171" s="211">
        <v>337</v>
      </c>
      <c r="BF171" s="211">
        <v>424</v>
      </c>
      <c r="BG171" s="211">
        <v>546</v>
      </c>
      <c r="BH171" s="211">
        <v>529</v>
      </c>
      <c r="BI171" s="211">
        <v>665</v>
      </c>
      <c r="BJ171" s="211">
        <v>493</v>
      </c>
      <c r="BK171" s="211">
        <v>372</v>
      </c>
      <c r="BL171" s="211">
        <v>390</v>
      </c>
      <c r="BM171" s="211">
        <v>370</v>
      </c>
      <c r="BO171" s="28">
        <f t="shared" si="9"/>
        <v>418.66666666666669</v>
      </c>
      <c r="BP171" s="28">
        <f t="shared" si="10"/>
        <v>5024</v>
      </c>
      <c r="BS171" s="217"/>
      <c r="BT171" s="217"/>
      <c r="BU171" s="134"/>
      <c r="BV171" s="217"/>
      <c r="BW171" s="217"/>
      <c r="BX171" s="217"/>
    </row>
    <row r="172" spans="22:76" x14ac:dyDescent="0.25">
      <c r="V172" s="449" t="str">
        <f>'[1]Strohs Plant in Service'!$C175</f>
        <v>Mains, Tanks and Reservoirs (50)</v>
      </c>
      <c r="W172" s="292" t="str">
        <f>'[1]Strohs Plant in Service'!$D175</f>
        <v>Ck Valves - Montgomery (472)</v>
      </c>
      <c r="X172" s="293">
        <f>'[1]Strohs Plant in Service'!$E175</f>
        <v>45231</v>
      </c>
      <c r="Y172" s="297">
        <f>'[1]Strohs Plant in Service'!$F175</f>
        <v>2395.65</v>
      </c>
      <c r="Z172" s="248"/>
      <c r="AA172" s="294">
        <f>'[1]Strohs Plant in Service'!$G$11/12</f>
        <v>6</v>
      </c>
      <c r="AB172" s="219">
        <f>('[1]Strohs Plant in Service'!$G175-'[1]Strohs Plant in Service'!$H175)/12</f>
        <v>1.4166666666666667</v>
      </c>
      <c r="AC172" s="219">
        <f>'[1]Strohs Plant in Service'!$I175</f>
        <v>737.12307692307695</v>
      </c>
      <c r="AD172" s="219"/>
      <c r="AE172" s="220">
        <f>'[1]Strohs Plant in Service'!$J175</f>
        <v>1105.72</v>
      </c>
      <c r="AF172" s="221">
        <v>1289.93</v>
      </c>
      <c r="AG172" s="204"/>
      <c r="AH172" s="178"/>
      <c r="AI172" s="174"/>
      <c r="AJ172" s="179"/>
      <c r="AK172" s="247"/>
      <c r="AL172" s="248"/>
      <c r="AM172" s="294"/>
      <c r="AN172" s="219"/>
      <c r="AO172" s="219"/>
      <c r="AP172" s="219"/>
      <c r="AQ172" s="220"/>
      <c r="AR172" s="221"/>
      <c r="AY172" s="628"/>
      <c r="AZ172" s="470">
        <v>0.75</v>
      </c>
      <c r="BA172" s="466">
        <v>1678828687</v>
      </c>
      <c r="BB172" s="211" t="s">
        <v>655</v>
      </c>
      <c r="BC172" s="211">
        <v>31</v>
      </c>
      <c r="BD172" s="211">
        <v>99</v>
      </c>
      <c r="BE172" s="211">
        <v>136</v>
      </c>
      <c r="BF172" s="211">
        <v>153</v>
      </c>
      <c r="BG172" s="211">
        <v>4417</v>
      </c>
      <c r="BH172" s="211">
        <v>81</v>
      </c>
      <c r="BI172" s="211">
        <v>184</v>
      </c>
      <c r="BJ172" s="211">
        <v>198</v>
      </c>
      <c r="BK172" s="211">
        <v>843</v>
      </c>
      <c r="BL172" s="211">
        <v>677</v>
      </c>
      <c r="BM172" s="211">
        <v>800</v>
      </c>
      <c r="BO172" s="28">
        <f t="shared" si="9"/>
        <v>692.63636363636363</v>
      </c>
      <c r="BP172" s="28">
        <f t="shared" si="10"/>
        <v>7619</v>
      </c>
      <c r="BS172" s="217"/>
      <c r="BT172" s="217"/>
      <c r="BU172" s="134"/>
      <c r="BV172" s="217"/>
      <c r="BW172" s="217"/>
      <c r="BX172" s="217"/>
    </row>
    <row r="173" spans="22:76" x14ac:dyDescent="0.25">
      <c r="V173" s="449" t="str">
        <f>'[1]Strohs Plant in Service'!$C176</f>
        <v>Pumping and Water Treatment (20)</v>
      </c>
      <c r="W173" s="292" t="str">
        <f>'[1]Strohs Plant in Service'!$D176</f>
        <v>Pumping Equip - Strohs</v>
      </c>
      <c r="X173" s="293">
        <f>'[1]Strohs Plant in Service'!$E176</f>
        <v>45231</v>
      </c>
      <c r="Y173" s="297">
        <f>'[1]Strohs Plant in Service'!$F176</f>
        <v>2442.11</v>
      </c>
      <c r="Z173" s="248"/>
      <c r="AA173" s="294">
        <f>'[1]Strohs Plant in Service'!$G$11/12</f>
        <v>6</v>
      </c>
      <c r="AB173" s="219">
        <f>('[1]Strohs Plant in Service'!$G176-'[1]Strohs Plant in Service'!$H176)/12</f>
        <v>1.4166666666666667</v>
      </c>
      <c r="AC173" s="219">
        <f>'[1]Strohs Plant in Service'!$I176</f>
        <v>751.41846153846154</v>
      </c>
      <c r="AD173" s="219"/>
      <c r="AE173" s="220">
        <f>'[1]Strohs Plant in Service'!$J176</f>
        <v>1127.1500000000001</v>
      </c>
      <c r="AF173" s="221">
        <v>1314.96</v>
      </c>
      <c r="AG173" s="204"/>
      <c r="AH173" s="178"/>
      <c r="AI173" s="174"/>
      <c r="AJ173" s="179"/>
      <c r="AK173" s="247"/>
      <c r="AL173" s="248"/>
      <c r="AM173" s="294"/>
      <c r="AN173" s="219"/>
      <c r="AO173" s="219"/>
      <c r="AP173" s="219"/>
      <c r="AQ173" s="220"/>
      <c r="AR173" s="221"/>
      <c r="AY173" s="628"/>
      <c r="AZ173" s="470">
        <v>0.75</v>
      </c>
      <c r="BA173" s="466">
        <v>1681287611</v>
      </c>
      <c r="BB173" s="211">
        <v>95</v>
      </c>
      <c r="BC173" s="211">
        <v>96</v>
      </c>
      <c r="BD173" s="211">
        <v>121</v>
      </c>
      <c r="BE173" s="211">
        <v>115</v>
      </c>
      <c r="BF173" s="211">
        <v>158</v>
      </c>
      <c r="BG173" s="211">
        <v>120</v>
      </c>
      <c r="BH173" s="211">
        <v>197</v>
      </c>
      <c r="BI173" s="211">
        <v>169</v>
      </c>
      <c r="BJ173" s="211">
        <v>141</v>
      </c>
      <c r="BK173" s="211">
        <v>114</v>
      </c>
      <c r="BL173" s="211">
        <v>125</v>
      </c>
      <c r="BM173" s="211">
        <v>131</v>
      </c>
      <c r="BO173" s="28">
        <f t="shared" si="9"/>
        <v>131.83333333333334</v>
      </c>
      <c r="BP173" s="28">
        <f t="shared" si="10"/>
        <v>1582</v>
      </c>
      <c r="BS173" s="217"/>
      <c r="BT173" s="217"/>
      <c r="BU173" s="134"/>
      <c r="BV173" s="217"/>
      <c r="BW173" s="217"/>
      <c r="BX173" s="217"/>
    </row>
    <row r="174" spans="22:76" x14ac:dyDescent="0.25">
      <c r="V174" s="449" t="str">
        <f>'[1]Strohs Plant in Service'!$C177</f>
        <v>Equipment (Laboratory, Office, and Shop) (15)</v>
      </c>
      <c r="W174" s="292" t="str">
        <f>'[1]Strohs Plant in Service'!$D177</f>
        <v>Misc Equip (radio controls) - Stroh</v>
      </c>
      <c r="X174" s="293">
        <f>'[1]Strohs Plant in Service'!$E177</f>
        <v>45231</v>
      </c>
      <c r="Y174" s="297">
        <f>'[1]Strohs Plant in Service'!$F177</f>
        <v>3707.41</v>
      </c>
      <c r="Z174" s="248"/>
      <c r="AA174" s="294">
        <f>'[1]Strohs Plant in Service'!$G$11/12</f>
        <v>6</v>
      </c>
      <c r="AB174" s="219">
        <f>('[1]Strohs Plant in Service'!$G177-'[1]Strohs Plant in Service'!$H177)/12</f>
        <v>13.916666666666666</v>
      </c>
      <c r="AC174" s="219">
        <f>'[1]Strohs Plant in Service'!$I177</f>
        <v>185.37049999999999</v>
      </c>
      <c r="AD174" s="219"/>
      <c r="AE174" s="220">
        <f>'[1]Strohs Plant in Service'!$J177</f>
        <v>2431.0500000000002</v>
      </c>
      <c r="AF174" s="221">
        <v>1276.3599999999997</v>
      </c>
      <c r="AG174" s="204"/>
      <c r="AH174" s="178"/>
      <c r="AI174" s="174"/>
      <c r="AJ174" s="179"/>
      <c r="AK174" s="247"/>
      <c r="AL174" s="248"/>
      <c r="AM174" s="294"/>
      <c r="AN174" s="219"/>
      <c r="AO174" s="219"/>
      <c r="AP174" s="219"/>
      <c r="AQ174" s="220"/>
      <c r="AR174" s="221"/>
      <c r="AY174" s="628"/>
      <c r="AZ174" s="470">
        <v>0.75</v>
      </c>
      <c r="BA174" s="466">
        <v>1688943494</v>
      </c>
      <c r="BB174" s="211">
        <v>781</v>
      </c>
      <c r="BC174" s="211">
        <v>746</v>
      </c>
      <c r="BD174" s="211">
        <v>474</v>
      </c>
      <c r="BE174" s="211">
        <v>1575</v>
      </c>
      <c r="BF174" s="211">
        <v>1199</v>
      </c>
      <c r="BG174" s="211">
        <v>730</v>
      </c>
      <c r="BH174" s="211">
        <v>3042</v>
      </c>
      <c r="BI174" s="211">
        <v>774</v>
      </c>
      <c r="BJ174" s="211">
        <v>4829</v>
      </c>
      <c r="BK174" s="211">
        <v>750</v>
      </c>
      <c r="BL174" s="211">
        <v>900</v>
      </c>
      <c r="BM174" s="211">
        <v>880</v>
      </c>
      <c r="BO174" s="28">
        <f t="shared" si="9"/>
        <v>1390</v>
      </c>
      <c r="BP174" s="28">
        <f t="shared" si="10"/>
        <v>16680</v>
      </c>
      <c r="BS174" s="217"/>
      <c r="BT174" s="217"/>
      <c r="BU174" s="134"/>
      <c r="BV174" s="217"/>
      <c r="BW174" s="217"/>
      <c r="BX174" s="217"/>
    </row>
    <row r="175" spans="22:76" x14ac:dyDescent="0.25">
      <c r="V175" s="449" t="str">
        <f>'[1]Strohs Plant in Service'!$C178</f>
        <v>Equipment (Laboratory, Office, and Shop) (15)</v>
      </c>
      <c r="W175" s="292" t="str">
        <f>'[1]Strohs Plant in Service'!$D178</f>
        <v>Misc Equip (radio controls) - Stroh</v>
      </c>
      <c r="X175" s="293">
        <f>'[1]Strohs Plant in Service'!$E178</f>
        <v>45231</v>
      </c>
      <c r="Y175" s="297">
        <f>'[1]Strohs Plant in Service'!$F178</f>
        <v>3270.31</v>
      </c>
      <c r="Z175" s="248"/>
      <c r="AA175" s="294">
        <f>'[1]Strohs Plant in Service'!$G$11/12</f>
        <v>6</v>
      </c>
      <c r="AB175" s="219">
        <f>('[1]Strohs Plant in Service'!$G178-'[1]Strohs Plant in Service'!$H178)/12</f>
        <v>1.4166666666666667</v>
      </c>
      <c r="AC175" s="219">
        <f>'[1]Strohs Plant in Service'!$I178</f>
        <v>1090.1033333333332</v>
      </c>
      <c r="AD175" s="219"/>
      <c r="AE175" s="220">
        <f>'[1]Strohs Plant in Service'!$J178</f>
        <v>1635.13</v>
      </c>
      <c r="AF175" s="221">
        <v>1635.1799999999998</v>
      </c>
      <c r="AG175" s="204"/>
      <c r="AH175" s="178"/>
      <c r="AI175" s="174"/>
      <c r="AJ175" s="179"/>
      <c r="AK175" s="247"/>
      <c r="AL175" s="248"/>
      <c r="AM175" s="294"/>
      <c r="AN175" s="219"/>
      <c r="AO175" s="219"/>
      <c r="AP175" s="219"/>
      <c r="AQ175" s="220"/>
      <c r="AR175" s="221"/>
      <c r="AY175" s="628"/>
      <c r="AZ175" s="470">
        <v>0.75</v>
      </c>
      <c r="BA175" s="466">
        <v>1693059034</v>
      </c>
      <c r="BB175" s="211">
        <v>433</v>
      </c>
      <c r="BC175" s="211">
        <v>450</v>
      </c>
      <c r="BD175" s="211">
        <v>521</v>
      </c>
      <c r="BE175" s="211">
        <v>976</v>
      </c>
      <c r="BF175" s="211">
        <v>2964</v>
      </c>
      <c r="BG175" s="211">
        <v>699</v>
      </c>
      <c r="BH175" s="211">
        <v>7116</v>
      </c>
      <c r="BI175" s="211">
        <v>5399</v>
      </c>
      <c r="BJ175" s="211">
        <v>3780</v>
      </c>
      <c r="BK175" s="211">
        <v>1100</v>
      </c>
      <c r="BL175" s="211">
        <v>400</v>
      </c>
      <c r="BM175" s="211">
        <v>505</v>
      </c>
      <c r="BO175" s="28">
        <f t="shared" si="9"/>
        <v>2028.5833333333333</v>
      </c>
      <c r="BP175" s="28">
        <f t="shared" si="10"/>
        <v>24343</v>
      </c>
      <c r="BS175" s="217"/>
      <c r="BT175" s="217"/>
      <c r="BU175" s="134"/>
      <c r="BV175" s="217"/>
      <c r="BW175" s="217"/>
      <c r="BX175" s="217"/>
    </row>
    <row r="176" spans="22:76" x14ac:dyDescent="0.25">
      <c r="V176" s="449" t="str">
        <f>'[1]Strohs Plant in Service'!$C179</f>
        <v>Mains, Tanks and Reservoirs (50)</v>
      </c>
      <c r="W176" s="292" t="str">
        <f>'[1]Strohs Plant in Service'!$D179</f>
        <v>Reservoirs (CIAC) - Strohs</v>
      </c>
      <c r="X176" s="293">
        <f>'[1]Strohs Plant in Service'!$E179</f>
        <v>45231</v>
      </c>
      <c r="Y176" s="297">
        <f>'[1]Strohs Plant in Service'!$F179</f>
        <v>65527.25</v>
      </c>
      <c r="Z176" s="248"/>
      <c r="AA176" s="294">
        <f>'[1]Strohs Plant in Service'!$G$11/12</f>
        <v>6</v>
      </c>
      <c r="AB176" s="219">
        <f>('[1]Strohs Plant in Service'!$G179-'[1]Strohs Plant in Service'!$H179)/12</f>
        <v>30.833333333333332</v>
      </c>
      <c r="AC176" s="219">
        <f>'[1]Strohs Plant in Service'!$I179</f>
        <v>1854.5448113207549</v>
      </c>
      <c r="AD176" s="219"/>
      <c r="AE176" s="220">
        <f>'[1]Strohs Plant in Service'!$J179</f>
        <v>57373.17</v>
      </c>
      <c r="AF176" s="221">
        <v>8154.0800000000017</v>
      </c>
      <c r="AG176" s="204"/>
      <c r="AH176" s="178"/>
      <c r="AI176" s="174"/>
      <c r="AJ176" s="179"/>
      <c r="AK176" s="247"/>
      <c r="AL176" s="248"/>
      <c r="AM176" s="294"/>
      <c r="AN176" s="219"/>
      <c r="AO176" s="219"/>
      <c r="AP176" s="219"/>
      <c r="AQ176" s="220"/>
      <c r="AR176" s="221"/>
      <c r="AY176" s="628"/>
      <c r="AZ176" s="470">
        <v>0.75</v>
      </c>
      <c r="BA176" s="466">
        <v>1715237863</v>
      </c>
      <c r="BB176" s="211">
        <v>114</v>
      </c>
      <c r="BC176" s="211">
        <v>119</v>
      </c>
      <c r="BD176" s="211">
        <v>152</v>
      </c>
      <c r="BE176" s="211">
        <v>114</v>
      </c>
      <c r="BF176" s="211">
        <v>139</v>
      </c>
      <c r="BG176" s="211">
        <v>143</v>
      </c>
      <c r="BH176" s="211">
        <v>54</v>
      </c>
      <c r="BI176" s="211">
        <v>287</v>
      </c>
      <c r="BJ176" s="211" t="s">
        <v>655</v>
      </c>
      <c r="BK176" s="211">
        <v>285</v>
      </c>
      <c r="BL176" s="211">
        <v>108</v>
      </c>
      <c r="BM176" s="211">
        <v>170</v>
      </c>
      <c r="BO176" s="28">
        <f t="shared" si="9"/>
        <v>153.18181818181819</v>
      </c>
      <c r="BP176" s="28">
        <f t="shared" si="10"/>
        <v>1685</v>
      </c>
      <c r="BS176" s="217"/>
      <c r="BT176" s="217"/>
      <c r="BU176" s="134"/>
      <c r="BV176" s="217"/>
      <c r="BW176" s="217"/>
      <c r="BX176" s="217"/>
    </row>
    <row r="177" spans="22:76" x14ac:dyDescent="0.25">
      <c r="V177" s="449" t="str">
        <f>'[1]Strohs Plant in Service'!$C180</f>
        <v>Mains, Tanks and Reservoirs (50)</v>
      </c>
      <c r="W177" s="292" t="str">
        <f>'[1]Strohs Plant in Service'!$D180</f>
        <v>Reservoirs (CIAC) - Strohs</v>
      </c>
      <c r="X177" s="293">
        <f>'[1]Strohs Plant in Service'!$E180</f>
        <v>45231</v>
      </c>
      <c r="Y177" s="297">
        <f>'[1]Strohs Plant in Service'!$F180</f>
        <v>25839</v>
      </c>
      <c r="Z177" s="248"/>
      <c r="AA177" s="294">
        <f>'[1]Strohs Plant in Service'!$G$11/12</f>
        <v>6</v>
      </c>
      <c r="AB177" s="219">
        <f>('[1]Strohs Plant in Service'!$G180-'[1]Strohs Plant in Service'!$H180)/12</f>
        <v>23.416666666666668</v>
      </c>
      <c r="AC177" s="219">
        <f>'[1]Strohs Plant in Service'!$I180</f>
        <v>861.30000000000007</v>
      </c>
      <c r="AD177" s="219"/>
      <c r="AE177" s="220">
        <f>'[1]Strohs Plant in Service'!$J180</f>
        <v>20240.55</v>
      </c>
      <c r="AF177" s="221">
        <v>5598.4500000000007</v>
      </c>
      <c r="AG177" s="204"/>
      <c r="AH177" s="178"/>
      <c r="AI177" s="174"/>
      <c r="AJ177" s="179"/>
      <c r="AK177" s="247"/>
      <c r="AL177" s="248"/>
      <c r="AM177" s="294"/>
      <c r="AN177" s="219"/>
      <c r="AO177" s="219"/>
      <c r="AP177" s="219"/>
      <c r="AQ177" s="220"/>
      <c r="AR177" s="221"/>
      <c r="AY177" s="628"/>
      <c r="AZ177" s="470">
        <v>1</v>
      </c>
      <c r="BA177" s="466">
        <v>1736854289</v>
      </c>
      <c r="BB177" s="211">
        <v>2669</v>
      </c>
      <c r="BC177" s="211">
        <v>1039</v>
      </c>
      <c r="BD177" s="211">
        <v>1201</v>
      </c>
      <c r="BE177" s="211">
        <v>1457</v>
      </c>
      <c r="BF177" s="211">
        <v>2061</v>
      </c>
      <c r="BG177" s="211">
        <v>2837</v>
      </c>
      <c r="BH177" s="211">
        <v>3616</v>
      </c>
      <c r="BI177" s="211">
        <v>3595</v>
      </c>
      <c r="BJ177" s="211">
        <v>4042</v>
      </c>
      <c r="BK177" s="211">
        <v>1912</v>
      </c>
      <c r="BL177" s="211">
        <v>741</v>
      </c>
      <c r="BM177" s="211">
        <v>800</v>
      </c>
      <c r="BO177" s="28">
        <f t="shared" si="9"/>
        <v>2164.1666666666665</v>
      </c>
      <c r="BP177" s="28">
        <f t="shared" si="10"/>
        <v>25970</v>
      </c>
      <c r="BS177" s="217"/>
      <c r="BT177" s="217"/>
      <c r="BU177" s="134"/>
      <c r="BV177" s="217"/>
      <c r="BW177" s="217"/>
      <c r="BX177" s="217"/>
    </row>
    <row r="178" spans="22:76" x14ac:dyDescent="0.25">
      <c r="V178" s="449" t="str">
        <f>'[1]Strohs Plant in Service'!$C181</f>
        <v>Mains, Tanks and Reservoirs (50)</v>
      </c>
      <c r="W178" s="292" t="str">
        <f>'[1]Strohs Plant in Service'!$D181</f>
        <v>Reservoirs - Strohs</v>
      </c>
      <c r="X178" s="293">
        <f>'[1]Strohs Plant in Service'!$E181</f>
        <v>45231</v>
      </c>
      <c r="Y178" s="297">
        <f>'[1]Strohs Plant in Service'!$F181</f>
        <v>96276.87</v>
      </c>
      <c r="Z178" s="248"/>
      <c r="AA178" s="294">
        <f>'[1]Strohs Plant in Service'!$G$11/12</f>
        <v>6</v>
      </c>
      <c r="AB178" s="219">
        <f>('[1]Strohs Plant in Service'!$G181-'[1]Strohs Plant in Service'!$H181)/12</f>
        <v>22.416666666666668</v>
      </c>
      <c r="AC178" s="219">
        <f>'[1]Strohs Plant in Service'!$I181</f>
        <v>3209.2289999999998</v>
      </c>
      <c r="AD178" s="219"/>
      <c r="AE178" s="220">
        <f>'[1]Strohs Plant in Service'!$J181</f>
        <v>62867.28</v>
      </c>
      <c r="AF178" s="221">
        <v>33409.589999999997</v>
      </c>
      <c r="AG178" s="204"/>
      <c r="AH178" s="178"/>
      <c r="AI178" s="174"/>
      <c r="AJ178" s="179"/>
      <c r="AK178" s="247"/>
      <c r="AL178" s="248"/>
      <c r="AM178" s="294"/>
      <c r="AN178" s="219"/>
      <c r="AO178" s="219"/>
      <c r="AP178" s="219"/>
      <c r="AQ178" s="220"/>
      <c r="AR178" s="221"/>
      <c r="AY178" s="628"/>
      <c r="AZ178" s="470">
        <v>0.625</v>
      </c>
      <c r="BA178" s="466">
        <v>1749993653</v>
      </c>
      <c r="BB178" s="211">
        <v>363</v>
      </c>
      <c r="BC178" s="211">
        <v>508</v>
      </c>
      <c r="BD178" s="211">
        <v>610</v>
      </c>
      <c r="BE178" s="211">
        <v>755</v>
      </c>
      <c r="BF178" s="211">
        <v>717</v>
      </c>
      <c r="BG178" s="211">
        <v>484</v>
      </c>
      <c r="BH178" s="211">
        <v>700</v>
      </c>
      <c r="BI178" s="211">
        <v>1477</v>
      </c>
      <c r="BJ178" s="211">
        <v>1722</v>
      </c>
      <c r="BK178" s="211">
        <v>1273</v>
      </c>
      <c r="BL178" s="211">
        <v>652</v>
      </c>
      <c r="BM178" s="211">
        <v>1093</v>
      </c>
      <c r="BO178" s="28">
        <f t="shared" si="9"/>
        <v>862.83333333333337</v>
      </c>
      <c r="BP178" s="28">
        <f t="shared" si="10"/>
        <v>10354</v>
      </c>
      <c r="BS178" s="217"/>
      <c r="BT178" s="217"/>
      <c r="BU178" s="134"/>
      <c r="BV178" s="217"/>
      <c r="BW178" s="217"/>
      <c r="BX178" s="217"/>
    </row>
    <row r="179" spans="22:76" x14ac:dyDescent="0.25">
      <c r="V179" s="449" t="str">
        <f>'[1]Strohs Plant in Service'!$C182</f>
        <v>Mains, Tanks and Reservoirs (50)</v>
      </c>
      <c r="W179" s="292" t="str">
        <f>'[1]Strohs Plant in Service'!$D182</f>
        <v>Reservoirs (CIAC) - Strohs</v>
      </c>
      <c r="X179" s="293">
        <f>'[1]Strohs Plant in Service'!$E182</f>
        <v>45231</v>
      </c>
      <c r="Y179" s="297">
        <f>'[1]Strohs Plant in Service'!$F182</f>
        <v>55127.27</v>
      </c>
      <c r="Z179" s="248"/>
      <c r="AA179" s="294">
        <f>'[1]Strohs Plant in Service'!$G$11/12</f>
        <v>6</v>
      </c>
      <c r="AB179" s="219">
        <f>('[1]Strohs Plant in Service'!$G182-'[1]Strohs Plant in Service'!$H182)/12</f>
        <v>21.416666666666668</v>
      </c>
      <c r="AC179" s="219">
        <f>'[1]Strohs Plant in Service'!$I182</f>
        <v>1837.5756666666666</v>
      </c>
      <c r="AD179" s="219"/>
      <c r="AE179" s="220">
        <f>'[1]Strohs Plant in Service'!$J182</f>
        <v>39507.86</v>
      </c>
      <c r="AF179" s="221">
        <v>15619.409999999996</v>
      </c>
      <c r="AG179" s="204"/>
      <c r="AH179" s="178"/>
      <c r="AI179" s="174"/>
      <c r="AJ179" s="179"/>
      <c r="AK179" s="247"/>
      <c r="AL179" s="248"/>
      <c r="AM179" s="294"/>
      <c r="AN179" s="219"/>
      <c r="AO179" s="219"/>
      <c r="AP179" s="219"/>
      <c r="AQ179" s="220"/>
      <c r="AR179" s="221"/>
      <c r="AY179" s="628"/>
      <c r="AZ179" s="470">
        <v>0.75</v>
      </c>
      <c r="BA179" s="466">
        <v>1781420032</v>
      </c>
      <c r="BB179" s="211">
        <v>507</v>
      </c>
      <c r="BC179" s="211">
        <v>266</v>
      </c>
      <c r="BD179" s="211">
        <v>118</v>
      </c>
      <c r="BE179" s="211">
        <v>164</v>
      </c>
      <c r="BF179" s="211">
        <v>151</v>
      </c>
      <c r="BG179" s="211">
        <v>168</v>
      </c>
      <c r="BH179" s="211">
        <v>208</v>
      </c>
      <c r="BI179" s="211">
        <v>402</v>
      </c>
      <c r="BJ179" s="211">
        <v>440</v>
      </c>
      <c r="BK179" s="211">
        <v>630</v>
      </c>
      <c r="BL179" s="211">
        <v>413</v>
      </c>
      <c r="BM179" s="211">
        <v>378</v>
      </c>
      <c r="BO179" s="28">
        <f t="shared" si="9"/>
        <v>320.41666666666669</v>
      </c>
      <c r="BP179" s="28">
        <f t="shared" si="10"/>
        <v>3845</v>
      </c>
      <c r="BS179" s="217"/>
      <c r="BT179" s="217"/>
      <c r="BU179" s="134"/>
      <c r="BV179" s="217"/>
      <c r="BW179" s="217"/>
      <c r="BX179" s="217"/>
    </row>
    <row r="180" spans="22:76" x14ac:dyDescent="0.25">
      <c r="V180" s="449" t="str">
        <f>'[1]Strohs Plant in Service'!$C183</f>
        <v>Mains, Tanks and Reservoirs (50)</v>
      </c>
      <c r="W180" s="292" t="str">
        <f>'[1]Strohs Plant in Service'!$D183</f>
        <v>Reservoirs - Strohs</v>
      </c>
      <c r="X180" s="293">
        <f>'[1]Strohs Plant in Service'!$E183</f>
        <v>45231</v>
      </c>
      <c r="Y180" s="297">
        <f>'[1]Strohs Plant in Service'!$F183</f>
        <v>537.55999999999995</v>
      </c>
      <c r="Z180" s="248"/>
      <c r="AA180" s="294">
        <f>'[1]Strohs Plant in Service'!$G$11/12</f>
        <v>6</v>
      </c>
      <c r="AB180" s="219">
        <f>('[1]Strohs Plant in Service'!$G183-'[1]Strohs Plant in Service'!$H183)/12</f>
        <v>21</v>
      </c>
      <c r="AC180" s="219">
        <f>'[1]Strohs Plant in Service'!$I183</f>
        <v>17.918666666666663</v>
      </c>
      <c r="AD180" s="219"/>
      <c r="AE180" s="220">
        <f>'[1]Strohs Plant in Service'!$J183</f>
        <v>377.74</v>
      </c>
      <c r="AF180" s="221">
        <v>159.81999999999994</v>
      </c>
      <c r="AG180" s="204"/>
      <c r="AH180" s="178"/>
      <c r="AI180" s="174"/>
      <c r="AJ180" s="179"/>
      <c r="AK180" s="247"/>
      <c r="AL180" s="248"/>
      <c r="AM180" s="294"/>
      <c r="AN180" s="219"/>
      <c r="AO180" s="219"/>
      <c r="AP180" s="219"/>
      <c r="AQ180" s="220"/>
      <c r="AR180" s="221"/>
      <c r="AY180" s="628"/>
      <c r="AZ180" s="470">
        <v>0.75</v>
      </c>
      <c r="BA180" s="466">
        <v>1792348733</v>
      </c>
      <c r="BB180" s="211">
        <v>715</v>
      </c>
      <c r="BC180" s="211">
        <v>737</v>
      </c>
      <c r="BD180" s="211">
        <v>293</v>
      </c>
      <c r="BE180" s="211">
        <v>1071</v>
      </c>
      <c r="BF180" s="211">
        <v>833</v>
      </c>
      <c r="BG180" s="211">
        <v>1095</v>
      </c>
      <c r="BH180" s="211">
        <v>3524</v>
      </c>
      <c r="BI180" s="211">
        <v>6005</v>
      </c>
      <c r="BJ180" s="211">
        <v>3770</v>
      </c>
      <c r="BK180" s="211">
        <v>1215</v>
      </c>
      <c r="BL180" s="211">
        <v>705</v>
      </c>
      <c r="BM180" s="211">
        <v>694</v>
      </c>
      <c r="BO180" s="28">
        <f t="shared" si="9"/>
        <v>1721.4166666666667</v>
      </c>
      <c r="BP180" s="28">
        <f t="shared" si="10"/>
        <v>20657</v>
      </c>
      <c r="BS180" s="217"/>
      <c r="BT180" s="217"/>
      <c r="BU180" s="134"/>
      <c r="BV180" s="217"/>
      <c r="BW180" s="217"/>
      <c r="BX180" s="217"/>
    </row>
    <row r="181" spans="22:76" x14ac:dyDescent="0.25">
      <c r="V181" s="449" t="str">
        <f>'[1]Strohs Plant in Service'!$C184</f>
        <v>Mains, Tanks and Reservoirs (50)</v>
      </c>
      <c r="W181" s="292" t="str">
        <f>'[1]Strohs Plant in Service'!$D184</f>
        <v>Reservoirs (CIAC) - Strohs</v>
      </c>
      <c r="X181" s="293">
        <f>'[1]Strohs Plant in Service'!$E184</f>
        <v>45231</v>
      </c>
      <c r="Y181" s="297">
        <f>'[1]Strohs Plant in Service'!$F184</f>
        <v>15000</v>
      </c>
      <c r="Z181" s="248"/>
      <c r="AA181" s="294">
        <f>'[1]Strohs Plant in Service'!$G$11/12</f>
        <v>6</v>
      </c>
      <c r="AB181" s="219">
        <f>('[1]Strohs Plant in Service'!$G184-'[1]Strohs Plant in Service'!$H184)/12</f>
        <v>21.416666666666668</v>
      </c>
      <c r="AC181" s="219">
        <f>'[1]Strohs Plant in Service'!$I184</f>
        <v>500</v>
      </c>
      <c r="AD181" s="219"/>
      <c r="AE181" s="220">
        <f>'[1]Strohs Plant in Service'!$J184</f>
        <v>10750.04</v>
      </c>
      <c r="AF181" s="221">
        <v>4249.9599999999991</v>
      </c>
      <c r="AG181" s="204"/>
      <c r="AH181" s="178"/>
      <c r="AI181" s="174"/>
      <c r="AJ181" s="179"/>
      <c r="AK181" s="247"/>
      <c r="AL181" s="248"/>
      <c r="AM181" s="294"/>
      <c r="AN181" s="219"/>
      <c r="AO181" s="219"/>
      <c r="AP181" s="219"/>
      <c r="AQ181" s="220"/>
      <c r="AR181" s="221"/>
      <c r="AY181" s="628"/>
      <c r="AZ181" s="470">
        <v>0.75</v>
      </c>
      <c r="BA181" s="466">
        <v>1792909274</v>
      </c>
      <c r="BB181" s="211">
        <v>192</v>
      </c>
      <c r="BC181" s="211">
        <v>230</v>
      </c>
      <c r="BD181" s="211">
        <v>262</v>
      </c>
      <c r="BE181" s="211">
        <v>278</v>
      </c>
      <c r="BF181" s="211">
        <v>134</v>
      </c>
      <c r="BG181" s="211">
        <v>271</v>
      </c>
      <c r="BH181" s="211">
        <v>1181</v>
      </c>
      <c r="BI181" s="211">
        <v>1982</v>
      </c>
      <c r="BJ181" s="211">
        <v>2218</v>
      </c>
      <c r="BK181" s="211">
        <v>226</v>
      </c>
      <c r="BL181" s="211">
        <v>174</v>
      </c>
      <c r="BM181" s="211">
        <v>204</v>
      </c>
      <c r="BO181" s="28">
        <f t="shared" si="9"/>
        <v>612.66666666666663</v>
      </c>
      <c r="BP181" s="28">
        <f t="shared" si="10"/>
        <v>7352</v>
      </c>
      <c r="BS181" s="217"/>
      <c r="BT181" s="217"/>
      <c r="BU181" s="134"/>
      <c r="BV181" s="217"/>
      <c r="BW181" s="217"/>
      <c r="BX181" s="217"/>
    </row>
    <row r="182" spans="22:76" x14ac:dyDescent="0.25">
      <c r="V182" s="449" t="str">
        <f>'[1]Strohs Plant in Service'!$C185</f>
        <v>Mains, Tanks and Reservoirs (50)</v>
      </c>
      <c r="W182" s="292" t="str">
        <f>'[1]Strohs Plant in Service'!$D185</f>
        <v>Reservoirs - Strohs</v>
      </c>
      <c r="X182" s="293">
        <f>'[1]Strohs Plant in Service'!$E185</f>
        <v>45231</v>
      </c>
      <c r="Y182" s="297">
        <f>'[1]Strohs Plant in Service'!$F185</f>
        <v>3600</v>
      </c>
      <c r="Z182" s="248"/>
      <c r="AA182" s="294">
        <f>'[1]Strohs Plant in Service'!$G$11/12</f>
        <v>6</v>
      </c>
      <c r="AB182" s="219">
        <f>('[1]Strohs Plant in Service'!$G185-'[1]Strohs Plant in Service'!$H185)/12</f>
        <v>21.416666666666668</v>
      </c>
      <c r="AC182" s="219">
        <f>'[1]Strohs Plant in Service'!$I185</f>
        <v>120</v>
      </c>
      <c r="AD182" s="219"/>
      <c r="AE182" s="220">
        <f>'[1]Strohs Plant in Service'!$J185</f>
        <v>2580</v>
      </c>
      <c r="AF182" s="221">
        <v>1020</v>
      </c>
      <c r="AG182" s="204"/>
      <c r="AH182" s="178"/>
      <c r="AI182" s="174"/>
      <c r="AJ182" s="179"/>
      <c r="AK182" s="247"/>
      <c r="AL182" s="248"/>
      <c r="AM182" s="294"/>
      <c r="AN182" s="219"/>
      <c r="AO182" s="219"/>
      <c r="AP182" s="219"/>
      <c r="AQ182" s="220"/>
      <c r="AR182" s="221"/>
      <c r="AY182" s="628"/>
      <c r="AZ182" s="470">
        <v>0.75</v>
      </c>
      <c r="BA182" s="466">
        <v>1826232649</v>
      </c>
      <c r="BB182" s="211">
        <v>357</v>
      </c>
      <c r="BC182" s="211">
        <v>272</v>
      </c>
      <c r="BD182" s="211">
        <v>290</v>
      </c>
      <c r="BE182" s="211">
        <v>304</v>
      </c>
      <c r="BF182" s="211">
        <v>417</v>
      </c>
      <c r="BG182" s="211">
        <v>414</v>
      </c>
      <c r="BH182" s="211">
        <v>557</v>
      </c>
      <c r="BI182" s="211">
        <v>301</v>
      </c>
      <c r="BJ182" s="211">
        <v>301</v>
      </c>
      <c r="BK182" s="211">
        <v>269</v>
      </c>
      <c r="BL182" s="211">
        <v>173</v>
      </c>
      <c r="BM182" s="211">
        <v>219</v>
      </c>
      <c r="BO182" s="28">
        <f t="shared" si="9"/>
        <v>322.83333333333331</v>
      </c>
      <c r="BP182" s="28">
        <f t="shared" si="10"/>
        <v>3874</v>
      </c>
      <c r="BS182" s="217"/>
      <c r="BT182" s="217"/>
      <c r="BU182" s="134"/>
      <c r="BV182" s="217"/>
      <c r="BW182" s="217"/>
      <c r="BX182" s="217"/>
    </row>
    <row r="183" spans="22:76" x14ac:dyDescent="0.25">
      <c r="V183" s="449" t="str">
        <f>'[1]Strohs Plant in Service'!$C186</f>
        <v>Mains, Tanks and Reservoirs (50)</v>
      </c>
      <c r="W183" s="292" t="str">
        <f>'[1]Strohs Plant in Service'!$D186</f>
        <v>Reservoirs - Strohs</v>
      </c>
      <c r="X183" s="293">
        <f>'[1]Strohs Plant in Service'!$E186</f>
        <v>45231</v>
      </c>
      <c r="Y183" s="297">
        <f>'[1]Strohs Plant in Service'!$F186</f>
        <v>31000</v>
      </c>
      <c r="Z183" s="248"/>
      <c r="AA183" s="294">
        <f>'[1]Strohs Plant in Service'!$G$11/12</f>
        <v>6</v>
      </c>
      <c r="AB183" s="219">
        <f>('[1]Strohs Plant in Service'!$G186-'[1]Strohs Plant in Service'!$H186)/12</f>
        <v>20.416666666666668</v>
      </c>
      <c r="AC183" s="219">
        <f>'[1]Strohs Plant in Service'!$I186</f>
        <v>1033.3333333333335</v>
      </c>
      <c r="AD183" s="219"/>
      <c r="AE183" s="220">
        <f>'[1]Strohs Plant in Service'!$J186</f>
        <v>21183.32</v>
      </c>
      <c r="AF183" s="221">
        <v>9816.68</v>
      </c>
      <c r="AG183" s="204"/>
      <c r="AH183" s="178"/>
      <c r="AI183" s="174"/>
      <c r="AJ183" s="179"/>
      <c r="AK183" s="247"/>
      <c r="AL183" s="248"/>
      <c r="AM183" s="294"/>
      <c r="AN183" s="219"/>
      <c r="AO183" s="219"/>
      <c r="AP183" s="219"/>
      <c r="AQ183" s="220"/>
      <c r="AR183" s="221"/>
      <c r="AY183" s="628"/>
      <c r="AZ183" s="470">
        <v>0.625</v>
      </c>
      <c r="BA183" s="466">
        <v>1829349562</v>
      </c>
      <c r="BB183" s="211">
        <v>1349</v>
      </c>
      <c r="BC183" s="211">
        <v>1694</v>
      </c>
      <c r="BD183" s="211" t="s">
        <v>655</v>
      </c>
      <c r="BE183" s="211" t="s">
        <v>655</v>
      </c>
      <c r="BF183" s="211" t="s">
        <v>655</v>
      </c>
      <c r="BG183" s="211">
        <v>6</v>
      </c>
      <c r="BH183" s="211" t="s">
        <v>655</v>
      </c>
      <c r="BI183" s="211">
        <v>14</v>
      </c>
      <c r="BJ183" s="211">
        <v>1</v>
      </c>
      <c r="BK183" s="211">
        <v>53</v>
      </c>
      <c r="BL183" s="211" t="s">
        <v>655</v>
      </c>
      <c r="BM183" s="211">
        <v>8</v>
      </c>
      <c r="BO183" s="28">
        <f t="shared" si="9"/>
        <v>446.42857142857144</v>
      </c>
      <c r="BP183" s="28">
        <f t="shared" si="10"/>
        <v>3125</v>
      </c>
      <c r="BS183" s="217"/>
      <c r="BT183" s="217"/>
      <c r="BU183" s="134"/>
      <c r="BV183" s="217"/>
      <c r="BW183" s="217"/>
      <c r="BX183" s="217"/>
    </row>
    <row r="184" spans="22:76" x14ac:dyDescent="0.25">
      <c r="V184" s="449" t="str">
        <f>'[1]Strohs Plant in Service'!$C187</f>
        <v>Mains, Tanks and Reservoirs (50)</v>
      </c>
      <c r="W184" s="292" t="str">
        <f>'[1]Strohs Plant in Service'!$D187</f>
        <v>Reservoirs - Strohs</v>
      </c>
      <c r="X184" s="293">
        <f>'[1]Strohs Plant in Service'!$E187</f>
        <v>45231</v>
      </c>
      <c r="Y184" s="297">
        <f>'[1]Strohs Plant in Service'!$F187</f>
        <v>3036.78</v>
      </c>
      <c r="Z184" s="248"/>
      <c r="AA184" s="294">
        <f>'[1]Strohs Plant in Service'!$G$11/12</f>
        <v>6</v>
      </c>
      <c r="AB184" s="219">
        <f>('[1]Strohs Plant in Service'!$G187-'[1]Strohs Plant in Service'!$H187)/12</f>
        <v>17.916666666666668</v>
      </c>
      <c r="AC184" s="219">
        <f>'[1]Strohs Plant in Service'!$I187</f>
        <v>101.22600000000001</v>
      </c>
      <c r="AD184" s="219"/>
      <c r="AE184" s="220">
        <f>'[1]Strohs Plant in Service'!$J187</f>
        <v>1822.13</v>
      </c>
      <c r="AF184" s="221">
        <v>1214.6500000000001</v>
      </c>
      <c r="AG184" s="204"/>
      <c r="AH184" s="178"/>
      <c r="AI184" s="174"/>
      <c r="AJ184" s="179"/>
      <c r="AK184" s="247"/>
      <c r="AL184" s="248"/>
      <c r="AM184" s="294"/>
      <c r="AN184" s="219"/>
      <c r="AO184" s="219"/>
      <c r="AP184" s="219"/>
      <c r="AQ184" s="220"/>
      <c r="AR184" s="221"/>
      <c r="AY184" s="628"/>
      <c r="AZ184" s="470">
        <v>0.75</v>
      </c>
      <c r="BA184" s="466">
        <v>1837632082</v>
      </c>
      <c r="BB184" s="211">
        <v>64</v>
      </c>
      <c r="BC184" s="211">
        <v>419</v>
      </c>
      <c r="BD184" s="211">
        <v>496</v>
      </c>
      <c r="BE184" s="211">
        <v>410</v>
      </c>
      <c r="BF184" s="211">
        <v>425</v>
      </c>
      <c r="BG184" s="211">
        <v>1470</v>
      </c>
      <c r="BH184" s="211">
        <v>2481</v>
      </c>
      <c r="BI184" s="211">
        <v>3310</v>
      </c>
      <c r="BJ184" s="211">
        <v>2128</v>
      </c>
      <c r="BK184" s="211">
        <v>790</v>
      </c>
      <c r="BL184" s="211">
        <v>570</v>
      </c>
      <c r="BM184" s="211">
        <v>255</v>
      </c>
      <c r="BO184" s="28">
        <f t="shared" si="9"/>
        <v>1068.1666666666667</v>
      </c>
      <c r="BP184" s="28">
        <f t="shared" si="10"/>
        <v>12818</v>
      </c>
      <c r="BS184" s="217"/>
      <c r="BT184" s="217"/>
      <c r="BU184" s="134"/>
      <c r="BV184" s="217"/>
      <c r="BW184" s="217"/>
      <c r="BX184" s="217"/>
    </row>
    <row r="185" spans="22:76" x14ac:dyDescent="0.25">
      <c r="V185" s="449" t="str">
        <f>'[1]Strohs Plant in Service'!$C188</f>
        <v>Mains, Tanks and Reservoirs (50)</v>
      </c>
      <c r="W185" s="292" t="str">
        <f>'[1]Strohs Plant in Service'!$D188</f>
        <v>Reservoirs (CIAC) - Strohs</v>
      </c>
      <c r="X185" s="293">
        <f>'[1]Strohs Plant in Service'!$E188</f>
        <v>45231</v>
      </c>
      <c r="Y185" s="297">
        <f>'[1]Strohs Plant in Service'!$F188</f>
        <v>3602.2</v>
      </c>
      <c r="Z185" s="248"/>
      <c r="AA185" s="294">
        <f>'[1]Strohs Plant in Service'!$G$11/12</f>
        <v>6</v>
      </c>
      <c r="AB185" s="219">
        <f>('[1]Strohs Plant in Service'!$G188-'[1]Strohs Plant in Service'!$H188)/12</f>
        <v>12.916666666666666</v>
      </c>
      <c r="AC185" s="219">
        <f>'[1]Strohs Plant in Service'!$I188</f>
        <v>120.07333333333332</v>
      </c>
      <c r="AD185" s="219"/>
      <c r="AE185" s="220">
        <f>'[1]Strohs Plant in Service'!$J188</f>
        <v>1561</v>
      </c>
      <c r="AF185" s="221">
        <v>2041.1999999999998</v>
      </c>
      <c r="AG185" s="204"/>
      <c r="AH185" s="178"/>
      <c r="AI185" s="174"/>
      <c r="AJ185" s="179"/>
      <c r="AK185" s="247"/>
      <c r="AL185" s="248"/>
      <c r="AM185" s="294"/>
      <c r="AN185" s="219"/>
      <c r="AO185" s="219"/>
      <c r="AP185" s="219"/>
      <c r="AQ185" s="220"/>
      <c r="AR185" s="221"/>
      <c r="AY185" s="628"/>
      <c r="AZ185" s="470">
        <v>0.75</v>
      </c>
      <c r="BA185" s="466">
        <v>1839559472</v>
      </c>
      <c r="BB185" s="211">
        <v>72</v>
      </c>
      <c r="BC185" s="211">
        <v>69</v>
      </c>
      <c r="BD185" s="211">
        <v>99</v>
      </c>
      <c r="BE185" s="211">
        <v>16</v>
      </c>
      <c r="BF185" s="211">
        <v>55</v>
      </c>
      <c r="BG185" s="211">
        <v>31</v>
      </c>
      <c r="BH185" s="211">
        <v>42</v>
      </c>
      <c r="BI185" s="211">
        <v>55</v>
      </c>
      <c r="BJ185" s="211">
        <v>165</v>
      </c>
      <c r="BK185" s="211">
        <v>335</v>
      </c>
      <c r="BL185" s="211" t="s">
        <v>655</v>
      </c>
      <c r="BM185" s="211" t="s">
        <v>655</v>
      </c>
      <c r="BO185" s="28">
        <f t="shared" si="9"/>
        <v>93.9</v>
      </c>
      <c r="BP185" s="28">
        <f t="shared" si="10"/>
        <v>939</v>
      </c>
      <c r="BS185" s="217"/>
      <c r="BT185" s="217"/>
      <c r="BU185" s="134"/>
      <c r="BV185" s="217"/>
      <c r="BW185" s="217"/>
      <c r="BX185" s="217"/>
    </row>
    <row r="186" spans="22:76" x14ac:dyDescent="0.25">
      <c r="V186" s="449" t="str">
        <f>'[1]Strohs Plant in Service'!$C189</f>
        <v>Mains, Tanks and Reservoirs (50)</v>
      </c>
      <c r="W186" s="292" t="str">
        <f>'[1]Strohs Plant in Service'!$D189</f>
        <v>Reservoirs - Strohs</v>
      </c>
      <c r="X186" s="293">
        <f>'[1]Strohs Plant in Service'!$E189</f>
        <v>45231</v>
      </c>
      <c r="Y186" s="297">
        <f>'[1]Strohs Plant in Service'!$F189</f>
        <v>4105.6000000000004</v>
      </c>
      <c r="Z186" s="248"/>
      <c r="AA186" s="294">
        <f>'[1]Strohs Plant in Service'!$G$11/12</f>
        <v>6</v>
      </c>
      <c r="AB186" s="219">
        <f>('[1]Strohs Plant in Service'!$G189-'[1]Strohs Plant in Service'!$H189)/12</f>
        <v>11.916666666666666</v>
      </c>
      <c r="AC186" s="219">
        <f>'[1]Strohs Plant in Service'!$I189</f>
        <v>136.85333333333335</v>
      </c>
      <c r="AD186" s="219"/>
      <c r="AE186" s="220">
        <f>'[1]Strohs Plant in Service'!$J189</f>
        <v>1642.18</v>
      </c>
      <c r="AF186" s="221">
        <v>2463.42</v>
      </c>
      <c r="AG186" s="204"/>
      <c r="AH186" s="178"/>
      <c r="AI186" s="174"/>
      <c r="AJ186" s="179"/>
      <c r="AK186" s="247"/>
      <c r="AL186" s="248"/>
      <c r="AM186" s="294"/>
      <c r="AN186" s="219"/>
      <c r="AO186" s="219"/>
      <c r="AP186" s="219"/>
      <c r="AQ186" s="220"/>
      <c r="AR186" s="221"/>
      <c r="AY186" s="628"/>
      <c r="AZ186" s="470">
        <v>1.5</v>
      </c>
      <c r="BA186" s="466">
        <v>1854637013</v>
      </c>
      <c r="BB186" s="211">
        <v>180</v>
      </c>
      <c r="BC186" s="211">
        <v>210</v>
      </c>
      <c r="BD186" s="211">
        <v>240</v>
      </c>
      <c r="BE186" s="211">
        <v>240</v>
      </c>
      <c r="BF186" s="211">
        <v>210</v>
      </c>
      <c r="BG186" s="211">
        <v>2590</v>
      </c>
      <c r="BH186" s="211">
        <v>4870</v>
      </c>
      <c r="BI186" s="211">
        <v>2574</v>
      </c>
      <c r="BJ186" s="211">
        <v>7356</v>
      </c>
      <c r="BK186" s="211">
        <v>5000</v>
      </c>
      <c r="BL186" s="211">
        <v>1940</v>
      </c>
      <c r="BM186" s="211">
        <v>220</v>
      </c>
      <c r="BO186" s="28">
        <f t="shared" si="9"/>
        <v>2135.8333333333335</v>
      </c>
      <c r="BP186" s="28">
        <f t="shared" si="10"/>
        <v>25630</v>
      </c>
      <c r="BS186" s="217"/>
      <c r="BT186" s="217"/>
      <c r="BU186" s="134"/>
      <c r="BV186" s="217"/>
      <c r="BW186" s="217"/>
      <c r="BX186" s="217"/>
    </row>
    <row r="187" spans="22:76" x14ac:dyDescent="0.25">
      <c r="V187" s="449" t="str">
        <f>'[1]Strohs Plant in Service'!$C190</f>
        <v>Mains, Tanks and Reservoirs (50)</v>
      </c>
      <c r="W187" s="292" t="str">
        <f>'[1]Strohs Plant in Service'!$D190</f>
        <v>Reservoirs - Strohs</v>
      </c>
      <c r="X187" s="293">
        <f>'[1]Strohs Plant in Service'!$E190</f>
        <v>45231</v>
      </c>
      <c r="Y187" s="297">
        <f>'[1]Strohs Plant in Service'!$F190</f>
        <v>3275</v>
      </c>
      <c r="Z187" s="248"/>
      <c r="AA187" s="294">
        <f>'[1]Strohs Plant in Service'!$G$11/12</f>
        <v>6</v>
      </c>
      <c r="AB187" s="219">
        <f>('[1]Strohs Plant in Service'!$G190-'[1]Strohs Plant in Service'!$H190)/12</f>
        <v>11.916666666666666</v>
      </c>
      <c r="AC187" s="219">
        <f>'[1]Strohs Plant in Service'!$I190</f>
        <v>109.16666666666666</v>
      </c>
      <c r="AD187" s="219"/>
      <c r="AE187" s="220">
        <f>'[1]Strohs Plant in Service'!$J190</f>
        <v>1310.04</v>
      </c>
      <c r="AF187" s="221">
        <v>1964.96</v>
      </c>
      <c r="AG187" s="204"/>
      <c r="AH187" s="178"/>
      <c r="AI187" s="174"/>
      <c r="AJ187" s="179"/>
      <c r="AK187" s="247"/>
      <c r="AL187" s="248"/>
      <c r="AM187" s="294"/>
      <c r="AN187" s="219"/>
      <c r="AO187" s="219"/>
      <c r="AP187" s="219"/>
      <c r="AQ187" s="220"/>
      <c r="AR187" s="221"/>
      <c r="AY187" s="628"/>
      <c r="AZ187" s="470">
        <v>0.625</v>
      </c>
      <c r="BA187" s="466">
        <v>1866987914</v>
      </c>
      <c r="BB187" s="211">
        <v>451</v>
      </c>
      <c r="BC187" s="211" t="s">
        <v>655</v>
      </c>
      <c r="BD187" s="211" t="s">
        <v>655</v>
      </c>
      <c r="BE187" s="211" t="s">
        <v>655</v>
      </c>
      <c r="BF187" s="211" t="s">
        <v>655</v>
      </c>
      <c r="BG187" s="211" t="s">
        <v>655</v>
      </c>
      <c r="BH187" s="211" t="s">
        <v>655</v>
      </c>
      <c r="BI187" s="211" t="s">
        <v>655</v>
      </c>
      <c r="BJ187" s="211" t="s">
        <v>655</v>
      </c>
      <c r="BK187" s="211" t="s">
        <v>655</v>
      </c>
      <c r="BL187" s="211">
        <v>302</v>
      </c>
      <c r="BM187" s="211">
        <v>823</v>
      </c>
      <c r="BO187" s="28">
        <f t="shared" si="9"/>
        <v>525.33333333333337</v>
      </c>
      <c r="BP187" s="28">
        <f t="shared" si="10"/>
        <v>1576</v>
      </c>
      <c r="BS187" s="217"/>
      <c r="BT187" s="217"/>
      <c r="BU187" s="134"/>
      <c r="BV187" s="217"/>
      <c r="BW187" s="217"/>
      <c r="BX187" s="217"/>
    </row>
    <row r="188" spans="22:76" x14ac:dyDescent="0.25">
      <c r="V188" s="449" t="str">
        <f>'[1]Strohs Plant in Service'!$C191</f>
        <v>Mains, Tanks and Reservoirs (50)</v>
      </c>
      <c r="W188" s="292" t="str">
        <f>'[1]Strohs Plant in Service'!$D191</f>
        <v>Reservoirs - Strohs</v>
      </c>
      <c r="X188" s="293">
        <f>'[1]Strohs Plant in Service'!$E191</f>
        <v>45231</v>
      </c>
      <c r="Y188" s="297">
        <f>'[1]Strohs Plant in Service'!$F191</f>
        <v>1067.9000000000001</v>
      </c>
      <c r="Z188" s="248"/>
      <c r="AA188" s="294">
        <f>'[1]Strohs Plant in Service'!$G$11/12</f>
        <v>6</v>
      </c>
      <c r="AB188" s="219">
        <f>('[1]Strohs Plant in Service'!$G191-'[1]Strohs Plant in Service'!$H191)/12</f>
        <v>9.9166666666666661</v>
      </c>
      <c r="AC188" s="219">
        <f>'[1]Strohs Plant in Service'!$I191</f>
        <v>35.596666666666664</v>
      </c>
      <c r="AD188" s="219"/>
      <c r="AE188" s="220">
        <f>'[1]Strohs Plant in Service'!$J191</f>
        <v>356.01</v>
      </c>
      <c r="AF188" s="221">
        <v>711.8900000000001</v>
      </c>
      <c r="AG188" s="204"/>
      <c r="AH188" s="178"/>
      <c r="AI188" s="174"/>
      <c r="AJ188" s="179"/>
      <c r="AK188" s="247"/>
      <c r="AL188" s="248"/>
      <c r="AM188" s="294"/>
      <c r="AN188" s="219"/>
      <c r="AO188" s="219"/>
      <c r="AP188" s="219"/>
      <c r="AQ188" s="220"/>
      <c r="AR188" s="221"/>
      <c r="AY188" s="628"/>
      <c r="AZ188" s="470">
        <v>0.75</v>
      </c>
      <c r="BA188" s="466">
        <v>1881095937</v>
      </c>
      <c r="BB188" s="211">
        <v>183</v>
      </c>
      <c r="BC188" s="211">
        <v>107</v>
      </c>
      <c r="BD188" s="211">
        <v>340</v>
      </c>
      <c r="BE188" s="211">
        <v>17</v>
      </c>
      <c r="BF188" s="211">
        <v>283</v>
      </c>
      <c r="BG188" s="211">
        <v>1651</v>
      </c>
      <c r="BH188" s="211">
        <v>1637</v>
      </c>
      <c r="BI188" s="211">
        <v>1347</v>
      </c>
      <c r="BJ188" s="211">
        <v>1459</v>
      </c>
      <c r="BK188" s="211">
        <v>780</v>
      </c>
      <c r="BL188" s="211">
        <v>171</v>
      </c>
      <c r="BM188" s="211">
        <v>188</v>
      </c>
      <c r="BO188" s="28">
        <f t="shared" si="9"/>
        <v>680.25</v>
      </c>
      <c r="BP188" s="28">
        <f t="shared" si="10"/>
        <v>8163</v>
      </c>
      <c r="BS188" s="217"/>
      <c r="BT188" s="217"/>
      <c r="BU188" s="134"/>
      <c r="BV188" s="217"/>
      <c r="BW188" s="217"/>
      <c r="BX188" s="217"/>
    </row>
    <row r="189" spans="22:76" x14ac:dyDescent="0.25">
      <c r="V189" s="449" t="str">
        <f>'[1]Strohs Plant in Service'!$C192</f>
        <v>Mains, Tanks and Reservoirs (50)</v>
      </c>
      <c r="W189" s="292" t="str">
        <f>'[1]Strohs Plant in Service'!$D192</f>
        <v>Reservoirs - Strohs</v>
      </c>
      <c r="X189" s="293">
        <f>'[1]Strohs Plant in Service'!$E192</f>
        <v>45231</v>
      </c>
      <c r="Y189" s="297">
        <f>'[1]Strohs Plant in Service'!$F192</f>
        <v>380.93</v>
      </c>
      <c r="Z189" s="248"/>
      <c r="AA189" s="294">
        <f>'[1]Strohs Plant in Service'!$G$11/12</f>
        <v>6</v>
      </c>
      <c r="AB189" s="219">
        <f>('[1]Strohs Plant in Service'!$G192-'[1]Strohs Plant in Service'!$H192)/12</f>
        <v>9.9166666666666661</v>
      </c>
      <c r="AC189" s="219">
        <f>'[1]Strohs Plant in Service'!$I192</f>
        <v>12.697666666666667</v>
      </c>
      <c r="AD189" s="219"/>
      <c r="AE189" s="220">
        <f>'[1]Strohs Plant in Service'!$J192</f>
        <v>127</v>
      </c>
      <c r="AF189" s="221">
        <v>253.93</v>
      </c>
      <c r="AG189" s="204"/>
      <c r="AH189" s="178"/>
      <c r="AI189" s="174"/>
      <c r="AJ189" s="179"/>
      <c r="AK189" s="247"/>
      <c r="AL189" s="248"/>
      <c r="AM189" s="294"/>
      <c r="AN189" s="219"/>
      <c r="AO189" s="219"/>
      <c r="AP189" s="219"/>
      <c r="AQ189" s="220"/>
      <c r="AR189" s="221"/>
      <c r="AY189" s="628"/>
      <c r="AZ189" s="470">
        <v>0.75</v>
      </c>
      <c r="BA189" s="466">
        <v>1888175437</v>
      </c>
      <c r="BB189" s="211">
        <v>2800</v>
      </c>
      <c r="BC189" s="211">
        <v>698</v>
      </c>
      <c r="BD189" s="211">
        <v>4180</v>
      </c>
      <c r="BE189" s="211">
        <v>4777</v>
      </c>
      <c r="BF189" s="211">
        <v>8218</v>
      </c>
      <c r="BG189" s="211">
        <v>13035</v>
      </c>
      <c r="BH189" s="211">
        <v>18783</v>
      </c>
      <c r="BI189" s="211">
        <v>18942</v>
      </c>
      <c r="BJ189" s="211">
        <v>20006</v>
      </c>
      <c r="BK189" s="211">
        <v>6140</v>
      </c>
      <c r="BL189" s="211">
        <v>4729</v>
      </c>
      <c r="BM189" s="211">
        <v>3712</v>
      </c>
      <c r="BO189" s="28">
        <f t="shared" si="9"/>
        <v>8835</v>
      </c>
      <c r="BP189" s="28">
        <f t="shared" si="10"/>
        <v>106020</v>
      </c>
      <c r="BS189" s="217"/>
      <c r="BT189" s="217"/>
      <c r="BU189" s="134"/>
      <c r="BV189" s="217"/>
      <c r="BW189" s="217"/>
      <c r="BX189" s="217"/>
    </row>
    <row r="190" spans="22:76" x14ac:dyDescent="0.25">
      <c r="V190" s="449" t="str">
        <f>'[1]Strohs Plant in Service'!$C193</f>
        <v>Mains, Tanks and Reservoirs (50)</v>
      </c>
      <c r="W190" s="292" t="str">
        <f>'[1]Strohs Plant in Service'!$D193</f>
        <v>Reservoirs - Strohs</v>
      </c>
      <c r="X190" s="293">
        <f>'[1]Strohs Plant in Service'!$E193</f>
        <v>45231</v>
      </c>
      <c r="Y190" s="297">
        <f>'[1]Strohs Plant in Service'!$F193</f>
        <v>1376</v>
      </c>
      <c r="Z190" s="248"/>
      <c r="AA190" s="294">
        <f>'[1]Strohs Plant in Service'!$G$11/12</f>
        <v>6</v>
      </c>
      <c r="AB190" s="219">
        <f>('[1]Strohs Plant in Service'!$G193-'[1]Strohs Plant in Service'!$H193)/12</f>
        <v>4.916666666666667</v>
      </c>
      <c r="AC190" s="219">
        <f>'[1]Strohs Plant in Service'!$I193</f>
        <v>45.866666666666667</v>
      </c>
      <c r="AD190" s="219"/>
      <c r="AE190" s="220">
        <f>'[1]Strohs Plant in Service'!$J193</f>
        <v>229.3</v>
      </c>
      <c r="AF190" s="221">
        <v>1146.7</v>
      </c>
      <c r="AG190" s="204"/>
      <c r="AH190" s="178"/>
      <c r="AI190" s="174"/>
      <c r="AJ190" s="179"/>
      <c r="AK190" s="247"/>
      <c r="AL190" s="248"/>
      <c r="AM190" s="294"/>
      <c r="AN190" s="219"/>
      <c r="AO190" s="219"/>
      <c r="AP190" s="219"/>
      <c r="AQ190" s="220"/>
      <c r="AR190" s="221"/>
      <c r="AY190" s="628"/>
      <c r="AZ190" s="470">
        <v>0.625</v>
      </c>
      <c r="BA190" s="466">
        <v>1905364032</v>
      </c>
      <c r="BB190" s="211">
        <v>610</v>
      </c>
      <c r="BC190" s="211" t="s">
        <v>655</v>
      </c>
      <c r="BD190" s="211" t="s">
        <v>655</v>
      </c>
      <c r="BE190" s="211" t="s">
        <v>655</v>
      </c>
      <c r="BF190" s="211" t="s">
        <v>655</v>
      </c>
      <c r="BG190" s="211" t="s">
        <v>655</v>
      </c>
      <c r="BH190" s="211" t="s">
        <v>655</v>
      </c>
      <c r="BI190" s="211" t="s">
        <v>655</v>
      </c>
      <c r="BJ190" s="211" t="s">
        <v>655</v>
      </c>
      <c r="BK190" s="211" t="s">
        <v>655</v>
      </c>
      <c r="BL190" s="211" t="s">
        <v>655</v>
      </c>
      <c r="BM190" s="211" t="s">
        <v>655</v>
      </c>
      <c r="BO190" s="28">
        <f t="shared" si="9"/>
        <v>610</v>
      </c>
      <c r="BP190" s="28">
        <f t="shared" si="10"/>
        <v>610</v>
      </c>
      <c r="BS190" s="217"/>
      <c r="BT190" s="217"/>
      <c r="BU190" s="134"/>
      <c r="BV190" s="217"/>
      <c r="BW190" s="217"/>
      <c r="BX190" s="217"/>
    </row>
    <row r="191" spans="22:76" x14ac:dyDescent="0.25">
      <c r="V191" s="449" t="str">
        <f>'[1]Strohs Plant in Service'!$C194</f>
        <v>Mains, Tanks and Reservoirs (50)</v>
      </c>
      <c r="W191" s="292" t="str">
        <f>'[1]Strohs Plant in Service'!$D194</f>
        <v>Reservoirs (CIAC) - Strohs</v>
      </c>
      <c r="X191" s="293">
        <f>'[1]Strohs Plant in Service'!$E194</f>
        <v>45231</v>
      </c>
      <c r="Y191" s="297">
        <f>'[1]Strohs Plant in Service'!$F194</f>
        <v>53355.85</v>
      </c>
      <c r="Z191" s="248"/>
      <c r="AA191" s="294">
        <f>'[1]Strohs Plant in Service'!$G$11/12</f>
        <v>6</v>
      </c>
      <c r="AB191" s="219">
        <f>('[1]Strohs Plant in Service'!$G194-'[1]Strohs Plant in Service'!$H194)/12</f>
        <v>1.4166666666666667</v>
      </c>
      <c r="AC191" s="219">
        <f>'[1]Strohs Plant in Service'!$I194</f>
        <v>3833.953293413173</v>
      </c>
      <c r="AD191" s="219"/>
      <c r="AE191" s="220">
        <f>'[1]Strohs Plant in Service'!$J194</f>
        <v>5750.98</v>
      </c>
      <c r="AF191" s="221">
        <v>47604.869999999995</v>
      </c>
      <c r="AG191" s="204"/>
      <c r="AH191" s="178"/>
      <c r="AI191" s="174"/>
      <c r="AJ191" s="179"/>
      <c r="AK191" s="247"/>
      <c r="AL191" s="248"/>
      <c r="AM191" s="294"/>
      <c r="AN191" s="219"/>
      <c r="AO191" s="219"/>
      <c r="AP191" s="219"/>
      <c r="AQ191" s="220"/>
      <c r="AR191" s="221"/>
      <c r="AY191" s="628"/>
      <c r="AZ191" s="470">
        <v>0.75</v>
      </c>
      <c r="BA191" s="466">
        <v>1906325116</v>
      </c>
      <c r="BB191" s="211">
        <v>54</v>
      </c>
      <c r="BC191" s="211">
        <v>42</v>
      </c>
      <c r="BD191" s="211">
        <v>51</v>
      </c>
      <c r="BE191" s="211">
        <v>164</v>
      </c>
      <c r="BF191" s="211" t="s">
        <v>655</v>
      </c>
      <c r="BG191" s="211" t="s">
        <v>655</v>
      </c>
      <c r="BH191" s="211">
        <v>527</v>
      </c>
      <c r="BI191" s="211">
        <v>317</v>
      </c>
      <c r="BJ191" s="211">
        <v>194</v>
      </c>
      <c r="BK191" s="211">
        <v>79</v>
      </c>
      <c r="BL191" s="211">
        <v>20</v>
      </c>
      <c r="BM191" s="211" t="s">
        <v>655</v>
      </c>
      <c r="BO191" s="28">
        <f t="shared" si="9"/>
        <v>160.88888888888889</v>
      </c>
      <c r="BP191" s="28">
        <f t="shared" si="10"/>
        <v>1448</v>
      </c>
      <c r="BS191" s="217"/>
      <c r="BT191" s="217"/>
      <c r="BU191" s="134"/>
      <c r="BV191" s="217"/>
      <c r="BW191" s="217"/>
      <c r="BX191" s="217"/>
    </row>
    <row r="192" spans="22:76" x14ac:dyDescent="0.25">
      <c r="V192" s="449" t="str">
        <f>'[1]Strohs Plant in Service'!$C195</f>
        <v>Mains, Tanks and Reservoirs (50)</v>
      </c>
      <c r="W192" s="292" t="str">
        <f>'[1]Strohs Plant in Service'!$D195</f>
        <v>Reservoirs (CIAC) - Strohs</v>
      </c>
      <c r="X192" s="293">
        <f>'[1]Strohs Plant in Service'!$E195</f>
        <v>45231</v>
      </c>
      <c r="Y192" s="297">
        <f>'[1]Strohs Plant in Service'!$F195</f>
        <v>24760.45</v>
      </c>
      <c r="Z192" s="248"/>
      <c r="AA192" s="294">
        <f>'[1]Strohs Plant in Service'!$G$11/12</f>
        <v>6</v>
      </c>
      <c r="AB192" s="219">
        <f>('[1]Strohs Plant in Service'!$G195-'[1]Strohs Plant in Service'!$H195)/12</f>
        <v>1.4166666666666667</v>
      </c>
      <c r="AC192" s="219">
        <f>'[1]Strohs Plant in Service'!$I195</f>
        <v>1779.1940119760479</v>
      </c>
      <c r="AD192" s="219"/>
      <c r="AE192" s="220">
        <f>'[1]Strohs Plant in Service'!$J195</f>
        <v>2668.84</v>
      </c>
      <c r="AF192" s="221">
        <v>22091.61</v>
      </c>
      <c r="AG192" s="204"/>
      <c r="AH192" s="178"/>
      <c r="AI192" s="174"/>
      <c r="AJ192" s="179"/>
      <c r="AK192" s="247"/>
      <c r="AL192" s="248"/>
      <c r="AM192" s="294"/>
      <c r="AN192" s="219"/>
      <c r="AO192" s="219"/>
      <c r="AP192" s="219"/>
      <c r="AQ192" s="220"/>
      <c r="AR192" s="221"/>
      <c r="AY192" s="628"/>
      <c r="AZ192" s="470">
        <v>0.75</v>
      </c>
      <c r="BA192" s="466">
        <v>1911271268</v>
      </c>
      <c r="BB192" s="211">
        <v>372</v>
      </c>
      <c r="BC192" s="211">
        <v>340</v>
      </c>
      <c r="BD192" s="211">
        <v>310</v>
      </c>
      <c r="BE192" s="211">
        <v>466</v>
      </c>
      <c r="BF192" s="211">
        <v>300</v>
      </c>
      <c r="BG192" s="211">
        <v>345</v>
      </c>
      <c r="BH192" s="211">
        <v>469</v>
      </c>
      <c r="BI192" s="211">
        <v>443</v>
      </c>
      <c r="BJ192" s="211">
        <v>305</v>
      </c>
      <c r="BK192" s="211">
        <v>328</v>
      </c>
      <c r="BL192" s="211">
        <v>317</v>
      </c>
      <c r="BM192" s="211">
        <v>305</v>
      </c>
      <c r="BO192" s="28">
        <f t="shared" si="9"/>
        <v>358.33333333333331</v>
      </c>
      <c r="BP192" s="28">
        <f t="shared" si="10"/>
        <v>4300</v>
      </c>
      <c r="BS192" s="217"/>
      <c r="BT192" s="217"/>
      <c r="BU192" s="134"/>
      <c r="BV192" s="217"/>
      <c r="BW192" s="217"/>
      <c r="BX192" s="217"/>
    </row>
    <row r="193" spans="22:76" x14ac:dyDescent="0.25">
      <c r="V193" s="449" t="str">
        <f>'[1]Strohs Plant in Service'!$C196</f>
        <v>Mains, Tanks and Reservoirs (50)</v>
      </c>
      <c r="W193" s="292" t="str">
        <f>'[1]Strohs Plant in Service'!$D196</f>
        <v>Reservoirs - Strohs</v>
      </c>
      <c r="X193" s="293">
        <f>'[1]Strohs Plant in Service'!$E196</f>
        <v>45231</v>
      </c>
      <c r="Y193" s="297">
        <f>'[1]Strohs Plant in Service'!$F196</f>
        <v>78103.839999999997</v>
      </c>
      <c r="Z193" s="248"/>
      <c r="AA193" s="294">
        <f>'[1]Strohs Plant in Service'!$G$11/12</f>
        <v>6</v>
      </c>
      <c r="AB193" s="219">
        <f>('[1]Strohs Plant in Service'!$G196-'[1]Strohs Plant in Service'!$H196)/12</f>
        <v>1.4166666666666667</v>
      </c>
      <c r="AC193" s="219">
        <f>'[1]Strohs Plant in Service'!$I196</f>
        <v>5612.2519760479036</v>
      </c>
      <c r="AD193" s="219"/>
      <c r="AE193" s="220">
        <f>'[1]Strohs Plant in Service'!$J196</f>
        <v>8418.41</v>
      </c>
      <c r="AF193" s="221">
        <v>69685.429999999993</v>
      </c>
      <c r="AG193" s="204"/>
      <c r="AH193" s="178"/>
      <c r="AI193" s="174"/>
      <c r="AJ193" s="179"/>
      <c r="AK193" s="247"/>
      <c r="AL193" s="248"/>
      <c r="AM193" s="294"/>
      <c r="AN193" s="219"/>
      <c r="AO193" s="219"/>
      <c r="AP193" s="219"/>
      <c r="AQ193" s="220"/>
      <c r="AR193" s="221"/>
      <c r="AY193" s="628"/>
      <c r="AZ193" s="470">
        <v>1</v>
      </c>
      <c r="BA193" s="466">
        <v>1920914455</v>
      </c>
      <c r="BB193" s="211">
        <v>479</v>
      </c>
      <c r="BC193" s="211">
        <v>393</v>
      </c>
      <c r="BD193" s="211">
        <v>386</v>
      </c>
      <c r="BE193" s="211">
        <v>704</v>
      </c>
      <c r="BF193" s="211">
        <v>1755</v>
      </c>
      <c r="BG193" s="211">
        <v>1685</v>
      </c>
      <c r="BH193" s="211">
        <v>3634</v>
      </c>
      <c r="BI193" s="211">
        <v>4258</v>
      </c>
      <c r="BJ193" s="211">
        <v>1598</v>
      </c>
      <c r="BK193" s="211">
        <v>1315</v>
      </c>
      <c r="BL193" s="211">
        <v>606</v>
      </c>
      <c r="BM193" s="211">
        <v>693</v>
      </c>
      <c r="BO193" s="28">
        <f t="shared" si="9"/>
        <v>1458.8333333333333</v>
      </c>
      <c r="BP193" s="28">
        <f t="shared" si="10"/>
        <v>17506</v>
      </c>
      <c r="BS193" s="217"/>
      <c r="BT193" s="217"/>
      <c r="BU193" s="134"/>
      <c r="BV193" s="217"/>
      <c r="BW193" s="217"/>
      <c r="BX193" s="217"/>
    </row>
    <row r="194" spans="22:76" x14ac:dyDescent="0.25">
      <c r="V194" s="449" t="str">
        <f>'[1]Strohs Plant in Service'!$C197</f>
        <v>Mains, Tanks and Reservoirs (50)</v>
      </c>
      <c r="W194" s="292" t="str">
        <f>'[1]Strohs Plant in Service'!$D197</f>
        <v>Reservoirs (CIAC) - Strohs</v>
      </c>
      <c r="X194" s="293">
        <f>'[1]Strohs Plant in Service'!$E197</f>
        <v>45231</v>
      </c>
      <c r="Y194" s="297">
        <f>'[1]Strohs Plant in Service'!$F197</f>
        <v>52826.19</v>
      </c>
      <c r="Z194" s="248"/>
      <c r="AA194" s="294">
        <f>'[1]Strohs Plant in Service'!$G$11/12</f>
        <v>6</v>
      </c>
      <c r="AB194" s="219">
        <f>('[1]Strohs Plant in Service'!$G197-'[1]Strohs Plant in Service'!$H197)/12</f>
        <v>1.4166666666666667</v>
      </c>
      <c r="AC194" s="219">
        <f>'[1]Strohs Plant in Service'!$I197</f>
        <v>3795.8938922155689</v>
      </c>
      <c r="AD194" s="219"/>
      <c r="AE194" s="220">
        <f>'[1]Strohs Plant in Service'!$J197</f>
        <v>5693.79</v>
      </c>
      <c r="AF194" s="221">
        <v>47132.4</v>
      </c>
      <c r="AG194" s="204"/>
      <c r="AH194" s="178"/>
      <c r="AI194" s="174"/>
      <c r="AJ194" s="179"/>
      <c r="AK194" s="247"/>
      <c r="AL194" s="248"/>
      <c r="AM194" s="294"/>
      <c r="AN194" s="219"/>
      <c r="AO194" s="219"/>
      <c r="AP194" s="219"/>
      <c r="AQ194" s="220"/>
      <c r="AR194" s="221"/>
      <c r="AY194" s="628"/>
      <c r="AZ194" s="470">
        <v>0.75</v>
      </c>
      <c r="BA194" s="466">
        <v>1953600342</v>
      </c>
      <c r="BB194" s="211">
        <v>285</v>
      </c>
      <c r="BC194" s="211">
        <v>362</v>
      </c>
      <c r="BD194" s="211">
        <v>434</v>
      </c>
      <c r="BE194" s="211">
        <v>1250</v>
      </c>
      <c r="BF194" s="211">
        <v>338</v>
      </c>
      <c r="BG194" s="211">
        <v>151</v>
      </c>
      <c r="BH194" s="211">
        <v>2443</v>
      </c>
      <c r="BI194" s="211">
        <v>2619</v>
      </c>
      <c r="BJ194" s="211">
        <v>800</v>
      </c>
      <c r="BK194" s="211">
        <v>1359</v>
      </c>
      <c r="BL194" s="211">
        <v>240</v>
      </c>
      <c r="BM194" s="211">
        <v>250</v>
      </c>
      <c r="BO194" s="28">
        <f t="shared" si="9"/>
        <v>877.58333333333337</v>
      </c>
      <c r="BP194" s="28">
        <f t="shared" si="10"/>
        <v>10531</v>
      </c>
      <c r="BS194" s="217"/>
      <c r="BT194" s="217"/>
      <c r="BU194" s="134"/>
      <c r="BV194" s="217"/>
      <c r="BW194" s="217"/>
      <c r="BX194" s="217"/>
    </row>
    <row r="195" spans="22:76" x14ac:dyDescent="0.25">
      <c r="V195" s="449" t="str">
        <f>'[1]Strohs Plant in Service'!$C198</f>
        <v>Mains, Tanks and Reservoirs (50)</v>
      </c>
      <c r="W195" s="292" t="str">
        <f>'[1]Strohs Plant in Service'!$D198</f>
        <v>Reservoirs - Strohs</v>
      </c>
      <c r="X195" s="293">
        <f>'[1]Strohs Plant in Service'!$E198</f>
        <v>45231</v>
      </c>
      <c r="Y195" s="297">
        <f>'[1]Strohs Plant in Service'!$F198</f>
        <v>515.12</v>
      </c>
      <c r="Z195" s="248"/>
      <c r="AA195" s="294">
        <f>'[1]Strohs Plant in Service'!$G$11/12</f>
        <v>6</v>
      </c>
      <c r="AB195" s="219">
        <f>('[1]Strohs Plant in Service'!$G198-'[1]Strohs Plant in Service'!$H198)/12</f>
        <v>1.4166666666666667</v>
      </c>
      <c r="AC195" s="219">
        <f>'[1]Strohs Plant in Service'!$I198</f>
        <v>37.014610778443114</v>
      </c>
      <c r="AD195" s="219"/>
      <c r="AE195" s="220">
        <f>'[1]Strohs Plant in Service'!$J198</f>
        <v>55.46</v>
      </c>
      <c r="AF195" s="221">
        <v>459.66</v>
      </c>
      <c r="AG195" s="204"/>
      <c r="AH195" s="178"/>
      <c r="AI195" s="174"/>
      <c r="AJ195" s="179"/>
      <c r="AK195" s="247"/>
      <c r="AL195" s="248"/>
      <c r="AM195" s="294"/>
      <c r="AN195" s="219"/>
      <c r="AO195" s="219"/>
      <c r="AP195" s="219"/>
      <c r="AQ195" s="220"/>
      <c r="AR195" s="221"/>
      <c r="AY195" s="628"/>
      <c r="AZ195" s="470">
        <v>0.75</v>
      </c>
      <c r="BA195" s="466">
        <v>1966389977</v>
      </c>
      <c r="BB195" s="211">
        <v>485</v>
      </c>
      <c r="BC195" s="211">
        <v>406</v>
      </c>
      <c r="BD195" s="211">
        <v>432</v>
      </c>
      <c r="BE195" s="211">
        <v>359</v>
      </c>
      <c r="BF195" s="211">
        <v>482</v>
      </c>
      <c r="BG195" s="211">
        <v>1315</v>
      </c>
      <c r="BH195" s="211">
        <v>3712</v>
      </c>
      <c r="BI195" s="211">
        <v>2497</v>
      </c>
      <c r="BJ195" s="211">
        <v>4314</v>
      </c>
      <c r="BK195" s="211">
        <v>317</v>
      </c>
      <c r="BL195" s="211">
        <v>392</v>
      </c>
      <c r="BM195" s="211">
        <v>570</v>
      </c>
      <c r="BO195" s="28">
        <f t="shared" si="9"/>
        <v>1273.4166666666667</v>
      </c>
      <c r="BP195" s="28">
        <f t="shared" si="10"/>
        <v>15281</v>
      </c>
      <c r="BS195" s="217"/>
      <c r="BT195" s="217"/>
      <c r="BU195" s="134"/>
      <c r="BV195" s="217"/>
      <c r="BW195" s="217"/>
      <c r="BX195" s="217"/>
    </row>
    <row r="196" spans="22:76" x14ac:dyDescent="0.25">
      <c r="V196" s="449" t="str">
        <f>'[1]Strohs Plant in Service'!$C199</f>
        <v>Mains, Tanks and Reservoirs (50)</v>
      </c>
      <c r="W196" s="292" t="str">
        <f>'[1]Strohs Plant in Service'!$D199</f>
        <v>Reservoirs (CIAC) - Strohs</v>
      </c>
      <c r="X196" s="293">
        <f>'[1]Strohs Plant in Service'!$E199</f>
        <v>45231</v>
      </c>
      <c r="Y196" s="297">
        <f>'[1]Strohs Plant in Service'!$F199</f>
        <v>14373.88</v>
      </c>
      <c r="Z196" s="248"/>
      <c r="AA196" s="294">
        <f>'[1]Strohs Plant in Service'!$G$11/12</f>
        <v>6</v>
      </c>
      <c r="AB196" s="219">
        <f>('[1]Strohs Plant in Service'!$G199-'[1]Strohs Plant in Service'!$H199)/12</f>
        <v>1.4166666666666667</v>
      </c>
      <c r="AC196" s="219">
        <f>'[1]Strohs Plant in Service'!$I199</f>
        <v>1032.8536526946107</v>
      </c>
      <c r="AD196" s="219"/>
      <c r="AE196" s="220">
        <f>'[1]Strohs Plant in Service'!$J199</f>
        <v>1549.27</v>
      </c>
      <c r="AF196" s="221">
        <v>12824.609999999999</v>
      </c>
      <c r="AG196" s="204"/>
      <c r="AH196" s="178"/>
      <c r="AI196" s="174"/>
      <c r="AJ196" s="179"/>
      <c r="AK196" s="247"/>
      <c r="AL196" s="248"/>
      <c r="AM196" s="294"/>
      <c r="AN196" s="219"/>
      <c r="AO196" s="219"/>
      <c r="AP196" s="219"/>
      <c r="AQ196" s="220"/>
      <c r="AR196" s="221"/>
      <c r="AY196" s="628"/>
      <c r="AZ196" s="470">
        <v>0.75</v>
      </c>
      <c r="BA196" s="466">
        <v>2004480998</v>
      </c>
      <c r="BB196" s="211">
        <v>1336</v>
      </c>
      <c r="BC196" s="211">
        <v>1183</v>
      </c>
      <c r="BD196" s="211">
        <v>1327</v>
      </c>
      <c r="BE196" s="211">
        <v>1589</v>
      </c>
      <c r="BF196" s="211">
        <v>1345</v>
      </c>
      <c r="BG196" s="211">
        <v>1602</v>
      </c>
      <c r="BH196" s="211">
        <v>1647</v>
      </c>
      <c r="BI196" s="211">
        <v>1687</v>
      </c>
      <c r="BJ196" s="211">
        <v>1408</v>
      </c>
      <c r="BK196" s="211">
        <v>593</v>
      </c>
      <c r="BL196" s="211">
        <v>3967</v>
      </c>
      <c r="BM196" s="211">
        <v>1970</v>
      </c>
      <c r="BO196" s="28">
        <f t="shared" si="9"/>
        <v>1637.8333333333333</v>
      </c>
      <c r="BP196" s="28">
        <f t="shared" si="10"/>
        <v>19654</v>
      </c>
      <c r="BS196" s="217"/>
      <c r="BT196" s="217"/>
      <c r="BU196" s="134"/>
      <c r="BV196" s="217"/>
      <c r="BW196" s="217"/>
      <c r="BX196" s="217"/>
    </row>
    <row r="197" spans="22:76" x14ac:dyDescent="0.25">
      <c r="V197" s="449" t="str">
        <f>'[1]Strohs Plant in Service'!$C200</f>
        <v>Mains, Tanks and Reservoirs (50)</v>
      </c>
      <c r="W197" s="292" t="str">
        <f>'[1]Strohs Plant in Service'!$D200</f>
        <v>Reservoirs - Strohs</v>
      </c>
      <c r="X197" s="293">
        <f>'[1]Strohs Plant in Service'!$E200</f>
        <v>45231</v>
      </c>
      <c r="Y197" s="297">
        <f>'[1]Strohs Plant in Service'!$F200</f>
        <v>3449.73</v>
      </c>
      <c r="Z197" s="248"/>
      <c r="AA197" s="294">
        <f>'[1]Strohs Plant in Service'!$G$11/12</f>
        <v>6</v>
      </c>
      <c r="AB197" s="219">
        <f>('[1]Strohs Plant in Service'!$G200-'[1]Strohs Plant in Service'!$H200)/12</f>
        <v>1.4166666666666667</v>
      </c>
      <c r="AC197" s="219">
        <f>'[1]Strohs Plant in Service'!$I200</f>
        <v>247.88479041916167</v>
      </c>
      <c r="AD197" s="219"/>
      <c r="AE197" s="220">
        <f>'[1]Strohs Plant in Service'!$J200</f>
        <v>371.87</v>
      </c>
      <c r="AF197" s="221">
        <v>3077.86</v>
      </c>
      <c r="AG197" s="204"/>
      <c r="AH197" s="178"/>
      <c r="AI197" s="174"/>
      <c r="AJ197" s="179"/>
      <c r="AK197" s="247"/>
      <c r="AL197" s="248"/>
      <c r="AM197" s="294"/>
      <c r="AN197" s="219"/>
      <c r="AO197" s="219"/>
      <c r="AP197" s="219"/>
      <c r="AQ197" s="220"/>
      <c r="AR197" s="221"/>
      <c r="AY197" s="628"/>
      <c r="AZ197" s="470">
        <v>0.75</v>
      </c>
      <c r="BA197" s="466">
        <v>2017913718</v>
      </c>
      <c r="BB197" s="211">
        <v>469</v>
      </c>
      <c r="BC197" s="211">
        <v>485</v>
      </c>
      <c r="BD197" s="211">
        <v>458</v>
      </c>
      <c r="BE197" s="211">
        <v>557</v>
      </c>
      <c r="BF197" s="211">
        <v>552</v>
      </c>
      <c r="BG197" s="211">
        <v>1648</v>
      </c>
      <c r="BH197" s="211">
        <v>2885</v>
      </c>
      <c r="BI197" s="211">
        <v>2799</v>
      </c>
      <c r="BJ197" s="211">
        <v>4178</v>
      </c>
      <c r="BK197" s="211">
        <v>3414</v>
      </c>
      <c r="BL197" s="211">
        <v>424</v>
      </c>
      <c r="BM197" s="211">
        <v>381</v>
      </c>
      <c r="BO197" s="28">
        <f t="shared" si="9"/>
        <v>1520.8333333333333</v>
      </c>
      <c r="BP197" s="28">
        <f t="shared" si="10"/>
        <v>18250</v>
      </c>
      <c r="BS197" s="217"/>
      <c r="BT197" s="217"/>
      <c r="BU197" s="134"/>
      <c r="BV197" s="217"/>
      <c r="BW197" s="217"/>
      <c r="BX197" s="217"/>
    </row>
    <row r="198" spans="22:76" x14ac:dyDescent="0.25">
      <c r="V198" s="449" t="str">
        <f>'[1]Strohs Plant in Service'!$C201</f>
        <v>Mains, Tanks and Reservoirs (50)</v>
      </c>
      <c r="W198" s="292" t="str">
        <f>'[1]Strohs Plant in Service'!$D201</f>
        <v>Reservoirs - Strohs</v>
      </c>
      <c r="X198" s="293">
        <f>'[1]Strohs Plant in Service'!$E201</f>
        <v>45231</v>
      </c>
      <c r="Y198" s="297">
        <f>'[1]Strohs Plant in Service'!$F201</f>
        <v>29706.02</v>
      </c>
      <c r="Z198" s="248"/>
      <c r="AA198" s="294">
        <f>'[1]Strohs Plant in Service'!$G$11/12</f>
        <v>6</v>
      </c>
      <c r="AB198" s="219">
        <f>('[1]Strohs Plant in Service'!$G201-'[1]Strohs Plant in Service'!$H201)/12</f>
        <v>1.4166666666666667</v>
      </c>
      <c r="AC198" s="219">
        <f>'[1]Strohs Plant in Service'!$I201</f>
        <v>2134.5643113772458</v>
      </c>
      <c r="AD198" s="219"/>
      <c r="AE198" s="220">
        <f>'[1]Strohs Plant in Service'!$J201</f>
        <v>3201.84</v>
      </c>
      <c r="AF198" s="221">
        <v>26504.18</v>
      </c>
      <c r="AG198" s="204"/>
      <c r="AH198" s="178"/>
      <c r="AI198" s="174"/>
      <c r="AJ198" s="179"/>
      <c r="AK198" s="247"/>
      <c r="AL198" s="248"/>
      <c r="AM198" s="294"/>
      <c r="AN198" s="219"/>
      <c r="AO198" s="219"/>
      <c r="AP198" s="219"/>
      <c r="AQ198" s="220"/>
      <c r="AR198" s="221"/>
      <c r="AY198" s="628"/>
      <c r="AZ198" s="470">
        <v>0.75</v>
      </c>
      <c r="BA198" s="466">
        <v>2029440402</v>
      </c>
      <c r="BB198" s="211">
        <v>608</v>
      </c>
      <c r="BC198" s="211">
        <v>435</v>
      </c>
      <c r="BD198" s="211">
        <v>339</v>
      </c>
      <c r="BE198" s="211">
        <v>492</v>
      </c>
      <c r="BF198" s="211">
        <v>257</v>
      </c>
      <c r="BG198" s="211">
        <v>394</v>
      </c>
      <c r="BH198" s="211">
        <v>877</v>
      </c>
      <c r="BI198" s="211">
        <v>1166</v>
      </c>
      <c r="BJ198" s="211">
        <v>942</v>
      </c>
      <c r="BK198" s="211">
        <v>310</v>
      </c>
      <c r="BL198" s="211">
        <v>225</v>
      </c>
      <c r="BM198" s="211">
        <v>835</v>
      </c>
      <c r="BO198" s="28">
        <f t="shared" si="9"/>
        <v>573.33333333333337</v>
      </c>
      <c r="BP198" s="28">
        <f t="shared" si="10"/>
        <v>6880</v>
      </c>
      <c r="BS198" s="217"/>
      <c r="BT198" s="217"/>
      <c r="BU198" s="134"/>
      <c r="BV198" s="217"/>
      <c r="BW198" s="217"/>
      <c r="BX198" s="217"/>
    </row>
    <row r="199" spans="22:76" x14ac:dyDescent="0.25">
      <c r="V199" s="449" t="str">
        <f>'[1]Strohs Plant in Service'!$C202</f>
        <v>Mains, Tanks and Reservoirs (50)</v>
      </c>
      <c r="W199" s="292" t="str">
        <f>'[1]Strohs Plant in Service'!$D202</f>
        <v>Reservoirs - Strohs</v>
      </c>
      <c r="X199" s="293">
        <f>'[1]Strohs Plant in Service'!$E202</f>
        <v>45231</v>
      </c>
      <c r="Y199" s="297">
        <f>'[1]Strohs Plant in Service'!$F202</f>
        <v>2910.02</v>
      </c>
      <c r="Z199" s="248"/>
      <c r="AA199" s="294">
        <f>'[1]Strohs Plant in Service'!$G$11/12</f>
        <v>6</v>
      </c>
      <c r="AB199" s="219">
        <f>('[1]Strohs Plant in Service'!$G202-'[1]Strohs Plant in Service'!$H202)/12</f>
        <v>1.4166666666666667</v>
      </c>
      <c r="AC199" s="219">
        <f>'[1]Strohs Plant in Service'!$I202</f>
        <v>209.1032335329341</v>
      </c>
      <c r="AD199" s="219"/>
      <c r="AE199" s="220">
        <f>'[1]Strohs Plant in Service'!$J202</f>
        <v>313.7</v>
      </c>
      <c r="AF199" s="221">
        <v>2596.3200000000002</v>
      </c>
      <c r="AG199" s="204"/>
      <c r="AH199" s="178"/>
      <c r="AI199" s="174"/>
      <c r="AJ199" s="179"/>
      <c r="AK199" s="247"/>
      <c r="AL199" s="248"/>
      <c r="AM199" s="294"/>
      <c r="AN199" s="219"/>
      <c r="AO199" s="219"/>
      <c r="AP199" s="219"/>
      <c r="AQ199" s="220"/>
      <c r="AR199" s="221"/>
      <c r="AY199" s="628"/>
      <c r="AZ199" s="470">
        <v>1</v>
      </c>
      <c r="BA199" s="466">
        <v>2052575095</v>
      </c>
      <c r="BB199" s="211" t="s">
        <v>655</v>
      </c>
      <c r="BC199" s="211" t="s">
        <v>655</v>
      </c>
      <c r="BD199" s="211" t="s">
        <v>655</v>
      </c>
      <c r="BE199" s="211">
        <v>613</v>
      </c>
      <c r="BF199" s="211">
        <v>11454</v>
      </c>
      <c r="BG199" s="211">
        <v>20929</v>
      </c>
      <c r="BH199" s="211">
        <v>10699</v>
      </c>
      <c r="BI199" s="211">
        <v>10940</v>
      </c>
      <c r="BJ199" s="211">
        <v>12774</v>
      </c>
      <c r="BK199" s="211">
        <v>11104</v>
      </c>
      <c r="BL199" s="211">
        <v>907</v>
      </c>
      <c r="BM199" s="211">
        <v>155</v>
      </c>
      <c r="BO199" s="28">
        <f t="shared" si="9"/>
        <v>8841.6666666666661</v>
      </c>
      <c r="BP199" s="28">
        <f t="shared" si="10"/>
        <v>79575</v>
      </c>
      <c r="BS199" s="217"/>
      <c r="BT199" s="217"/>
      <c r="BU199" s="134"/>
      <c r="BV199" s="217"/>
      <c r="BW199" s="217"/>
      <c r="BX199" s="217"/>
    </row>
    <row r="200" spans="22:76" x14ac:dyDescent="0.25">
      <c r="V200" s="449" t="str">
        <f>'[1]Strohs Plant in Service'!$C203</f>
        <v>Mains, Tanks and Reservoirs (50)</v>
      </c>
      <c r="W200" s="292" t="str">
        <f>'[1]Strohs Plant in Service'!$D203</f>
        <v>Reservoirs (CIAC) - Strohs</v>
      </c>
      <c r="X200" s="293">
        <f>'[1]Strohs Plant in Service'!$E203</f>
        <v>45231</v>
      </c>
      <c r="Y200" s="297">
        <f>'[1]Strohs Plant in Service'!$F203</f>
        <v>3451.84</v>
      </c>
      <c r="Z200" s="248"/>
      <c r="AA200" s="294">
        <f>'[1]Strohs Plant in Service'!$G$11/12</f>
        <v>6</v>
      </c>
      <c r="AB200" s="219">
        <f>('[1]Strohs Plant in Service'!$G203-'[1]Strohs Plant in Service'!$H203)/12</f>
        <v>1.4166666666666667</v>
      </c>
      <c r="AC200" s="219">
        <f>'[1]Strohs Plant in Service'!$I203</f>
        <v>248.03640718562878</v>
      </c>
      <c r="AD200" s="219"/>
      <c r="AE200" s="220">
        <f>'[1]Strohs Plant in Service'!$J203</f>
        <v>372.06</v>
      </c>
      <c r="AF200" s="221">
        <v>3079.78</v>
      </c>
      <c r="AG200" s="204"/>
      <c r="AH200" s="178"/>
      <c r="AI200" s="174"/>
      <c r="AJ200" s="179"/>
      <c r="AK200" s="247"/>
      <c r="AL200" s="248"/>
      <c r="AM200" s="294"/>
      <c r="AN200" s="219"/>
      <c r="AO200" s="219"/>
      <c r="AP200" s="219"/>
      <c r="AQ200" s="220"/>
      <c r="AR200" s="221"/>
      <c r="AY200" s="628"/>
      <c r="AZ200" s="470">
        <v>0.75</v>
      </c>
      <c r="BA200" s="466">
        <v>2060433768</v>
      </c>
      <c r="BB200" s="211">
        <v>444</v>
      </c>
      <c r="BC200" s="211">
        <v>420</v>
      </c>
      <c r="BD200" s="211">
        <v>394</v>
      </c>
      <c r="BE200" s="211">
        <v>599</v>
      </c>
      <c r="BF200" s="211">
        <v>416</v>
      </c>
      <c r="BG200" s="211">
        <v>574</v>
      </c>
      <c r="BH200" s="211">
        <v>2894</v>
      </c>
      <c r="BI200" s="211">
        <v>3113</v>
      </c>
      <c r="BJ200" s="211">
        <v>1113</v>
      </c>
      <c r="BK200" s="211">
        <v>791</v>
      </c>
      <c r="BL200" s="211">
        <v>400</v>
      </c>
      <c r="BM200" s="211">
        <v>500</v>
      </c>
      <c r="BO200" s="28">
        <f t="shared" si="9"/>
        <v>971.5</v>
      </c>
      <c r="BP200" s="28">
        <f t="shared" si="10"/>
        <v>11658</v>
      </c>
      <c r="BS200" s="217"/>
      <c r="BT200" s="217"/>
      <c r="BU200" s="134"/>
      <c r="BV200" s="217"/>
      <c r="BW200" s="217"/>
      <c r="BX200" s="217"/>
    </row>
    <row r="201" spans="22:76" x14ac:dyDescent="0.25">
      <c r="V201" s="449" t="str">
        <f>'[1]Strohs Plant in Service'!$C204</f>
        <v>Mains, Tanks and Reservoirs (50)</v>
      </c>
      <c r="W201" s="292" t="str">
        <f>'[1]Strohs Plant in Service'!$D204</f>
        <v>Reservoirs - Strohs</v>
      </c>
      <c r="X201" s="293">
        <f>'[1]Strohs Plant in Service'!$E204</f>
        <v>45231</v>
      </c>
      <c r="Y201" s="297">
        <f>'[1]Strohs Plant in Service'!$F204</f>
        <v>3934.23</v>
      </c>
      <c r="Z201" s="248"/>
      <c r="AA201" s="294">
        <f>'[1]Strohs Plant in Service'!$G$11/12</f>
        <v>6</v>
      </c>
      <c r="AB201" s="219">
        <f>('[1]Strohs Plant in Service'!$G204-'[1]Strohs Plant in Service'!$H204)/12</f>
        <v>1.4166666666666667</v>
      </c>
      <c r="AC201" s="219">
        <f>'[1]Strohs Plant in Service'!$I204</f>
        <v>282.69916167664667</v>
      </c>
      <c r="AD201" s="219"/>
      <c r="AE201" s="220">
        <f>'[1]Strohs Plant in Service'!$J204</f>
        <v>424.07</v>
      </c>
      <c r="AF201" s="221">
        <v>3510.16</v>
      </c>
      <c r="AG201" s="204"/>
      <c r="AH201" s="178"/>
      <c r="AI201" s="174"/>
      <c r="AJ201" s="179"/>
      <c r="AK201" s="247"/>
      <c r="AL201" s="248"/>
      <c r="AM201" s="294"/>
      <c r="AN201" s="219"/>
      <c r="AO201" s="219"/>
      <c r="AP201" s="219"/>
      <c r="AQ201" s="220"/>
      <c r="AR201" s="221"/>
      <c r="AY201" s="628"/>
      <c r="AZ201" s="470">
        <v>2</v>
      </c>
      <c r="BA201" s="466">
        <v>2069365623</v>
      </c>
      <c r="BB201" s="211">
        <v>1940</v>
      </c>
      <c r="BC201" s="211">
        <v>1650</v>
      </c>
      <c r="BD201" s="211">
        <v>1640</v>
      </c>
      <c r="BE201" s="211">
        <v>2500</v>
      </c>
      <c r="BF201" s="211">
        <v>3340</v>
      </c>
      <c r="BG201" s="211">
        <v>3370</v>
      </c>
      <c r="BH201" s="211">
        <v>3590</v>
      </c>
      <c r="BI201" s="211">
        <v>2860</v>
      </c>
      <c r="BJ201" s="211">
        <v>2480</v>
      </c>
      <c r="BK201" s="211">
        <v>1990</v>
      </c>
      <c r="BL201" s="211">
        <v>1550</v>
      </c>
      <c r="BM201" s="211">
        <v>2450</v>
      </c>
      <c r="BO201" s="28">
        <f t="shared" ref="BO201:BO264" si="11">AVERAGE(BB201:BM201)</f>
        <v>2446.6666666666665</v>
      </c>
      <c r="BP201" s="28">
        <f t="shared" ref="BP201:BP264" si="12">SUM(BB201:BM201)</f>
        <v>29360</v>
      </c>
      <c r="BS201" s="217"/>
      <c r="BT201" s="217"/>
      <c r="BU201" s="134"/>
      <c r="BV201" s="217"/>
      <c r="BW201" s="217"/>
      <c r="BX201" s="217"/>
    </row>
    <row r="202" spans="22:76" x14ac:dyDescent="0.25">
      <c r="V202" s="449" t="str">
        <f>'[1]Strohs Plant in Service'!$C205</f>
        <v>Mains, Tanks and Reservoirs (50)</v>
      </c>
      <c r="W202" s="292" t="str">
        <f>'[1]Strohs Plant in Service'!$D205</f>
        <v>Reservoirs - Strohs</v>
      </c>
      <c r="X202" s="293">
        <f>'[1]Strohs Plant in Service'!$E205</f>
        <v>45231</v>
      </c>
      <c r="Y202" s="297">
        <f>'[1]Strohs Plant in Service'!$F205</f>
        <v>3138.3</v>
      </c>
      <c r="Z202" s="248"/>
      <c r="AA202" s="294">
        <f>'[1]Strohs Plant in Service'!$G$11/12</f>
        <v>6</v>
      </c>
      <c r="AB202" s="219">
        <f>('[1]Strohs Plant in Service'!$G205-'[1]Strohs Plant in Service'!$H205)/12</f>
        <v>1.4166666666666667</v>
      </c>
      <c r="AC202" s="219">
        <f>'[1]Strohs Plant in Service'!$I205</f>
        <v>225.5065868263473</v>
      </c>
      <c r="AD202" s="219"/>
      <c r="AE202" s="220">
        <f>'[1]Strohs Plant in Service'!$J205</f>
        <v>338.23</v>
      </c>
      <c r="AF202" s="221">
        <v>2800.07</v>
      </c>
      <c r="AG202" s="204"/>
      <c r="AH202" s="178"/>
      <c r="AI202" s="174"/>
      <c r="AJ202" s="179"/>
      <c r="AK202" s="247"/>
      <c r="AL202" s="248"/>
      <c r="AM202" s="294"/>
      <c r="AN202" s="219"/>
      <c r="AO202" s="219"/>
      <c r="AP202" s="219"/>
      <c r="AQ202" s="220"/>
      <c r="AR202" s="221"/>
      <c r="AY202" s="628"/>
      <c r="AZ202" s="470">
        <v>0.625</v>
      </c>
      <c r="BA202" s="466">
        <v>2082941118</v>
      </c>
      <c r="BB202" s="211" t="s">
        <v>655</v>
      </c>
      <c r="BC202" s="211" t="s">
        <v>655</v>
      </c>
      <c r="BD202" s="211">
        <v>5</v>
      </c>
      <c r="BE202" s="211">
        <v>2815</v>
      </c>
      <c r="BF202" s="211">
        <v>3613</v>
      </c>
      <c r="BG202" s="211">
        <v>5162</v>
      </c>
      <c r="BH202" s="211">
        <v>7957</v>
      </c>
      <c r="BI202" s="211">
        <v>7961</v>
      </c>
      <c r="BJ202" s="211">
        <v>6821</v>
      </c>
      <c r="BK202" s="211">
        <v>4958</v>
      </c>
      <c r="BL202" s="211">
        <v>1672</v>
      </c>
      <c r="BM202" s="211">
        <v>102</v>
      </c>
      <c r="BO202" s="28">
        <f t="shared" si="11"/>
        <v>4106.6000000000004</v>
      </c>
      <c r="BP202" s="28">
        <f t="shared" si="12"/>
        <v>41066</v>
      </c>
      <c r="BS202" s="217"/>
      <c r="BT202" s="217"/>
      <c r="BU202" s="134"/>
      <c r="BV202" s="217"/>
      <c r="BW202" s="217"/>
      <c r="BX202" s="217"/>
    </row>
    <row r="203" spans="22:76" x14ac:dyDescent="0.25">
      <c r="V203" s="449" t="str">
        <f>'[1]Strohs Plant in Service'!$C206</f>
        <v>Mains, Tanks and Reservoirs (50)</v>
      </c>
      <c r="W203" s="292" t="str">
        <f>'[1]Strohs Plant in Service'!$D206</f>
        <v>Reservoirs - Strohs</v>
      </c>
      <c r="X203" s="293">
        <f>'[1]Strohs Plant in Service'!$E206</f>
        <v>45231</v>
      </c>
      <c r="Y203" s="297">
        <f>'[1]Strohs Plant in Service'!$F206</f>
        <v>1023.32</v>
      </c>
      <c r="Z203" s="248"/>
      <c r="AA203" s="294">
        <f>'[1]Strohs Plant in Service'!$G$11/12</f>
        <v>6</v>
      </c>
      <c r="AB203" s="219">
        <f>('[1]Strohs Plant in Service'!$G206-'[1]Strohs Plant in Service'!$H206)/12</f>
        <v>1.4166666666666667</v>
      </c>
      <c r="AC203" s="219">
        <f>'[1]Strohs Plant in Service'!$I206</f>
        <v>73.531976047904195</v>
      </c>
      <c r="AD203" s="219"/>
      <c r="AE203" s="220">
        <f>'[1]Strohs Plant in Service'!$J206</f>
        <v>110.33</v>
      </c>
      <c r="AF203" s="221">
        <v>912.99</v>
      </c>
      <c r="AG203" s="204"/>
      <c r="AH203" s="178"/>
      <c r="AI203" s="174"/>
      <c r="AJ203" s="179"/>
      <c r="AK203" s="247"/>
      <c r="AL203" s="248"/>
      <c r="AM203" s="294"/>
      <c r="AN203" s="219"/>
      <c r="AO203" s="219"/>
      <c r="AP203" s="219"/>
      <c r="AQ203" s="220"/>
      <c r="AR203" s="221"/>
      <c r="AY203" s="628"/>
      <c r="AZ203" s="470">
        <v>0.75</v>
      </c>
      <c r="BA203" s="466">
        <v>2091816652</v>
      </c>
      <c r="BB203" s="211">
        <v>227</v>
      </c>
      <c r="BC203" s="211">
        <v>241</v>
      </c>
      <c r="BD203" s="211">
        <v>292</v>
      </c>
      <c r="BE203" s="211">
        <v>319</v>
      </c>
      <c r="BF203" s="211">
        <v>593</v>
      </c>
      <c r="BG203" s="211">
        <v>1796</v>
      </c>
      <c r="BH203" s="211">
        <v>2063</v>
      </c>
      <c r="BI203" s="211">
        <v>1765</v>
      </c>
      <c r="BJ203" s="211">
        <v>2266</v>
      </c>
      <c r="BK203" s="211">
        <v>1284</v>
      </c>
      <c r="BL203" s="211">
        <v>301</v>
      </c>
      <c r="BM203" s="211">
        <v>358</v>
      </c>
      <c r="BO203" s="28">
        <f t="shared" si="11"/>
        <v>958.75</v>
      </c>
      <c r="BP203" s="28">
        <f t="shared" si="12"/>
        <v>11505</v>
      </c>
      <c r="BS203" s="217"/>
      <c r="BT203" s="217"/>
      <c r="BU203" s="134"/>
      <c r="BV203" s="217"/>
      <c r="BW203" s="217"/>
      <c r="BX203" s="217"/>
    </row>
    <row r="204" spans="22:76" x14ac:dyDescent="0.25">
      <c r="V204" s="449" t="str">
        <f>'[1]Strohs Plant in Service'!$C207</f>
        <v>Mains, Tanks and Reservoirs (50)</v>
      </c>
      <c r="W204" s="292" t="str">
        <f>'[1]Strohs Plant in Service'!$D207</f>
        <v>Reservoirs - Strohs</v>
      </c>
      <c r="X204" s="293">
        <f>'[1]Strohs Plant in Service'!$E207</f>
        <v>45231</v>
      </c>
      <c r="Y204" s="297">
        <f>'[1]Strohs Plant in Service'!$F207</f>
        <v>365.03</v>
      </c>
      <c r="Z204" s="248"/>
      <c r="AA204" s="294">
        <f>'[1]Strohs Plant in Service'!$G$11/12</f>
        <v>6</v>
      </c>
      <c r="AB204" s="219">
        <f>('[1]Strohs Plant in Service'!$G207-'[1]Strohs Plant in Service'!$H207)/12</f>
        <v>1.4166666666666667</v>
      </c>
      <c r="AC204" s="219">
        <f>'[1]Strohs Plant in Service'!$I207</f>
        <v>26.229700598802392</v>
      </c>
      <c r="AD204" s="219"/>
      <c r="AE204" s="220">
        <f>'[1]Strohs Plant in Service'!$J207</f>
        <v>39.4</v>
      </c>
      <c r="AF204" s="221">
        <v>325.63</v>
      </c>
      <c r="AG204" s="204"/>
      <c r="AH204" s="178"/>
      <c r="AI204" s="174"/>
      <c r="AJ204" s="179"/>
      <c r="AK204" s="247"/>
      <c r="AL204" s="248"/>
      <c r="AM204" s="294"/>
      <c r="AN204" s="219"/>
      <c r="AO204" s="219"/>
      <c r="AP204" s="219"/>
      <c r="AQ204" s="220"/>
      <c r="AR204" s="221"/>
      <c r="AY204" s="628"/>
      <c r="AZ204" s="470">
        <v>1</v>
      </c>
      <c r="BA204" s="466">
        <v>2101161831</v>
      </c>
      <c r="BB204" s="211">
        <v>343</v>
      </c>
      <c r="BC204" s="211">
        <v>413</v>
      </c>
      <c r="BD204" s="211">
        <v>444</v>
      </c>
      <c r="BE204" s="211">
        <v>718</v>
      </c>
      <c r="BF204" s="211">
        <v>1512</v>
      </c>
      <c r="BG204" s="211">
        <v>4754</v>
      </c>
      <c r="BH204" s="211">
        <v>5828</v>
      </c>
      <c r="BI204" s="211">
        <v>6141</v>
      </c>
      <c r="BJ204" s="211">
        <v>5136</v>
      </c>
      <c r="BK204" s="211">
        <v>1840</v>
      </c>
      <c r="BL204" s="211">
        <v>361</v>
      </c>
      <c r="BM204" s="211">
        <v>289</v>
      </c>
      <c r="BO204" s="28">
        <f t="shared" si="11"/>
        <v>2314.9166666666665</v>
      </c>
      <c r="BP204" s="28">
        <f t="shared" si="12"/>
        <v>27779</v>
      </c>
      <c r="BS204" s="217"/>
      <c r="BT204" s="217"/>
      <c r="BU204" s="134"/>
      <c r="BV204" s="217"/>
      <c r="BW204" s="217"/>
      <c r="BX204" s="217"/>
    </row>
    <row r="205" spans="22:76" x14ac:dyDescent="0.25">
      <c r="V205" s="449" t="str">
        <f>'[1]Strohs Plant in Service'!$C208</f>
        <v>Mains, Tanks and Reservoirs (50)</v>
      </c>
      <c r="W205" s="292" t="str">
        <f>'[1]Strohs Plant in Service'!$D208</f>
        <v>Reservoirs - Strohs</v>
      </c>
      <c r="X205" s="293">
        <f>'[1]Strohs Plant in Service'!$E208</f>
        <v>45231</v>
      </c>
      <c r="Y205" s="297">
        <f>'[1]Strohs Plant in Service'!$F208</f>
        <v>1318.56</v>
      </c>
      <c r="Z205" s="248"/>
      <c r="AA205" s="294">
        <f>'[1]Strohs Plant in Service'!$G$11/12</f>
        <v>6</v>
      </c>
      <c r="AB205" s="219">
        <f>('[1]Strohs Plant in Service'!$G208-'[1]Strohs Plant in Service'!$H208)/12</f>
        <v>1.4166666666666667</v>
      </c>
      <c r="AC205" s="219">
        <f>'[1]Strohs Plant in Service'!$I208</f>
        <v>94.746826347305387</v>
      </c>
      <c r="AD205" s="219"/>
      <c r="AE205" s="220">
        <f>'[1]Strohs Plant in Service'!$J208</f>
        <v>142.18</v>
      </c>
      <c r="AF205" s="221">
        <v>1176.3799999999999</v>
      </c>
      <c r="AG205" s="204"/>
      <c r="AH205" s="178"/>
      <c r="AI205" s="174"/>
      <c r="AJ205" s="179"/>
      <c r="AK205" s="247"/>
      <c r="AL205" s="248"/>
      <c r="AM205" s="294"/>
      <c r="AN205" s="219"/>
      <c r="AO205" s="219"/>
      <c r="AP205" s="219"/>
      <c r="AQ205" s="220"/>
      <c r="AR205" s="221"/>
      <c r="AY205" s="628"/>
      <c r="AZ205" s="470">
        <v>0.75</v>
      </c>
      <c r="BA205" s="466">
        <v>2121224321</v>
      </c>
      <c r="BB205" s="211">
        <v>279</v>
      </c>
      <c r="BC205" s="211">
        <v>499</v>
      </c>
      <c r="BD205" s="211">
        <v>223</v>
      </c>
      <c r="BE205" s="211">
        <v>345</v>
      </c>
      <c r="BF205" s="211" t="s">
        <v>655</v>
      </c>
      <c r="BG205" s="211">
        <v>3224</v>
      </c>
      <c r="BH205" s="211" t="s">
        <v>655</v>
      </c>
      <c r="BI205" s="211" t="s">
        <v>655</v>
      </c>
      <c r="BJ205" s="211" t="s">
        <v>655</v>
      </c>
      <c r="BK205" s="211" t="s">
        <v>655</v>
      </c>
      <c r="BL205" s="211" t="s">
        <v>655</v>
      </c>
      <c r="BM205" s="211">
        <v>12677</v>
      </c>
      <c r="BO205" s="28">
        <f t="shared" si="11"/>
        <v>2874.5</v>
      </c>
      <c r="BP205" s="28">
        <f t="shared" si="12"/>
        <v>17247</v>
      </c>
      <c r="BS205" s="217"/>
      <c r="BT205" s="217"/>
      <c r="BU205" s="134"/>
      <c r="BV205" s="217"/>
      <c r="BW205" s="217"/>
      <c r="BX205" s="217"/>
    </row>
    <row r="206" spans="22:76" x14ac:dyDescent="0.25">
      <c r="V206" s="449" t="str">
        <f>'[1]Strohs Plant in Service'!$C209</f>
        <v>Mains, Tanks and Reservoirs (50)</v>
      </c>
      <c r="W206" s="292" t="str">
        <f>'[1]Strohs Plant in Service'!$D209</f>
        <v>2.5 Inch Main, 3 lots - Strohs, 400</v>
      </c>
      <c r="X206" s="293">
        <f>'[1]Strohs Plant in Service'!$E209</f>
        <v>45231</v>
      </c>
      <c r="Y206" s="297">
        <f>'[1]Strohs Plant in Service'!$F209</f>
        <v>8110</v>
      </c>
      <c r="Z206" s="248"/>
      <c r="AA206" s="294">
        <f>'[1]Strohs Plant in Service'!$G$11/12</f>
        <v>6</v>
      </c>
      <c r="AB206" s="219">
        <f>('[1]Strohs Plant in Service'!$G209-'[1]Strohs Plant in Service'!$H209)/12</f>
        <v>32.416666666666664</v>
      </c>
      <c r="AC206" s="219">
        <f>'[1]Strohs Plant in Service'!$I209</f>
        <v>162.20000000000002</v>
      </c>
      <c r="AD206" s="219"/>
      <c r="AE206" s="220">
        <f>'[1]Strohs Plant in Service'!$J209</f>
        <v>5271.54</v>
      </c>
      <c r="AF206" s="221">
        <v>2838.46</v>
      </c>
      <c r="AG206" s="204"/>
      <c r="AH206" s="178"/>
      <c r="AI206" s="174"/>
      <c r="AJ206" s="179"/>
      <c r="AK206" s="247"/>
      <c r="AL206" s="248"/>
      <c r="AM206" s="294"/>
      <c r="AN206" s="219"/>
      <c r="AO206" s="219"/>
      <c r="AP206" s="219"/>
      <c r="AQ206" s="220"/>
      <c r="AR206" s="221"/>
      <c r="AY206" s="628"/>
      <c r="AZ206" s="470">
        <v>0.75</v>
      </c>
      <c r="BA206" s="466">
        <v>2135118377</v>
      </c>
      <c r="BB206" s="211">
        <v>35</v>
      </c>
      <c r="BC206" s="211">
        <v>30</v>
      </c>
      <c r="BD206" s="211" t="s">
        <v>655</v>
      </c>
      <c r="BE206" s="211">
        <v>20</v>
      </c>
      <c r="BF206" s="211">
        <v>107</v>
      </c>
      <c r="BG206" s="211">
        <v>62</v>
      </c>
      <c r="BH206" s="211">
        <v>68</v>
      </c>
      <c r="BI206" s="211">
        <v>40</v>
      </c>
      <c r="BJ206" s="211">
        <v>84</v>
      </c>
      <c r="BK206" s="211">
        <v>61</v>
      </c>
      <c r="BL206" s="211">
        <v>59</v>
      </c>
      <c r="BM206" s="211">
        <v>56</v>
      </c>
      <c r="BO206" s="28">
        <f t="shared" si="11"/>
        <v>56.545454545454547</v>
      </c>
      <c r="BP206" s="28">
        <f t="shared" si="12"/>
        <v>622</v>
      </c>
      <c r="BS206" s="217"/>
      <c r="BT206" s="217"/>
      <c r="BU206" s="134"/>
      <c r="BV206" s="217"/>
      <c r="BW206" s="217"/>
      <c r="BX206" s="217"/>
    </row>
    <row r="207" spans="22:76" x14ac:dyDescent="0.25">
      <c r="V207" s="449" t="str">
        <f>'[1]Strohs Plant in Service'!$C210</f>
        <v>Mains, Tanks and Reservoirs (50)</v>
      </c>
      <c r="W207" s="292" t="str">
        <f>'[1]Strohs Plant in Service'!$D210</f>
        <v>2.5 Inch Main, 3 lots - Strohs, 400</v>
      </c>
      <c r="X207" s="293">
        <f>'[1]Strohs Plant in Service'!$E210</f>
        <v>45231</v>
      </c>
      <c r="Y207" s="297">
        <f>'[1]Strohs Plant in Service'!$F210</f>
        <v>7771.48</v>
      </c>
      <c r="Z207" s="248"/>
      <c r="AA207" s="294">
        <f>'[1]Strohs Plant in Service'!$G$11/12</f>
        <v>6</v>
      </c>
      <c r="AB207" s="219">
        <f>('[1]Strohs Plant in Service'!$G210-'[1]Strohs Plant in Service'!$H210)/12</f>
        <v>1.4166666666666667</v>
      </c>
      <c r="AC207" s="219">
        <f>'[1]Strohs Plant in Service'!$I210</f>
        <v>398.53743589743584</v>
      </c>
      <c r="AD207" s="219"/>
      <c r="AE207" s="220">
        <f>'[1]Strohs Plant in Service'!$J210</f>
        <v>597.79</v>
      </c>
      <c r="AF207" s="221">
        <v>7173.69</v>
      </c>
      <c r="AG207" s="204"/>
      <c r="AH207" s="178"/>
      <c r="AI207" s="174"/>
      <c r="AJ207" s="179"/>
      <c r="AK207" s="247"/>
      <c r="AL207" s="248"/>
      <c r="AM207" s="294"/>
      <c r="AN207" s="219"/>
      <c r="AO207" s="219"/>
      <c r="AP207" s="219"/>
      <c r="AQ207" s="220"/>
      <c r="AR207" s="221"/>
      <c r="AY207" s="628"/>
      <c r="AZ207" s="470">
        <v>0.75</v>
      </c>
      <c r="BA207" s="466">
        <v>2155894773</v>
      </c>
      <c r="BB207" s="211">
        <v>968</v>
      </c>
      <c r="BC207" s="211">
        <v>983</v>
      </c>
      <c r="BD207" s="211">
        <v>328</v>
      </c>
      <c r="BE207" s="211">
        <v>2058</v>
      </c>
      <c r="BF207" s="211">
        <v>1016</v>
      </c>
      <c r="BG207" s="211">
        <v>896</v>
      </c>
      <c r="BH207" s="211">
        <v>2356</v>
      </c>
      <c r="BI207" s="211">
        <v>940</v>
      </c>
      <c r="BJ207" s="211">
        <v>1474</v>
      </c>
      <c r="BK207" s="211">
        <v>2675</v>
      </c>
      <c r="BL207" s="211">
        <v>340</v>
      </c>
      <c r="BM207" s="211">
        <v>485</v>
      </c>
      <c r="BO207" s="28">
        <f t="shared" si="11"/>
        <v>1209.9166666666667</v>
      </c>
      <c r="BP207" s="28">
        <f t="shared" si="12"/>
        <v>14519</v>
      </c>
      <c r="BS207" s="217"/>
      <c r="BT207" s="217"/>
      <c r="BU207" s="134"/>
      <c r="BV207" s="217"/>
      <c r="BW207" s="217"/>
      <c r="BX207" s="217"/>
    </row>
    <row r="208" spans="22:76" x14ac:dyDescent="0.25">
      <c r="V208" s="449" t="str">
        <f>'[1]Strohs Plant in Service'!$C211</f>
        <v>Mains, Tanks and Reservoirs (50)</v>
      </c>
      <c r="W208" s="292" t="str">
        <f>'[1]Strohs Plant in Service'!$D211</f>
        <v>8 Inch Main - Strohs, 36th StNW - 3</v>
      </c>
      <c r="X208" s="293">
        <f>'[1]Strohs Plant in Service'!$E211</f>
        <v>45231</v>
      </c>
      <c r="Y208" s="297">
        <f>'[1]Strohs Plant in Service'!$F211</f>
        <v>7815</v>
      </c>
      <c r="Z208" s="248"/>
      <c r="AA208" s="294">
        <f>'[1]Strohs Plant in Service'!$G$11/12</f>
        <v>6</v>
      </c>
      <c r="AB208" s="219">
        <f>('[1]Strohs Plant in Service'!$G211-'[1]Strohs Plant in Service'!$H211)/12</f>
        <v>32.416666666666664</v>
      </c>
      <c r="AC208" s="219">
        <f>'[1]Strohs Plant in Service'!$I211</f>
        <v>156.30000000000001</v>
      </c>
      <c r="AD208" s="219"/>
      <c r="AE208" s="220">
        <f>'[1]Strohs Plant in Service'!$J211</f>
        <v>5079.75</v>
      </c>
      <c r="AF208" s="221">
        <v>2735.25</v>
      </c>
      <c r="AG208" s="204"/>
      <c r="AH208" s="178"/>
      <c r="AI208" s="174"/>
      <c r="AJ208" s="179"/>
      <c r="AK208" s="247"/>
      <c r="AL208" s="248"/>
      <c r="AM208" s="294"/>
      <c r="AN208" s="219"/>
      <c r="AO208" s="219"/>
      <c r="AP208" s="219"/>
      <c r="AQ208" s="220"/>
      <c r="AR208" s="221"/>
      <c r="AY208" s="628"/>
      <c r="AZ208" s="470">
        <v>0.75</v>
      </c>
      <c r="BA208" s="466">
        <v>2168749620</v>
      </c>
      <c r="BB208" s="211">
        <v>641</v>
      </c>
      <c r="BC208" s="211">
        <v>750</v>
      </c>
      <c r="BD208" s="211">
        <v>759</v>
      </c>
      <c r="BE208" s="211">
        <v>1478</v>
      </c>
      <c r="BF208" s="211">
        <v>4150</v>
      </c>
      <c r="BG208" s="211">
        <v>6657</v>
      </c>
      <c r="BH208" s="211">
        <v>14361</v>
      </c>
      <c r="BI208" s="211">
        <v>12836</v>
      </c>
      <c r="BJ208" s="211">
        <v>7757</v>
      </c>
      <c r="BK208" s="211">
        <v>2951</v>
      </c>
      <c r="BL208" s="211">
        <v>2</v>
      </c>
      <c r="BM208" s="211">
        <v>275</v>
      </c>
      <c r="BO208" s="28">
        <f t="shared" si="11"/>
        <v>4384.75</v>
      </c>
      <c r="BP208" s="28">
        <f t="shared" si="12"/>
        <v>52617</v>
      </c>
      <c r="BS208" s="217"/>
      <c r="BT208" s="217"/>
      <c r="BU208" s="134"/>
      <c r="BV208" s="217"/>
      <c r="BW208" s="217"/>
      <c r="BX208" s="217"/>
    </row>
    <row r="209" spans="22:76" x14ac:dyDescent="0.25">
      <c r="V209" s="449" t="str">
        <f>'[1]Strohs Plant in Service'!$C212</f>
        <v>Mains, Tanks and Reservoirs (50)</v>
      </c>
      <c r="W209" s="292" t="str">
        <f>'[1]Strohs Plant in Service'!$D212</f>
        <v>8 Inch Main - Strohs, 5216 Picnic P</v>
      </c>
      <c r="X209" s="293">
        <f>'[1]Strohs Plant in Service'!$E212</f>
        <v>45231</v>
      </c>
      <c r="Y209" s="297">
        <f>'[1]Strohs Plant in Service'!$F212</f>
        <v>13500</v>
      </c>
      <c r="Z209" s="248"/>
      <c r="AA209" s="294">
        <f>'[1]Strohs Plant in Service'!$G$11/12</f>
        <v>6</v>
      </c>
      <c r="AB209" s="219">
        <f>('[1]Strohs Plant in Service'!$G212-'[1]Strohs Plant in Service'!$H212)/12</f>
        <v>32.416666666666664</v>
      </c>
      <c r="AC209" s="219">
        <f>'[1]Strohs Plant in Service'!$I212</f>
        <v>270</v>
      </c>
      <c r="AD209" s="219"/>
      <c r="AE209" s="220">
        <f>'[1]Strohs Plant in Service'!$J212</f>
        <v>8775</v>
      </c>
      <c r="AF209" s="221">
        <v>4725</v>
      </c>
      <c r="AG209" s="204"/>
      <c r="AH209" s="178"/>
      <c r="AI209" s="174"/>
      <c r="AJ209" s="179"/>
      <c r="AK209" s="247"/>
      <c r="AL209" s="248"/>
      <c r="AM209" s="294"/>
      <c r="AN209" s="219"/>
      <c r="AO209" s="219"/>
      <c r="AP209" s="219"/>
      <c r="AQ209" s="220"/>
      <c r="AR209" s="221"/>
      <c r="AY209" s="628"/>
      <c r="AZ209" s="470">
        <v>0.625</v>
      </c>
      <c r="BA209" s="466">
        <v>2181227737</v>
      </c>
      <c r="BB209" s="211">
        <v>1419</v>
      </c>
      <c r="BC209" s="211">
        <v>1438</v>
      </c>
      <c r="BD209" s="211">
        <v>1715</v>
      </c>
      <c r="BE209" s="211">
        <v>1718</v>
      </c>
      <c r="BF209" s="211">
        <v>1397</v>
      </c>
      <c r="BG209" s="211">
        <v>2244</v>
      </c>
      <c r="BH209" s="211">
        <v>4796</v>
      </c>
      <c r="BI209" s="211">
        <v>1990</v>
      </c>
      <c r="BJ209" s="211">
        <v>2498</v>
      </c>
      <c r="BK209" s="211">
        <v>3367</v>
      </c>
      <c r="BL209" s="211">
        <v>3004</v>
      </c>
      <c r="BM209" s="211">
        <v>3900</v>
      </c>
      <c r="BO209" s="28">
        <f t="shared" si="11"/>
        <v>2457.1666666666665</v>
      </c>
      <c r="BP209" s="28">
        <f t="shared" si="12"/>
        <v>29486</v>
      </c>
      <c r="BS209" s="217"/>
      <c r="BT209" s="217"/>
      <c r="BU209" s="134"/>
      <c r="BV209" s="217"/>
      <c r="BW209" s="217"/>
      <c r="BX209" s="217"/>
    </row>
    <row r="210" spans="22:76" x14ac:dyDescent="0.25">
      <c r="V210" s="449" t="str">
        <f>'[1]Strohs Plant in Service'!$C213</f>
        <v>Mains, Tanks and Reservoirs (50)</v>
      </c>
      <c r="W210" s="292" t="str">
        <f>'[1]Strohs Plant in Service'!$D213</f>
        <v>8 Inch Main - Strohs, 36th StNW - 3</v>
      </c>
      <c r="X210" s="293">
        <f>'[1]Strohs Plant in Service'!$E213</f>
        <v>45231</v>
      </c>
      <c r="Y210" s="297">
        <f>'[1]Strohs Plant in Service'!$F213</f>
        <v>7488.79</v>
      </c>
      <c r="Z210" s="248"/>
      <c r="AA210" s="294">
        <f>'[1]Strohs Plant in Service'!$G$11/12</f>
        <v>6</v>
      </c>
      <c r="AB210" s="219">
        <f>('[1]Strohs Plant in Service'!$G213-'[1]Strohs Plant in Service'!$H213)/12</f>
        <v>1.4166666666666667</v>
      </c>
      <c r="AC210" s="219">
        <f>'[1]Strohs Plant in Service'!$I213</f>
        <v>384.04051282051284</v>
      </c>
      <c r="AD210" s="219"/>
      <c r="AE210" s="220">
        <f>'[1]Strohs Plant in Service'!$J213</f>
        <v>576.02</v>
      </c>
      <c r="AF210" s="221">
        <v>6912.77</v>
      </c>
      <c r="AG210" s="204"/>
      <c r="AH210" s="178"/>
      <c r="AI210" s="174"/>
      <c r="AJ210" s="179"/>
      <c r="AK210" s="247"/>
      <c r="AL210" s="248"/>
      <c r="AM210" s="294"/>
      <c r="AN210" s="219"/>
      <c r="AO210" s="219"/>
      <c r="AP210" s="219"/>
      <c r="AQ210" s="220"/>
      <c r="AR210" s="221"/>
      <c r="AY210" s="628"/>
      <c r="AZ210" s="470">
        <v>0.625</v>
      </c>
      <c r="BA210" s="466">
        <v>2192452715</v>
      </c>
      <c r="BB210" s="211">
        <v>2510</v>
      </c>
      <c r="BC210" s="211">
        <v>2586</v>
      </c>
      <c r="BD210" s="211">
        <v>2974</v>
      </c>
      <c r="BE210" s="211">
        <v>2144</v>
      </c>
      <c r="BF210" s="211">
        <v>2637</v>
      </c>
      <c r="BG210" s="211">
        <v>2223</v>
      </c>
      <c r="BH210" s="211">
        <v>5212</v>
      </c>
      <c r="BI210" s="211">
        <v>6369</v>
      </c>
      <c r="BJ210" s="211">
        <v>8187</v>
      </c>
      <c r="BK210" s="211" t="s">
        <v>655</v>
      </c>
      <c r="BL210" s="211" t="s">
        <v>655</v>
      </c>
      <c r="BM210" s="211" t="s">
        <v>655</v>
      </c>
      <c r="BO210" s="28">
        <f t="shared" si="11"/>
        <v>3871.3333333333335</v>
      </c>
      <c r="BP210" s="28">
        <f t="shared" si="12"/>
        <v>34842</v>
      </c>
      <c r="BS210" s="217"/>
      <c r="BT210" s="217"/>
      <c r="BU210" s="134"/>
      <c r="BV210" s="217"/>
      <c r="BW210" s="217"/>
      <c r="BX210" s="217"/>
    </row>
    <row r="211" spans="22:76" x14ac:dyDescent="0.25">
      <c r="V211" s="449" t="str">
        <f>'[1]Strohs Plant in Service'!$C214</f>
        <v>Mains, Tanks and Reservoirs (50)</v>
      </c>
      <c r="W211" s="292" t="str">
        <f>'[1]Strohs Plant in Service'!$D214</f>
        <v>8 Inch Main - Strohs, 5216 Picnic P</v>
      </c>
      <c r="X211" s="293">
        <f>'[1]Strohs Plant in Service'!$E214</f>
        <v>45231</v>
      </c>
      <c r="Y211" s="297">
        <f>'[1]Strohs Plant in Service'!$F214</f>
        <v>12936.49</v>
      </c>
      <c r="Z211" s="248"/>
      <c r="AA211" s="294">
        <f>'[1]Strohs Plant in Service'!$G$11/12</f>
        <v>6</v>
      </c>
      <c r="AB211" s="219">
        <f>('[1]Strohs Plant in Service'!$G214-'[1]Strohs Plant in Service'!$H214)/12</f>
        <v>1.4166666666666667</v>
      </c>
      <c r="AC211" s="219">
        <f>'[1]Strohs Plant in Service'!$I214</f>
        <v>663.40974358974358</v>
      </c>
      <c r="AD211" s="219"/>
      <c r="AE211" s="220">
        <f>'[1]Strohs Plant in Service'!$J214</f>
        <v>995.06</v>
      </c>
      <c r="AF211" s="221">
        <v>11941.43</v>
      </c>
      <c r="AG211" s="204"/>
      <c r="AH211" s="178"/>
      <c r="AI211" s="174"/>
      <c r="AJ211" s="179"/>
      <c r="AK211" s="247"/>
      <c r="AL211" s="248"/>
      <c r="AM211" s="294"/>
      <c r="AN211" s="219"/>
      <c r="AO211" s="219"/>
      <c r="AP211" s="219"/>
      <c r="AQ211" s="220"/>
      <c r="AR211" s="221"/>
      <c r="AY211" s="628"/>
      <c r="AZ211" s="470">
        <v>0.75</v>
      </c>
      <c r="BA211" s="466">
        <v>2197711394</v>
      </c>
      <c r="BB211" s="211">
        <v>311</v>
      </c>
      <c r="BC211" s="211">
        <v>301</v>
      </c>
      <c r="BD211" s="211">
        <v>407</v>
      </c>
      <c r="BE211" s="211">
        <v>427</v>
      </c>
      <c r="BF211" s="211">
        <v>631</v>
      </c>
      <c r="BG211" s="211">
        <v>2797</v>
      </c>
      <c r="BH211" s="211">
        <v>3450</v>
      </c>
      <c r="BI211" s="211">
        <v>4398</v>
      </c>
      <c r="BJ211" s="211">
        <v>3706</v>
      </c>
      <c r="BK211" s="211">
        <v>175</v>
      </c>
      <c r="BL211" s="211">
        <v>109</v>
      </c>
      <c r="BM211" s="211" t="s">
        <v>655</v>
      </c>
      <c r="BO211" s="28">
        <f t="shared" si="11"/>
        <v>1519.2727272727273</v>
      </c>
      <c r="BP211" s="28">
        <f t="shared" si="12"/>
        <v>16712</v>
      </c>
      <c r="BS211" s="217"/>
      <c r="BT211" s="217"/>
      <c r="BU211" s="134"/>
      <c r="BV211" s="217"/>
      <c r="BW211" s="217"/>
      <c r="BX211" s="217"/>
    </row>
    <row r="212" spans="22:76" x14ac:dyDescent="0.25">
      <c r="V212" s="449" t="str">
        <f>'[1]Strohs Plant in Service'!$C215</f>
        <v>Mains, Tanks and Reservoirs (50)</v>
      </c>
      <c r="W212" s="292" t="str">
        <f>'[1]Strohs Plant in Service'!$D215</f>
        <v>Main Ext, 10" - Towne Plaza, 5401 O</v>
      </c>
      <c r="X212" s="293">
        <f>'[1]Strohs Plant in Service'!$E215</f>
        <v>45231</v>
      </c>
      <c r="Y212" s="297">
        <f>'[1]Strohs Plant in Service'!$F215</f>
        <v>89007</v>
      </c>
      <c r="Z212" s="248"/>
      <c r="AA212" s="294">
        <f>'[1]Strohs Plant in Service'!$G$11/12</f>
        <v>6</v>
      </c>
      <c r="AB212" s="219">
        <f>('[1]Strohs Plant in Service'!$G215-'[1]Strohs Plant in Service'!$H215)/12</f>
        <v>6.916666666666667</v>
      </c>
      <c r="AC212" s="219">
        <f>'[1]Strohs Plant in Service'!$I215</f>
        <v>2543.0571428571429</v>
      </c>
      <c r="AD212" s="219"/>
      <c r="AE212" s="220">
        <f>'[1]Strohs Plant in Service'!$J215</f>
        <v>17801.38</v>
      </c>
      <c r="AF212" s="221">
        <v>71205.62</v>
      </c>
      <c r="AG212" s="204"/>
      <c r="AH212" s="178"/>
      <c r="AI212" s="174"/>
      <c r="AJ212" s="179"/>
      <c r="AK212" s="247"/>
      <c r="AL212" s="248"/>
      <c r="AM212" s="294"/>
      <c r="AN212" s="219"/>
      <c r="AO212" s="219"/>
      <c r="AP212" s="219"/>
      <c r="AQ212" s="220"/>
      <c r="AR212" s="221"/>
      <c r="AY212" s="628"/>
      <c r="AZ212" s="470">
        <v>0.75</v>
      </c>
      <c r="BA212" s="466">
        <v>2208174571</v>
      </c>
      <c r="BB212" s="211">
        <v>426</v>
      </c>
      <c r="BC212" s="211">
        <v>420</v>
      </c>
      <c r="BD212" s="211">
        <v>449</v>
      </c>
      <c r="BE212" s="211">
        <v>387</v>
      </c>
      <c r="BF212" s="211">
        <v>486</v>
      </c>
      <c r="BG212" s="211">
        <v>991</v>
      </c>
      <c r="BH212" s="211">
        <v>1345</v>
      </c>
      <c r="BI212" s="211">
        <v>788</v>
      </c>
      <c r="BJ212" s="211">
        <v>712</v>
      </c>
      <c r="BK212" s="211">
        <v>810</v>
      </c>
      <c r="BL212" s="211">
        <v>500</v>
      </c>
      <c r="BM212" s="211">
        <v>551</v>
      </c>
      <c r="BO212" s="28">
        <f t="shared" si="11"/>
        <v>655.41666666666663</v>
      </c>
      <c r="BP212" s="28">
        <f t="shared" si="12"/>
        <v>7865</v>
      </c>
      <c r="BS212" s="217"/>
      <c r="BT212" s="217"/>
      <c r="BU212" s="134"/>
      <c r="BV212" s="217"/>
      <c r="BW212" s="217"/>
      <c r="BX212" s="217"/>
    </row>
    <row r="213" spans="22:76" x14ac:dyDescent="0.25">
      <c r="V213" s="449" t="str">
        <f>'[1]Strohs Plant in Service'!$C216</f>
        <v>Mains, Tanks and Reservoirs (50)</v>
      </c>
      <c r="W213" s="292" t="str">
        <f>'[1]Strohs Plant in Service'!$D216</f>
        <v>10 Inch PVC Main to bank bldg - Str</v>
      </c>
      <c r="X213" s="293">
        <f>'[1]Strohs Plant in Service'!$E216</f>
        <v>45231</v>
      </c>
      <c r="Y213" s="297">
        <f>'[1]Strohs Plant in Service'!$F216</f>
        <v>14651</v>
      </c>
      <c r="Z213" s="248"/>
      <c r="AA213" s="294">
        <f>'[1]Strohs Plant in Service'!$G$11/12</f>
        <v>6</v>
      </c>
      <c r="AB213" s="219">
        <f>('[1]Strohs Plant in Service'!$G216-'[1]Strohs Plant in Service'!$H216)/12</f>
        <v>32.416666666666664</v>
      </c>
      <c r="AC213" s="219">
        <f>'[1]Strohs Plant in Service'!$I216</f>
        <v>293.02</v>
      </c>
      <c r="AD213" s="219"/>
      <c r="AE213" s="220">
        <f>'[1]Strohs Plant in Service'!$J216</f>
        <v>9523.17</v>
      </c>
      <c r="AF213" s="221">
        <v>5127.83</v>
      </c>
      <c r="AG213" s="204"/>
      <c r="AH213" s="178"/>
      <c r="AI213" s="174"/>
      <c r="AJ213" s="179"/>
      <c r="AK213" s="247"/>
      <c r="AL213" s="248"/>
      <c r="AM213" s="294"/>
      <c r="AN213" s="219"/>
      <c r="AO213" s="219"/>
      <c r="AP213" s="219"/>
      <c r="AQ213" s="220"/>
      <c r="AR213" s="221"/>
      <c r="AY213" s="628"/>
      <c r="AZ213" s="470">
        <v>0.75</v>
      </c>
      <c r="BA213" s="466">
        <v>2233093772</v>
      </c>
      <c r="BB213" s="211">
        <v>202</v>
      </c>
      <c r="BC213" s="211">
        <v>66</v>
      </c>
      <c r="BD213" s="211">
        <v>1</v>
      </c>
      <c r="BE213" s="211">
        <v>35</v>
      </c>
      <c r="BF213" s="211">
        <v>439</v>
      </c>
      <c r="BG213" s="211">
        <v>1493</v>
      </c>
      <c r="BH213" s="211">
        <v>2852</v>
      </c>
      <c r="BI213" s="211">
        <v>2736</v>
      </c>
      <c r="BJ213" s="211">
        <v>1900</v>
      </c>
      <c r="BK213" s="211">
        <v>878</v>
      </c>
      <c r="BL213" s="211">
        <v>367</v>
      </c>
      <c r="BM213" s="211">
        <v>264</v>
      </c>
      <c r="BO213" s="28">
        <f t="shared" si="11"/>
        <v>936.08333333333337</v>
      </c>
      <c r="BP213" s="28">
        <f t="shared" si="12"/>
        <v>11233</v>
      </c>
      <c r="BS213" s="217"/>
      <c r="BT213" s="217"/>
      <c r="BU213" s="134"/>
      <c r="BV213" s="217"/>
      <c r="BW213" s="217"/>
      <c r="BX213" s="217"/>
    </row>
    <row r="214" spans="22:76" x14ac:dyDescent="0.25">
      <c r="V214" s="449" t="str">
        <f>'[1]Strohs Plant in Service'!$C217</f>
        <v>Mains, Tanks and Reservoirs (50)</v>
      </c>
      <c r="W214" s="292" t="str">
        <f>'[1]Strohs Plant in Service'!$D217</f>
        <v>10 Inch Main - Strohs, HBR Covenant</v>
      </c>
      <c r="X214" s="293">
        <f>'[1]Strohs Plant in Service'!$E217</f>
        <v>45231</v>
      </c>
      <c r="Y214" s="297">
        <f>'[1]Strohs Plant in Service'!$F217</f>
        <v>18050</v>
      </c>
      <c r="Z214" s="248"/>
      <c r="AA214" s="294">
        <f>'[1]Strohs Plant in Service'!$G$11/12</f>
        <v>6</v>
      </c>
      <c r="AB214" s="219">
        <f>('[1]Strohs Plant in Service'!$G217-'[1]Strohs Plant in Service'!$H217)/12</f>
        <v>12.916666666666666</v>
      </c>
      <c r="AC214" s="219">
        <f>'[1]Strohs Plant in Service'!$I217</f>
        <v>601.66666666666663</v>
      </c>
      <c r="AD214" s="219"/>
      <c r="AE214" s="220">
        <f>'[1]Strohs Plant in Service'!$J217</f>
        <v>7821.68</v>
      </c>
      <c r="AF214" s="221">
        <v>10228.32</v>
      </c>
      <c r="AG214" s="204"/>
      <c r="AH214" s="178"/>
      <c r="AI214" s="174"/>
      <c r="AJ214" s="179"/>
      <c r="AK214" s="247"/>
      <c r="AL214" s="248"/>
      <c r="AM214" s="294"/>
      <c r="AN214" s="219"/>
      <c r="AO214" s="219"/>
      <c r="AP214" s="219"/>
      <c r="AQ214" s="220"/>
      <c r="AR214" s="221"/>
      <c r="AY214" s="628"/>
      <c r="AZ214" s="470">
        <v>0.625</v>
      </c>
      <c r="BA214" s="466">
        <v>2246608569</v>
      </c>
      <c r="BB214" s="211">
        <v>340</v>
      </c>
      <c r="BC214" s="211">
        <v>531</v>
      </c>
      <c r="BD214" s="211" t="s">
        <v>655</v>
      </c>
      <c r="BE214" s="211">
        <v>1464</v>
      </c>
      <c r="BF214" s="211">
        <v>1260</v>
      </c>
      <c r="BG214" s="211">
        <v>1291</v>
      </c>
      <c r="BH214" s="211">
        <v>2144</v>
      </c>
      <c r="BI214" s="211">
        <v>1715</v>
      </c>
      <c r="BJ214" s="211">
        <v>1576</v>
      </c>
      <c r="BK214" s="211">
        <v>931</v>
      </c>
      <c r="BL214" s="211">
        <v>821</v>
      </c>
      <c r="BM214" s="211">
        <v>933</v>
      </c>
      <c r="BO214" s="28">
        <f t="shared" si="11"/>
        <v>1182.3636363636363</v>
      </c>
      <c r="BP214" s="28">
        <f t="shared" si="12"/>
        <v>13006</v>
      </c>
      <c r="BS214" s="217"/>
      <c r="BT214" s="217"/>
      <c r="BU214" s="134"/>
      <c r="BV214" s="217"/>
      <c r="BW214" s="217"/>
      <c r="BX214" s="217"/>
    </row>
    <row r="215" spans="22:76" x14ac:dyDescent="0.25">
      <c r="V215" s="449" t="str">
        <f>'[1]Strohs Plant in Service'!$C218</f>
        <v>Mains, Tanks and Reservoirs (50)</v>
      </c>
      <c r="W215" s="292" t="str">
        <f>'[1]Strohs Plant in Service'!$D218</f>
        <v>Main - Strohs, HBR Covenant (472)</v>
      </c>
      <c r="X215" s="293">
        <f>'[1]Strohs Plant in Service'!$E218</f>
        <v>45231</v>
      </c>
      <c r="Y215" s="297">
        <f>'[1]Strohs Plant in Service'!$F218</f>
        <v>1843.75</v>
      </c>
      <c r="Z215" s="248"/>
      <c r="AA215" s="294">
        <f>'[1]Strohs Plant in Service'!$G$11/12</f>
        <v>6</v>
      </c>
      <c r="AB215" s="219">
        <f>('[1]Strohs Plant in Service'!$G218-'[1]Strohs Plant in Service'!$H218)/12</f>
        <v>12.916666666666666</v>
      </c>
      <c r="AC215" s="219">
        <f>'[1]Strohs Plant in Service'!$I218</f>
        <v>61.458333333333329</v>
      </c>
      <c r="AD215" s="219"/>
      <c r="AE215" s="220">
        <f>'[1]Strohs Plant in Service'!$J218</f>
        <v>798.94</v>
      </c>
      <c r="AF215" s="221">
        <v>1044.81</v>
      </c>
      <c r="AG215" s="204"/>
      <c r="AH215" s="178"/>
      <c r="AI215" s="174"/>
      <c r="AJ215" s="179"/>
      <c r="AK215" s="247"/>
      <c r="AL215" s="248"/>
      <c r="AM215" s="294"/>
      <c r="AN215" s="219"/>
      <c r="AO215" s="219"/>
      <c r="AP215" s="219"/>
      <c r="AQ215" s="220"/>
      <c r="AR215" s="221"/>
      <c r="AY215" s="628"/>
      <c r="AZ215" s="470">
        <v>0.75</v>
      </c>
      <c r="BA215" s="466">
        <v>2253012812</v>
      </c>
      <c r="BB215" s="211">
        <v>332</v>
      </c>
      <c r="BC215" s="211">
        <v>246</v>
      </c>
      <c r="BD215" s="211">
        <v>444</v>
      </c>
      <c r="BE215" s="211">
        <v>323</v>
      </c>
      <c r="BF215" s="211">
        <v>389</v>
      </c>
      <c r="BG215" s="211">
        <v>357</v>
      </c>
      <c r="BH215" s="211">
        <v>290</v>
      </c>
      <c r="BI215" s="211">
        <v>370</v>
      </c>
      <c r="BJ215" s="211">
        <v>397</v>
      </c>
      <c r="BK215" s="211">
        <v>500</v>
      </c>
      <c r="BL215" s="211">
        <v>225</v>
      </c>
      <c r="BM215" s="211">
        <v>150</v>
      </c>
      <c r="BO215" s="28">
        <f t="shared" si="11"/>
        <v>335.25</v>
      </c>
      <c r="BP215" s="28">
        <f t="shared" si="12"/>
        <v>4023</v>
      </c>
      <c r="BS215" s="217"/>
      <c r="BT215" s="217"/>
      <c r="BU215" s="134"/>
      <c r="BV215" s="217"/>
      <c r="BW215" s="217"/>
      <c r="BX215" s="217"/>
    </row>
    <row r="216" spans="22:76" x14ac:dyDescent="0.25">
      <c r="V216" s="449" t="str">
        <f>'[1]Strohs Plant in Service'!$C219</f>
        <v>Mains, Tanks and Reservoirs (50)</v>
      </c>
      <c r="W216" s="292" t="str">
        <f>'[1]Strohs Plant in Service'!$D219</f>
        <v>Mains (CIAC) - Strohs (472)</v>
      </c>
      <c r="X216" s="293">
        <f>'[1]Strohs Plant in Service'!$E219</f>
        <v>45231</v>
      </c>
      <c r="Y216" s="297">
        <f>'[1]Strohs Plant in Service'!$F219</f>
        <v>5805.04</v>
      </c>
      <c r="Z216" s="248"/>
      <c r="AA216" s="294">
        <f>'[1]Strohs Plant in Service'!$G$11/12</f>
        <v>6</v>
      </c>
      <c r="AB216" s="219">
        <f>('[1]Strohs Plant in Service'!$G219-'[1]Strohs Plant in Service'!$H219)/12</f>
        <v>15.916666666666666</v>
      </c>
      <c r="AC216" s="219">
        <f>'[1]Strohs Plant in Service'!$I219</f>
        <v>193.50133333333332</v>
      </c>
      <c r="AD216" s="219"/>
      <c r="AE216" s="220">
        <f>'[1]Strohs Plant in Service'!$J219</f>
        <v>3096.04</v>
      </c>
      <c r="AF216" s="221">
        <v>2709</v>
      </c>
      <c r="AG216" s="204"/>
      <c r="AH216" s="178"/>
      <c r="AI216" s="174"/>
      <c r="AJ216" s="179"/>
      <c r="AK216" s="247"/>
      <c r="AL216" s="248"/>
      <c r="AM216" s="294"/>
      <c r="AN216" s="219"/>
      <c r="AO216" s="219"/>
      <c r="AP216" s="219"/>
      <c r="AQ216" s="220"/>
      <c r="AR216" s="221"/>
      <c r="AY216" s="628"/>
      <c r="AZ216" s="470">
        <v>0.75</v>
      </c>
      <c r="BA216" s="466">
        <v>2256341492</v>
      </c>
      <c r="BB216" s="211" t="s">
        <v>655</v>
      </c>
      <c r="BC216" s="211" t="s">
        <v>655</v>
      </c>
      <c r="BD216" s="211" t="s">
        <v>655</v>
      </c>
      <c r="BE216" s="211">
        <v>6</v>
      </c>
      <c r="BF216" s="211">
        <v>620</v>
      </c>
      <c r="BG216" s="211">
        <v>330</v>
      </c>
      <c r="BH216" s="211">
        <v>4790</v>
      </c>
      <c r="BI216" s="211">
        <v>2356</v>
      </c>
      <c r="BJ216" s="211">
        <v>2937</v>
      </c>
      <c r="BK216" s="211">
        <v>54</v>
      </c>
      <c r="BL216" s="211" t="s">
        <v>655</v>
      </c>
      <c r="BM216" s="211" t="s">
        <v>655</v>
      </c>
      <c r="BO216" s="28">
        <f t="shared" si="11"/>
        <v>1584.7142857142858</v>
      </c>
      <c r="BP216" s="28">
        <f t="shared" si="12"/>
        <v>11093</v>
      </c>
      <c r="BS216" s="217"/>
      <c r="BT216" s="217"/>
      <c r="BU216" s="134"/>
      <c r="BV216" s="217"/>
      <c r="BW216" s="217"/>
      <c r="BX216" s="217"/>
    </row>
    <row r="217" spans="22:76" x14ac:dyDescent="0.25">
      <c r="V217" s="449" t="str">
        <f>'[1]Strohs Plant in Service'!$C220</f>
        <v>Mains, Tanks and Reservoirs (50)</v>
      </c>
      <c r="W217" s="292" t="str">
        <f>'[1]Strohs Plant in Service'!$D220</f>
        <v>Main Ext, 10" - Towne Plaza, 5401 O</v>
      </c>
      <c r="X217" s="293">
        <f>'[1]Strohs Plant in Service'!$E220</f>
        <v>45231</v>
      </c>
      <c r="Y217" s="297">
        <f>'[1]Strohs Plant in Service'!$F220</f>
        <v>85291.74</v>
      </c>
      <c r="Z217" s="248"/>
      <c r="AA217" s="294">
        <f>'[1]Strohs Plant in Service'!$G$11/12</f>
        <v>6</v>
      </c>
      <c r="AB217" s="219">
        <f>('[1]Strohs Plant in Service'!$G220-'[1]Strohs Plant in Service'!$H220)/12</f>
        <v>1.4166666666666667</v>
      </c>
      <c r="AC217" s="219">
        <f>'[1]Strohs Plant in Service'!$I220</f>
        <v>4373.9353846153854</v>
      </c>
      <c r="AD217" s="219"/>
      <c r="AE217" s="220">
        <f>'[1]Strohs Plant in Service'!$J220</f>
        <v>6560.87</v>
      </c>
      <c r="AF217" s="221">
        <v>78730.87000000001</v>
      </c>
      <c r="AG217" s="204"/>
      <c r="AH217" s="178"/>
      <c r="AI217" s="174"/>
      <c r="AJ217" s="179"/>
      <c r="AK217" s="247"/>
      <c r="AL217" s="248"/>
      <c r="AM217" s="294"/>
      <c r="AN217" s="219"/>
      <c r="AO217" s="219"/>
      <c r="AP217" s="219"/>
      <c r="AQ217" s="220"/>
      <c r="AR217" s="221"/>
      <c r="AY217" s="628"/>
      <c r="AZ217" s="470">
        <v>0.75</v>
      </c>
      <c r="BA217" s="466">
        <v>2278483264</v>
      </c>
      <c r="BB217" s="211">
        <v>346</v>
      </c>
      <c r="BC217" s="211">
        <v>390</v>
      </c>
      <c r="BD217" s="211">
        <v>357</v>
      </c>
      <c r="BE217" s="211">
        <v>898</v>
      </c>
      <c r="BF217" s="211">
        <v>550</v>
      </c>
      <c r="BG217" s="211">
        <v>1077</v>
      </c>
      <c r="BH217" s="211">
        <v>2799</v>
      </c>
      <c r="BI217" s="211">
        <v>1889</v>
      </c>
      <c r="BJ217" s="211">
        <v>1900</v>
      </c>
      <c r="BK217" s="211">
        <v>250</v>
      </c>
      <c r="BL217" s="211">
        <v>350</v>
      </c>
      <c r="BM217" s="211">
        <v>425</v>
      </c>
      <c r="BO217" s="28">
        <f t="shared" si="11"/>
        <v>935.91666666666663</v>
      </c>
      <c r="BP217" s="28">
        <f t="shared" si="12"/>
        <v>11231</v>
      </c>
      <c r="BS217" s="217"/>
      <c r="BT217" s="217"/>
      <c r="BU217" s="134"/>
      <c r="BV217" s="217"/>
      <c r="BW217" s="217"/>
      <c r="BX217" s="217"/>
    </row>
    <row r="218" spans="22:76" x14ac:dyDescent="0.25">
      <c r="V218" s="449" t="str">
        <f>'[1]Strohs Plant in Service'!$C221</f>
        <v>Mains, Tanks and Reservoirs (50)</v>
      </c>
      <c r="W218" s="292" t="str">
        <f>'[1]Strohs Plant in Service'!$D221</f>
        <v>10 Inch PVC Main to bank bldg - Str</v>
      </c>
      <c r="X218" s="293">
        <f>'[1]Strohs Plant in Service'!$E221</f>
        <v>45231</v>
      </c>
      <c r="Y218" s="297">
        <f>'[1]Strohs Plant in Service'!$F221</f>
        <v>14039.45</v>
      </c>
      <c r="Z218" s="248"/>
      <c r="AA218" s="294">
        <f>'[1]Strohs Plant in Service'!$G$11/12</f>
        <v>6</v>
      </c>
      <c r="AB218" s="219">
        <f>('[1]Strohs Plant in Service'!$G221-'[1]Strohs Plant in Service'!$H221)/12</f>
        <v>1.4166666666666667</v>
      </c>
      <c r="AC218" s="219">
        <f>'[1]Strohs Plant in Service'!$I221</f>
        <v>719.97179487179494</v>
      </c>
      <c r="AD218" s="219"/>
      <c r="AE218" s="220">
        <f>'[1]Strohs Plant in Service'!$J221</f>
        <v>1079.99</v>
      </c>
      <c r="AF218" s="221">
        <v>12959.460000000001</v>
      </c>
      <c r="AG218" s="204"/>
      <c r="AH218" s="178"/>
      <c r="AI218" s="174"/>
      <c r="AJ218" s="179"/>
      <c r="AK218" s="247"/>
      <c r="AL218" s="248"/>
      <c r="AM218" s="294"/>
      <c r="AN218" s="219"/>
      <c r="AO218" s="219"/>
      <c r="AP218" s="219"/>
      <c r="AQ218" s="220"/>
      <c r="AR218" s="221"/>
      <c r="AY218" s="628"/>
      <c r="AZ218" s="470">
        <v>0.625</v>
      </c>
      <c r="BA218" s="466">
        <v>2284561480</v>
      </c>
      <c r="BB218" s="211">
        <v>888</v>
      </c>
      <c r="BC218" s="211">
        <v>788</v>
      </c>
      <c r="BD218" s="211">
        <v>851</v>
      </c>
      <c r="BE218" s="211">
        <v>964</v>
      </c>
      <c r="BF218" s="211">
        <v>767</v>
      </c>
      <c r="BG218" s="211">
        <v>679</v>
      </c>
      <c r="BH218" s="211">
        <v>826</v>
      </c>
      <c r="BI218" s="211">
        <v>1026</v>
      </c>
      <c r="BJ218" s="211">
        <v>1181</v>
      </c>
      <c r="BK218" s="211">
        <v>787</v>
      </c>
      <c r="BL218" s="211">
        <v>831</v>
      </c>
      <c r="BM218" s="211">
        <v>670</v>
      </c>
      <c r="BO218" s="28">
        <f t="shared" si="11"/>
        <v>854.83333333333337</v>
      </c>
      <c r="BP218" s="28">
        <f t="shared" si="12"/>
        <v>10258</v>
      </c>
      <c r="BS218" s="217"/>
      <c r="BT218" s="217"/>
      <c r="BU218" s="134"/>
      <c r="BV218" s="217"/>
      <c r="BW218" s="217"/>
      <c r="BX218" s="217"/>
    </row>
    <row r="219" spans="22:76" x14ac:dyDescent="0.25">
      <c r="V219" s="449" t="str">
        <f>'[1]Strohs Plant in Service'!$C222</f>
        <v>Mains, Tanks and Reservoirs (50)</v>
      </c>
      <c r="W219" s="292" t="str">
        <f>'[1]Strohs Plant in Service'!$D222</f>
        <v>10 Inch Main - Strohs, HBR Covenant</v>
      </c>
      <c r="X219" s="293">
        <f>'[1]Strohs Plant in Service'!$E222</f>
        <v>45231</v>
      </c>
      <c r="Y219" s="297">
        <f>'[1]Strohs Plant in Service'!$F222</f>
        <v>17296.57</v>
      </c>
      <c r="Z219" s="248"/>
      <c r="AA219" s="294">
        <f>'[1]Strohs Plant in Service'!$G$11/12</f>
        <v>6</v>
      </c>
      <c r="AB219" s="219">
        <f>('[1]Strohs Plant in Service'!$G222-'[1]Strohs Plant in Service'!$H222)/12</f>
        <v>1.4166666666666667</v>
      </c>
      <c r="AC219" s="219">
        <f>'[1]Strohs Plant in Service'!$I222</f>
        <v>887.00358974358971</v>
      </c>
      <c r="AD219" s="219"/>
      <c r="AE219" s="220">
        <f>'[1]Strohs Plant in Service'!$J222</f>
        <v>1330.54</v>
      </c>
      <c r="AF219" s="221">
        <v>15966.029999999999</v>
      </c>
      <c r="AG219" s="204"/>
      <c r="AH219" s="178"/>
      <c r="AI219" s="174"/>
      <c r="AJ219" s="179"/>
      <c r="AK219" s="247"/>
      <c r="AL219" s="248"/>
      <c r="AM219" s="294"/>
      <c r="AN219" s="219"/>
      <c r="AO219" s="219"/>
      <c r="AP219" s="219"/>
      <c r="AQ219" s="220"/>
      <c r="AR219" s="221"/>
      <c r="AY219" s="628"/>
      <c r="AZ219" s="470">
        <v>0.75</v>
      </c>
      <c r="BA219" s="466">
        <v>2289639360</v>
      </c>
      <c r="BB219" s="211">
        <v>442</v>
      </c>
      <c r="BC219" s="211">
        <v>340</v>
      </c>
      <c r="BD219" s="211">
        <v>409</v>
      </c>
      <c r="BE219" s="211">
        <v>721</v>
      </c>
      <c r="BF219" s="211">
        <v>583</v>
      </c>
      <c r="BG219" s="211">
        <v>751</v>
      </c>
      <c r="BH219" s="211">
        <v>3336</v>
      </c>
      <c r="BI219" s="211">
        <v>1745</v>
      </c>
      <c r="BJ219" s="211">
        <v>807</v>
      </c>
      <c r="BK219" s="211">
        <v>573</v>
      </c>
      <c r="BL219" s="211">
        <v>600</v>
      </c>
      <c r="BM219" s="211">
        <v>678</v>
      </c>
      <c r="BO219" s="28">
        <f t="shared" si="11"/>
        <v>915.41666666666663</v>
      </c>
      <c r="BP219" s="28">
        <f t="shared" si="12"/>
        <v>10985</v>
      </c>
      <c r="BS219" s="217"/>
      <c r="BT219" s="217"/>
      <c r="BU219" s="134"/>
      <c r="BV219" s="217"/>
      <c r="BW219" s="217"/>
      <c r="BX219" s="217"/>
    </row>
    <row r="220" spans="22:76" x14ac:dyDescent="0.25">
      <c r="V220" s="449" t="str">
        <f>'[1]Strohs Plant in Service'!$C223</f>
        <v>Mains, Tanks and Reservoirs (50)</v>
      </c>
      <c r="W220" s="292" t="str">
        <f>'[1]Strohs Plant in Service'!$D223</f>
        <v>Main - Strohs, HBR Covenant (472)</v>
      </c>
      <c r="X220" s="293">
        <f>'[1]Strohs Plant in Service'!$E223</f>
        <v>45231</v>
      </c>
      <c r="Y220" s="297">
        <f>'[1]Strohs Plant in Service'!$F223</f>
        <v>1766.79</v>
      </c>
      <c r="Z220" s="248"/>
      <c r="AA220" s="294">
        <f>'[1]Strohs Plant in Service'!$G$11/12</f>
        <v>6</v>
      </c>
      <c r="AB220" s="219">
        <f>('[1]Strohs Plant in Service'!$G223-'[1]Strohs Plant in Service'!$H223)/12</f>
        <v>1.4166666666666667</v>
      </c>
      <c r="AC220" s="219">
        <f>'[1]Strohs Plant in Service'!$I223</f>
        <v>90.604615384615386</v>
      </c>
      <c r="AD220" s="219"/>
      <c r="AE220" s="220">
        <f>'[1]Strohs Plant in Service'!$J223</f>
        <v>135.9</v>
      </c>
      <c r="AF220" s="221">
        <v>1630.8899999999999</v>
      </c>
      <c r="AG220" s="204"/>
      <c r="AH220" s="178"/>
      <c r="AI220" s="174"/>
      <c r="AJ220" s="179"/>
      <c r="AK220" s="247"/>
      <c r="AL220" s="248"/>
      <c r="AM220" s="294"/>
      <c r="AN220" s="219"/>
      <c r="AO220" s="219"/>
      <c r="AP220" s="219"/>
      <c r="AQ220" s="220"/>
      <c r="AR220" s="221"/>
      <c r="AY220" s="628"/>
      <c r="AZ220" s="470">
        <v>0.625</v>
      </c>
      <c r="BA220" s="466">
        <v>2322646044</v>
      </c>
      <c r="BB220" s="211">
        <v>243</v>
      </c>
      <c r="BC220" s="211">
        <v>528</v>
      </c>
      <c r="BD220" s="211">
        <v>626</v>
      </c>
      <c r="BE220" s="211">
        <v>567</v>
      </c>
      <c r="BF220" s="211">
        <v>486</v>
      </c>
      <c r="BG220" s="211">
        <v>648</v>
      </c>
      <c r="BH220" s="211">
        <v>1396</v>
      </c>
      <c r="BI220" s="211">
        <v>2387</v>
      </c>
      <c r="BJ220" s="211">
        <v>1147</v>
      </c>
      <c r="BK220" s="211">
        <v>682</v>
      </c>
      <c r="BL220" s="211">
        <v>453</v>
      </c>
      <c r="BM220" s="211">
        <v>415</v>
      </c>
      <c r="BO220" s="28">
        <f t="shared" si="11"/>
        <v>798.16666666666663</v>
      </c>
      <c r="BP220" s="28">
        <f t="shared" si="12"/>
        <v>9578</v>
      </c>
      <c r="BS220" s="217"/>
      <c r="BT220" s="217"/>
      <c r="BU220" s="134"/>
      <c r="BV220" s="217"/>
      <c r="BW220" s="217"/>
      <c r="BX220" s="217"/>
    </row>
    <row r="221" spans="22:76" x14ac:dyDescent="0.25">
      <c r="V221" s="449" t="str">
        <f>'[1]Strohs Plant in Service'!$C224</f>
        <v>Mains, Tanks and Reservoirs (50)</v>
      </c>
      <c r="W221" s="292" t="str">
        <f>'[1]Strohs Plant in Service'!$D224</f>
        <v>Mains (CIAC) - Strohs (472)</v>
      </c>
      <c r="X221" s="293">
        <f>'[1]Strohs Plant in Service'!$E224</f>
        <v>45231</v>
      </c>
      <c r="Y221" s="297">
        <f>'[1]Strohs Plant in Service'!$F224</f>
        <v>5562.73</v>
      </c>
      <c r="Z221" s="248"/>
      <c r="AA221" s="294">
        <f>'[1]Strohs Plant in Service'!$G$11/12</f>
        <v>6</v>
      </c>
      <c r="AB221" s="219">
        <f>('[1]Strohs Plant in Service'!$G224-'[1]Strohs Plant in Service'!$H224)/12</f>
        <v>1.4166666666666667</v>
      </c>
      <c r="AC221" s="219">
        <f>'[1]Strohs Plant in Service'!$I224</f>
        <v>285.26820512820507</v>
      </c>
      <c r="AD221" s="219"/>
      <c r="AE221" s="220">
        <f>'[1]Strohs Plant in Service'!$J224</f>
        <v>427.87</v>
      </c>
      <c r="AF221" s="221">
        <v>5134.8599999999997</v>
      </c>
      <c r="AG221" s="204"/>
      <c r="AH221" s="178"/>
      <c r="AI221" s="174"/>
      <c r="AJ221" s="179"/>
      <c r="AK221" s="247"/>
      <c r="AL221" s="248"/>
      <c r="AM221" s="294"/>
      <c r="AN221" s="219"/>
      <c r="AO221" s="219"/>
      <c r="AP221" s="219"/>
      <c r="AQ221" s="220"/>
      <c r="AR221" s="221"/>
      <c r="AY221" s="628"/>
      <c r="AZ221" s="470">
        <v>0.75</v>
      </c>
      <c r="BA221" s="466">
        <v>2327850487</v>
      </c>
      <c r="BB221" s="211">
        <v>455</v>
      </c>
      <c r="BC221" s="211">
        <v>634</v>
      </c>
      <c r="BD221" s="211">
        <v>672</v>
      </c>
      <c r="BE221" s="211">
        <v>796</v>
      </c>
      <c r="BF221" s="211">
        <v>501</v>
      </c>
      <c r="BG221" s="211">
        <v>1203</v>
      </c>
      <c r="BH221" s="211">
        <v>3283</v>
      </c>
      <c r="BI221" s="211">
        <v>2433</v>
      </c>
      <c r="BJ221" s="211">
        <v>1452</v>
      </c>
      <c r="BK221" s="211">
        <v>614</v>
      </c>
      <c r="BL221" s="211">
        <v>564</v>
      </c>
      <c r="BM221" s="211">
        <v>700</v>
      </c>
      <c r="BO221" s="28">
        <f t="shared" si="11"/>
        <v>1108.9166666666667</v>
      </c>
      <c r="BP221" s="28">
        <f t="shared" si="12"/>
        <v>13307</v>
      </c>
      <c r="BS221" s="217"/>
      <c r="BT221" s="217"/>
      <c r="BU221" s="134"/>
      <c r="BV221" s="217"/>
      <c r="BW221" s="217"/>
      <c r="BX221" s="217"/>
    </row>
    <row r="222" spans="22:76" x14ac:dyDescent="0.25">
      <c r="V222" s="449" t="str">
        <f>'[1]Strohs Plant in Service'!$C225</f>
        <v>Mains, Tanks and Reservoirs (50)</v>
      </c>
      <c r="W222" s="292" t="str">
        <f>'[1]Strohs Plant in Service'!$D225</f>
        <v>12" PVC Main - Strohs, W of 38th to</v>
      </c>
      <c r="X222" s="293">
        <f>'[1]Strohs Plant in Service'!$E225</f>
        <v>45231</v>
      </c>
      <c r="Y222" s="297">
        <f>'[1]Strohs Plant in Service'!$F225</f>
        <v>79433</v>
      </c>
      <c r="Z222" s="248"/>
      <c r="AA222" s="294">
        <f>'[1]Strohs Plant in Service'!$G$11/12</f>
        <v>6</v>
      </c>
      <c r="AB222" s="219">
        <f>('[1]Strohs Plant in Service'!$G225-'[1]Strohs Plant in Service'!$H225)/12</f>
        <v>32.416666666666664</v>
      </c>
      <c r="AC222" s="219">
        <f>'[1]Strohs Plant in Service'!$I225</f>
        <v>1588.6599999999999</v>
      </c>
      <c r="AD222" s="219"/>
      <c r="AE222" s="220">
        <f>'[1]Strohs Plant in Service'!$J225</f>
        <v>51631.47</v>
      </c>
      <c r="AF222" s="221">
        <v>27801.53</v>
      </c>
      <c r="AG222" s="204"/>
      <c r="AH222" s="178"/>
      <c r="AI222" s="174"/>
      <c r="AJ222" s="179"/>
      <c r="AK222" s="247"/>
      <c r="AL222" s="248"/>
      <c r="AM222" s="294"/>
      <c r="AN222" s="219"/>
      <c r="AO222" s="219"/>
      <c r="AP222" s="219"/>
      <c r="AQ222" s="220"/>
      <c r="AR222" s="221"/>
      <c r="AY222" s="628"/>
      <c r="AZ222" s="470">
        <v>0.75</v>
      </c>
      <c r="BA222" s="466">
        <v>2330098846</v>
      </c>
      <c r="BB222" s="211">
        <v>862</v>
      </c>
      <c r="BC222" s="211">
        <v>199</v>
      </c>
      <c r="BD222" s="211">
        <v>454</v>
      </c>
      <c r="BE222" s="211">
        <v>411</v>
      </c>
      <c r="BF222" s="211">
        <v>1136</v>
      </c>
      <c r="BG222" s="211">
        <v>5397</v>
      </c>
      <c r="BH222" s="211">
        <v>8799</v>
      </c>
      <c r="BI222" s="211">
        <v>8467</v>
      </c>
      <c r="BJ222" s="211">
        <v>7176</v>
      </c>
      <c r="BK222" s="211">
        <v>3177</v>
      </c>
      <c r="BL222" s="211">
        <v>292</v>
      </c>
      <c r="BM222" s="211">
        <v>530</v>
      </c>
      <c r="BO222" s="28">
        <f t="shared" si="11"/>
        <v>3075</v>
      </c>
      <c r="BP222" s="28">
        <f t="shared" si="12"/>
        <v>36900</v>
      </c>
      <c r="BS222" s="217"/>
      <c r="BT222" s="217"/>
      <c r="BU222" s="134"/>
      <c r="BV222" s="217"/>
      <c r="BW222" s="217"/>
      <c r="BX222" s="217"/>
    </row>
    <row r="223" spans="22:76" x14ac:dyDescent="0.25">
      <c r="V223" s="449" t="str">
        <f>'[1]Strohs Plant in Service'!$C226</f>
        <v>Mains, Tanks and Reservoirs (50)</v>
      </c>
      <c r="W223" s="292" t="str">
        <f>'[1]Strohs Plant in Service'!$D226</f>
        <v>12" PVC Main - Strohs, W of 38th to</v>
      </c>
      <c r="X223" s="293">
        <f>'[1]Strohs Plant in Service'!$E226</f>
        <v>45231</v>
      </c>
      <c r="Y223" s="297">
        <f>'[1]Strohs Plant in Service'!$F226</f>
        <v>76117.37</v>
      </c>
      <c r="Z223" s="248"/>
      <c r="AA223" s="294">
        <f>'[1]Strohs Plant in Service'!$G$11/12</f>
        <v>6</v>
      </c>
      <c r="AB223" s="219">
        <f>('[1]Strohs Plant in Service'!$G226-'[1]Strohs Plant in Service'!$H226)/12</f>
        <v>1.4166666666666667</v>
      </c>
      <c r="AC223" s="219">
        <f>'[1]Strohs Plant in Service'!$I226</f>
        <v>3903.4548717948715</v>
      </c>
      <c r="AD223" s="219"/>
      <c r="AE223" s="220">
        <f>'[1]Strohs Plant in Service'!$J226</f>
        <v>5855.21</v>
      </c>
      <c r="AF223" s="221">
        <v>70262.159999999989</v>
      </c>
      <c r="AG223" s="204"/>
      <c r="AH223" s="178"/>
      <c r="AI223" s="174"/>
      <c r="AJ223" s="179"/>
      <c r="AK223" s="247"/>
      <c r="AL223" s="248"/>
      <c r="AM223" s="294"/>
      <c r="AN223" s="219"/>
      <c r="AO223" s="219"/>
      <c r="AP223" s="219"/>
      <c r="AQ223" s="220"/>
      <c r="AR223" s="221"/>
      <c r="AY223" s="628"/>
      <c r="AZ223" s="470">
        <v>0.625</v>
      </c>
      <c r="BA223" s="466">
        <v>2340001751</v>
      </c>
      <c r="BB223" s="211">
        <v>1337</v>
      </c>
      <c r="BC223" s="211">
        <v>1320</v>
      </c>
      <c r="BD223" s="211">
        <v>1498</v>
      </c>
      <c r="BE223" s="211">
        <v>412</v>
      </c>
      <c r="BF223" s="211">
        <v>4030</v>
      </c>
      <c r="BG223" s="211" t="s">
        <v>655</v>
      </c>
      <c r="BH223" s="211">
        <v>777</v>
      </c>
      <c r="BI223" s="211">
        <v>424</v>
      </c>
      <c r="BJ223" s="211">
        <v>1539</v>
      </c>
      <c r="BK223" s="211">
        <v>1318</v>
      </c>
      <c r="BL223" s="211">
        <v>250</v>
      </c>
      <c r="BM223" s="211">
        <v>9</v>
      </c>
      <c r="BO223" s="28">
        <f t="shared" si="11"/>
        <v>1174</v>
      </c>
      <c r="BP223" s="28">
        <f t="shared" si="12"/>
        <v>12914</v>
      </c>
      <c r="BS223" s="217"/>
      <c r="BT223" s="217"/>
      <c r="BU223" s="134"/>
      <c r="BV223" s="217"/>
      <c r="BW223" s="217"/>
      <c r="BX223" s="217"/>
    </row>
    <row r="224" spans="22:76" x14ac:dyDescent="0.25">
      <c r="V224" s="449" t="str">
        <f>'[1]Strohs Plant in Service'!$C227</f>
        <v>Plant, Other (40)</v>
      </c>
      <c r="W224" s="292" t="str">
        <f>'[1]Strohs Plant in Service'!$D227</f>
        <v>Hydrants - Strohs (472)</v>
      </c>
      <c r="X224" s="293">
        <f>'[1]Strohs Plant in Service'!$E227</f>
        <v>45231</v>
      </c>
      <c r="Y224" s="297">
        <f>'[1]Strohs Plant in Service'!$F227</f>
        <v>13826.72</v>
      </c>
      <c r="Z224" s="248"/>
      <c r="AA224" s="294">
        <f>'[1]Strohs Plant in Service'!$G$11/12</f>
        <v>6</v>
      </c>
      <c r="AB224" s="219">
        <f>('[1]Strohs Plant in Service'!$G227-'[1]Strohs Plant in Service'!$H227)/12</f>
        <v>34.333333333333336</v>
      </c>
      <c r="AC224" s="219">
        <f>'[1]Strohs Plant in Service'!$I227</f>
        <v>345.66799999999995</v>
      </c>
      <c r="AD224" s="219"/>
      <c r="AE224" s="220">
        <f>'[1]Strohs Plant in Service'!$J227</f>
        <v>11896.78</v>
      </c>
      <c r="AF224" s="221">
        <v>1929.9399999999987</v>
      </c>
      <c r="AG224" s="204"/>
      <c r="AH224" s="178"/>
      <c r="AI224" s="174"/>
      <c r="AJ224" s="179"/>
      <c r="AK224" s="247"/>
      <c r="AL224" s="248"/>
      <c r="AM224" s="294"/>
      <c r="AN224" s="219"/>
      <c r="AO224" s="219"/>
      <c r="AP224" s="219"/>
      <c r="AQ224" s="220"/>
      <c r="AR224" s="221"/>
      <c r="AY224" s="628"/>
      <c r="AZ224" s="470">
        <v>0.75</v>
      </c>
      <c r="BA224" s="466">
        <v>2342736581</v>
      </c>
      <c r="BB224" s="211">
        <v>859</v>
      </c>
      <c r="BC224" s="211">
        <v>581</v>
      </c>
      <c r="BD224" s="211">
        <v>621</v>
      </c>
      <c r="BE224" s="211">
        <v>128</v>
      </c>
      <c r="BF224" s="211">
        <v>1341</v>
      </c>
      <c r="BG224" s="211">
        <v>640</v>
      </c>
      <c r="BH224" s="211">
        <v>767</v>
      </c>
      <c r="BI224" s="211">
        <v>284</v>
      </c>
      <c r="BJ224" s="211">
        <v>617</v>
      </c>
      <c r="BK224" s="211">
        <v>557</v>
      </c>
      <c r="BL224" s="211">
        <v>199</v>
      </c>
      <c r="BM224" s="211">
        <v>506</v>
      </c>
      <c r="BO224" s="28">
        <f t="shared" si="11"/>
        <v>591.66666666666663</v>
      </c>
      <c r="BP224" s="28">
        <f t="shared" si="12"/>
        <v>7100</v>
      </c>
      <c r="BS224" s="217"/>
      <c r="BT224" s="217"/>
      <c r="BU224" s="134"/>
      <c r="BV224" s="217"/>
      <c r="BW224" s="217"/>
      <c r="BX224" s="217"/>
    </row>
    <row r="225" spans="22:76" x14ac:dyDescent="0.25">
      <c r="V225" s="449" t="str">
        <f>'[1]Strohs Plant in Service'!$C228</f>
        <v>Plant, Other (40)</v>
      </c>
      <c r="W225" s="292" t="str">
        <f>'[1]Strohs Plant in Service'!$D228</f>
        <v>Hydrants - Strohs (075)</v>
      </c>
      <c r="X225" s="293">
        <f>'[1]Strohs Plant in Service'!$E228</f>
        <v>45231</v>
      </c>
      <c r="Y225" s="297">
        <f>'[1]Strohs Plant in Service'!$F228</f>
        <v>31004.1</v>
      </c>
      <c r="Z225" s="248"/>
      <c r="AA225" s="294">
        <f>'[1]Strohs Plant in Service'!$G$11/12</f>
        <v>6</v>
      </c>
      <c r="AB225" s="219">
        <f>('[1]Strohs Plant in Service'!$G228-'[1]Strohs Plant in Service'!$H228)/12</f>
        <v>34.333333333333336</v>
      </c>
      <c r="AC225" s="219">
        <f>'[1]Strohs Plant in Service'!$I228</f>
        <v>775.10249999999996</v>
      </c>
      <c r="AD225" s="219"/>
      <c r="AE225" s="220">
        <f>'[1]Strohs Plant in Service'!$J228</f>
        <v>23690.11</v>
      </c>
      <c r="AF225" s="221">
        <v>7313.989999999998</v>
      </c>
      <c r="AG225" s="204"/>
      <c r="AH225" s="178"/>
      <c r="AI225" s="174"/>
      <c r="AJ225" s="179"/>
      <c r="AK225" s="247"/>
      <c r="AL225" s="248"/>
      <c r="AM225" s="294"/>
      <c r="AN225" s="219"/>
      <c r="AO225" s="219"/>
      <c r="AP225" s="219"/>
      <c r="AQ225" s="220"/>
      <c r="AR225" s="221"/>
      <c r="AY225" s="628"/>
      <c r="AZ225" s="470">
        <v>1.5</v>
      </c>
      <c r="BA225" s="466">
        <v>2403740235</v>
      </c>
      <c r="BB225" s="211">
        <v>5160</v>
      </c>
      <c r="BC225" s="211">
        <v>8079</v>
      </c>
      <c r="BD225" s="211">
        <v>4914</v>
      </c>
      <c r="BE225" s="211">
        <v>5716</v>
      </c>
      <c r="BF225" s="211">
        <v>4774</v>
      </c>
      <c r="BG225" s="211">
        <v>9730</v>
      </c>
      <c r="BH225" s="211">
        <v>24138</v>
      </c>
      <c r="BI225" s="211">
        <v>25540</v>
      </c>
      <c r="BJ225" s="211">
        <v>27853</v>
      </c>
      <c r="BK225" s="211">
        <v>4214</v>
      </c>
      <c r="BL225" s="211">
        <v>3810</v>
      </c>
      <c r="BM225" s="211">
        <v>4685</v>
      </c>
      <c r="BO225" s="28">
        <f t="shared" si="11"/>
        <v>10717.75</v>
      </c>
      <c r="BP225" s="28">
        <f t="shared" si="12"/>
        <v>128613</v>
      </c>
      <c r="BS225" s="217"/>
      <c r="BT225" s="217"/>
      <c r="BU225" s="134"/>
      <c r="BV225" s="217"/>
      <c r="BW225" s="217"/>
      <c r="BX225" s="217"/>
    </row>
    <row r="226" spans="22:76" x14ac:dyDescent="0.25">
      <c r="V226" s="449" t="str">
        <f>'[1]Strohs Plant in Service'!$C229</f>
        <v>Plant, Other (40)</v>
      </c>
      <c r="W226" s="292" t="str">
        <f>'[1]Strohs Plant in Service'!$D229</f>
        <v>Hydrants - Strohs (075)</v>
      </c>
      <c r="X226" s="293">
        <f>'[1]Strohs Plant in Service'!$E229</f>
        <v>45231</v>
      </c>
      <c r="Y226" s="297">
        <f>'[1]Strohs Plant in Service'!$F229</f>
        <v>1015</v>
      </c>
      <c r="Z226" s="248"/>
      <c r="AA226" s="294">
        <f>'[1]Strohs Plant in Service'!$G$11/12</f>
        <v>6</v>
      </c>
      <c r="AB226" s="219">
        <f>('[1]Strohs Plant in Service'!$G229-'[1]Strohs Plant in Service'!$H229)/12</f>
        <v>25.583333333333332</v>
      </c>
      <c r="AC226" s="219">
        <f>'[1]Strohs Plant in Service'!$I229</f>
        <v>25.375</v>
      </c>
      <c r="AD226" s="219"/>
      <c r="AE226" s="220">
        <f>'[1]Strohs Plant in Service'!$J229</f>
        <v>651.23</v>
      </c>
      <c r="AF226" s="221">
        <v>363.77</v>
      </c>
      <c r="AG226" s="204"/>
      <c r="AH226" s="178"/>
      <c r="AI226" s="174"/>
      <c r="AJ226" s="179"/>
      <c r="AK226" s="247"/>
      <c r="AL226" s="248"/>
      <c r="AM226" s="294"/>
      <c r="AN226" s="219"/>
      <c r="AO226" s="219"/>
      <c r="AP226" s="219"/>
      <c r="AQ226" s="220"/>
      <c r="AR226" s="221"/>
      <c r="AY226" s="628"/>
      <c r="AZ226" s="470">
        <v>0.75</v>
      </c>
      <c r="BA226" s="466">
        <v>2411450679</v>
      </c>
      <c r="BB226" s="211">
        <v>707</v>
      </c>
      <c r="BC226" s="211">
        <v>670</v>
      </c>
      <c r="BD226" s="211">
        <v>1305</v>
      </c>
      <c r="BE226" s="211">
        <v>728</v>
      </c>
      <c r="BF226" s="211">
        <v>617</v>
      </c>
      <c r="BG226" s="211">
        <v>667</v>
      </c>
      <c r="BH226" s="211">
        <v>2368</v>
      </c>
      <c r="BI226" s="211">
        <v>1948</v>
      </c>
      <c r="BJ226" s="211">
        <v>1078</v>
      </c>
      <c r="BK226" s="211">
        <v>944</v>
      </c>
      <c r="BL226" s="211">
        <v>697</v>
      </c>
      <c r="BM226" s="211">
        <v>570</v>
      </c>
      <c r="BO226" s="28">
        <f t="shared" si="11"/>
        <v>1024.9166666666667</v>
      </c>
      <c r="BP226" s="28">
        <f t="shared" si="12"/>
        <v>12299</v>
      </c>
      <c r="BS226" s="217"/>
      <c r="BT226" s="217"/>
      <c r="BU226" s="134"/>
      <c r="BV226" s="217"/>
      <c r="BW226" s="217"/>
      <c r="BX226" s="217"/>
    </row>
    <row r="227" spans="22:76" x14ac:dyDescent="0.25">
      <c r="V227" s="449" t="str">
        <f>'[1]Strohs Plant in Service'!$C230</f>
        <v>Plant, Other (40)</v>
      </c>
      <c r="W227" s="292" t="str">
        <f>'[1]Strohs Plant in Service'!$D230</f>
        <v>Hydrants - Strohs (472)</v>
      </c>
      <c r="X227" s="293">
        <f>'[1]Strohs Plant in Service'!$E230</f>
        <v>45231</v>
      </c>
      <c r="Y227" s="297">
        <f>'[1]Strohs Plant in Service'!$F230</f>
        <v>3749</v>
      </c>
      <c r="Z227" s="248"/>
      <c r="AA227" s="294">
        <f>'[1]Strohs Plant in Service'!$G$11/12</f>
        <v>6</v>
      </c>
      <c r="AB227" s="219">
        <f>('[1]Strohs Plant in Service'!$G230-'[1]Strohs Plant in Service'!$H230)/12</f>
        <v>23.5</v>
      </c>
      <c r="AC227" s="219">
        <f>'[1]Strohs Plant in Service'!$I230</f>
        <v>93.724999999999994</v>
      </c>
      <c r="AD227" s="219"/>
      <c r="AE227" s="220">
        <f>'[1]Strohs Plant in Service'!$J230</f>
        <v>2210.34</v>
      </c>
      <c r="AF227" s="221">
        <v>1538.6599999999999</v>
      </c>
      <c r="AG227" s="204"/>
      <c r="AH227" s="178"/>
      <c r="AI227" s="174"/>
      <c r="AJ227" s="179"/>
      <c r="AK227" s="247"/>
      <c r="AL227" s="248"/>
      <c r="AM227" s="294"/>
      <c r="AN227" s="219"/>
      <c r="AO227" s="219"/>
      <c r="AP227" s="219"/>
      <c r="AQ227" s="220"/>
      <c r="AR227" s="221"/>
      <c r="AY227" s="628"/>
      <c r="AZ227" s="470">
        <v>0.75</v>
      </c>
      <c r="BA227" s="466">
        <v>2417963973</v>
      </c>
      <c r="BB227" s="211">
        <v>1585</v>
      </c>
      <c r="BC227" s="211">
        <v>465</v>
      </c>
      <c r="BD227" s="211" t="s">
        <v>655</v>
      </c>
      <c r="BE227" s="211">
        <v>199</v>
      </c>
      <c r="BF227" s="211">
        <v>656</v>
      </c>
      <c r="BG227" s="211">
        <v>827</v>
      </c>
      <c r="BH227" s="211">
        <v>2304</v>
      </c>
      <c r="BI227" s="211">
        <v>778</v>
      </c>
      <c r="BJ227" s="211">
        <v>8189</v>
      </c>
      <c r="BK227" s="211">
        <v>500</v>
      </c>
      <c r="BL227" s="211">
        <v>500</v>
      </c>
      <c r="BM227" s="211">
        <v>292</v>
      </c>
      <c r="BO227" s="28">
        <f t="shared" si="11"/>
        <v>1481.3636363636363</v>
      </c>
      <c r="BP227" s="28">
        <f t="shared" si="12"/>
        <v>16295</v>
      </c>
      <c r="BS227" s="217"/>
      <c r="BT227" s="217"/>
      <c r="BU227" s="134"/>
      <c r="BV227" s="217"/>
      <c r="BW227" s="217"/>
      <c r="BX227" s="217"/>
    </row>
    <row r="228" spans="22:76" x14ac:dyDescent="0.25">
      <c r="V228" s="449" t="str">
        <f>'[1]Strohs Plant in Service'!$C231</f>
        <v>Plant, Other (40)</v>
      </c>
      <c r="W228" s="292" t="str">
        <f>'[1]Strohs Plant in Service'!$D231</f>
        <v>Hydrants - Strohs (075)</v>
      </c>
      <c r="X228" s="293">
        <f>'[1]Strohs Plant in Service'!$E231</f>
        <v>45231</v>
      </c>
      <c r="Y228" s="297">
        <f>'[1]Strohs Plant in Service'!$F231</f>
        <v>720</v>
      </c>
      <c r="Z228" s="248"/>
      <c r="AA228" s="294">
        <f>'[1]Strohs Plant in Service'!$G$11/12</f>
        <v>6</v>
      </c>
      <c r="AB228" s="219">
        <f>('[1]Strohs Plant in Service'!$G231-'[1]Strohs Plant in Service'!$H231)/12</f>
        <v>10.916666666666666</v>
      </c>
      <c r="AC228" s="219">
        <f>'[1]Strohs Plant in Service'!$I231</f>
        <v>18</v>
      </c>
      <c r="AD228" s="219"/>
      <c r="AE228" s="220">
        <f>'[1]Strohs Plant in Service'!$J231</f>
        <v>198</v>
      </c>
      <c r="AF228" s="221">
        <v>522</v>
      </c>
      <c r="AG228" s="204"/>
      <c r="AH228" s="178"/>
      <c r="AI228" s="174"/>
      <c r="AJ228" s="179"/>
      <c r="AK228" s="247"/>
      <c r="AL228" s="248"/>
      <c r="AM228" s="294"/>
      <c r="AN228" s="219"/>
      <c r="AO228" s="219"/>
      <c r="AP228" s="219"/>
      <c r="AQ228" s="220"/>
      <c r="AR228" s="221"/>
      <c r="AY228" s="628"/>
      <c r="AZ228" s="470">
        <v>2</v>
      </c>
      <c r="BA228" s="466">
        <v>2435987499</v>
      </c>
      <c r="BB228" s="211">
        <v>1460</v>
      </c>
      <c r="BC228" s="211">
        <v>2540</v>
      </c>
      <c r="BD228" s="211">
        <v>2430</v>
      </c>
      <c r="BE228" s="211">
        <v>3090</v>
      </c>
      <c r="BF228" s="211">
        <v>2800</v>
      </c>
      <c r="BG228" s="211">
        <v>3160</v>
      </c>
      <c r="BH228" s="211">
        <v>9890</v>
      </c>
      <c r="BI228" s="211">
        <v>12970</v>
      </c>
      <c r="BJ228" s="211">
        <v>18215</v>
      </c>
      <c r="BK228" s="211">
        <v>13035</v>
      </c>
      <c r="BL228" s="211">
        <v>5520</v>
      </c>
      <c r="BM228" s="211">
        <v>4160</v>
      </c>
      <c r="BO228" s="28">
        <f t="shared" si="11"/>
        <v>6605.833333333333</v>
      </c>
      <c r="BP228" s="28">
        <f t="shared" si="12"/>
        <v>79270</v>
      </c>
      <c r="BS228" s="217"/>
      <c r="BT228" s="217"/>
      <c r="BU228" s="134"/>
      <c r="BV228" s="217"/>
      <c r="BW228" s="217"/>
      <c r="BX228" s="217"/>
    </row>
    <row r="229" spans="22:76" x14ac:dyDescent="0.25">
      <c r="V229" s="449" t="str">
        <f>'[1]Strohs Plant in Service'!$C232</f>
        <v>Plant, Other (40)</v>
      </c>
      <c r="W229" s="292" t="str">
        <f>'[1]Strohs Plant in Service'!$D232</f>
        <v>Hydrants - Strohs (075)</v>
      </c>
      <c r="X229" s="293">
        <f>'[1]Strohs Plant in Service'!$E232</f>
        <v>45231</v>
      </c>
      <c r="Y229" s="297">
        <f>'[1]Strohs Plant in Service'!$F232</f>
        <v>2900.77</v>
      </c>
      <c r="Z229" s="248"/>
      <c r="AA229" s="294">
        <f>'[1]Strohs Plant in Service'!$G$11/12</f>
        <v>6</v>
      </c>
      <c r="AB229" s="219">
        <f>('[1]Strohs Plant in Service'!$G232-'[1]Strohs Plant in Service'!$H232)/12</f>
        <v>20</v>
      </c>
      <c r="AC229" s="219">
        <f>'[1]Strohs Plant in Service'!$I232</f>
        <v>96.692333333333323</v>
      </c>
      <c r="AD229" s="219"/>
      <c r="AE229" s="220">
        <f>'[1]Strohs Plant in Service'!$J232</f>
        <v>1941.93</v>
      </c>
      <c r="AF229" s="221">
        <v>958.83999999999992</v>
      </c>
      <c r="AG229" s="204"/>
      <c r="AH229" s="178"/>
      <c r="AI229" s="174"/>
      <c r="AJ229" s="179"/>
      <c r="AK229" s="247"/>
      <c r="AL229" s="248"/>
      <c r="AM229" s="294"/>
      <c r="AN229" s="219"/>
      <c r="AO229" s="219"/>
      <c r="AP229" s="219"/>
      <c r="AQ229" s="220"/>
      <c r="AR229" s="221"/>
      <c r="AY229" s="628"/>
      <c r="AZ229" s="470">
        <v>0.75</v>
      </c>
      <c r="BA229" s="466">
        <v>2443170285</v>
      </c>
      <c r="BB229" s="211">
        <v>531</v>
      </c>
      <c r="BC229" s="211">
        <v>510</v>
      </c>
      <c r="BD229" s="211">
        <v>648</v>
      </c>
      <c r="BE229" s="211">
        <v>424</v>
      </c>
      <c r="BF229" s="211">
        <v>2989</v>
      </c>
      <c r="BG229" s="211">
        <v>2580</v>
      </c>
      <c r="BH229" s="211">
        <v>4991</v>
      </c>
      <c r="BI229" s="211">
        <v>6223</v>
      </c>
      <c r="BJ229" s="211">
        <v>4711</v>
      </c>
      <c r="BK229" s="211">
        <v>1506</v>
      </c>
      <c r="BL229" s="211">
        <v>589</v>
      </c>
      <c r="BM229" s="211">
        <v>200</v>
      </c>
      <c r="BO229" s="28">
        <f t="shared" si="11"/>
        <v>2158.5</v>
      </c>
      <c r="BP229" s="28">
        <f t="shared" si="12"/>
        <v>25902</v>
      </c>
      <c r="BS229" s="217"/>
      <c r="BT229" s="217"/>
      <c r="BU229" s="134"/>
      <c r="BV229" s="217"/>
      <c r="BW229" s="217"/>
      <c r="BX229" s="217"/>
    </row>
    <row r="230" spans="22:76" x14ac:dyDescent="0.25">
      <c r="V230" s="449" t="str">
        <f>'[1]Strohs Plant in Service'!$C233</f>
        <v>Plant, Other (40)</v>
      </c>
      <c r="W230" s="292" t="str">
        <f>'[1]Strohs Plant in Service'!$D233</f>
        <v>Hydrants - Strohs (472)</v>
      </c>
      <c r="X230" s="293">
        <f>'[1]Strohs Plant in Service'!$E233</f>
        <v>45231</v>
      </c>
      <c r="Y230" s="297">
        <f>'[1]Strohs Plant in Service'!$F233</f>
        <v>1512.5</v>
      </c>
      <c r="Z230" s="248"/>
      <c r="AA230" s="294">
        <f>'[1]Strohs Plant in Service'!$G$11/12</f>
        <v>6</v>
      </c>
      <c r="AB230" s="219">
        <f>('[1]Strohs Plant in Service'!$G233-'[1]Strohs Plant in Service'!$H233)/12</f>
        <v>19.75</v>
      </c>
      <c r="AC230" s="219">
        <f>'[1]Strohs Plant in Service'!$I233</f>
        <v>50.416666666666671</v>
      </c>
      <c r="AD230" s="219"/>
      <c r="AE230" s="220">
        <f>'[1]Strohs Plant in Service'!$J233</f>
        <v>999.91</v>
      </c>
      <c r="AF230" s="221">
        <v>512.59</v>
      </c>
      <c r="AG230" s="204"/>
      <c r="AH230" s="178"/>
      <c r="AI230" s="174"/>
      <c r="AJ230" s="179"/>
      <c r="AK230" s="247"/>
      <c r="AL230" s="248"/>
      <c r="AM230" s="294"/>
      <c r="AN230" s="219"/>
      <c r="AO230" s="219"/>
      <c r="AP230" s="219"/>
      <c r="AQ230" s="220"/>
      <c r="AR230" s="221"/>
      <c r="AY230" s="628"/>
      <c r="AZ230" s="470">
        <v>0.625</v>
      </c>
      <c r="BA230" s="466">
        <v>2449537183</v>
      </c>
      <c r="BB230" s="211">
        <v>463</v>
      </c>
      <c r="BC230" s="211">
        <v>426</v>
      </c>
      <c r="BD230" s="211">
        <v>425</v>
      </c>
      <c r="BE230" s="211">
        <v>403</v>
      </c>
      <c r="BF230" s="211">
        <v>451</v>
      </c>
      <c r="BG230" s="211">
        <v>413</v>
      </c>
      <c r="BH230" s="211">
        <v>588</v>
      </c>
      <c r="BI230" s="211">
        <v>638</v>
      </c>
      <c r="BJ230" s="211">
        <v>567</v>
      </c>
      <c r="BK230" s="211">
        <v>470</v>
      </c>
      <c r="BL230" s="211">
        <v>370</v>
      </c>
      <c r="BM230" s="211">
        <v>383</v>
      </c>
      <c r="BO230" s="28">
        <f t="shared" si="11"/>
        <v>466.41666666666669</v>
      </c>
      <c r="BP230" s="28">
        <f t="shared" si="12"/>
        <v>5597</v>
      </c>
      <c r="BS230" s="217"/>
      <c r="BT230" s="217"/>
      <c r="BU230" s="134"/>
      <c r="BV230" s="217"/>
      <c r="BW230" s="217"/>
      <c r="BX230" s="217"/>
    </row>
    <row r="231" spans="22:76" x14ac:dyDescent="0.25">
      <c r="V231" s="449" t="str">
        <f>'[1]Strohs Plant in Service'!$C234</f>
        <v>Plant, Other (40)</v>
      </c>
      <c r="W231" s="292" t="str">
        <f>'[1]Strohs Plant in Service'!$D234</f>
        <v>Hydrants - Strohs (075)</v>
      </c>
      <c r="X231" s="293">
        <f>'[1]Strohs Plant in Service'!$E234</f>
        <v>45231</v>
      </c>
      <c r="Y231" s="297">
        <f>'[1]Strohs Plant in Service'!$F234</f>
        <v>2821.5</v>
      </c>
      <c r="Z231" s="248"/>
      <c r="AA231" s="294">
        <f>'[1]Strohs Plant in Service'!$G$11/12</f>
        <v>6</v>
      </c>
      <c r="AB231" s="219">
        <f>('[1]Strohs Plant in Service'!$G234-'[1]Strohs Plant in Service'!$H234)/12</f>
        <v>19.916666666666668</v>
      </c>
      <c r="AC231" s="219">
        <f>'[1]Strohs Plant in Service'!$I234</f>
        <v>94.050000000000011</v>
      </c>
      <c r="AD231" s="219"/>
      <c r="AE231" s="220">
        <f>'[1]Strohs Plant in Service'!$J234</f>
        <v>1881.03</v>
      </c>
      <c r="AF231" s="221">
        <v>940.47</v>
      </c>
      <c r="AG231" s="204"/>
      <c r="AH231" s="178"/>
      <c r="AI231" s="174"/>
      <c r="AJ231" s="179"/>
      <c r="AK231" s="247"/>
      <c r="AL231" s="248"/>
      <c r="AM231" s="294"/>
      <c r="AN231" s="219"/>
      <c r="AO231" s="219"/>
      <c r="AP231" s="219"/>
      <c r="AQ231" s="220"/>
      <c r="AR231" s="221"/>
      <c r="AY231" s="628"/>
      <c r="AZ231" s="470">
        <v>0.75</v>
      </c>
      <c r="BA231" s="466">
        <v>2452334170</v>
      </c>
      <c r="BB231" s="211">
        <v>978</v>
      </c>
      <c r="BC231" s="211">
        <v>1012</v>
      </c>
      <c r="BD231" s="211">
        <v>960</v>
      </c>
      <c r="BE231" s="211">
        <v>4408</v>
      </c>
      <c r="BF231" s="211">
        <v>7030</v>
      </c>
      <c r="BG231" s="211">
        <v>6978</v>
      </c>
      <c r="BH231" s="211">
        <v>11699</v>
      </c>
      <c r="BI231" s="211">
        <v>12524</v>
      </c>
      <c r="BJ231" s="211">
        <v>8454</v>
      </c>
      <c r="BK231" s="211">
        <v>3828</v>
      </c>
      <c r="BL231" s="211">
        <v>1824</v>
      </c>
      <c r="BM231" s="211">
        <v>1322</v>
      </c>
      <c r="BO231" s="28">
        <f t="shared" si="11"/>
        <v>5084.75</v>
      </c>
      <c r="BP231" s="28">
        <f t="shared" si="12"/>
        <v>61017</v>
      </c>
      <c r="BS231" s="217"/>
      <c r="BT231" s="217"/>
      <c r="BU231" s="134"/>
      <c r="BV231" s="217"/>
      <c r="BW231" s="217"/>
      <c r="BX231" s="217"/>
    </row>
    <row r="232" spans="22:76" x14ac:dyDescent="0.25">
      <c r="V232" s="449" t="str">
        <f>'[1]Strohs Plant in Service'!$C235</f>
        <v>Plant, Other (40)</v>
      </c>
      <c r="W232" s="292" t="str">
        <f>'[1]Strohs Plant in Service'!$D235</f>
        <v>Hydrant (CIAC) - Strohs (472)</v>
      </c>
      <c r="X232" s="293">
        <f>'[1]Strohs Plant in Service'!$E235</f>
        <v>45231</v>
      </c>
      <c r="Y232" s="297">
        <f>'[1]Strohs Plant in Service'!$F235</f>
        <v>38098.089999999997</v>
      </c>
      <c r="Z232" s="248"/>
      <c r="AA232" s="294">
        <f>'[1]Strohs Plant in Service'!$G$11/12</f>
        <v>6</v>
      </c>
      <c r="AB232" s="219">
        <f>('[1]Strohs Plant in Service'!$G235-'[1]Strohs Plant in Service'!$H235)/12</f>
        <v>16.916666666666668</v>
      </c>
      <c r="AC232" s="219">
        <f>'[1]Strohs Plant in Service'!$I235</f>
        <v>1269.9363333333331</v>
      </c>
      <c r="AD232" s="219"/>
      <c r="AE232" s="220">
        <f>'[1]Strohs Plant in Service'!$J235</f>
        <v>18457.91</v>
      </c>
      <c r="AF232" s="221">
        <v>19640.179999999997</v>
      </c>
      <c r="AG232" s="204"/>
      <c r="AH232" s="178"/>
      <c r="AI232" s="174"/>
      <c r="AJ232" s="179"/>
      <c r="AK232" s="247"/>
      <c r="AL232" s="248"/>
      <c r="AM232" s="294"/>
      <c r="AN232" s="219"/>
      <c r="AO232" s="219"/>
      <c r="AP232" s="219"/>
      <c r="AQ232" s="220"/>
      <c r="AR232" s="221"/>
      <c r="AY232" s="628"/>
      <c r="AZ232" s="470">
        <v>0.75</v>
      </c>
      <c r="BA232" s="466">
        <v>2453292403</v>
      </c>
      <c r="BB232" s="211">
        <v>185</v>
      </c>
      <c r="BC232" s="211">
        <v>408</v>
      </c>
      <c r="BD232" s="211">
        <v>364</v>
      </c>
      <c r="BE232" s="211">
        <v>438</v>
      </c>
      <c r="BF232" s="211">
        <v>1279</v>
      </c>
      <c r="BG232" s="211">
        <v>4676</v>
      </c>
      <c r="BH232" s="211">
        <v>6816</v>
      </c>
      <c r="BI232" s="211">
        <v>5444</v>
      </c>
      <c r="BJ232" s="211">
        <v>3740</v>
      </c>
      <c r="BK232" s="211">
        <v>1756</v>
      </c>
      <c r="BL232" s="211">
        <v>501</v>
      </c>
      <c r="BM232" s="211">
        <v>600</v>
      </c>
      <c r="BO232" s="28">
        <f t="shared" si="11"/>
        <v>2183.9166666666665</v>
      </c>
      <c r="BP232" s="28">
        <f t="shared" si="12"/>
        <v>26207</v>
      </c>
      <c r="BS232" s="217"/>
      <c r="BT232" s="217"/>
      <c r="BU232" s="134"/>
      <c r="BV232" s="217"/>
      <c r="BW232" s="217"/>
      <c r="BX232" s="217"/>
    </row>
    <row r="233" spans="22:76" x14ac:dyDescent="0.25">
      <c r="V233" s="449" t="str">
        <f>'[1]Strohs Plant in Service'!$C236</f>
        <v>Plant, Other (40)</v>
      </c>
      <c r="W233" s="292" t="str">
        <f>'[1]Strohs Plant in Service'!$D236</f>
        <v>Hydrants - Strohs (472)</v>
      </c>
      <c r="X233" s="293">
        <f>'[1]Strohs Plant in Service'!$E236</f>
        <v>45231</v>
      </c>
      <c r="Y233" s="297">
        <f>'[1]Strohs Plant in Service'!$F236</f>
        <v>9849.07</v>
      </c>
      <c r="Z233" s="248"/>
      <c r="AA233" s="294">
        <f>'[1]Strohs Plant in Service'!$G$11/12</f>
        <v>6</v>
      </c>
      <c r="AB233" s="219">
        <f>('[1]Strohs Plant in Service'!$G236-'[1]Strohs Plant in Service'!$H236)/12</f>
        <v>4.916666666666667</v>
      </c>
      <c r="AC233" s="219">
        <f>'[1]Strohs Plant in Service'!$I236</f>
        <v>328.30233333333331</v>
      </c>
      <c r="AD233" s="219"/>
      <c r="AE233" s="220">
        <f>'[1]Strohs Plant in Service'!$J236</f>
        <v>1641.53</v>
      </c>
      <c r="AF233" s="221">
        <v>8207.5399999999991</v>
      </c>
      <c r="AG233" s="204"/>
      <c r="AH233" s="178"/>
      <c r="AI233" s="174"/>
      <c r="AJ233" s="179"/>
      <c r="AK233" s="247"/>
      <c r="AL233" s="248"/>
      <c r="AM233" s="294"/>
      <c r="AN233" s="219"/>
      <c r="AO233" s="219"/>
      <c r="AP233" s="219"/>
      <c r="AQ233" s="220"/>
      <c r="AR233" s="221"/>
      <c r="AY233" s="628"/>
      <c r="AZ233" s="470">
        <v>0.625</v>
      </c>
      <c r="BA233" s="466">
        <v>2460161416</v>
      </c>
      <c r="BB233" s="211">
        <v>607</v>
      </c>
      <c r="BC233" s="211">
        <v>663</v>
      </c>
      <c r="BD233" s="211">
        <v>717</v>
      </c>
      <c r="BE233" s="211">
        <v>839</v>
      </c>
      <c r="BF233" s="211">
        <v>761</v>
      </c>
      <c r="BG233" s="211">
        <v>859</v>
      </c>
      <c r="BH233" s="211">
        <v>852</v>
      </c>
      <c r="BI233" s="211">
        <v>881</v>
      </c>
      <c r="BJ233" s="211">
        <v>555</v>
      </c>
      <c r="BK233" s="211" t="s">
        <v>655</v>
      </c>
      <c r="BL233" s="211" t="s">
        <v>655</v>
      </c>
      <c r="BM233" s="211" t="s">
        <v>655</v>
      </c>
      <c r="BO233" s="28">
        <f t="shared" si="11"/>
        <v>748.22222222222217</v>
      </c>
      <c r="BP233" s="28">
        <f t="shared" si="12"/>
        <v>6734</v>
      </c>
      <c r="BS233" s="217"/>
      <c r="BT233" s="217"/>
      <c r="BU233" s="134"/>
      <c r="BV233" s="217"/>
      <c r="BW233" s="217"/>
      <c r="BX233" s="217"/>
    </row>
    <row r="234" spans="22:76" x14ac:dyDescent="0.25">
      <c r="V234" s="449" t="str">
        <f>'[1]Strohs Plant in Service'!$C237</f>
        <v>Plant, Other (40)</v>
      </c>
      <c r="W234" s="292" t="str">
        <f>'[1]Strohs Plant in Service'!$D237</f>
        <v>Hydrant (CIAC) - Strohs (075)</v>
      </c>
      <c r="X234" s="293">
        <f>'[1]Strohs Plant in Service'!$E237</f>
        <v>45231</v>
      </c>
      <c r="Y234" s="297">
        <f>'[1]Strohs Plant in Service'!$F237</f>
        <v>20577</v>
      </c>
      <c r="Z234" s="248"/>
      <c r="AA234" s="294">
        <f>'[1]Strohs Plant in Service'!$G$11/12</f>
        <v>6</v>
      </c>
      <c r="AB234" s="219">
        <f>('[1]Strohs Plant in Service'!$G237-'[1]Strohs Plant in Service'!$H237)/12</f>
        <v>3.9166666666666665</v>
      </c>
      <c r="AC234" s="219">
        <f>'[1]Strohs Plant in Service'!$I237</f>
        <v>514.42499999999995</v>
      </c>
      <c r="AD234" s="219"/>
      <c r="AE234" s="220">
        <f>'[1]Strohs Plant in Service'!$J237</f>
        <v>2057.7199999999998</v>
      </c>
      <c r="AF234" s="221">
        <v>18519.28</v>
      </c>
      <c r="AG234" s="204"/>
      <c r="AH234" s="178"/>
      <c r="AI234" s="174"/>
      <c r="AJ234" s="179"/>
      <c r="AK234" s="247"/>
      <c r="AL234" s="248"/>
      <c r="AM234" s="294"/>
      <c r="AN234" s="219"/>
      <c r="AO234" s="219"/>
      <c r="AP234" s="219"/>
      <c r="AQ234" s="220"/>
      <c r="AR234" s="221"/>
      <c r="AY234" s="628"/>
      <c r="AZ234" s="470">
        <v>1</v>
      </c>
      <c r="BA234" s="466">
        <v>2460992025</v>
      </c>
      <c r="BB234" s="211">
        <v>827</v>
      </c>
      <c r="BC234" s="211">
        <v>721</v>
      </c>
      <c r="BD234" s="211">
        <v>1219</v>
      </c>
      <c r="BE234" s="211">
        <v>743</v>
      </c>
      <c r="BF234" s="211">
        <v>3769</v>
      </c>
      <c r="BG234" s="211">
        <v>6100</v>
      </c>
      <c r="BH234" s="211">
        <v>7263</v>
      </c>
      <c r="BI234" s="211">
        <v>6819</v>
      </c>
      <c r="BJ234" s="211">
        <v>5997</v>
      </c>
      <c r="BK234" s="211">
        <v>915</v>
      </c>
      <c r="BL234" s="211">
        <v>517</v>
      </c>
      <c r="BM234" s="211">
        <v>257</v>
      </c>
      <c r="BO234" s="28">
        <f t="shared" si="11"/>
        <v>2928.9166666666665</v>
      </c>
      <c r="BP234" s="28">
        <f t="shared" si="12"/>
        <v>35147</v>
      </c>
      <c r="BS234" s="217"/>
      <c r="BT234" s="217"/>
      <c r="BU234" s="134"/>
      <c r="BV234" s="217"/>
      <c r="BW234" s="217"/>
      <c r="BX234" s="217"/>
    </row>
    <row r="235" spans="22:76" x14ac:dyDescent="0.25">
      <c r="V235" s="449" t="str">
        <f>'[1]Strohs Plant in Service'!$C238</f>
        <v>Plant, Other (40)</v>
      </c>
      <c r="W235" s="292" t="str">
        <f>'[1]Strohs Plant in Service'!$D238</f>
        <v>Hydrants - Strohs (472)</v>
      </c>
      <c r="X235" s="293">
        <f>'[1]Strohs Plant in Service'!$E238</f>
        <v>45231</v>
      </c>
      <c r="Y235" s="297">
        <f>'[1]Strohs Plant in Service'!$F238</f>
        <v>13249.57</v>
      </c>
      <c r="Z235" s="248"/>
      <c r="AA235" s="294">
        <f>'[1]Strohs Plant in Service'!$G$11/12</f>
        <v>6</v>
      </c>
      <c r="AB235" s="219">
        <f>('[1]Strohs Plant in Service'!$G238-'[1]Strohs Plant in Service'!$H238)/12</f>
        <v>1.4166666666666667</v>
      </c>
      <c r="AC235" s="219">
        <f>'[1]Strohs Plant in Service'!$I238</f>
        <v>760.74086124401913</v>
      </c>
      <c r="AD235" s="219"/>
      <c r="AE235" s="220">
        <f>'[1]Strohs Plant in Service'!$J238</f>
        <v>1141.1300000000001</v>
      </c>
      <c r="AF235" s="221">
        <v>12108.439999999999</v>
      </c>
      <c r="AG235" s="204"/>
      <c r="AH235" s="178"/>
      <c r="AI235" s="174"/>
      <c r="AJ235" s="179"/>
      <c r="AK235" s="247"/>
      <c r="AL235" s="248"/>
      <c r="AM235" s="294"/>
      <c r="AN235" s="219"/>
      <c r="AO235" s="219"/>
      <c r="AP235" s="219"/>
      <c r="AQ235" s="220"/>
      <c r="AR235" s="221"/>
      <c r="AY235" s="628"/>
      <c r="AZ235" s="470">
        <v>0.625</v>
      </c>
      <c r="BA235" s="466">
        <v>2471553034</v>
      </c>
      <c r="BB235" s="211" t="s">
        <v>655</v>
      </c>
      <c r="BC235" s="211" t="s">
        <v>655</v>
      </c>
      <c r="BD235" s="211" t="s">
        <v>655</v>
      </c>
      <c r="BE235" s="211" t="s">
        <v>655</v>
      </c>
      <c r="BF235" s="211" t="s">
        <v>655</v>
      </c>
      <c r="BG235" s="211" t="s">
        <v>655</v>
      </c>
      <c r="BH235" s="211" t="s">
        <v>655</v>
      </c>
      <c r="BI235" s="211" t="s">
        <v>655</v>
      </c>
      <c r="BJ235" s="211" t="s">
        <v>655</v>
      </c>
      <c r="BK235" s="211">
        <v>726</v>
      </c>
      <c r="BL235" s="211">
        <v>561</v>
      </c>
      <c r="BM235" s="211">
        <v>522</v>
      </c>
      <c r="BO235" s="28">
        <f t="shared" si="11"/>
        <v>603</v>
      </c>
      <c r="BP235" s="28">
        <f t="shared" si="12"/>
        <v>1809</v>
      </c>
      <c r="BS235" s="217"/>
      <c r="BT235" s="217"/>
      <c r="BU235" s="134"/>
      <c r="BV235" s="217"/>
      <c r="BW235" s="217"/>
      <c r="BX235" s="217"/>
    </row>
    <row r="236" spans="22:76" x14ac:dyDescent="0.25">
      <c r="V236" s="449" t="str">
        <f>'[1]Strohs Plant in Service'!$C239</f>
        <v>Plant, Other (40)</v>
      </c>
      <c r="W236" s="292" t="str">
        <f>'[1]Strohs Plant in Service'!$D239</f>
        <v>Hydrants - Strohs (075)</v>
      </c>
      <c r="X236" s="293">
        <f>'[1]Strohs Plant in Service'!$E239</f>
        <v>45231</v>
      </c>
      <c r="Y236" s="297">
        <f>'[1]Strohs Plant in Service'!$F239</f>
        <v>25671.05</v>
      </c>
      <c r="Z236" s="248"/>
      <c r="AA236" s="294">
        <f>'[1]Strohs Plant in Service'!$G$11/12</f>
        <v>6</v>
      </c>
      <c r="AB236" s="219">
        <f>('[1]Strohs Plant in Service'!$G239-'[1]Strohs Plant in Service'!$H239)/12</f>
        <v>1.4166666666666667</v>
      </c>
      <c r="AC236" s="219">
        <f>'[1]Strohs Plant in Service'!$I239</f>
        <v>1473.9358851674642</v>
      </c>
      <c r="AD236" s="219"/>
      <c r="AE236" s="220">
        <f>'[1]Strohs Plant in Service'!$J239</f>
        <v>2210.9299999999998</v>
      </c>
      <c r="AF236" s="221">
        <v>23460.12</v>
      </c>
      <c r="AG236" s="204"/>
      <c r="AH236" s="178"/>
      <c r="AI236" s="174"/>
      <c r="AJ236" s="179"/>
      <c r="AK236" s="247"/>
      <c r="AL236" s="248"/>
      <c r="AM236" s="294"/>
      <c r="AN236" s="219"/>
      <c r="AO236" s="219"/>
      <c r="AP236" s="219"/>
      <c r="AQ236" s="220"/>
      <c r="AR236" s="221"/>
      <c r="AY236" s="628"/>
      <c r="AZ236" s="470">
        <v>0.75</v>
      </c>
      <c r="BA236" s="466">
        <v>2480284494</v>
      </c>
      <c r="BB236" s="211">
        <v>173</v>
      </c>
      <c r="BC236" s="211">
        <v>129</v>
      </c>
      <c r="BD236" s="211">
        <v>140</v>
      </c>
      <c r="BE236" s="211">
        <v>217</v>
      </c>
      <c r="BF236" s="211">
        <v>346</v>
      </c>
      <c r="BG236" s="211">
        <v>408</v>
      </c>
      <c r="BH236" s="211">
        <v>1442</v>
      </c>
      <c r="BI236" s="211">
        <v>1628</v>
      </c>
      <c r="BJ236" s="211">
        <v>914</v>
      </c>
      <c r="BK236" s="211">
        <v>463</v>
      </c>
      <c r="BL236" s="211">
        <v>376</v>
      </c>
      <c r="BM236" s="211">
        <v>442</v>
      </c>
      <c r="BO236" s="28">
        <f t="shared" si="11"/>
        <v>556.5</v>
      </c>
      <c r="BP236" s="28">
        <f t="shared" si="12"/>
        <v>6678</v>
      </c>
      <c r="BS236" s="217"/>
      <c r="BT236" s="217"/>
      <c r="BU236" s="134"/>
      <c r="BV236" s="217"/>
      <c r="BW236" s="217"/>
      <c r="BX236" s="217"/>
    </row>
    <row r="237" spans="22:76" x14ac:dyDescent="0.25">
      <c r="V237" s="449" t="str">
        <f>'[1]Strohs Plant in Service'!$C240</f>
        <v>Plant, Other (40)</v>
      </c>
      <c r="W237" s="292" t="str">
        <f>'[1]Strohs Plant in Service'!$D240</f>
        <v>Hydrants - Strohs (075)</v>
      </c>
      <c r="X237" s="293">
        <f>'[1]Strohs Plant in Service'!$E240</f>
        <v>45231</v>
      </c>
      <c r="Y237" s="297">
        <f>'[1]Strohs Plant in Service'!$F240</f>
        <v>972.63</v>
      </c>
      <c r="Z237" s="248"/>
      <c r="AA237" s="294">
        <f>'[1]Strohs Plant in Service'!$G$11/12</f>
        <v>6</v>
      </c>
      <c r="AB237" s="219">
        <f>('[1]Strohs Plant in Service'!$G240-'[1]Strohs Plant in Service'!$H240)/12</f>
        <v>1.4166666666666667</v>
      </c>
      <c r="AC237" s="219">
        <f>'[1]Strohs Plant in Service'!$I240</f>
        <v>55.844784688995219</v>
      </c>
      <c r="AD237" s="219"/>
      <c r="AE237" s="220">
        <f>'[1]Strohs Plant in Service'!$J240</f>
        <v>83.72</v>
      </c>
      <c r="AF237" s="221">
        <v>888.91</v>
      </c>
      <c r="AG237" s="204"/>
      <c r="AH237" s="178"/>
      <c r="AI237" s="174"/>
      <c r="AJ237" s="179"/>
      <c r="AK237" s="247"/>
      <c r="AL237" s="248"/>
      <c r="AM237" s="294"/>
      <c r="AN237" s="219"/>
      <c r="AO237" s="219"/>
      <c r="AP237" s="219"/>
      <c r="AQ237" s="220"/>
      <c r="AR237" s="221"/>
      <c r="AY237" s="628"/>
      <c r="AZ237" s="470">
        <v>1</v>
      </c>
      <c r="BA237" s="466">
        <v>2510158695</v>
      </c>
      <c r="BB237" s="211">
        <v>529</v>
      </c>
      <c r="BC237" s="211">
        <v>717</v>
      </c>
      <c r="BD237" s="211">
        <v>675</v>
      </c>
      <c r="BE237" s="211">
        <v>287</v>
      </c>
      <c r="BF237" s="211">
        <v>1723</v>
      </c>
      <c r="BG237" s="211">
        <v>1092</v>
      </c>
      <c r="BH237" s="211">
        <v>7683</v>
      </c>
      <c r="BI237" s="211">
        <v>7374</v>
      </c>
      <c r="BJ237" s="211">
        <v>3702</v>
      </c>
      <c r="BK237" s="211">
        <v>641</v>
      </c>
      <c r="BL237" s="211">
        <v>236</v>
      </c>
      <c r="BM237" s="211">
        <v>685</v>
      </c>
      <c r="BO237" s="28">
        <f t="shared" si="11"/>
        <v>2112</v>
      </c>
      <c r="BP237" s="28">
        <f t="shared" si="12"/>
        <v>25344</v>
      </c>
    </row>
    <row r="238" spans="22:76" x14ac:dyDescent="0.25">
      <c r="V238" s="449" t="str">
        <f>'[1]Strohs Plant in Service'!$C241</f>
        <v>Plant, Other (40)</v>
      </c>
      <c r="W238" s="292" t="str">
        <f>'[1]Strohs Plant in Service'!$D241</f>
        <v>Hydrants - Strohs (472)</v>
      </c>
      <c r="X238" s="293">
        <f>'[1]Strohs Plant in Service'!$E241</f>
        <v>45231</v>
      </c>
      <c r="Y238" s="297">
        <f>'[1]Strohs Plant in Service'!$F241</f>
        <v>3592.51</v>
      </c>
      <c r="Z238" s="248"/>
      <c r="AA238" s="294">
        <f>'[1]Strohs Plant in Service'!$G$11/12</f>
        <v>6</v>
      </c>
      <c r="AB238" s="219">
        <f>('[1]Strohs Plant in Service'!$G241-'[1]Strohs Plant in Service'!$H241)/12</f>
        <v>1.4166666666666667</v>
      </c>
      <c r="AC238" s="219">
        <f>'[1]Strohs Plant in Service'!$I241</f>
        <v>206.26851674641151</v>
      </c>
      <c r="AD238" s="219"/>
      <c r="AE238" s="220">
        <f>'[1]Strohs Plant in Service'!$J241</f>
        <v>309.42</v>
      </c>
      <c r="AF238" s="221">
        <v>3283.09</v>
      </c>
      <c r="AG238" s="204"/>
      <c r="AH238" s="178"/>
      <c r="AI238" s="174"/>
      <c r="AJ238" s="179"/>
      <c r="AK238" s="247"/>
      <c r="AL238" s="248"/>
      <c r="AM238" s="294"/>
      <c r="AN238" s="219"/>
      <c r="AO238" s="219"/>
      <c r="AP238" s="219"/>
      <c r="AQ238" s="220"/>
      <c r="AR238" s="221"/>
      <c r="AY238" s="628"/>
      <c r="AZ238" s="470">
        <v>0.75</v>
      </c>
      <c r="BA238" s="466">
        <v>2535405812</v>
      </c>
      <c r="BB238" s="211">
        <v>4280</v>
      </c>
      <c r="BC238" s="211">
        <v>2220</v>
      </c>
      <c r="BD238" s="211">
        <v>2301</v>
      </c>
      <c r="BE238" s="211" t="s">
        <v>655</v>
      </c>
      <c r="BF238" s="211" t="s">
        <v>655</v>
      </c>
      <c r="BG238" s="211">
        <v>7799</v>
      </c>
      <c r="BH238" s="211">
        <v>2331</v>
      </c>
      <c r="BI238" s="211">
        <v>2435</v>
      </c>
      <c r="BJ238" s="211" t="s">
        <v>655</v>
      </c>
      <c r="BK238" s="211">
        <v>3251</v>
      </c>
      <c r="BL238" s="211">
        <v>320</v>
      </c>
      <c r="BM238" s="211">
        <v>320</v>
      </c>
      <c r="BO238" s="28">
        <f t="shared" si="11"/>
        <v>2806.3333333333335</v>
      </c>
      <c r="BP238" s="28">
        <f t="shared" si="12"/>
        <v>25257</v>
      </c>
    </row>
    <row r="239" spans="22:76" x14ac:dyDescent="0.25">
      <c r="V239" s="449" t="str">
        <f>'[1]Strohs Plant in Service'!$C242</f>
        <v>Plant, Other (40)</v>
      </c>
      <c r="W239" s="292" t="str">
        <f>'[1]Strohs Plant in Service'!$D242</f>
        <v>Hydrants - Strohs (075)</v>
      </c>
      <c r="X239" s="293">
        <f>'[1]Strohs Plant in Service'!$E242</f>
        <v>45231</v>
      </c>
      <c r="Y239" s="297">
        <f>'[1]Strohs Plant in Service'!$F242</f>
        <v>689.95</v>
      </c>
      <c r="Z239" s="248"/>
      <c r="AA239" s="294">
        <f>'[1]Strohs Plant in Service'!$G$11/12</f>
        <v>6</v>
      </c>
      <c r="AB239" s="219">
        <f>('[1]Strohs Plant in Service'!$G242-'[1]Strohs Plant in Service'!$H242)/12</f>
        <v>1.4166666666666667</v>
      </c>
      <c r="AC239" s="219">
        <f>'[1]Strohs Plant in Service'!$I242</f>
        <v>39.614354066985648</v>
      </c>
      <c r="AD239" s="219"/>
      <c r="AE239" s="220">
        <f>'[1]Strohs Plant in Service'!$J242</f>
        <v>59.41</v>
      </c>
      <c r="AF239" s="221">
        <v>630.54000000000008</v>
      </c>
      <c r="AG239" s="204"/>
      <c r="AH239" s="178"/>
      <c r="AI239" s="174"/>
      <c r="AJ239" s="179"/>
      <c r="AK239" s="247"/>
      <c r="AL239" s="248"/>
      <c r="AM239" s="294"/>
      <c r="AN239" s="219"/>
      <c r="AO239" s="219"/>
      <c r="AP239" s="219"/>
      <c r="AQ239" s="220"/>
      <c r="AR239" s="221"/>
      <c r="AY239" s="628"/>
      <c r="AZ239" s="470">
        <v>0.75</v>
      </c>
      <c r="BA239" s="466">
        <v>2593352593</v>
      </c>
      <c r="BB239" s="211">
        <v>317</v>
      </c>
      <c r="BC239" s="211">
        <v>230</v>
      </c>
      <c r="BD239" s="211">
        <v>384</v>
      </c>
      <c r="BE239" s="211">
        <v>327</v>
      </c>
      <c r="BF239" s="211">
        <v>373</v>
      </c>
      <c r="BG239" s="211">
        <v>344</v>
      </c>
      <c r="BH239" s="211">
        <v>137</v>
      </c>
      <c r="BI239" s="211">
        <v>477</v>
      </c>
      <c r="BJ239" s="211">
        <v>633</v>
      </c>
      <c r="BK239" s="211">
        <v>167</v>
      </c>
      <c r="BL239" s="211" t="s">
        <v>655</v>
      </c>
      <c r="BM239" s="211">
        <v>1156</v>
      </c>
      <c r="BO239" s="28">
        <f t="shared" si="11"/>
        <v>413.18181818181819</v>
      </c>
      <c r="BP239" s="28">
        <f t="shared" si="12"/>
        <v>4545</v>
      </c>
    </row>
    <row r="240" spans="22:76" x14ac:dyDescent="0.25">
      <c r="V240" s="449" t="str">
        <f>'[1]Strohs Plant in Service'!$C243</f>
        <v>Plant, Other (40)</v>
      </c>
      <c r="W240" s="292" t="str">
        <f>'[1]Strohs Plant in Service'!$D243</f>
        <v>Hydrants - Strohs (075)</v>
      </c>
      <c r="X240" s="293">
        <f>'[1]Strohs Plant in Service'!$E243</f>
        <v>45231</v>
      </c>
      <c r="Y240" s="297">
        <f>'[1]Strohs Plant in Service'!$F243</f>
        <v>2779.69</v>
      </c>
      <c r="Z240" s="248"/>
      <c r="AA240" s="294">
        <f>'[1]Strohs Plant in Service'!$G$11/12</f>
        <v>6</v>
      </c>
      <c r="AB240" s="219">
        <f>('[1]Strohs Plant in Service'!$G243-'[1]Strohs Plant in Service'!$H243)/12</f>
        <v>1.4166666666666667</v>
      </c>
      <c r="AC240" s="219">
        <f>'[1]Strohs Plant in Service'!$I243</f>
        <v>159.59942583732058</v>
      </c>
      <c r="AD240" s="219"/>
      <c r="AE240" s="220">
        <f>'[1]Strohs Plant in Service'!$J243</f>
        <v>239.4</v>
      </c>
      <c r="AF240" s="221">
        <v>2540.29</v>
      </c>
      <c r="AG240" s="204"/>
      <c r="AH240" s="178"/>
      <c r="AI240" s="174"/>
      <c r="AJ240" s="179"/>
      <c r="AK240" s="247"/>
      <c r="AL240" s="248"/>
      <c r="AM240" s="294"/>
      <c r="AN240" s="219"/>
      <c r="AO240" s="219"/>
      <c r="AP240" s="219"/>
      <c r="AQ240" s="220"/>
      <c r="AR240" s="221"/>
      <c r="AY240" s="628"/>
      <c r="AZ240" s="470">
        <v>0.625</v>
      </c>
      <c r="BA240" s="466">
        <v>2623153733</v>
      </c>
      <c r="BB240" s="211">
        <v>712</v>
      </c>
      <c r="BC240" s="211">
        <v>518</v>
      </c>
      <c r="BD240" s="211">
        <v>554</v>
      </c>
      <c r="BE240" s="211">
        <v>836</v>
      </c>
      <c r="BF240" s="211">
        <v>1138</v>
      </c>
      <c r="BG240" s="211">
        <v>1687</v>
      </c>
      <c r="BH240" s="211">
        <v>3802</v>
      </c>
      <c r="BI240" s="211" t="s">
        <v>655</v>
      </c>
      <c r="BJ240" s="211" t="s">
        <v>655</v>
      </c>
      <c r="BK240" s="211" t="s">
        <v>655</v>
      </c>
      <c r="BL240" s="211" t="s">
        <v>655</v>
      </c>
      <c r="BM240" s="211">
        <v>7259</v>
      </c>
      <c r="BO240" s="28">
        <f t="shared" si="11"/>
        <v>2063.25</v>
      </c>
      <c r="BP240" s="28">
        <f t="shared" si="12"/>
        <v>16506</v>
      </c>
    </row>
    <row r="241" spans="22:68" x14ac:dyDescent="0.25">
      <c r="V241" s="449" t="str">
        <f>'[1]Strohs Plant in Service'!$C244</f>
        <v>Plant, Other (40)</v>
      </c>
      <c r="W241" s="292" t="str">
        <f>'[1]Strohs Plant in Service'!$D244</f>
        <v>Hydrants - Strohs (472)</v>
      </c>
      <c r="X241" s="293">
        <f>'[1]Strohs Plant in Service'!$E244</f>
        <v>45231</v>
      </c>
      <c r="Y241" s="297">
        <f>'[1]Strohs Plant in Service'!$F244</f>
        <v>1449.37</v>
      </c>
      <c r="Z241" s="248"/>
      <c r="AA241" s="294">
        <f>'[1]Strohs Plant in Service'!$G$11/12</f>
        <v>6</v>
      </c>
      <c r="AB241" s="219">
        <f>('[1]Strohs Plant in Service'!$G244-'[1]Strohs Plant in Service'!$H244)/12</f>
        <v>1.4166666666666667</v>
      </c>
      <c r="AC241" s="219">
        <f>'[1]Strohs Plant in Service'!$I244</f>
        <v>83.217416267942582</v>
      </c>
      <c r="AD241" s="219"/>
      <c r="AE241" s="220">
        <f>'[1]Strohs Plant in Service'!$J244</f>
        <v>124.78</v>
      </c>
      <c r="AF241" s="221">
        <v>1324.59</v>
      </c>
      <c r="AG241" s="204"/>
      <c r="AH241" s="178"/>
      <c r="AI241" s="174"/>
      <c r="AJ241" s="179"/>
      <c r="AK241" s="247"/>
      <c r="AL241" s="248"/>
      <c r="AM241" s="294"/>
      <c r="AN241" s="219"/>
      <c r="AO241" s="219"/>
      <c r="AP241" s="219"/>
      <c r="AQ241" s="220"/>
      <c r="AR241" s="221"/>
      <c r="AY241" s="628"/>
      <c r="AZ241" s="470">
        <v>0.75</v>
      </c>
      <c r="BA241" s="466">
        <v>2623364280</v>
      </c>
      <c r="BB241" s="211">
        <v>535</v>
      </c>
      <c r="BC241" s="211">
        <v>2114</v>
      </c>
      <c r="BD241" s="211">
        <v>784</v>
      </c>
      <c r="BE241" s="211">
        <v>1007</v>
      </c>
      <c r="BF241" s="211">
        <v>1244</v>
      </c>
      <c r="BG241" s="211">
        <v>551</v>
      </c>
      <c r="BH241" s="211">
        <v>869</v>
      </c>
      <c r="BI241" s="211">
        <v>9316</v>
      </c>
      <c r="BJ241" s="211">
        <v>1863</v>
      </c>
      <c r="BK241" s="211">
        <v>200</v>
      </c>
      <c r="BL241" s="211">
        <v>220</v>
      </c>
      <c r="BM241" s="211">
        <v>405</v>
      </c>
      <c r="BO241" s="28">
        <f t="shared" si="11"/>
        <v>1592.3333333333333</v>
      </c>
      <c r="BP241" s="28">
        <f t="shared" si="12"/>
        <v>19108</v>
      </c>
    </row>
    <row r="242" spans="22:68" x14ac:dyDescent="0.25">
      <c r="V242" s="449" t="str">
        <f>'[1]Strohs Plant in Service'!$C245</f>
        <v>Plant, Other (40)</v>
      </c>
      <c r="W242" s="292" t="str">
        <f>'[1]Strohs Plant in Service'!$D245</f>
        <v>Hydrants - Strohs (075)</v>
      </c>
      <c r="X242" s="293">
        <f>'[1]Strohs Plant in Service'!$E245</f>
        <v>45231</v>
      </c>
      <c r="Y242" s="297">
        <f>'[1]Strohs Plant in Service'!$F245</f>
        <v>2703.73</v>
      </c>
      <c r="Z242" s="248"/>
      <c r="AA242" s="294">
        <f>'[1]Strohs Plant in Service'!$G$11/12</f>
        <v>6</v>
      </c>
      <c r="AB242" s="219">
        <f>('[1]Strohs Plant in Service'!$G245-'[1]Strohs Plant in Service'!$H245)/12</f>
        <v>1.4166666666666667</v>
      </c>
      <c r="AC242" s="219">
        <f>'[1]Strohs Plant in Service'!$I245</f>
        <v>155.23808612440192</v>
      </c>
      <c r="AD242" s="219"/>
      <c r="AE242" s="220">
        <f>'[1]Strohs Plant in Service'!$J245</f>
        <v>232.9</v>
      </c>
      <c r="AF242" s="221">
        <v>2470.83</v>
      </c>
      <c r="AG242" s="204"/>
      <c r="AH242" s="178"/>
      <c r="AI242" s="174"/>
      <c r="AJ242" s="179"/>
      <c r="AK242" s="247"/>
      <c r="AL242" s="248"/>
      <c r="AM242" s="294"/>
      <c r="AN242" s="219"/>
      <c r="AO242" s="219"/>
      <c r="AP242" s="219"/>
      <c r="AQ242" s="220"/>
      <c r="AR242" s="221"/>
      <c r="AY242" s="628"/>
      <c r="AZ242" s="470">
        <v>0.75</v>
      </c>
      <c r="BA242" s="466">
        <v>2624634023</v>
      </c>
      <c r="BB242" s="211">
        <v>549</v>
      </c>
      <c r="BC242" s="211">
        <v>591</v>
      </c>
      <c r="BD242" s="211">
        <v>533</v>
      </c>
      <c r="BE242" s="211">
        <v>546</v>
      </c>
      <c r="BF242" s="211">
        <v>677</v>
      </c>
      <c r="BG242" s="211">
        <v>2472</v>
      </c>
      <c r="BH242" s="211">
        <v>2528</v>
      </c>
      <c r="BI242" s="211" t="s">
        <v>655</v>
      </c>
      <c r="BJ242" s="211">
        <v>6521</v>
      </c>
      <c r="BK242" s="211">
        <v>2471</v>
      </c>
      <c r="BL242" s="211">
        <v>226</v>
      </c>
      <c r="BM242" s="211" t="s">
        <v>655</v>
      </c>
      <c r="BO242" s="28">
        <f t="shared" si="11"/>
        <v>1711.4</v>
      </c>
      <c r="BP242" s="28">
        <f t="shared" si="12"/>
        <v>17114</v>
      </c>
    </row>
    <row r="243" spans="22:68" x14ac:dyDescent="0.25">
      <c r="V243" s="449" t="str">
        <f>'[1]Strohs Plant in Service'!$C246</f>
        <v>Plant, Other (40)</v>
      </c>
      <c r="W243" s="292" t="str">
        <f>'[1]Strohs Plant in Service'!$D246</f>
        <v>Hydrant (CIAC) - Strohs (472)</v>
      </c>
      <c r="X243" s="293">
        <f>'[1]Strohs Plant in Service'!$E246</f>
        <v>45231</v>
      </c>
      <c r="Y243" s="297">
        <f>'[1]Strohs Plant in Service'!$F246</f>
        <v>30449.47</v>
      </c>
      <c r="Z243" s="248"/>
      <c r="AA243" s="294">
        <f>'[1]Strohs Plant in Service'!$G$11/12</f>
        <v>6</v>
      </c>
      <c r="AB243" s="219">
        <f>('[1]Strohs Plant in Service'!$G246-'[1]Strohs Plant in Service'!$H246)/12</f>
        <v>1.4166666666666667</v>
      </c>
      <c r="AC243" s="219">
        <f>'[1]Strohs Plant in Service'!$I246</f>
        <v>1748.2949282296652</v>
      </c>
      <c r="AD243" s="219"/>
      <c r="AE243" s="220">
        <f>'[1]Strohs Plant in Service'!$J246</f>
        <v>2622.43</v>
      </c>
      <c r="AF243" s="221">
        <v>27827.040000000001</v>
      </c>
      <c r="AG243" s="204"/>
      <c r="AH243" s="178"/>
      <c r="AI243" s="174"/>
      <c r="AJ243" s="179"/>
      <c r="AK243" s="247"/>
      <c r="AL243" s="248"/>
      <c r="AM243" s="294"/>
      <c r="AN243" s="219"/>
      <c r="AO243" s="219"/>
      <c r="AP243" s="219"/>
      <c r="AQ243" s="220"/>
      <c r="AR243" s="221"/>
      <c r="AY243" s="628"/>
      <c r="AZ243" s="470">
        <v>0.75</v>
      </c>
      <c r="BA243" s="466">
        <v>2632134317</v>
      </c>
      <c r="BB243" s="211">
        <v>450</v>
      </c>
      <c r="BC243" s="211">
        <v>465</v>
      </c>
      <c r="BD243" s="211">
        <v>492</v>
      </c>
      <c r="BE243" s="211" t="s">
        <v>655</v>
      </c>
      <c r="BF243" s="211">
        <v>937</v>
      </c>
      <c r="BG243" s="211">
        <v>564</v>
      </c>
      <c r="BH243" s="211">
        <v>501</v>
      </c>
      <c r="BI243" s="211">
        <v>378</v>
      </c>
      <c r="BJ243" s="211">
        <v>453</v>
      </c>
      <c r="BK243" s="211">
        <v>280</v>
      </c>
      <c r="BL243" s="211">
        <v>166</v>
      </c>
      <c r="BM243" s="211">
        <v>593</v>
      </c>
      <c r="BO243" s="28">
        <f t="shared" si="11"/>
        <v>479.90909090909093</v>
      </c>
      <c r="BP243" s="28">
        <f t="shared" si="12"/>
        <v>5279</v>
      </c>
    </row>
    <row r="244" spans="22:68" x14ac:dyDescent="0.25">
      <c r="V244" s="449" t="str">
        <f>'[1]Strohs Plant in Service'!$C247</f>
        <v>Plant, Other (40)</v>
      </c>
      <c r="W244" s="292" t="str">
        <f>'[1]Strohs Plant in Service'!$D247</f>
        <v>Hydrants - Strohs (472)</v>
      </c>
      <c r="X244" s="293">
        <f>'[1]Strohs Plant in Service'!$E247</f>
        <v>45231</v>
      </c>
      <c r="Y244" s="297">
        <f>'[1]Strohs Plant in Service'!$F247</f>
        <v>9437.9599999999991</v>
      </c>
      <c r="Z244" s="248"/>
      <c r="AA244" s="294">
        <f>'[1]Strohs Plant in Service'!$G$11/12</f>
        <v>6</v>
      </c>
      <c r="AB244" s="219">
        <f>('[1]Strohs Plant in Service'!$G247-'[1]Strohs Plant in Service'!$H247)/12</f>
        <v>1.4166666666666667</v>
      </c>
      <c r="AC244" s="219">
        <f>'[1]Strohs Plant in Service'!$I247</f>
        <v>541.89244019138755</v>
      </c>
      <c r="AD244" s="219"/>
      <c r="AE244" s="220">
        <f>'[1]Strohs Plant in Service'!$J247</f>
        <v>812.87</v>
      </c>
      <c r="AF244" s="221">
        <v>8625.0899999999983</v>
      </c>
      <c r="AG244" s="204"/>
      <c r="AH244" s="178"/>
      <c r="AI244" s="174"/>
      <c r="AJ244" s="179"/>
      <c r="AK244" s="247"/>
      <c r="AL244" s="248"/>
      <c r="AM244" s="294"/>
      <c r="AN244" s="219"/>
      <c r="AO244" s="219"/>
      <c r="AP244" s="219"/>
      <c r="AQ244" s="220"/>
      <c r="AR244" s="221"/>
      <c r="AY244" s="628"/>
      <c r="AZ244" s="470">
        <v>0.625</v>
      </c>
      <c r="BA244" s="466">
        <v>2643554232</v>
      </c>
      <c r="BB244" s="211">
        <v>698</v>
      </c>
      <c r="BC244" s="211">
        <v>637</v>
      </c>
      <c r="BD244" s="211">
        <v>680</v>
      </c>
      <c r="BE244" s="211">
        <v>797</v>
      </c>
      <c r="BF244" s="211">
        <v>663</v>
      </c>
      <c r="BG244" s="211">
        <v>599</v>
      </c>
      <c r="BH244" s="211">
        <v>1926</v>
      </c>
      <c r="BI244" s="211">
        <v>2960</v>
      </c>
      <c r="BJ244" s="211">
        <v>3242</v>
      </c>
      <c r="BK244" s="211">
        <v>940</v>
      </c>
      <c r="BL244" s="211" t="s">
        <v>655</v>
      </c>
      <c r="BM244" s="211">
        <v>1388</v>
      </c>
      <c r="BO244" s="28">
        <f t="shared" si="11"/>
        <v>1320.909090909091</v>
      </c>
      <c r="BP244" s="28">
        <f t="shared" si="12"/>
        <v>14530</v>
      </c>
    </row>
    <row r="245" spans="22:68" x14ac:dyDescent="0.25">
      <c r="V245" s="449" t="str">
        <f>'[1]Strohs Plant in Service'!$C248</f>
        <v>Plant, Other (40)</v>
      </c>
      <c r="W245" s="292" t="str">
        <f>'[1]Strohs Plant in Service'!$D248</f>
        <v>Hydrant (CIAC) - Strohs (075)</v>
      </c>
      <c r="X245" s="293">
        <f>'[1]Strohs Plant in Service'!$E248</f>
        <v>45231</v>
      </c>
      <c r="Y245" s="297">
        <f>'[1]Strohs Plant in Service'!$F248</f>
        <v>19718.09</v>
      </c>
      <c r="Z245" s="248"/>
      <c r="AA245" s="294">
        <f>'[1]Strohs Plant in Service'!$G$11/12</f>
        <v>6</v>
      </c>
      <c r="AB245" s="219">
        <f>('[1]Strohs Plant in Service'!$G248-'[1]Strohs Plant in Service'!$H248)/12</f>
        <v>1.4166666666666667</v>
      </c>
      <c r="AC245" s="219">
        <f>'[1]Strohs Plant in Service'!$I248</f>
        <v>1132.1391387559809</v>
      </c>
      <c r="AD245" s="219"/>
      <c r="AE245" s="220">
        <f>'[1]Strohs Plant in Service'!$J248</f>
        <v>1698.2</v>
      </c>
      <c r="AF245" s="221">
        <v>18019.89</v>
      </c>
      <c r="AG245" s="204"/>
      <c r="AH245" s="178"/>
      <c r="AI245" s="174"/>
      <c r="AJ245" s="179"/>
      <c r="AK245" s="247"/>
      <c r="AL245" s="248"/>
      <c r="AM245" s="294"/>
      <c r="AN245" s="219"/>
      <c r="AO245" s="219"/>
      <c r="AP245" s="219"/>
      <c r="AQ245" s="220"/>
      <c r="AR245" s="221"/>
      <c r="AY245" s="628"/>
      <c r="AZ245" s="470">
        <v>0.75</v>
      </c>
      <c r="BA245" s="466">
        <v>2656632359</v>
      </c>
      <c r="BB245" s="211">
        <v>534</v>
      </c>
      <c r="BC245" s="211">
        <v>470</v>
      </c>
      <c r="BD245" s="211">
        <v>552</v>
      </c>
      <c r="BE245" s="211">
        <v>487</v>
      </c>
      <c r="BF245" s="211">
        <v>400</v>
      </c>
      <c r="BG245" s="211">
        <v>537</v>
      </c>
      <c r="BH245" s="211">
        <v>1388</v>
      </c>
      <c r="BI245" s="211">
        <v>1199</v>
      </c>
      <c r="BJ245" s="211">
        <v>988</v>
      </c>
      <c r="BK245" s="211">
        <v>693</v>
      </c>
      <c r="BL245" s="211">
        <v>700</v>
      </c>
      <c r="BM245" s="211">
        <v>208</v>
      </c>
      <c r="BO245" s="28">
        <f t="shared" si="11"/>
        <v>679.66666666666663</v>
      </c>
      <c r="BP245" s="28">
        <f t="shared" si="12"/>
        <v>8156</v>
      </c>
    </row>
    <row r="246" spans="22:68" x14ac:dyDescent="0.25">
      <c r="V246" s="449" t="str">
        <f>'[1]Strohs Plant in Service'!$C249</f>
        <v>Plant, Other (40)</v>
      </c>
      <c r="W246" s="292" t="str">
        <f>'[1]Strohs Plant in Service'!$D249</f>
        <v>Fixed Propane Generator - Strohs, G</v>
      </c>
      <c r="X246" s="293">
        <f>'[1]Strohs Plant in Service'!$E249</f>
        <v>45231</v>
      </c>
      <c r="Y246" s="297">
        <f>'[1]Strohs Plant in Service'!$F249</f>
        <v>823.31</v>
      </c>
      <c r="Z246" s="248"/>
      <c r="AA246" s="294">
        <f>'[1]Strohs Plant in Service'!$G$11/12</f>
        <v>6</v>
      </c>
      <c r="AB246" s="219">
        <f>('[1]Strohs Plant in Service'!$G249-'[1]Strohs Plant in Service'!$H249)/12</f>
        <v>10</v>
      </c>
      <c r="AC246" s="219">
        <f>'[1]Strohs Plant in Service'!$I249</f>
        <v>0</v>
      </c>
      <c r="AD246" s="219"/>
      <c r="AE246" s="220">
        <f>'[1]Strohs Plant in Service'!$J249</f>
        <v>823.31</v>
      </c>
      <c r="AF246" s="221">
        <v>0</v>
      </c>
      <c r="AG246" s="204"/>
      <c r="AH246" s="178"/>
      <c r="AI246" s="174"/>
      <c r="AJ246" s="179"/>
      <c r="AK246" s="247"/>
      <c r="AL246" s="248"/>
      <c r="AM246" s="294"/>
      <c r="AN246" s="219"/>
      <c r="AO246" s="219"/>
      <c r="AP246" s="219"/>
      <c r="AQ246" s="220"/>
      <c r="AR246" s="221"/>
      <c r="AY246" s="628"/>
      <c r="AZ246" s="470">
        <v>0.75</v>
      </c>
      <c r="BA246" s="466">
        <v>2670963369</v>
      </c>
      <c r="BB246" s="211">
        <v>461</v>
      </c>
      <c r="BC246" s="211">
        <v>432</v>
      </c>
      <c r="BD246" s="211">
        <v>124</v>
      </c>
      <c r="BE246" s="211">
        <v>89</v>
      </c>
      <c r="BF246" s="211">
        <v>201</v>
      </c>
      <c r="BG246" s="211">
        <v>931</v>
      </c>
      <c r="BH246" s="211">
        <v>311</v>
      </c>
      <c r="BI246" s="211">
        <v>877</v>
      </c>
      <c r="BJ246" s="211">
        <v>412</v>
      </c>
      <c r="BK246" s="211">
        <v>1</v>
      </c>
      <c r="BL246" s="211">
        <v>561</v>
      </c>
      <c r="BM246" s="211">
        <v>286</v>
      </c>
      <c r="BO246" s="28">
        <f t="shared" si="11"/>
        <v>390.5</v>
      </c>
      <c r="BP246" s="28">
        <f t="shared" si="12"/>
        <v>4686</v>
      </c>
    </row>
    <row r="247" spans="22:68" x14ac:dyDescent="0.25">
      <c r="V247" s="449" t="str">
        <f>'[1]Strohs Plant in Service'!$C250</f>
        <v>Plant, Other (40)</v>
      </c>
      <c r="W247" s="292" t="str">
        <f>'[1]Strohs Plant in Service'!$D250</f>
        <v>Fixed Propane Generator - Strohs, G</v>
      </c>
      <c r="X247" s="293">
        <f>'[1]Strohs Plant in Service'!$E250</f>
        <v>45231</v>
      </c>
      <c r="Y247" s="297">
        <f>'[1]Strohs Plant in Service'!$F250</f>
        <v>338.17</v>
      </c>
      <c r="Z247" s="248"/>
      <c r="AA247" s="294">
        <f>'[1]Strohs Plant in Service'!$G$11/12</f>
        <v>6</v>
      </c>
      <c r="AB247" s="219">
        <f>('[1]Strohs Plant in Service'!$G250-'[1]Strohs Plant in Service'!$H250)/12</f>
        <v>5</v>
      </c>
      <c r="AC247" s="219">
        <f>'[1]Strohs Plant in Service'!$I250</f>
        <v>0</v>
      </c>
      <c r="AD247" s="219"/>
      <c r="AE247" s="220">
        <f>'[1]Strohs Plant in Service'!$J250</f>
        <v>338.17</v>
      </c>
      <c r="AF247" s="221">
        <v>0</v>
      </c>
      <c r="AG247" s="204"/>
      <c r="AH247" s="178"/>
      <c r="AI247" s="174"/>
      <c r="AJ247" s="179"/>
      <c r="AK247" s="247"/>
      <c r="AL247" s="248"/>
      <c r="AM247" s="294"/>
      <c r="AN247" s="219"/>
      <c r="AO247" s="219"/>
      <c r="AP247" s="219"/>
      <c r="AQ247" s="220"/>
      <c r="AR247" s="221"/>
      <c r="AY247" s="628"/>
      <c r="AZ247" s="470">
        <v>0.75</v>
      </c>
      <c r="BA247" s="466">
        <v>2671672239</v>
      </c>
      <c r="BB247" s="211" t="s">
        <v>655</v>
      </c>
      <c r="BC247" s="211" t="s">
        <v>655</v>
      </c>
      <c r="BD247" s="211" t="s">
        <v>655</v>
      </c>
      <c r="BE247" s="211" t="s">
        <v>655</v>
      </c>
      <c r="BF247" s="211" t="s">
        <v>655</v>
      </c>
      <c r="BG247" s="211" t="s">
        <v>655</v>
      </c>
      <c r="BH247" s="211" t="s">
        <v>655</v>
      </c>
      <c r="BI247" s="211" t="s">
        <v>655</v>
      </c>
      <c r="BJ247" s="211" t="s">
        <v>655</v>
      </c>
      <c r="BK247" s="211" t="s">
        <v>655</v>
      </c>
      <c r="BL247" s="211" t="s">
        <v>655</v>
      </c>
      <c r="BM247" s="211" t="s">
        <v>655</v>
      </c>
      <c r="BO247" s="28" t="e">
        <f t="shared" si="11"/>
        <v>#DIV/0!</v>
      </c>
      <c r="BP247" s="28">
        <f t="shared" si="12"/>
        <v>0</v>
      </c>
    </row>
    <row r="248" spans="22:68" x14ac:dyDescent="0.25">
      <c r="V248" s="449" t="str">
        <f>'[1]Strohs Plant in Service'!$C251</f>
        <v>Plant, Other (40)</v>
      </c>
      <c r="W248" s="292" t="str">
        <f>'[1]Strohs Plant in Service'!$D251</f>
        <v>Fixed Propane Generator - Strohs, G</v>
      </c>
      <c r="X248" s="293">
        <f>'[1]Strohs Plant in Service'!$E251</f>
        <v>45231</v>
      </c>
      <c r="Y248" s="297">
        <f>'[1]Strohs Plant in Service'!$F251</f>
        <v>700.49</v>
      </c>
      <c r="Z248" s="248"/>
      <c r="AA248" s="294">
        <f>'[1]Strohs Plant in Service'!$G$11/12</f>
        <v>6</v>
      </c>
      <c r="AB248" s="219">
        <f>('[1]Strohs Plant in Service'!$G251-'[1]Strohs Plant in Service'!$H251)/12</f>
        <v>0.66666666666666663</v>
      </c>
      <c r="AC248" s="219">
        <f>'[1]Strohs Plant in Service'!$I251</f>
        <v>0</v>
      </c>
      <c r="AD248" s="219"/>
      <c r="AE248" s="220">
        <f>'[1]Strohs Plant in Service'!$J251</f>
        <v>700.49</v>
      </c>
      <c r="AF248" s="221">
        <v>0</v>
      </c>
      <c r="AG248" s="204"/>
      <c r="AH248" s="178"/>
      <c r="AI248" s="174"/>
      <c r="AJ248" s="179"/>
      <c r="AK248" s="247"/>
      <c r="AL248" s="248"/>
      <c r="AM248" s="294"/>
      <c r="AN248" s="219"/>
      <c r="AO248" s="219"/>
      <c r="AP248" s="219"/>
      <c r="AQ248" s="220"/>
      <c r="AR248" s="221"/>
      <c r="AY248" s="628"/>
      <c r="AZ248" s="470">
        <v>0.625</v>
      </c>
      <c r="BA248" s="466">
        <v>2699587673</v>
      </c>
      <c r="BB248" s="211">
        <v>1490</v>
      </c>
      <c r="BC248" s="211">
        <v>1302</v>
      </c>
      <c r="BD248" s="211">
        <v>1372</v>
      </c>
      <c r="BE248" s="211" t="s">
        <v>655</v>
      </c>
      <c r="BF248" s="211" t="s">
        <v>655</v>
      </c>
      <c r="BG248" s="211">
        <v>2586</v>
      </c>
      <c r="BH248" s="211" t="s">
        <v>655</v>
      </c>
      <c r="BI248" s="211" t="s">
        <v>655</v>
      </c>
      <c r="BJ248" s="211" t="s">
        <v>655</v>
      </c>
      <c r="BK248" s="211" t="s">
        <v>655</v>
      </c>
      <c r="BL248" s="211">
        <v>1227</v>
      </c>
      <c r="BM248" s="211">
        <v>1040</v>
      </c>
      <c r="BO248" s="28">
        <f t="shared" si="11"/>
        <v>1502.8333333333333</v>
      </c>
      <c r="BP248" s="28">
        <f t="shared" si="12"/>
        <v>9017</v>
      </c>
    </row>
    <row r="249" spans="22:68" x14ac:dyDescent="0.25">
      <c r="V249" s="449" t="str">
        <f>'[1]Strohs Plant in Service'!$C252</f>
        <v>Plant, Other (40)</v>
      </c>
      <c r="W249" s="292" t="str">
        <f>'[1]Strohs Plant in Service'!$D252</f>
        <v>Fixed Propane Generator - Strohs, G</v>
      </c>
      <c r="X249" s="293">
        <f>'[1]Strohs Plant in Service'!$E252</f>
        <v>45231</v>
      </c>
      <c r="Y249" s="297">
        <f>'[1]Strohs Plant in Service'!$F252</f>
        <v>324.05</v>
      </c>
      <c r="Z249" s="248"/>
      <c r="AA249" s="294">
        <f>'[1]Strohs Plant in Service'!$G$11/12</f>
        <v>6</v>
      </c>
      <c r="AB249" s="219">
        <f>('[1]Strohs Plant in Service'!$G252-'[1]Strohs Plant in Service'!$H252)/12</f>
        <v>0.66666666666666663</v>
      </c>
      <c r="AC249" s="219">
        <f>'[1]Strohs Plant in Service'!$I252</f>
        <v>0</v>
      </c>
      <c r="AD249" s="219"/>
      <c r="AE249" s="220">
        <f>'[1]Strohs Plant in Service'!$J252</f>
        <v>324.05</v>
      </c>
      <c r="AF249" s="221">
        <v>0</v>
      </c>
      <c r="AG249" s="204"/>
      <c r="AH249" s="178"/>
      <c r="AI249" s="174"/>
      <c r="AJ249" s="179"/>
      <c r="AK249" s="247"/>
      <c r="AL249" s="248"/>
      <c r="AM249" s="294"/>
      <c r="AN249" s="219"/>
      <c r="AO249" s="219"/>
      <c r="AP249" s="219"/>
      <c r="AQ249" s="220"/>
      <c r="AR249" s="221"/>
      <c r="AY249" s="628"/>
      <c r="AZ249" s="470">
        <v>0.75</v>
      </c>
      <c r="BA249" s="466">
        <v>2720393211</v>
      </c>
      <c r="BB249" s="211">
        <v>415</v>
      </c>
      <c r="BC249" s="211">
        <v>194</v>
      </c>
      <c r="BD249" s="211">
        <v>311</v>
      </c>
      <c r="BE249" s="211" t="s">
        <v>655</v>
      </c>
      <c r="BF249" s="211">
        <v>987</v>
      </c>
      <c r="BG249" s="211">
        <v>995</v>
      </c>
      <c r="BH249" s="211">
        <v>898</v>
      </c>
      <c r="BI249" s="211">
        <v>3582</v>
      </c>
      <c r="BJ249" s="211">
        <v>872</v>
      </c>
      <c r="BK249" s="211">
        <v>744</v>
      </c>
      <c r="BL249" s="211">
        <v>109</v>
      </c>
      <c r="BM249" s="211">
        <v>200</v>
      </c>
      <c r="BO249" s="28">
        <f t="shared" si="11"/>
        <v>846.09090909090912</v>
      </c>
      <c r="BP249" s="28">
        <f t="shared" si="12"/>
        <v>9307</v>
      </c>
    </row>
    <row r="250" spans="22:68" x14ac:dyDescent="0.25">
      <c r="V250" s="449" t="str">
        <f>'[1]Strohs Plant in Service'!$C253</f>
        <v>Plant, Other (40)</v>
      </c>
      <c r="W250" s="292" t="str">
        <f>'[1]Strohs Plant in Service'!$D253</f>
        <v>Winco 30kw portable Diesel Generato</v>
      </c>
      <c r="X250" s="293">
        <f>'[1]Strohs Plant in Service'!$E253</f>
        <v>45231</v>
      </c>
      <c r="Y250" s="297">
        <f>'[1]Strohs Plant in Service'!$F253</f>
        <v>1593.81</v>
      </c>
      <c r="Z250" s="248"/>
      <c r="AA250" s="294">
        <f>'[1]Strohs Plant in Service'!$G$11/12</f>
        <v>6</v>
      </c>
      <c r="AB250" s="219">
        <f>('[1]Strohs Plant in Service'!$G253-'[1]Strohs Plant in Service'!$H253)/12</f>
        <v>10</v>
      </c>
      <c r="AC250" s="219">
        <f>'[1]Strohs Plant in Service'!$I253</f>
        <v>0</v>
      </c>
      <c r="AD250" s="219"/>
      <c r="AE250" s="220">
        <f>'[1]Strohs Plant in Service'!$J253</f>
        <v>1593.81</v>
      </c>
      <c r="AF250" s="221">
        <v>0</v>
      </c>
      <c r="AG250" s="204"/>
      <c r="AH250" s="178"/>
      <c r="AI250" s="174"/>
      <c r="AJ250" s="179"/>
      <c r="AK250" s="247"/>
      <c r="AL250" s="248"/>
      <c r="AM250" s="294"/>
      <c r="AN250" s="219"/>
      <c r="AO250" s="219"/>
      <c r="AP250" s="219"/>
      <c r="AQ250" s="220"/>
      <c r="AR250" s="221"/>
      <c r="AY250" s="628"/>
      <c r="AZ250" s="470">
        <v>1</v>
      </c>
      <c r="BA250" s="466">
        <v>2730166387</v>
      </c>
      <c r="BB250" s="211">
        <v>1562</v>
      </c>
      <c r="BC250" s="211">
        <v>1587</v>
      </c>
      <c r="BD250" s="211">
        <v>1721</v>
      </c>
      <c r="BE250" s="211">
        <v>2037</v>
      </c>
      <c r="BF250" s="211">
        <v>1694</v>
      </c>
      <c r="BG250" s="211">
        <v>2620</v>
      </c>
      <c r="BH250" s="211">
        <v>5979</v>
      </c>
      <c r="BI250" s="211">
        <v>5880</v>
      </c>
      <c r="BJ250" s="211">
        <v>5564</v>
      </c>
      <c r="BK250" s="211">
        <v>2350</v>
      </c>
      <c r="BL250" s="211">
        <v>2417</v>
      </c>
      <c r="BM250" s="211">
        <v>2053</v>
      </c>
      <c r="BO250" s="28">
        <f t="shared" si="11"/>
        <v>2955.3333333333335</v>
      </c>
      <c r="BP250" s="28">
        <f t="shared" si="12"/>
        <v>35464</v>
      </c>
    </row>
    <row r="251" spans="22:68" x14ac:dyDescent="0.25">
      <c r="V251" s="449" t="str">
        <f>'[1]Strohs Plant in Service'!$C254</f>
        <v>Plant, Other (40)</v>
      </c>
      <c r="W251" s="292" t="str">
        <f>'[1]Strohs Plant in Service'!$D254</f>
        <v>Powermate Portable Gas Generator -</v>
      </c>
      <c r="X251" s="293">
        <f>'[1]Strohs Plant in Service'!$E254</f>
        <v>45231</v>
      </c>
      <c r="Y251" s="297">
        <f>'[1]Strohs Plant in Service'!$F254</f>
        <v>395.67</v>
      </c>
      <c r="Z251" s="248"/>
      <c r="AA251" s="294">
        <f>'[1]Strohs Plant in Service'!$G$11/12</f>
        <v>6</v>
      </c>
      <c r="AB251" s="219">
        <f>('[1]Strohs Plant in Service'!$G254-'[1]Strohs Plant in Service'!$H254)/12</f>
        <v>10</v>
      </c>
      <c r="AC251" s="219">
        <f>'[1]Strohs Plant in Service'!$I254</f>
        <v>0</v>
      </c>
      <c r="AD251" s="219"/>
      <c r="AE251" s="220">
        <f>'[1]Strohs Plant in Service'!$J254</f>
        <v>395.67</v>
      </c>
      <c r="AF251" s="221">
        <v>0</v>
      </c>
      <c r="AG251" s="204"/>
      <c r="AH251" s="178"/>
      <c r="AI251" s="174"/>
      <c r="AJ251" s="179"/>
      <c r="AK251" s="247"/>
      <c r="AL251" s="248"/>
      <c r="AM251" s="294"/>
      <c r="AN251" s="219"/>
      <c r="AO251" s="219"/>
      <c r="AP251" s="219"/>
      <c r="AQ251" s="220"/>
      <c r="AR251" s="221"/>
      <c r="AY251" s="628"/>
      <c r="AZ251" s="470">
        <v>1</v>
      </c>
      <c r="BA251" s="466">
        <v>2738518204</v>
      </c>
      <c r="BB251" s="211">
        <v>546</v>
      </c>
      <c r="BC251" s="211">
        <v>488</v>
      </c>
      <c r="BD251" s="211">
        <v>484</v>
      </c>
      <c r="BE251" s="211">
        <v>592</v>
      </c>
      <c r="BF251" s="211">
        <v>512</v>
      </c>
      <c r="BG251" s="211">
        <v>1045</v>
      </c>
      <c r="BH251" s="211">
        <v>3427</v>
      </c>
      <c r="BI251" s="211">
        <v>3048</v>
      </c>
      <c r="BJ251" s="211">
        <v>3264</v>
      </c>
      <c r="BK251" s="211">
        <v>1211</v>
      </c>
      <c r="BL251" s="211">
        <v>437</v>
      </c>
      <c r="BM251" s="211">
        <v>463</v>
      </c>
      <c r="BO251" s="28">
        <f t="shared" si="11"/>
        <v>1293.0833333333333</v>
      </c>
      <c r="BP251" s="28">
        <f t="shared" si="12"/>
        <v>15517</v>
      </c>
    </row>
    <row r="252" spans="22:68" x14ac:dyDescent="0.25">
      <c r="V252" s="449" t="str">
        <f>'[1]Strohs Plant in Service'!$C255</f>
        <v>Plant, Other (40)</v>
      </c>
      <c r="W252" s="292" t="str">
        <f>'[1]Strohs Plant in Service'!$D255</f>
        <v>Portable Generator - Strohs, NW Sho</v>
      </c>
      <c r="X252" s="293">
        <f>'[1]Strohs Plant in Service'!$E255</f>
        <v>45231</v>
      </c>
      <c r="Y252" s="297">
        <f>'[1]Strohs Plant in Service'!$F255</f>
        <v>411.82</v>
      </c>
      <c r="Z252" s="248"/>
      <c r="AA252" s="294">
        <f>'[1]Strohs Plant in Service'!$G$11/12</f>
        <v>6</v>
      </c>
      <c r="AB252" s="219">
        <f>('[1]Strohs Plant in Service'!$G255-'[1]Strohs Plant in Service'!$H255)/12</f>
        <v>10</v>
      </c>
      <c r="AC252" s="219">
        <f>'[1]Strohs Plant in Service'!$I255</f>
        <v>0</v>
      </c>
      <c r="AD252" s="219"/>
      <c r="AE252" s="220">
        <f>'[1]Strohs Plant in Service'!$J255</f>
        <v>411.82</v>
      </c>
      <c r="AF252" s="221">
        <v>0</v>
      </c>
      <c r="AG252" s="204"/>
      <c r="AH252" s="178"/>
      <c r="AI252" s="174"/>
      <c r="AJ252" s="179"/>
      <c r="AK252" s="247"/>
      <c r="AL252" s="248"/>
      <c r="AM252" s="294"/>
      <c r="AN252" s="219"/>
      <c r="AO252" s="219"/>
      <c r="AP252" s="219"/>
      <c r="AQ252" s="220"/>
      <c r="AR252" s="221"/>
      <c r="AY252" s="628"/>
      <c r="AZ252" s="470">
        <v>0.75</v>
      </c>
      <c r="BA252" s="466">
        <v>2749669596</v>
      </c>
      <c r="BB252" s="211">
        <v>140</v>
      </c>
      <c r="BC252" s="211">
        <v>158</v>
      </c>
      <c r="BD252" s="211">
        <v>172</v>
      </c>
      <c r="BE252" s="211">
        <v>150</v>
      </c>
      <c r="BF252" s="211">
        <v>111</v>
      </c>
      <c r="BG252" s="211">
        <v>271</v>
      </c>
      <c r="BH252" s="211">
        <v>225</v>
      </c>
      <c r="BI252" s="211">
        <v>15</v>
      </c>
      <c r="BJ252" s="211">
        <v>216</v>
      </c>
      <c r="BK252" s="211">
        <v>140</v>
      </c>
      <c r="BL252" s="211">
        <v>200</v>
      </c>
      <c r="BM252" s="211">
        <v>187</v>
      </c>
      <c r="BO252" s="28">
        <f t="shared" si="11"/>
        <v>165.41666666666666</v>
      </c>
      <c r="BP252" s="28">
        <f t="shared" si="12"/>
        <v>1985</v>
      </c>
    </row>
    <row r="253" spans="22:68" x14ac:dyDescent="0.25">
      <c r="V253" s="449" t="str">
        <f>'[1]Strohs Plant in Service'!$C256</f>
        <v>Plant, Other (40)</v>
      </c>
      <c r="W253" s="292" t="str">
        <f>'[1]Strohs Plant in Service'!$D256</f>
        <v>Winco 30kw portable Diesel Generato</v>
      </c>
      <c r="X253" s="293">
        <f>'[1]Strohs Plant in Service'!$E256</f>
        <v>45231</v>
      </c>
      <c r="Y253" s="297">
        <f>'[1]Strohs Plant in Service'!$F256</f>
        <v>1344.4</v>
      </c>
      <c r="Z253" s="248"/>
      <c r="AA253" s="294">
        <f>'[1]Strohs Plant in Service'!$G$11/12</f>
        <v>6</v>
      </c>
      <c r="AB253" s="219">
        <f>('[1]Strohs Plant in Service'!$G256-'[1]Strohs Plant in Service'!$H256)/12</f>
        <v>0.83333333333333337</v>
      </c>
      <c r="AC253" s="219">
        <f>'[1]Strohs Plant in Service'!$I256</f>
        <v>0</v>
      </c>
      <c r="AD253" s="219"/>
      <c r="AE253" s="220">
        <f>'[1]Strohs Plant in Service'!$J256</f>
        <v>1344.4</v>
      </c>
      <c r="AF253" s="221">
        <v>0</v>
      </c>
      <c r="AG253" s="204"/>
      <c r="AH253" s="178"/>
      <c r="AI253" s="174"/>
      <c r="AJ253" s="179"/>
      <c r="AK253" s="247"/>
      <c r="AL253" s="248"/>
      <c r="AM253" s="294"/>
      <c r="AN253" s="219"/>
      <c r="AO253" s="219"/>
      <c r="AP253" s="219"/>
      <c r="AQ253" s="220"/>
      <c r="AR253" s="221"/>
      <c r="AY253" s="628"/>
      <c r="AZ253" s="470">
        <v>1</v>
      </c>
      <c r="BA253" s="466">
        <v>2760340589</v>
      </c>
      <c r="BB253" s="211">
        <v>2274</v>
      </c>
      <c r="BC253" s="211">
        <v>2171</v>
      </c>
      <c r="BD253" s="211">
        <v>3028</v>
      </c>
      <c r="BE253" s="211">
        <v>752</v>
      </c>
      <c r="BF253" s="211">
        <v>3188</v>
      </c>
      <c r="BG253" s="211">
        <v>11674</v>
      </c>
      <c r="BH253" s="211">
        <v>19859</v>
      </c>
      <c r="BI253" s="211">
        <v>4743</v>
      </c>
      <c r="BJ253" s="211" t="s">
        <v>655</v>
      </c>
      <c r="BK253" s="211" t="s">
        <v>655</v>
      </c>
      <c r="BL253" s="211" t="s">
        <v>655</v>
      </c>
      <c r="BM253" s="211" t="s">
        <v>655</v>
      </c>
      <c r="BO253" s="28">
        <f t="shared" si="11"/>
        <v>5961.125</v>
      </c>
      <c r="BP253" s="28">
        <f t="shared" si="12"/>
        <v>47689</v>
      </c>
    </row>
    <row r="254" spans="22:68" x14ac:dyDescent="0.25">
      <c r="V254" s="449" t="str">
        <f>'[1]Strohs Plant in Service'!$C257</f>
        <v>Plant, Other (40)</v>
      </c>
      <c r="W254" s="292" t="str">
        <f>'[1]Strohs Plant in Service'!$D257</f>
        <v>Powermate Portable Gas Generator -</v>
      </c>
      <c r="X254" s="293">
        <f>'[1]Strohs Plant in Service'!$E257</f>
        <v>45231</v>
      </c>
      <c r="Y254" s="297">
        <f>'[1]Strohs Plant in Service'!$F257</f>
        <v>379.15</v>
      </c>
      <c r="Z254" s="248"/>
      <c r="AA254" s="294">
        <f>'[1]Strohs Plant in Service'!$G$11/12</f>
        <v>6</v>
      </c>
      <c r="AB254" s="219">
        <f>('[1]Strohs Plant in Service'!$G257-'[1]Strohs Plant in Service'!$H257)/12</f>
        <v>0.83333333333333337</v>
      </c>
      <c r="AC254" s="219">
        <f>'[1]Strohs Plant in Service'!$I257</f>
        <v>0</v>
      </c>
      <c r="AD254" s="219"/>
      <c r="AE254" s="220">
        <f>'[1]Strohs Plant in Service'!$J257</f>
        <v>379.15</v>
      </c>
      <c r="AF254" s="221">
        <v>0</v>
      </c>
      <c r="AG254" s="204"/>
      <c r="AH254" s="178"/>
      <c r="AI254" s="174"/>
      <c r="AJ254" s="179"/>
      <c r="AK254" s="247"/>
      <c r="AL254" s="248"/>
      <c r="AM254" s="294"/>
      <c r="AN254" s="219"/>
      <c r="AO254" s="219"/>
      <c r="AP254" s="219"/>
      <c r="AQ254" s="220"/>
      <c r="AR254" s="221"/>
      <c r="AY254" s="628"/>
      <c r="AZ254" s="470">
        <v>0.75</v>
      </c>
      <c r="BA254" s="466">
        <v>2763296673</v>
      </c>
      <c r="BB254" s="211">
        <v>485</v>
      </c>
      <c r="BC254" s="211">
        <v>365</v>
      </c>
      <c r="BD254" s="211">
        <v>416</v>
      </c>
      <c r="BE254" s="211">
        <v>516</v>
      </c>
      <c r="BF254" s="211">
        <v>1220</v>
      </c>
      <c r="BG254" s="211">
        <v>1455</v>
      </c>
      <c r="BH254" s="211">
        <v>3182</v>
      </c>
      <c r="BI254" s="211">
        <v>2809</v>
      </c>
      <c r="BJ254" s="211">
        <v>2092</v>
      </c>
      <c r="BK254" s="211">
        <v>2284</v>
      </c>
      <c r="BL254" s="211">
        <v>893</v>
      </c>
      <c r="BM254" s="211">
        <v>322</v>
      </c>
      <c r="BO254" s="28">
        <f t="shared" si="11"/>
        <v>1336.5833333333333</v>
      </c>
      <c r="BP254" s="28">
        <f t="shared" si="12"/>
        <v>16039</v>
      </c>
    </row>
    <row r="255" spans="22:68" x14ac:dyDescent="0.25">
      <c r="V255" s="449" t="str">
        <f>'[1]Strohs Plant in Service'!$C258</f>
        <v>Plant, Other (40)</v>
      </c>
      <c r="W255" s="292" t="str">
        <f>'[1]Strohs Plant in Service'!$D258</f>
        <v>Portable Generator - Strohs, NW Sho</v>
      </c>
      <c r="X255" s="293">
        <f>'[1]Strohs Plant in Service'!$E258</f>
        <v>45231</v>
      </c>
      <c r="Y255" s="297">
        <f>'[1]Strohs Plant in Service'!$F258</f>
        <v>394.63</v>
      </c>
      <c r="Z255" s="248"/>
      <c r="AA255" s="294">
        <f>'[1]Strohs Plant in Service'!$G$11/12</f>
        <v>6</v>
      </c>
      <c r="AB255" s="219">
        <f>('[1]Strohs Plant in Service'!$G258-'[1]Strohs Plant in Service'!$H258)/12</f>
        <v>0.66666666666666663</v>
      </c>
      <c r="AC255" s="219">
        <f>'[1]Strohs Plant in Service'!$I258</f>
        <v>0</v>
      </c>
      <c r="AD255" s="219"/>
      <c r="AE255" s="220">
        <f>'[1]Strohs Plant in Service'!$J258</f>
        <v>394.63</v>
      </c>
      <c r="AF255" s="221">
        <v>0</v>
      </c>
      <c r="AG255" s="204"/>
      <c r="AH255" s="178"/>
      <c r="AI255" s="174"/>
      <c r="AJ255" s="179"/>
      <c r="AK255" s="247"/>
      <c r="AL255" s="248"/>
      <c r="AM255" s="294"/>
      <c r="AN255" s="219"/>
      <c r="AO255" s="219"/>
      <c r="AP255" s="219"/>
      <c r="AQ255" s="220"/>
      <c r="AR255" s="221"/>
      <c r="AY255" s="628"/>
      <c r="AZ255" s="470">
        <v>0.75</v>
      </c>
      <c r="BA255" s="466">
        <v>2763509470</v>
      </c>
      <c r="BB255" s="211">
        <v>1165</v>
      </c>
      <c r="BC255" s="211">
        <v>803</v>
      </c>
      <c r="BD255" s="211">
        <v>405</v>
      </c>
      <c r="BE255" s="211">
        <v>1050</v>
      </c>
      <c r="BF255" s="211">
        <v>409</v>
      </c>
      <c r="BG255" s="211">
        <v>1533</v>
      </c>
      <c r="BH255" s="211">
        <v>1431</v>
      </c>
      <c r="BI255" s="211">
        <v>2437</v>
      </c>
      <c r="BJ255" s="211">
        <v>1435</v>
      </c>
      <c r="BK255" s="211">
        <v>720</v>
      </c>
      <c r="BL255" s="211">
        <v>900</v>
      </c>
      <c r="BM255" s="211">
        <v>250</v>
      </c>
      <c r="BO255" s="28">
        <f t="shared" si="11"/>
        <v>1044.8333333333333</v>
      </c>
      <c r="BP255" s="28">
        <f t="shared" si="12"/>
        <v>12538</v>
      </c>
    </row>
    <row r="256" spans="22:68" x14ac:dyDescent="0.25">
      <c r="V256" s="449" t="str">
        <f>'[1]Strohs Plant in Service'!$C259</f>
        <v>Plant, Other (40)</v>
      </c>
      <c r="W256" s="292" t="str">
        <f>'[1]Strohs Plant in Service'!$D259</f>
        <v>Misc Equip - Strohs</v>
      </c>
      <c r="X256" s="293">
        <f>'[1]Strohs Plant in Service'!$E259</f>
        <v>45231</v>
      </c>
      <c r="Y256" s="297">
        <f>'[1]Strohs Plant in Service'!$F259</f>
        <v>6263</v>
      </c>
      <c r="Z256" s="248"/>
      <c r="AA256" s="294">
        <f>'[1]Strohs Plant in Service'!$G$11/12</f>
        <v>6</v>
      </c>
      <c r="AB256" s="219">
        <f>('[1]Strohs Plant in Service'!$G259-'[1]Strohs Plant in Service'!$H259)/12</f>
        <v>16.416666666666668</v>
      </c>
      <c r="AC256" s="219">
        <f>'[1]Strohs Plant in Service'!$I259</f>
        <v>208.76666666666665</v>
      </c>
      <c r="AD256" s="219"/>
      <c r="AE256" s="220">
        <f>'[1]Strohs Plant in Service'!$J259</f>
        <v>3444.69</v>
      </c>
      <c r="AF256" s="221">
        <v>2818.31</v>
      </c>
      <c r="AG256" s="204"/>
      <c r="AH256" s="178"/>
      <c r="AI256" s="174"/>
      <c r="AJ256" s="179"/>
      <c r="AK256" s="247"/>
      <c r="AL256" s="248"/>
      <c r="AM256" s="294"/>
      <c r="AN256" s="219"/>
      <c r="AO256" s="219"/>
      <c r="AP256" s="219"/>
      <c r="AQ256" s="220"/>
      <c r="AR256" s="221"/>
      <c r="AY256" s="628"/>
      <c r="AZ256" s="470">
        <v>0.75</v>
      </c>
      <c r="BA256" s="466">
        <v>2775921275</v>
      </c>
      <c r="BB256" s="211">
        <v>579</v>
      </c>
      <c r="BC256" s="211">
        <v>483</v>
      </c>
      <c r="BD256" s="211">
        <v>423</v>
      </c>
      <c r="BE256" s="211">
        <v>515</v>
      </c>
      <c r="BF256" s="211">
        <v>4502</v>
      </c>
      <c r="BG256" s="211">
        <v>6171</v>
      </c>
      <c r="BH256" s="211">
        <v>2449</v>
      </c>
      <c r="BI256" s="211">
        <v>1002</v>
      </c>
      <c r="BJ256" s="211">
        <v>7688</v>
      </c>
      <c r="BK256" s="211">
        <v>4800</v>
      </c>
      <c r="BL256" s="211">
        <v>1489</v>
      </c>
      <c r="BM256" s="211">
        <v>354</v>
      </c>
      <c r="BO256" s="28">
        <f t="shared" si="11"/>
        <v>2537.9166666666665</v>
      </c>
      <c r="BP256" s="28">
        <f t="shared" si="12"/>
        <v>30455</v>
      </c>
    </row>
    <row r="257" spans="22:68" x14ac:dyDescent="0.25">
      <c r="V257" s="449" t="str">
        <f>'[1]Strohs Plant in Service'!$C260</f>
        <v>Plant, Other (40)</v>
      </c>
      <c r="W257" s="292" t="str">
        <f>'[1]Strohs Plant in Service'!$D260</f>
        <v>Misc Equip (CIAC) - Strohs</v>
      </c>
      <c r="X257" s="293">
        <f>'[1]Strohs Plant in Service'!$E260</f>
        <v>45231</v>
      </c>
      <c r="Y257" s="297">
        <f>'[1]Strohs Plant in Service'!$F260</f>
        <v>8110.24</v>
      </c>
      <c r="Z257" s="248"/>
      <c r="AA257" s="294">
        <f>'[1]Strohs Plant in Service'!$G$11/12</f>
        <v>6</v>
      </c>
      <c r="AB257" s="219">
        <f>('[1]Strohs Plant in Service'!$G260-'[1]Strohs Plant in Service'!$H260)/12</f>
        <v>17.916666666666668</v>
      </c>
      <c r="AC257" s="219">
        <f>'[1]Strohs Plant in Service'!$I260</f>
        <v>270.3413333333333</v>
      </c>
      <c r="AD257" s="219"/>
      <c r="AE257" s="220">
        <f>'[1]Strohs Plant in Service'!$J260</f>
        <v>4866.16</v>
      </c>
      <c r="AF257" s="221">
        <v>3244.08</v>
      </c>
      <c r="AG257" s="204"/>
      <c r="AH257" s="178"/>
      <c r="AI257" s="174"/>
      <c r="AJ257" s="179"/>
      <c r="AK257" s="247"/>
      <c r="AL257" s="248"/>
      <c r="AM257" s="294"/>
      <c r="AN257" s="219"/>
      <c r="AO257" s="219"/>
      <c r="AP257" s="219"/>
      <c r="AQ257" s="220"/>
      <c r="AR257" s="221"/>
      <c r="AY257" s="628"/>
      <c r="AZ257" s="470">
        <v>0.75</v>
      </c>
      <c r="BA257" s="466">
        <v>2833894978</v>
      </c>
      <c r="BB257" s="211">
        <v>282</v>
      </c>
      <c r="BC257" s="211">
        <v>644</v>
      </c>
      <c r="BD257" s="211">
        <v>547</v>
      </c>
      <c r="BE257" s="211">
        <v>636</v>
      </c>
      <c r="BF257" s="211">
        <v>963</v>
      </c>
      <c r="BG257" s="211">
        <v>1596</v>
      </c>
      <c r="BH257" s="211">
        <v>6552</v>
      </c>
      <c r="BI257" s="211">
        <v>5424</v>
      </c>
      <c r="BJ257" s="211">
        <v>4243</v>
      </c>
      <c r="BK257" s="211">
        <v>706</v>
      </c>
      <c r="BL257" s="211">
        <v>529</v>
      </c>
      <c r="BM257" s="211">
        <v>476</v>
      </c>
      <c r="BO257" s="28">
        <f t="shared" si="11"/>
        <v>1883.1666666666667</v>
      </c>
      <c r="BP257" s="28">
        <f t="shared" si="12"/>
        <v>22598</v>
      </c>
    </row>
    <row r="258" spans="22:68" x14ac:dyDescent="0.25">
      <c r="V258" s="449" t="str">
        <f>'[1]Strohs Plant in Service'!$C261</f>
        <v>Plant, Other (40)</v>
      </c>
      <c r="W258" s="292" t="str">
        <f>'[1]Strohs Plant in Service'!$D261</f>
        <v>Misc Equip - Strohs</v>
      </c>
      <c r="X258" s="293">
        <f>'[1]Strohs Plant in Service'!$E261</f>
        <v>45231</v>
      </c>
      <c r="Y258" s="297">
        <f>'[1]Strohs Plant in Service'!$F261</f>
        <v>3108.31</v>
      </c>
      <c r="Z258" s="248"/>
      <c r="AA258" s="294">
        <f>'[1]Strohs Plant in Service'!$G$11/12</f>
        <v>6</v>
      </c>
      <c r="AB258" s="219">
        <f>('[1]Strohs Plant in Service'!$G261-'[1]Strohs Plant in Service'!$H261)/12</f>
        <v>12.916666666666666</v>
      </c>
      <c r="AC258" s="219">
        <f>'[1]Strohs Plant in Service'!$I261</f>
        <v>103.61033333333333</v>
      </c>
      <c r="AD258" s="219"/>
      <c r="AE258" s="220">
        <f>'[1]Strohs Plant in Service'!$J261</f>
        <v>1346.88</v>
      </c>
      <c r="AF258" s="221">
        <v>1761.4299999999998</v>
      </c>
      <c r="AG258" s="204"/>
      <c r="AH258" s="178"/>
      <c r="AI258" s="174"/>
      <c r="AJ258" s="179"/>
      <c r="AK258" s="247"/>
      <c r="AL258" s="248"/>
      <c r="AM258" s="294"/>
      <c r="AN258" s="219"/>
      <c r="AO258" s="219"/>
      <c r="AP258" s="219"/>
      <c r="AQ258" s="220"/>
      <c r="AR258" s="221"/>
      <c r="AY258" s="628"/>
      <c r="AZ258" s="470">
        <v>0.75</v>
      </c>
      <c r="BA258" s="466">
        <v>2850312247</v>
      </c>
      <c r="BB258" s="211">
        <v>568</v>
      </c>
      <c r="BC258" s="211">
        <v>513</v>
      </c>
      <c r="BD258" s="211">
        <v>573</v>
      </c>
      <c r="BE258" s="211">
        <v>678</v>
      </c>
      <c r="BF258" s="211">
        <v>689</v>
      </c>
      <c r="BG258" s="211">
        <v>1134</v>
      </c>
      <c r="BH258" s="211">
        <v>2575</v>
      </c>
      <c r="BI258" s="211">
        <v>2181</v>
      </c>
      <c r="BJ258" s="211">
        <v>2949</v>
      </c>
      <c r="BK258" s="211">
        <v>817</v>
      </c>
      <c r="BL258" s="211">
        <v>479</v>
      </c>
      <c r="BM258" s="211">
        <v>500</v>
      </c>
      <c r="BO258" s="28">
        <f t="shared" si="11"/>
        <v>1138</v>
      </c>
      <c r="BP258" s="28">
        <f t="shared" si="12"/>
        <v>13656</v>
      </c>
    </row>
    <row r="259" spans="22:68" x14ac:dyDescent="0.25">
      <c r="V259" s="449" t="str">
        <f>'[1]Strohs Plant in Service'!$C262</f>
        <v>Plant, Other (40)</v>
      </c>
      <c r="W259" s="292" t="str">
        <f>'[1]Strohs Plant in Service'!$D262</f>
        <v>Misc Equip - Strohs</v>
      </c>
      <c r="X259" s="293">
        <f>'[1]Strohs Plant in Service'!$E262</f>
        <v>45231</v>
      </c>
      <c r="Y259" s="297">
        <f>'[1]Strohs Plant in Service'!$F262</f>
        <v>798.07</v>
      </c>
      <c r="Z259" s="248"/>
      <c r="AA259" s="294">
        <f>'[1]Strohs Plant in Service'!$G$11/12</f>
        <v>6</v>
      </c>
      <c r="AB259" s="219">
        <f>('[1]Strohs Plant in Service'!$G262-'[1]Strohs Plant in Service'!$H262)/12</f>
        <v>12.916666666666666</v>
      </c>
      <c r="AC259" s="219">
        <f>'[1]Strohs Plant in Service'!$I262</f>
        <v>26.602333333333334</v>
      </c>
      <c r="AD259" s="219"/>
      <c r="AE259" s="220">
        <f>'[1]Strohs Plant in Service'!$J262</f>
        <v>345.87</v>
      </c>
      <c r="AF259" s="221">
        <v>452.20000000000005</v>
      </c>
      <c r="AG259" s="204"/>
      <c r="AH259" s="178"/>
      <c r="AI259" s="174"/>
      <c r="AJ259" s="179"/>
      <c r="AK259" s="247"/>
      <c r="AL259" s="248"/>
      <c r="AM259" s="294"/>
      <c r="AN259" s="219"/>
      <c r="AO259" s="219"/>
      <c r="AP259" s="219"/>
      <c r="AQ259" s="220"/>
      <c r="AR259" s="221"/>
      <c r="AY259" s="628"/>
      <c r="AZ259" s="470">
        <v>1</v>
      </c>
      <c r="BA259" s="466">
        <v>2860194151</v>
      </c>
      <c r="BB259" s="211">
        <v>940</v>
      </c>
      <c r="BC259" s="211">
        <v>1272</v>
      </c>
      <c r="BD259" s="211">
        <v>265</v>
      </c>
      <c r="BE259" s="211">
        <v>1516</v>
      </c>
      <c r="BF259" s="211">
        <v>1014</v>
      </c>
      <c r="BG259" s="211">
        <v>4452</v>
      </c>
      <c r="BH259" s="211">
        <v>7888</v>
      </c>
      <c r="BI259" s="211">
        <v>7023</v>
      </c>
      <c r="BJ259" s="211">
        <v>8200</v>
      </c>
      <c r="BK259" s="211">
        <v>288</v>
      </c>
      <c r="BL259" s="211">
        <v>177</v>
      </c>
      <c r="BM259" s="211">
        <v>305</v>
      </c>
      <c r="BO259" s="28">
        <f t="shared" si="11"/>
        <v>2778.3333333333335</v>
      </c>
      <c r="BP259" s="28">
        <f t="shared" si="12"/>
        <v>33340</v>
      </c>
    </row>
    <row r="260" spans="22:68" x14ac:dyDescent="0.25">
      <c r="V260" s="449" t="str">
        <f>'[1]Strohs Plant in Service'!$C263</f>
        <v>Plant, Other (40)</v>
      </c>
      <c r="W260" s="292" t="str">
        <f>'[1]Strohs Plant in Service'!$D263</f>
        <v>Misc Equip - Strohs</v>
      </c>
      <c r="X260" s="293">
        <f>'[1]Strohs Plant in Service'!$E263</f>
        <v>45231</v>
      </c>
      <c r="Y260" s="297">
        <f>'[1]Strohs Plant in Service'!$F263</f>
        <v>4953.8999999999996</v>
      </c>
      <c r="Z260" s="248"/>
      <c r="AA260" s="294">
        <f>'[1]Strohs Plant in Service'!$G$11/12</f>
        <v>6</v>
      </c>
      <c r="AB260" s="219">
        <f>('[1]Strohs Plant in Service'!$G263-'[1]Strohs Plant in Service'!$H263)/12</f>
        <v>12.916666666666666</v>
      </c>
      <c r="AC260" s="219">
        <f>'[1]Strohs Plant in Service'!$I263</f>
        <v>165.13</v>
      </c>
      <c r="AD260" s="219"/>
      <c r="AE260" s="220">
        <f>'[1]Strohs Plant in Service'!$J263</f>
        <v>2146.6799999999998</v>
      </c>
      <c r="AF260" s="221">
        <v>2807.22</v>
      </c>
      <c r="AG260" s="204"/>
      <c r="AH260" s="178"/>
      <c r="AI260" s="174"/>
      <c r="AJ260" s="179"/>
      <c r="AK260" s="247"/>
      <c r="AL260" s="248"/>
      <c r="AM260" s="294"/>
      <c r="AN260" s="219"/>
      <c r="AO260" s="219"/>
      <c r="AP260" s="219"/>
      <c r="AQ260" s="220"/>
      <c r="AR260" s="221"/>
      <c r="AY260" s="628"/>
      <c r="AZ260" s="470">
        <v>0.75</v>
      </c>
      <c r="BA260" s="466">
        <v>2865864119</v>
      </c>
      <c r="BB260" s="211">
        <v>168</v>
      </c>
      <c r="BC260" s="211">
        <v>186</v>
      </c>
      <c r="BD260" s="211">
        <v>227</v>
      </c>
      <c r="BE260" s="211">
        <v>218</v>
      </c>
      <c r="BF260" s="211">
        <v>204</v>
      </c>
      <c r="BG260" s="211">
        <v>175</v>
      </c>
      <c r="BH260" s="211">
        <v>195</v>
      </c>
      <c r="BI260" s="211">
        <v>430</v>
      </c>
      <c r="BJ260" s="211">
        <v>180</v>
      </c>
      <c r="BK260" s="211">
        <v>361</v>
      </c>
      <c r="BL260" s="211">
        <v>122</v>
      </c>
      <c r="BM260" s="211">
        <v>145</v>
      </c>
      <c r="BO260" s="28">
        <f t="shared" si="11"/>
        <v>217.58333333333334</v>
      </c>
      <c r="BP260" s="28">
        <f t="shared" si="12"/>
        <v>2611</v>
      </c>
    </row>
    <row r="261" spans="22:68" x14ac:dyDescent="0.25">
      <c r="V261" s="449" t="str">
        <f>'[1]Strohs Plant in Service'!$C264</f>
        <v>Plant, Other (40)</v>
      </c>
      <c r="W261" s="292" t="str">
        <f>'[1]Strohs Plant in Service'!$D264</f>
        <v>Misc Equip - Strohs</v>
      </c>
      <c r="X261" s="293">
        <f>'[1]Strohs Plant in Service'!$E264</f>
        <v>45231</v>
      </c>
      <c r="Y261" s="297">
        <f>'[1]Strohs Plant in Service'!$F264</f>
        <v>1438.32</v>
      </c>
      <c r="Z261" s="248"/>
      <c r="AA261" s="294">
        <f>'[1]Strohs Plant in Service'!$G$11/12</f>
        <v>6</v>
      </c>
      <c r="AB261" s="219">
        <f>('[1]Strohs Plant in Service'!$G264-'[1]Strohs Plant in Service'!$H264)/12</f>
        <v>12.916666666666666</v>
      </c>
      <c r="AC261" s="219">
        <f>'[1]Strohs Plant in Service'!$I264</f>
        <v>47.943999999999996</v>
      </c>
      <c r="AD261" s="219"/>
      <c r="AE261" s="220">
        <f>'[1]Strohs Plant in Service'!$J264</f>
        <v>623.33000000000004</v>
      </c>
      <c r="AF261" s="221">
        <v>814.9899999999999</v>
      </c>
      <c r="AG261" s="204"/>
      <c r="AH261" s="178"/>
      <c r="AI261" s="174"/>
      <c r="AJ261" s="179"/>
      <c r="AK261" s="247"/>
      <c r="AL261" s="248"/>
      <c r="AM261" s="294"/>
      <c r="AN261" s="219"/>
      <c r="AO261" s="219"/>
      <c r="AP261" s="219"/>
      <c r="AQ261" s="220"/>
      <c r="AR261" s="221"/>
      <c r="AY261" s="628"/>
      <c r="AZ261" s="470">
        <v>0.75</v>
      </c>
      <c r="BA261" s="466">
        <v>2867700827</v>
      </c>
      <c r="BB261" s="211">
        <v>121</v>
      </c>
      <c r="BC261" s="211">
        <v>608</v>
      </c>
      <c r="BD261" s="211">
        <v>392</v>
      </c>
      <c r="BE261" s="211">
        <v>415</v>
      </c>
      <c r="BF261" s="211">
        <v>617</v>
      </c>
      <c r="BG261" s="211">
        <v>1919</v>
      </c>
      <c r="BH261" s="211">
        <v>4915</v>
      </c>
      <c r="BI261" s="211">
        <v>3527</v>
      </c>
      <c r="BJ261" s="211">
        <v>4952</v>
      </c>
      <c r="BK261" s="211">
        <v>4776</v>
      </c>
      <c r="BL261" s="211">
        <v>700</v>
      </c>
      <c r="BM261" s="211">
        <v>155</v>
      </c>
      <c r="BO261" s="28">
        <f t="shared" si="11"/>
        <v>1924.75</v>
      </c>
      <c r="BP261" s="28">
        <f t="shared" si="12"/>
        <v>23097</v>
      </c>
    </row>
    <row r="262" spans="22:68" x14ac:dyDescent="0.25">
      <c r="V262" s="449" t="str">
        <f>'[1]Strohs Plant in Service'!$C265</f>
        <v>Plant, Other (40)</v>
      </c>
      <c r="W262" s="292" t="str">
        <f>'[1]Strohs Plant in Service'!$D265</f>
        <v>Misc Equip - Strohs, HBR Cov Church</v>
      </c>
      <c r="X262" s="293">
        <f>'[1]Strohs Plant in Service'!$E265</f>
        <v>45231</v>
      </c>
      <c r="Y262" s="297">
        <f>'[1]Strohs Plant in Service'!$F265</f>
        <v>16833.39</v>
      </c>
      <c r="Z262" s="248"/>
      <c r="AA262" s="294">
        <f>'[1]Strohs Plant in Service'!$G$11/12</f>
        <v>6</v>
      </c>
      <c r="AB262" s="219">
        <f>('[1]Strohs Plant in Service'!$G265-'[1]Strohs Plant in Service'!$H265)/12</f>
        <v>11.916666666666666</v>
      </c>
      <c r="AC262" s="219">
        <f>'[1]Strohs Plant in Service'!$I265</f>
        <v>561.11300000000006</v>
      </c>
      <c r="AD262" s="219"/>
      <c r="AE262" s="220">
        <f>'[1]Strohs Plant in Service'!$J265</f>
        <v>5495.69</v>
      </c>
      <c r="AF262" s="221">
        <v>11337.7</v>
      </c>
      <c r="AG262" s="204"/>
      <c r="AH262" s="178"/>
      <c r="AI262" s="174"/>
      <c r="AJ262" s="179"/>
      <c r="AK262" s="247"/>
      <c r="AL262" s="248"/>
      <c r="AM262" s="294"/>
      <c r="AN262" s="219"/>
      <c r="AO262" s="219"/>
      <c r="AP262" s="219"/>
      <c r="AQ262" s="220"/>
      <c r="AR262" s="221"/>
      <c r="AY262" s="628"/>
      <c r="AZ262" s="470">
        <v>0.75</v>
      </c>
      <c r="BA262" s="466">
        <v>2872046259</v>
      </c>
      <c r="BB262" s="211">
        <v>179</v>
      </c>
      <c r="BC262" s="211">
        <v>42</v>
      </c>
      <c r="BD262" s="211">
        <v>318</v>
      </c>
      <c r="BE262" s="211">
        <v>132</v>
      </c>
      <c r="BF262" s="211">
        <v>458</v>
      </c>
      <c r="BG262" s="211">
        <v>428</v>
      </c>
      <c r="BH262" s="211">
        <v>2121</v>
      </c>
      <c r="BI262" s="211">
        <v>1276</v>
      </c>
      <c r="BJ262" s="211">
        <v>830</v>
      </c>
      <c r="BK262" s="211">
        <v>250</v>
      </c>
      <c r="BL262" s="211">
        <v>200</v>
      </c>
      <c r="BM262" s="211">
        <v>145</v>
      </c>
      <c r="BO262" s="28">
        <f t="shared" si="11"/>
        <v>531.58333333333337</v>
      </c>
      <c r="BP262" s="28">
        <f t="shared" si="12"/>
        <v>6379</v>
      </c>
    </row>
    <row r="263" spans="22:68" x14ac:dyDescent="0.25">
      <c r="V263" s="449" t="str">
        <f>'[1]Strohs Plant in Service'!$C266</f>
        <v>Plant, Other (40)</v>
      </c>
      <c r="W263" s="292" t="str">
        <f>'[1]Strohs Plant in Service'!$D266</f>
        <v>Misc Equip - Strohs</v>
      </c>
      <c r="X263" s="293">
        <f>'[1]Strohs Plant in Service'!$E266</f>
        <v>45231</v>
      </c>
      <c r="Y263" s="297">
        <f>'[1]Strohs Plant in Service'!$F266</f>
        <v>2073.08</v>
      </c>
      <c r="Z263" s="248"/>
      <c r="AA263" s="294">
        <f>'[1]Strohs Plant in Service'!$G$11/12</f>
        <v>6</v>
      </c>
      <c r="AB263" s="219">
        <f>('[1]Strohs Plant in Service'!$G266-'[1]Strohs Plant in Service'!$H266)/12</f>
        <v>11.916666666666666</v>
      </c>
      <c r="AC263" s="219">
        <f>'[1]Strohs Plant in Service'!$I266</f>
        <v>69.102666666666664</v>
      </c>
      <c r="AD263" s="219"/>
      <c r="AE263" s="220">
        <f>'[1]Strohs Plant in Service'!$J266</f>
        <v>829.25</v>
      </c>
      <c r="AF263" s="221">
        <v>1243.83</v>
      </c>
      <c r="AG263" s="204"/>
      <c r="AH263" s="178"/>
      <c r="AI263" s="174"/>
      <c r="AJ263" s="179"/>
      <c r="AK263" s="247"/>
      <c r="AL263" s="248"/>
      <c r="AM263" s="294"/>
      <c r="AN263" s="219"/>
      <c r="AO263" s="219"/>
      <c r="AP263" s="219"/>
      <c r="AQ263" s="220"/>
      <c r="AR263" s="221"/>
      <c r="AY263" s="628"/>
      <c r="AZ263" s="470">
        <v>0.625</v>
      </c>
      <c r="BA263" s="466">
        <v>2878213905</v>
      </c>
      <c r="BB263" s="211">
        <v>127</v>
      </c>
      <c r="BC263" s="211">
        <v>274</v>
      </c>
      <c r="BD263" s="211">
        <v>303</v>
      </c>
      <c r="BE263" s="211">
        <v>298</v>
      </c>
      <c r="BF263" s="211">
        <v>254</v>
      </c>
      <c r="BG263" s="211">
        <v>298</v>
      </c>
      <c r="BH263" s="211">
        <v>370</v>
      </c>
      <c r="BI263" s="211">
        <v>320</v>
      </c>
      <c r="BJ263" s="211">
        <v>148</v>
      </c>
      <c r="BK263" s="211" t="s">
        <v>655</v>
      </c>
      <c r="BL263" s="211" t="s">
        <v>655</v>
      </c>
      <c r="BM263" s="211" t="s">
        <v>655</v>
      </c>
      <c r="BO263" s="28">
        <f t="shared" si="11"/>
        <v>265.77777777777777</v>
      </c>
      <c r="BP263" s="28">
        <f t="shared" si="12"/>
        <v>2392</v>
      </c>
    </row>
    <row r="264" spans="22:68" x14ac:dyDescent="0.25">
      <c r="V264" s="449" t="str">
        <f>'[1]Strohs Plant in Service'!$C267</f>
        <v>Plant, Other (40)</v>
      </c>
      <c r="W264" s="292" t="str">
        <f>'[1]Strohs Plant in Service'!$D267</f>
        <v>Sample Station - Strohs</v>
      </c>
      <c r="X264" s="293">
        <f>'[1]Strohs Plant in Service'!$E267</f>
        <v>45231</v>
      </c>
      <c r="Y264" s="297">
        <f>'[1]Strohs Plant in Service'!$F267</f>
        <v>1252.0999999999999</v>
      </c>
      <c r="Z264" s="248"/>
      <c r="AA264" s="294">
        <f>'[1]Strohs Plant in Service'!$G$11/12</f>
        <v>6</v>
      </c>
      <c r="AB264" s="219">
        <f>('[1]Strohs Plant in Service'!$G267-'[1]Strohs Plant in Service'!$H267)/12</f>
        <v>11.916666666666666</v>
      </c>
      <c r="AC264" s="219">
        <f>'[1]Strohs Plant in Service'!$I267</f>
        <v>41.736666666666665</v>
      </c>
      <c r="AD264" s="219"/>
      <c r="AE264" s="220">
        <f>'[1]Strohs Plant in Service'!$J267</f>
        <v>500.87</v>
      </c>
      <c r="AF264" s="221">
        <v>751.2299999999999</v>
      </c>
      <c r="AG264" s="204"/>
      <c r="AH264" s="178"/>
      <c r="AI264" s="174"/>
      <c r="AJ264" s="179"/>
      <c r="AK264" s="247"/>
      <c r="AL264" s="248"/>
      <c r="AM264" s="294"/>
      <c r="AN264" s="219"/>
      <c r="AO264" s="219"/>
      <c r="AP264" s="219"/>
      <c r="AQ264" s="220"/>
      <c r="AR264" s="221"/>
      <c r="AY264" s="628"/>
      <c r="AZ264" s="470">
        <v>0.75</v>
      </c>
      <c r="BA264" s="466">
        <v>2889790861</v>
      </c>
      <c r="BB264" s="211">
        <v>346</v>
      </c>
      <c r="BC264" s="211">
        <v>53</v>
      </c>
      <c r="BD264" s="211">
        <v>188</v>
      </c>
      <c r="BE264" s="211">
        <v>196</v>
      </c>
      <c r="BF264" s="211">
        <v>1259</v>
      </c>
      <c r="BG264" s="211">
        <v>818</v>
      </c>
      <c r="BH264" s="211">
        <v>3785</v>
      </c>
      <c r="BI264" s="211">
        <v>4190</v>
      </c>
      <c r="BJ264" s="211">
        <v>2702</v>
      </c>
      <c r="BK264" s="211">
        <v>73</v>
      </c>
      <c r="BL264" s="211">
        <v>677</v>
      </c>
      <c r="BM264" s="211">
        <v>55</v>
      </c>
      <c r="BO264" s="28">
        <f t="shared" si="11"/>
        <v>1195.1666666666667</v>
      </c>
      <c r="BP264" s="28">
        <f t="shared" si="12"/>
        <v>14342</v>
      </c>
    </row>
    <row r="265" spans="22:68" x14ac:dyDescent="0.25">
      <c r="V265" s="449" t="str">
        <f>'[1]Strohs Plant in Service'!$C268</f>
        <v>Plant, Other (40)</v>
      </c>
      <c r="W265" s="292" t="str">
        <f>'[1]Strohs Plant in Service'!$D268</f>
        <v>Misc Equip - Strohs</v>
      </c>
      <c r="X265" s="293">
        <f>'[1]Strohs Plant in Service'!$E268</f>
        <v>45231</v>
      </c>
      <c r="Y265" s="297">
        <f>'[1]Strohs Plant in Service'!$F268</f>
        <v>6001.57</v>
      </c>
      <c r="Z265" s="248"/>
      <c r="AA265" s="294">
        <f>'[1]Strohs Plant in Service'!$G$11/12</f>
        <v>6</v>
      </c>
      <c r="AB265" s="219">
        <f>('[1]Strohs Plant in Service'!$G268-'[1]Strohs Plant in Service'!$H268)/12</f>
        <v>1.4166666666666667</v>
      </c>
      <c r="AC265" s="219">
        <f>'[1]Strohs Plant in Service'!$I268</f>
        <v>338.11661971830983</v>
      </c>
      <c r="AD265" s="219"/>
      <c r="AE265" s="220">
        <f>'[1]Strohs Plant in Service'!$J268</f>
        <v>507.22</v>
      </c>
      <c r="AF265" s="221">
        <v>5494.3499999999995</v>
      </c>
      <c r="AG265" s="204"/>
      <c r="AH265" s="178"/>
      <c r="AI265" s="174"/>
      <c r="AJ265" s="179"/>
      <c r="AK265" s="247"/>
      <c r="AL265" s="248"/>
      <c r="AM265" s="294"/>
      <c r="AN265" s="219"/>
      <c r="AO265" s="219"/>
      <c r="AP265" s="219"/>
      <c r="AQ265" s="220"/>
      <c r="AR265" s="221"/>
      <c r="AY265" s="628"/>
      <c r="AZ265" s="470">
        <v>0.75</v>
      </c>
      <c r="BA265" s="466">
        <v>2893345902</v>
      </c>
      <c r="BB265" s="211">
        <v>556</v>
      </c>
      <c r="BC265" s="211">
        <v>433</v>
      </c>
      <c r="BD265" s="211">
        <v>413</v>
      </c>
      <c r="BE265" s="211">
        <v>478</v>
      </c>
      <c r="BF265" s="211">
        <v>907</v>
      </c>
      <c r="BG265" s="211">
        <v>1280</v>
      </c>
      <c r="BH265" s="211">
        <v>11638</v>
      </c>
      <c r="BI265" s="211">
        <v>7662</v>
      </c>
      <c r="BJ265" s="211">
        <v>4513</v>
      </c>
      <c r="BK265" s="211">
        <v>659</v>
      </c>
      <c r="BL265" s="211">
        <v>555</v>
      </c>
      <c r="BM265" s="211">
        <v>400</v>
      </c>
      <c r="BO265" s="28">
        <f t="shared" ref="BO265:BO328" si="13">AVERAGE(BB265:BM265)</f>
        <v>2457.8333333333335</v>
      </c>
      <c r="BP265" s="28">
        <f t="shared" ref="BP265:BP328" si="14">SUM(BB265:BM265)</f>
        <v>29494</v>
      </c>
    </row>
    <row r="266" spans="22:68" x14ac:dyDescent="0.25">
      <c r="V266" s="449" t="str">
        <f>'[1]Strohs Plant in Service'!$C269</f>
        <v>Plant, Other (40)</v>
      </c>
      <c r="W266" s="292" t="str">
        <f>'[1]Strohs Plant in Service'!$D269</f>
        <v>Misc Equip (CIAC) - Strohs</v>
      </c>
      <c r="X266" s="293">
        <f>'[1]Strohs Plant in Service'!$E269</f>
        <v>45231</v>
      </c>
      <c r="Y266" s="297">
        <f>'[1]Strohs Plant in Service'!$F269</f>
        <v>7771.71</v>
      </c>
      <c r="Z266" s="248"/>
      <c r="AA266" s="294">
        <f>'[1]Strohs Plant in Service'!$G$11/12</f>
        <v>6</v>
      </c>
      <c r="AB266" s="219">
        <f>('[1]Strohs Plant in Service'!$G269-'[1]Strohs Plant in Service'!$H269)/12</f>
        <v>1.4166666666666667</v>
      </c>
      <c r="AC266" s="219">
        <f>'[1]Strohs Plant in Service'!$I269</f>
        <v>437.84281690140847</v>
      </c>
      <c r="AD266" s="219"/>
      <c r="AE266" s="220">
        <f>'[1]Strohs Plant in Service'!$J269</f>
        <v>656.8</v>
      </c>
      <c r="AF266" s="221">
        <v>7114.91</v>
      </c>
      <c r="AG266" s="204"/>
      <c r="AH266" s="178"/>
      <c r="AI266" s="174"/>
      <c r="AJ266" s="179"/>
      <c r="AK266" s="247"/>
      <c r="AL266" s="248"/>
      <c r="AM266" s="294"/>
      <c r="AN266" s="219"/>
      <c r="AO266" s="219"/>
      <c r="AP266" s="219"/>
      <c r="AQ266" s="220"/>
      <c r="AR266" s="221"/>
      <c r="AY266" s="628"/>
      <c r="AZ266" s="470">
        <v>0.75</v>
      </c>
      <c r="BA266" s="466">
        <v>2910955315</v>
      </c>
      <c r="BB266" s="211">
        <v>1043</v>
      </c>
      <c r="BC266" s="211">
        <v>823</v>
      </c>
      <c r="BD266" s="211">
        <v>288</v>
      </c>
      <c r="BE266" s="211">
        <v>1650</v>
      </c>
      <c r="BF266" s="211">
        <v>2249</v>
      </c>
      <c r="BG266" s="211">
        <v>5421</v>
      </c>
      <c r="BH266" s="211">
        <v>6559</v>
      </c>
      <c r="BI266" s="211">
        <v>1712</v>
      </c>
      <c r="BJ266" s="211">
        <v>8070</v>
      </c>
      <c r="BK266" s="211">
        <v>2118</v>
      </c>
      <c r="BL266" s="211">
        <v>350</v>
      </c>
      <c r="BM266" s="211">
        <v>335</v>
      </c>
      <c r="BO266" s="28">
        <f t="shared" si="13"/>
        <v>2551.5</v>
      </c>
      <c r="BP266" s="28">
        <f t="shared" si="14"/>
        <v>30618</v>
      </c>
    </row>
    <row r="267" spans="22:68" x14ac:dyDescent="0.25">
      <c r="V267" s="449" t="str">
        <f>'[1]Strohs Plant in Service'!$C270</f>
        <v>Plant, Other (40)</v>
      </c>
      <c r="W267" s="292" t="str">
        <f>'[1]Strohs Plant in Service'!$D270</f>
        <v>Misc Equip - Strohs</v>
      </c>
      <c r="X267" s="293">
        <f>'[1]Strohs Plant in Service'!$E270</f>
        <v>45231</v>
      </c>
      <c r="Y267" s="297">
        <f>'[1]Strohs Plant in Service'!$F270</f>
        <v>2978.57</v>
      </c>
      <c r="Z267" s="248"/>
      <c r="AA267" s="294">
        <f>'[1]Strohs Plant in Service'!$G$11/12</f>
        <v>6</v>
      </c>
      <c r="AB267" s="219">
        <f>('[1]Strohs Plant in Service'!$G270-'[1]Strohs Plant in Service'!$H270)/12</f>
        <v>1.4166666666666667</v>
      </c>
      <c r="AC267" s="219">
        <f>'[1]Strohs Plant in Service'!$I270</f>
        <v>167.80676056338029</v>
      </c>
      <c r="AD267" s="219"/>
      <c r="AE267" s="220">
        <f>'[1]Strohs Plant in Service'!$J270</f>
        <v>251.66</v>
      </c>
      <c r="AF267" s="221">
        <v>2726.9100000000003</v>
      </c>
      <c r="AG267" s="204"/>
      <c r="AH267" s="178"/>
      <c r="AI267" s="174"/>
      <c r="AJ267" s="179"/>
      <c r="AK267" s="247"/>
      <c r="AL267" s="248"/>
      <c r="AM267" s="294"/>
      <c r="AN267" s="219"/>
      <c r="AO267" s="219"/>
      <c r="AP267" s="219"/>
      <c r="AQ267" s="220"/>
      <c r="AR267" s="221"/>
      <c r="AY267" s="628"/>
      <c r="AZ267" s="470">
        <v>0.75</v>
      </c>
      <c r="BA267" s="466">
        <v>2916658589</v>
      </c>
      <c r="BB267" s="211">
        <v>368</v>
      </c>
      <c r="BC267" s="211">
        <v>698</v>
      </c>
      <c r="BD267" s="211">
        <v>180</v>
      </c>
      <c r="BE267" s="211">
        <v>946</v>
      </c>
      <c r="BF267" s="211">
        <v>538</v>
      </c>
      <c r="BG267" s="211">
        <v>549</v>
      </c>
      <c r="BH267" s="211">
        <v>3776</v>
      </c>
      <c r="BI267" s="211">
        <v>3390</v>
      </c>
      <c r="BJ267" s="211">
        <v>2726</v>
      </c>
      <c r="BK267" s="211">
        <v>1194</v>
      </c>
      <c r="BL267" s="211">
        <v>204</v>
      </c>
      <c r="BM267" s="211">
        <v>400</v>
      </c>
      <c r="BO267" s="28">
        <f t="shared" si="13"/>
        <v>1247.4166666666667</v>
      </c>
      <c r="BP267" s="28">
        <f t="shared" si="14"/>
        <v>14969</v>
      </c>
    </row>
    <row r="268" spans="22:68" x14ac:dyDescent="0.25">
      <c r="V268" s="449" t="str">
        <f>'[1]Strohs Plant in Service'!$C271</f>
        <v>Plant, Other (40)</v>
      </c>
      <c r="W268" s="292" t="str">
        <f>'[1]Strohs Plant in Service'!$D271</f>
        <v>Misc Equip - Strohs</v>
      </c>
      <c r="X268" s="293">
        <f>'[1]Strohs Plant in Service'!$E271</f>
        <v>45231</v>
      </c>
      <c r="Y268" s="297">
        <f>'[1]Strohs Plant in Service'!$F271</f>
        <v>764.76</v>
      </c>
      <c r="Z268" s="248"/>
      <c r="AA268" s="294">
        <f>'[1]Strohs Plant in Service'!$G$11/12</f>
        <v>6</v>
      </c>
      <c r="AB268" s="219">
        <f>('[1]Strohs Plant in Service'!$G271-'[1]Strohs Plant in Service'!$H271)/12</f>
        <v>1.4166666666666667</v>
      </c>
      <c r="AC268" s="219">
        <f>'[1]Strohs Plant in Service'!$I271</f>
        <v>43.08507042253521</v>
      </c>
      <c r="AD268" s="219"/>
      <c r="AE268" s="220">
        <f>'[1]Strohs Plant in Service'!$J271</f>
        <v>64.62</v>
      </c>
      <c r="AF268" s="221">
        <v>700.14</v>
      </c>
      <c r="AG268" s="204"/>
      <c r="AH268" s="178"/>
      <c r="AI268" s="174"/>
      <c r="AJ268" s="179"/>
      <c r="AK268" s="247"/>
      <c r="AL268" s="248"/>
      <c r="AM268" s="294"/>
      <c r="AN268" s="219"/>
      <c r="AO268" s="219"/>
      <c r="AP268" s="219"/>
      <c r="AQ268" s="220"/>
      <c r="AR268" s="221"/>
      <c r="AY268" s="628"/>
      <c r="AZ268" s="470">
        <v>0.75</v>
      </c>
      <c r="BA268" s="466">
        <v>2918771005</v>
      </c>
      <c r="BB268" s="211">
        <v>154</v>
      </c>
      <c r="BC268" s="211">
        <v>54</v>
      </c>
      <c r="BD268" s="211">
        <v>108</v>
      </c>
      <c r="BE268" s="211">
        <v>84</v>
      </c>
      <c r="BF268" s="211">
        <v>118</v>
      </c>
      <c r="BG268" s="211">
        <v>94</v>
      </c>
      <c r="BH268" s="211">
        <v>152</v>
      </c>
      <c r="BI268" s="211">
        <v>83</v>
      </c>
      <c r="BJ268" s="211">
        <v>121</v>
      </c>
      <c r="BK268" s="211">
        <v>154</v>
      </c>
      <c r="BL268" s="211">
        <v>124</v>
      </c>
      <c r="BM268" s="211">
        <v>142</v>
      </c>
      <c r="BO268" s="28">
        <f t="shared" si="13"/>
        <v>115.66666666666667</v>
      </c>
      <c r="BP268" s="28">
        <f t="shared" si="14"/>
        <v>1388</v>
      </c>
    </row>
    <row r="269" spans="22:68" x14ac:dyDescent="0.25">
      <c r="V269" s="449" t="str">
        <f>'[1]Strohs Plant in Service'!$C272</f>
        <v>Plant, Other (40)</v>
      </c>
      <c r="W269" s="292" t="str">
        <f>'[1]Strohs Plant in Service'!$D272</f>
        <v>Misc Equip - Strohs</v>
      </c>
      <c r="X269" s="293">
        <f>'[1]Strohs Plant in Service'!$E272</f>
        <v>45231</v>
      </c>
      <c r="Y269" s="297">
        <f>'[1]Strohs Plant in Service'!$F272</f>
        <v>4747.12</v>
      </c>
      <c r="Z269" s="248"/>
      <c r="AA269" s="294">
        <f>'[1]Strohs Plant in Service'!$G$11/12</f>
        <v>6</v>
      </c>
      <c r="AB269" s="219">
        <f>('[1]Strohs Plant in Service'!$G272-'[1]Strohs Plant in Service'!$H272)/12</f>
        <v>1.4166666666666667</v>
      </c>
      <c r="AC269" s="219">
        <f>'[1]Strohs Plant in Service'!$I272</f>
        <v>267.44338028169011</v>
      </c>
      <c r="AD269" s="219"/>
      <c r="AE269" s="220">
        <f>'[1]Strohs Plant in Service'!$J272</f>
        <v>401.2</v>
      </c>
      <c r="AF269" s="221">
        <v>4345.92</v>
      </c>
      <c r="AG269" s="204"/>
      <c r="AH269" s="178"/>
      <c r="AI269" s="174"/>
      <c r="AJ269" s="179"/>
      <c r="AK269" s="247"/>
      <c r="AL269" s="248"/>
      <c r="AM269" s="294"/>
      <c r="AN269" s="219"/>
      <c r="AO269" s="219"/>
      <c r="AP269" s="219"/>
      <c r="AQ269" s="220"/>
      <c r="AR269" s="221"/>
      <c r="AY269" s="628"/>
      <c r="AZ269" s="470">
        <v>0.625</v>
      </c>
      <c r="BA269" s="466">
        <v>2920164260</v>
      </c>
      <c r="BB269" s="211">
        <v>366</v>
      </c>
      <c r="BC269" s="211">
        <v>480</v>
      </c>
      <c r="BD269" s="211">
        <v>502</v>
      </c>
      <c r="BE269" s="211">
        <v>475</v>
      </c>
      <c r="BF269" s="211">
        <v>588</v>
      </c>
      <c r="BG269" s="211">
        <v>678</v>
      </c>
      <c r="BH269" s="211">
        <v>2917</v>
      </c>
      <c r="BI269" s="211">
        <v>1018</v>
      </c>
      <c r="BJ269" s="211">
        <v>1073</v>
      </c>
      <c r="BK269" s="211">
        <v>421</v>
      </c>
      <c r="BL269" s="211">
        <v>406</v>
      </c>
      <c r="BM269" s="211" t="s">
        <v>655</v>
      </c>
      <c r="BO269" s="28">
        <f t="shared" si="13"/>
        <v>811.27272727272725</v>
      </c>
      <c r="BP269" s="28">
        <f t="shared" si="14"/>
        <v>8924</v>
      </c>
    </row>
    <row r="270" spans="22:68" x14ac:dyDescent="0.25">
      <c r="V270" s="449" t="str">
        <f>'[1]Strohs Plant in Service'!$C273</f>
        <v>Plant, Other (40)</v>
      </c>
      <c r="W270" s="292" t="str">
        <f>'[1]Strohs Plant in Service'!$D273</f>
        <v>Misc Equip - Strohs</v>
      </c>
      <c r="X270" s="293">
        <f>'[1]Strohs Plant in Service'!$E273</f>
        <v>45231</v>
      </c>
      <c r="Y270" s="297">
        <f>'[1]Strohs Plant in Service'!$F273</f>
        <v>1378.28</v>
      </c>
      <c r="Z270" s="248"/>
      <c r="AA270" s="294">
        <f>'[1]Strohs Plant in Service'!$G$11/12</f>
        <v>6</v>
      </c>
      <c r="AB270" s="219">
        <f>('[1]Strohs Plant in Service'!$G273-'[1]Strohs Plant in Service'!$H273)/12</f>
        <v>1.4166666666666667</v>
      </c>
      <c r="AC270" s="219">
        <f>'[1]Strohs Plant in Service'!$I273</f>
        <v>77.649577464788734</v>
      </c>
      <c r="AD270" s="219"/>
      <c r="AE270" s="220">
        <f>'[1]Strohs Plant in Service'!$J273</f>
        <v>116.46</v>
      </c>
      <c r="AF270" s="221">
        <v>1261.82</v>
      </c>
      <c r="AG270" s="204"/>
      <c r="AH270" s="178"/>
      <c r="AI270" s="174"/>
      <c r="AJ270" s="179"/>
      <c r="AK270" s="247"/>
      <c r="AL270" s="248"/>
      <c r="AM270" s="294"/>
      <c r="AN270" s="219"/>
      <c r="AO270" s="219"/>
      <c r="AP270" s="219"/>
      <c r="AQ270" s="220"/>
      <c r="AR270" s="221"/>
      <c r="AY270" s="628"/>
      <c r="AZ270" s="470">
        <v>0.75</v>
      </c>
      <c r="BA270" s="466">
        <v>2922442859</v>
      </c>
      <c r="BB270" s="211">
        <v>420</v>
      </c>
      <c r="BC270" s="211">
        <v>363</v>
      </c>
      <c r="BD270" s="211">
        <v>418</v>
      </c>
      <c r="BE270" s="211">
        <v>411</v>
      </c>
      <c r="BF270" s="211">
        <v>494</v>
      </c>
      <c r="BG270" s="211">
        <v>444</v>
      </c>
      <c r="BH270" s="211">
        <v>1017</v>
      </c>
      <c r="BI270" s="211">
        <v>976</v>
      </c>
      <c r="BJ270" s="211">
        <v>648</v>
      </c>
      <c r="BK270" s="211">
        <v>420</v>
      </c>
      <c r="BL270" s="211">
        <v>379</v>
      </c>
      <c r="BM270" s="211">
        <v>400</v>
      </c>
      <c r="BO270" s="28">
        <f t="shared" si="13"/>
        <v>532.5</v>
      </c>
      <c r="BP270" s="28">
        <f t="shared" si="14"/>
        <v>6390</v>
      </c>
    </row>
    <row r="271" spans="22:68" x14ac:dyDescent="0.25">
      <c r="V271" s="449" t="str">
        <f>'[1]Strohs Plant in Service'!$C274</f>
        <v>Plant, Other (40)</v>
      </c>
      <c r="W271" s="292" t="str">
        <f>'[1]Strohs Plant in Service'!$D274</f>
        <v>Misc Equip - Strohs, HBR Cov Church</v>
      </c>
      <c r="X271" s="293">
        <f>'[1]Strohs Plant in Service'!$E274</f>
        <v>45231</v>
      </c>
      <c r="Y271" s="297">
        <f>'[1]Strohs Plant in Service'!$F274</f>
        <v>12716.49</v>
      </c>
      <c r="Z271" s="248"/>
      <c r="AA271" s="294">
        <f>'[1]Strohs Plant in Service'!$G$11/12</f>
        <v>6</v>
      </c>
      <c r="AB271" s="219">
        <f>('[1]Strohs Plant in Service'!$G274-'[1]Strohs Plant in Service'!$H274)/12</f>
        <v>1.4166666666666667</v>
      </c>
      <c r="AC271" s="219">
        <f>'[1]Strohs Plant in Service'!$I274</f>
        <v>716.42197183098597</v>
      </c>
      <c r="AD271" s="219"/>
      <c r="AE271" s="220">
        <f>'[1]Strohs Plant in Service'!$J274</f>
        <v>1074.6099999999999</v>
      </c>
      <c r="AF271" s="221">
        <v>11641.88</v>
      </c>
      <c r="AG271" s="204"/>
      <c r="AH271" s="178"/>
      <c r="AI271" s="174"/>
      <c r="AJ271" s="179"/>
      <c r="AK271" s="247"/>
      <c r="AL271" s="248"/>
      <c r="AM271" s="294"/>
      <c r="AN271" s="219"/>
      <c r="AO271" s="219"/>
      <c r="AP271" s="219"/>
      <c r="AQ271" s="220"/>
      <c r="AR271" s="221"/>
      <c r="AY271" s="628"/>
      <c r="AZ271" s="470">
        <v>0.75</v>
      </c>
      <c r="BA271" s="466">
        <v>2933186051</v>
      </c>
      <c r="BB271" s="211">
        <v>2496</v>
      </c>
      <c r="BC271" s="211">
        <v>398</v>
      </c>
      <c r="BD271" s="211">
        <v>1029</v>
      </c>
      <c r="BE271" s="211">
        <v>658</v>
      </c>
      <c r="BF271" s="211">
        <v>573</v>
      </c>
      <c r="BG271" s="211">
        <v>768</v>
      </c>
      <c r="BH271" s="211">
        <v>827</v>
      </c>
      <c r="BI271" s="211">
        <v>2768</v>
      </c>
      <c r="BJ271" s="211">
        <v>2971</v>
      </c>
      <c r="BK271" s="211">
        <v>548</v>
      </c>
      <c r="BL271" s="211">
        <v>406</v>
      </c>
      <c r="BM271" s="211">
        <v>298</v>
      </c>
      <c r="BO271" s="28">
        <f t="shared" si="13"/>
        <v>1145</v>
      </c>
      <c r="BP271" s="28">
        <f t="shared" si="14"/>
        <v>13740</v>
      </c>
    </row>
    <row r="272" spans="22:68" x14ac:dyDescent="0.25">
      <c r="V272" s="449" t="str">
        <f>'[1]Strohs Plant in Service'!$C275</f>
        <v>Plant, Other (40)</v>
      </c>
      <c r="W272" s="292" t="str">
        <f>'[1]Strohs Plant in Service'!$D275</f>
        <v>Misc Equip - Strohs</v>
      </c>
      <c r="X272" s="293">
        <f>'[1]Strohs Plant in Service'!$E275</f>
        <v>45231</v>
      </c>
      <c r="Y272" s="297">
        <f>'[1]Strohs Plant in Service'!$F275</f>
        <v>1986.55</v>
      </c>
      <c r="Z272" s="248"/>
      <c r="AA272" s="294">
        <f>'[1]Strohs Plant in Service'!$G$11/12</f>
        <v>6</v>
      </c>
      <c r="AB272" s="219">
        <f>('[1]Strohs Plant in Service'!$G275-'[1]Strohs Plant in Service'!$H275)/12</f>
        <v>1.4166666666666667</v>
      </c>
      <c r="AC272" s="219">
        <f>'[1]Strohs Plant in Service'!$I275</f>
        <v>111.91830985915493</v>
      </c>
      <c r="AD272" s="219"/>
      <c r="AE272" s="220">
        <f>'[1]Strohs Plant in Service'!$J275</f>
        <v>167.92</v>
      </c>
      <c r="AF272" s="221">
        <v>1818.6299999999999</v>
      </c>
      <c r="AG272" s="204"/>
      <c r="AH272" s="178"/>
      <c r="AI272" s="174"/>
      <c r="AJ272" s="179"/>
      <c r="AK272" s="247"/>
      <c r="AL272" s="248"/>
      <c r="AM272" s="294"/>
      <c r="AN272" s="219"/>
      <c r="AO272" s="219"/>
      <c r="AP272" s="219"/>
      <c r="AQ272" s="220"/>
      <c r="AR272" s="221"/>
      <c r="AY272" s="628"/>
      <c r="AZ272" s="470">
        <v>0.75</v>
      </c>
      <c r="BA272" s="466">
        <v>2952395131</v>
      </c>
      <c r="BB272" s="211">
        <v>194</v>
      </c>
      <c r="BC272" s="211">
        <v>159</v>
      </c>
      <c r="BD272" s="211">
        <v>271</v>
      </c>
      <c r="BE272" s="211">
        <v>255</v>
      </c>
      <c r="BF272" s="211">
        <v>833</v>
      </c>
      <c r="BG272" s="211">
        <v>821</v>
      </c>
      <c r="BH272" s="211">
        <v>2197</v>
      </c>
      <c r="BI272" s="211">
        <v>2159</v>
      </c>
      <c r="BJ272" s="211">
        <v>1847</v>
      </c>
      <c r="BK272" s="211">
        <v>321</v>
      </c>
      <c r="BL272" s="211">
        <v>167</v>
      </c>
      <c r="BM272" s="211">
        <v>200</v>
      </c>
      <c r="BO272" s="28">
        <f t="shared" si="13"/>
        <v>785.33333333333337</v>
      </c>
      <c r="BP272" s="28">
        <f t="shared" si="14"/>
        <v>9424</v>
      </c>
    </row>
    <row r="273" spans="22:68" x14ac:dyDescent="0.25">
      <c r="V273" s="449" t="str">
        <f>'[1]Strohs Plant in Service'!$C276</f>
        <v>Plant, Other (40)</v>
      </c>
      <c r="W273" s="292" t="str">
        <f>'[1]Strohs Plant in Service'!$D276</f>
        <v>Sample Station - Strohs</v>
      </c>
      <c r="X273" s="293">
        <f>'[1]Strohs Plant in Service'!$E276</f>
        <v>45231</v>
      </c>
      <c r="Y273" s="297">
        <f>'[1]Strohs Plant in Service'!$F276</f>
        <v>1199.8399999999999</v>
      </c>
      <c r="Z273" s="248"/>
      <c r="AA273" s="294">
        <f>'[1]Strohs Plant in Service'!$G$11/12</f>
        <v>6</v>
      </c>
      <c r="AB273" s="219">
        <f>('[1]Strohs Plant in Service'!$G276-'[1]Strohs Plant in Service'!$H276)/12</f>
        <v>1.4166666666666667</v>
      </c>
      <c r="AC273" s="219">
        <f>'[1]Strohs Plant in Service'!$I276</f>
        <v>67.596619718309853</v>
      </c>
      <c r="AD273" s="219"/>
      <c r="AE273" s="220">
        <f>'[1]Strohs Plant in Service'!$J276</f>
        <v>101.36</v>
      </c>
      <c r="AF273" s="221">
        <v>1098.48</v>
      </c>
      <c r="AG273" s="204"/>
      <c r="AH273" s="178"/>
      <c r="AI273" s="174"/>
      <c r="AJ273" s="179"/>
      <c r="AK273" s="247"/>
      <c r="AL273" s="248"/>
      <c r="AM273" s="294"/>
      <c r="AN273" s="219"/>
      <c r="AO273" s="219"/>
      <c r="AP273" s="219"/>
      <c r="AQ273" s="220"/>
      <c r="AR273" s="221"/>
      <c r="AY273" s="628"/>
      <c r="AZ273" s="470">
        <v>0.75</v>
      </c>
      <c r="BA273" s="466">
        <v>2977371563</v>
      </c>
      <c r="BB273" s="211" t="s">
        <v>655</v>
      </c>
      <c r="BC273" s="211" t="s">
        <v>655</v>
      </c>
      <c r="BD273" s="211" t="s">
        <v>655</v>
      </c>
      <c r="BE273" s="211">
        <v>8</v>
      </c>
      <c r="BF273" s="211">
        <v>477</v>
      </c>
      <c r="BG273" s="211">
        <v>295</v>
      </c>
      <c r="BH273" s="211">
        <v>2635</v>
      </c>
      <c r="BI273" s="211">
        <v>2536</v>
      </c>
      <c r="BJ273" s="211">
        <v>1261</v>
      </c>
      <c r="BK273" s="211">
        <v>791</v>
      </c>
      <c r="BL273" s="211" t="s">
        <v>655</v>
      </c>
      <c r="BM273" s="211" t="s">
        <v>655</v>
      </c>
      <c r="BO273" s="28">
        <f t="shared" si="13"/>
        <v>1143.2857142857142</v>
      </c>
      <c r="BP273" s="28">
        <f t="shared" si="14"/>
        <v>8003</v>
      </c>
    </row>
    <row r="274" spans="22:68" x14ac:dyDescent="0.25">
      <c r="V274" s="449" t="str">
        <f>'[1]Strohs Plant in Service'!$C277</f>
        <v>Land, Water Rights, and Organization (0)</v>
      </c>
      <c r="W274" s="292" t="str">
        <f>'[1]Strohs Plant in Service'!$D277</f>
        <v>Land - Strohs, parcel 3632000100 (4</v>
      </c>
      <c r="X274" s="293">
        <f>'[1]Strohs Plant in Service'!$E277</f>
        <v>45231</v>
      </c>
      <c r="Y274" s="297">
        <f>'[1]Strohs Plant in Service'!$F277</f>
        <v>2695.12</v>
      </c>
      <c r="Z274" s="248"/>
      <c r="AA274" s="294">
        <f>'[1]Strohs Plant in Service'!$G$11/12</f>
        <v>6</v>
      </c>
      <c r="AB274" s="219" t="e">
        <f>('[1]Strohs Plant in Service'!$G277-'[1]Strohs Plant in Service'!$H277)/12</f>
        <v>#VALUE!</v>
      </c>
      <c r="AC274" s="219">
        <f>'[1]Strohs Plant in Service'!$I277</f>
        <v>0</v>
      </c>
      <c r="AD274" s="219"/>
      <c r="AE274" s="220">
        <f>'[1]Strohs Plant in Service'!$J277</f>
        <v>0</v>
      </c>
      <c r="AF274" s="221">
        <v>2695.12</v>
      </c>
      <c r="AG274" s="204"/>
      <c r="AH274" s="178"/>
      <c r="AI274" s="174"/>
      <c r="AJ274" s="179"/>
      <c r="AK274" s="247"/>
      <c r="AL274" s="248"/>
      <c r="AM274" s="294"/>
      <c r="AN274" s="219"/>
      <c r="AO274" s="219"/>
      <c r="AP274" s="219"/>
      <c r="AQ274" s="220"/>
      <c r="AR274" s="221"/>
      <c r="AY274" s="628"/>
      <c r="AZ274" s="470">
        <v>0.75</v>
      </c>
      <c r="BA274" s="466">
        <v>3029059369</v>
      </c>
      <c r="BB274" s="211">
        <v>225</v>
      </c>
      <c r="BC274" s="211">
        <v>220</v>
      </c>
      <c r="BD274" s="211">
        <v>232</v>
      </c>
      <c r="BE274" s="211">
        <v>311</v>
      </c>
      <c r="BF274" s="211">
        <v>244</v>
      </c>
      <c r="BG274" s="211">
        <v>265</v>
      </c>
      <c r="BH274" s="211">
        <v>821</v>
      </c>
      <c r="BI274" s="211">
        <v>1740</v>
      </c>
      <c r="BJ274" s="211" t="s">
        <v>655</v>
      </c>
      <c r="BK274" s="211">
        <v>115</v>
      </c>
      <c r="BL274" s="211">
        <v>215</v>
      </c>
      <c r="BM274" s="211">
        <v>236</v>
      </c>
      <c r="BO274" s="28">
        <f t="shared" si="13"/>
        <v>420.36363636363637</v>
      </c>
      <c r="BP274" s="28">
        <f t="shared" si="14"/>
        <v>4624</v>
      </c>
    </row>
    <row r="275" spans="22:68" x14ac:dyDescent="0.25">
      <c r="V275" s="449" t="str">
        <f>'[1]Strohs Plant in Service'!$C278</f>
        <v>Land, Water Rights, and Organization (0)</v>
      </c>
      <c r="W275" s="292" t="str">
        <f>'[1]Strohs Plant in Service'!$D278</f>
        <v>Land - Strohs, parcel 3632000090 (4</v>
      </c>
      <c r="X275" s="293">
        <f>'[1]Strohs Plant in Service'!$E278</f>
        <v>45231</v>
      </c>
      <c r="Y275" s="297">
        <f>'[1]Strohs Plant in Service'!$F278</f>
        <v>14520.63</v>
      </c>
      <c r="Z275" s="248"/>
      <c r="AA275" s="294">
        <f>'[1]Strohs Plant in Service'!$G$11/12</f>
        <v>6</v>
      </c>
      <c r="AB275" s="219" t="e">
        <f>('[1]Strohs Plant in Service'!$G278-'[1]Strohs Plant in Service'!$H278)/12</f>
        <v>#VALUE!</v>
      </c>
      <c r="AC275" s="219">
        <f>'[1]Strohs Plant in Service'!$I278</f>
        <v>0</v>
      </c>
      <c r="AD275" s="219"/>
      <c r="AE275" s="220">
        <f>'[1]Strohs Plant in Service'!$J278</f>
        <v>0</v>
      </c>
      <c r="AF275" s="221">
        <v>14520.63</v>
      </c>
      <c r="AG275" s="204"/>
      <c r="AH275" s="178"/>
      <c r="AI275" s="174"/>
      <c r="AJ275" s="179"/>
      <c r="AK275" s="247"/>
      <c r="AL275" s="248"/>
      <c r="AM275" s="294"/>
      <c r="AN275" s="219"/>
      <c r="AO275" s="219"/>
      <c r="AP275" s="219"/>
      <c r="AQ275" s="220"/>
      <c r="AR275" s="221"/>
      <c r="AY275" s="628"/>
      <c r="AZ275" s="470">
        <v>0.75</v>
      </c>
      <c r="BA275" s="466">
        <v>3030514811</v>
      </c>
      <c r="BB275" s="211">
        <v>710</v>
      </c>
      <c r="BC275" s="211">
        <v>837</v>
      </c>
      <c r="BD275" s="211">
        <v>900</v>
      </c>
      <c r="BE275" s="211">
        <v>1499</v>
      </c>
      <c r="BF275" s="211">
        <v>1940</v>
      </c>
      <c r="BG275" s="211">
        <v>1218</v>
      </c>
      <c r="BH275" s="211">
        <v>2142</v>
      </c>
      <c r="BI275" s="211">
        <v>1845</v>
      </c>
      <c r="BJ275" s="211">
        <v>1919</v>
      </c>
      <c r="BK275" s="211">
        <v>2032</v>
      </c>
      <c r="BL275" s="211">
        <v>1600</v>
      </c>
      <c r="BM275" s="211">
        <v>872</v>
      </c>
      <c r="BO275" s="28">
        <f t="shared" si="13"/>
        <v>1459.5</v>
      </c>
      <c r="BP275" s="28">
        <f t="shared" si="14"/>
        <v>17514</v>
      </c>
    </row>
    <row r="276" spans="22:68" x14ac:dyDescent="0.25">
      <c r="V276" s="449" t="str">
        <f>'[1]Strohs Plant in Service'!$C279</f>
        <v>Land, Water Rights, and Organization (0)</v>
      </c>
      <c r="W276" s="292" t="str">
        <f>'[1]Strohs Plant in Service'!$D279</f>
        <v>Land - Strohs, parcel 221203052 (47</v>
      </c>
      <c r="X276" s="293">
        <f>'[1]Strohs Plant in Service'!$E279</f>
        <v>45231</v>
      </c>
      <c r="Y276" s="297">
        <f>'[1]Strohs Plant in Service'!$F279</f>
        <v>942.9</v>
      </c>
      <c r="Z276" s="248"/>
      <c r="AA276" s="294">
        <f>'[1]Strohs Plant in Service'!$G$11/12</f>
        <v>6</v>
      </c>
      <c r="AB276" s="219" t="e">
        <f>('[1]Strohs Plant in Service'!$G279-'[1]Strohs Plant in Service'!$H279)/12</f>
        <v>#VALUE!</v>
      </c>
      <c r="AC276" s="219">
        <f>'[1]Strohs Plant in Service'!$I279</f>
        <v>0</v>
      </c>
      <c r="AD276" s="219"/>
      <c r="AE276" s="220">
        <f>'[1]Strohs Plant in Service'!$J279</f>
        <v>0</v>
      </c>
      <c r="AF276" s="221">
        <v>942.9</v>
      </c>
      <c r="AG276" s="204"/>
      <c r="AH276" s="178"/>
      <c r="AI276" s="174"/>
      <c r="AJ276" s="179"/>
      <c r="AK276" s="247"/>
      <c r="AL276" s="248"/>
      <c r="AM276" s="294"/>
      <c r="AN276" s="219"/>
      <c r="AO276" s="219"/>
      <c r="AP276" s="219"/>
      <c r="AQ276" s="220"/>
      <c r="AR276" s="221"/>
      <c r="AY276" s="628"/>
      <c r="AZ276" s="470">
        <v>0.75</v>
      </c>
      <c r="BA276" s="466">
        <v>3038642970</v>
      </c>
      <c r="BB276" s="211">
        <v>371</v>
      </c>
      <c r="BC276" s="211">
        <v>460</v>
      </c>
      <c r="BD276" s="211">
        <v>247</v>
      </c>
      <c r="BE276" s="211">
        <v>346</v>
      </c>
      <c r="BF276" s="211">
        <v>339</v>
      </c>
      <c r="BG276" s="211">
        <v>263</v>
      </c>
      <c r="BH276" s="211">
        <v>713</v>
      </c>
      <c r="BI276" s="211">
        <v>647</v>
      </c>
      <c r="BJ276" s="211">
        <v>779</v>
      </c>
      <c r="BK276" s="211">
        <v>380</v>
      </c>
      <c r="BL276" s="211">
        <v>208</v>
      </c>
      <c r="BM276" s="211">
        <v>633</v>
      </c>
      <c r="BO276" s="28">
        <f t="shared" si="13"/>
        <v>448.83333333333331</v>
      </c>
      <c r="BP276" s="28">
        <f t="shared" si="14"/>
        <v>5386</v>
      </c>
    </row>
    <row r="277" spans="22:68" x14ac:dyDescent="0.25">
      <c r="V277" s="449" t="str">
        <f>'[1]Strohs Plant in Service'!$C280</f>
        <v>Land, Water Rights, and Organization (0)</v>
      </c>
      <c r="W277" s="292" t="str">
        <f>'[1]Strohs Plant in Service'!$D280</f>
        <v>Land - Strohs, parcel 221184046 (47</v>
      </c>
      <c r="X277" s="293">
        <f>'[1]Strohs Plant in Service'!$E280</f>
        <v>45231</v>
      </c>
      <c r="Y277" s="297">
        <f>'[1]Strohs Plant in Service'!$F280</f>
        <v>5217.37</v>
      </c>
      <c r="Z277" s="248"/>
      <c r="AA277" s="294">
        <f>'[1]Strohs Plant in Service'!$G$11/12</f>
        <v>6</v>
      </c>
      <c r="AB277" s="219" t="e">
        <f>('[1]Strohs Plant in Service'!$G280-'[1]Strohs Plant in Service'!$H280)/12</f>
        <v>#VALUE!</v>
      </c>
      <c r="AC277" s="219">
        <f>'[1]Strohs Plant in Service'!$I280</f>
        <v>0</v>
      </c>
      <c r="AD277" s="219"/>
      <c r="AE277" s="220">
        <f>'[1]Strohs Plant in Service'!$J280</f>
        <v>0</v>
      </c>
      <c r="AF277" s="221">
        <v>5217.37</v>
      </c>
      <c r="AG277" s="204"/>
      <c r="AH277" s="178"/>
      <c r="AI277" s="174"/>
      <c r="AJ277" s="179"/>
      <c r="AK277" s="247"/>
      <c r="AL277" s="248"/>
      <c r="AM277" s="294"/>
      <c r="AN277" s="219"/>
      <c r="AO277" s="219"/>
      <c r="AP277" s="219"/>
      <c r="AQ277" s="220"/>
      <c r="AR277" s="221"/>
      <c r="AY277" s="628"/>
      <c r="AZ277" s="470">
        <v>0.75</v>
      </c>
      <c r="BA277" s="466">
        <v>3040236286</v>
      </c>
      <c r="BB277" s="211">
        <v>377</v>
      </c>
      <c r="BC277" s="211">
        <v>311</v>
      </c>
      <c r="BD277" s="211">
        <v>341</v>
      </c>
      <c r="BE277" s="211">
        <v>428</v>
      </c>
      <c r="BF277" s="211">
        <v>477</v>
      </c>
      <c r="BG277" s="211">
        <v>593</v>
      </c>
      <c r="BH277" s="211">
        <v>1112</v>
      </c>
      <c r="BI277" s="211">
        <v>1949</v>
      </c>
      <c r="BJ277" s="211">
        <v>1065</v>
      </c>
      <c r="BK277" s="211">
        <v>382</v>
      </c>
      <c r="BL277" s="211">
        <v>358</v>
      </c>
      <c r="BM277" s="211">
        <v>340</v>
      </c>
      <c r="BO277" s="28">
        <f t="shared" si="13"/>
        <v>644.41666666666663</v>
      </c>
      <c r="BP277" s="28">
        <f t="shared" si="14"/>
        <v>7733</v>
      </c>
    </row>
    <row r="278" spans="22:68" x14ac:dyDescent="0.25">
      <c r="V278" s="449" t="str">
        <f>'[1]Strohs Plant in Service'!$C281</f>
        <v>Land, Water Rights, and Organization (0)</v>
      </c>
      <c r="W278" s="292" t="str">
        <f>'[1]Strohs Plant in Service'!$D281</f>
        <v>Land - Strohs, parcel 221184040 (47</v>
      </c>
      <c r="X278" s="293">
        <f>'[1]Strohs Plant in Service'!$E281</f>
        <v>45231</v>
      </c>
      <c r="Y278" s="297">
        <f>'[1]Strohs Plant in Service'!$F281</f>
        <v>9743.2800000000007</v>
      </c>
      <c r="Z278" s="248"/>
      <c r="AA278" s="294">
        <f>'[1]Strohs Plant in Service'!$G$11/12</f>
        <v>6</v>
      </c>
      <c r="AB278" s="219" t="e">
        <f>('[1]Strohs Plant in Service'!$G281-'[1]Strohs Plant in Service'!$H281)/12</f>
        <v>#VALUE!</v>
      </c>
      <c r="AC278" s="219">
        <f>'[1]Strohs Plant in Service'!$I281</f>
        <v>0</v>
      </c>
      <c r="AD278" s="219"/>
      <c r="AE278" s="220">
        <f>'[1]Strohs Plant in Service'!$J281</f>
        <v>0</v>
      </c>
      <c r="AF278" s="221">
        <v>9743.2800000000007</v>
      </c>
      <c r="AG278" s="204"/>
      <c r="AH278" s="178"/>
      <c r="AI278" s="174"/>
      <c r="AJ278" s="179"/>
      <c r="AK278" s="247"/>
      <c r="AL278" s="248"/>
      <c r="AM278" s="294"/>
      <c r="AN278" s="219"/>
      <c r="AO278" s="219"/>
      <c r="AP278" s="219"/>
      <c r="AQ278" s="220"/>
      <c r="AR278" s="221"/>
      <c r="AY278" s="628"/>
      <c r="AZ278" s="470">
        <v>0.75</v>
      </c>
      <c r="BA278" s="466">
        <v>3047564982</v>
      </c>
      <c r="BB278" s="211">
        <v>400</v>
      </c>
      <c r="BC278" s="211">
        <v>426</v>
      </c>
      <c r="BD278" s="211">
        <v>388</v>
      </c>
      <c r="BE278" s="211">
        <v>489</v>
      </c>
      <c r="BF278" s="211">
        <v>415</v>
      </c>
      <c r="BG278" s="211">
        <v>410</v>
      </c>
      <c r="BH278" s="211">
        <v>550</v>
      </c>
      <c r="BI278" s="211">
        <v>143</v>
      </c>
      <c r="BJ278" s="211">
        <v>579</v>
      </c>
      <c r="BK278" s="211">
        <v>222</v>
      </c>
      <c r="BL278" s="211">
        <v>631</v>
      </c>
      <c r="BM278" s="211">
        <v>400</v>
      </c>
      <c r="BO278" s="28">
        <f t="shared" si="13"/>
        <v>421.08333333333331</v>
      </c>
      <c r="BP278" s="28">
        <f t="shared" si="14"/>
        <v>5053</v>
      </c>
    </row>
    <row r="279" spans="22:68" x14ac:dyDescent="0.25">
      <c r="V279" s="449" t="str">
        <f>'[1]Strohs Plant in Service'!$C282</f>
        <v>Land, Water Rights, and Organization (0)</v>
      </c>
      <c r="W279" s="292" t="str">
        <f>'[1]Strohs Plant in Service'!$D282</f>
        <v>Land - Strohs, parcel 221172118 (07</v>
      </c>
      <c r="X279" s="293">
        <f>'[1]Strohs Plant in Service'!$E282</f>
        <v>45231</v>
      </c>
      <c r="Y279" s="297">
        <f>'[1]Strohs Plant in Service'!$F282</f>
        <v>2828.7</v>
      </c>
      <c r="Z279" s="248"/>
      <c r="AA279" s="294">
        <f>'[1]Strohs Plant in Service'!$G$11/12</f>
        <v>6</v>
      </c>
      <c r="AB279" s="219" t="e">
        <f>('[1]Strohs Plant in Service'!$G282-'[1]Strohs Plant in Service'!$H282)/12</f>
        <v>#VALUE!</v>
      </c>
      <c r="AC279" s="219">
        <f>'[1]Strohs Plant in Service'!$I282</f>
        <v>0</v>
      </c>
      <c r="AD279" s="219"/>
      <c r="AE279" s="220">
        <f>'[1]Strohs Plant in Service'!$J282</f>
        <v>0</v>
      </c>
      <c r="AF279" s="221">
        <v>2828.7</v>
      </c>
      <c r="AG279" s="204"/>
      <c r="AH279" s="178"/>
      <c r="AI279" s="174"/>
      <c r="AJ279" s="179"/>
      <c r="AK279" s="247"/>
      <c r="AL279" s="248"/>
      <c r="AM279" s="294"/>
      <c r="AN279" s="219"/>
      <c r="AO279" s="219"/>
      <c r="AP279" s="219"/>
      <c r="AQ279" s="220"/>
      <c r="AR279" s="221"/>
      <c r="AY279" s="628"/>
      <c r="AZ279" s="470">
        <v>0.625</v>
      </c>
      <c r="BA279" s="466">
        <v>3053794193</v>
      </c>
      <c r="BB279" s="211">
        <v>166</v>
      </c>
      <c r="BC279" s="211">
        <v>381</v>
      </c>
      <c r="BD279" s="211">
        <v>384</v>
      </c>
      <c r="BE279" s="211">
        <v>462</v>
      </c>
      <c r="BF279" s="211">
        <v>403</v>
      </c>
      <c r="BG279" s="211">
        <v>391</v>
      </c>
      <c r="BH279" s="211">
        <v>1131</v>
      </c>
      <c r="BI279" s="211">
        <v>1854</v>
      </c>
      <c r="BJ279" s="211">
        <v>879</v>
      </c>
      <c r="BK279" s="211">
        <v>417</v>
      </c>
      <c r="BL279" s="211">
        <v>381</v>
      </c>
      <c r="BM279" s="211">
        <v>421</v>
      </c>
      <c r="BO279" s="28">
        <f t="shared" si="13"/>
        <v>605.83333333333337</v>
      </c>
      <c r="BP279" s="28">
        <f t="shared" si="14"/>
        <v>7270</v>
      </c>
    </row>
    <row r="280" spans="22:68" x14ac:dyDescent="0.25">
      <c r="V280" s="449" t="str">
        <f>'[1]Strohs Plant in Service'!$C283</f>
        <v>Land, Water Rights, and Organization (0)</v>
      </c>
      <c r="W280" s="292" t="str">
        <f>'[1]Strohs Plant in Service'!$D283</f>
        <v>Land - Strohs, parcel 3632000100 (4</v>
      </c>
      <c r="X280" s="293">
        <f>'[1]Strohs Plant in Service'!$E283</f>
        <v>45231</v>
      </c>
      <c r="Y280" s="297">
        <f>'[1]Strohs Plant in Service'!$F283</f>
        <v>2582.62</v>
      </c>
      <c r="Z280" s="248"/>
      <c r="AA280" s="294">
        <f>'[1]Strohs Plant in Service'!$G$11/12</f>
        <v>6</v>
      </c>
      <c r="AB280" s="219" t="e">
        <f>('[1]Strohs Plant in Service'!$G283-'[1]Strohs Plant in Service'!$H283)/12</f>
        <v>#VALUE!</v>
      </c>
      <c r="AC280" s="219">
        <f>'[1]Strohs Plant in Service'!$I283</f>
        <v>0</v>
      </c>
      <c r="AD280" s="219"/>
      <c r="AE280" s="220">
        <f>'[1]Strohs Plant in Service'!$J283</f>
        <v>0</v>
      </c>
      <c r="AF280" s="221">
        <v>2582.62</v>
      </c>
      <c r="AG280" s="204"/>
      <c r="AH280" s="178"/>
      <c r="AI280" s="174"/>
      <c r="AJ280" s="179"/>
      <c r="AK280" s="247"/>
      <c r="AL280" s="248"/>
      <c r="AM280" s="294"/>
      <c r="AN280" s="219"/>
      <c r="AO280" s="219"/>
      <c r="AP280" s="219"/>
      <c r="AQ280" s="220"/>
      <c r="AR280" s="221"/>
      <c r="AY280" s="628"/>
      <c r="AZ280" s="470">
        <v>0.75</v>
      </c>
      <c r="BA280" s="466">
        <v>3057709235</v>
      </c>
      <c r="BB280" s="211">
        <v>1</v>
      </c>
      <c r="BC280" s="211">
        <v>6</v>
      </c>
      <c r="BD280" s="211">
        <v>16</v>
      </c>
      <c r="BE280" s="211">
        <v>5</v>
      </c>
      <c r="BF280" s="211">
        <v>18</v>
      </c>
      <c r="BG280" s="211">
        <v>11</v>
      </c>
      <c r="BH280" s="211">
        <v>227</v>
      </c>
      <c r="BI280" s="211">
        <v>231</v>
      </c>
      <c r="BJ280" s="211">
        <v>159</v>
      </c>
      <c r="BK280" s="211">
        <v>55</v>
      </c>
      <c r="BL280" s="211" t="s">
        <v>655</v>
      </c>
      <c r="BM280" s="211" t="s">
        <v>655</v>
      </c>
      <c r="BO280" s="28">
        <f t="shared" si="13"/>
        <v>72.900000000000006</v>
      </c>
      <c r="BP280" s="28">
        <f t="shared" si="14"/>
        <v>729</v>
      </c>
    </row>
    <row r="281" spans="22:68" x14ac:dyDescent="0.25">
      <c r="V281" s="449" t="str">
        <f>'[1]Strohs Plant in Service'!$C284</f>
        <v>Land, Water Rights, and Organization (0)</v>
      </c>
      <c r="W281" s="292" t="str">
        <f>'[1]Strohs Plant in Service'!$D284</f>
        <v>Land - Strohs, parcel 3632000090 (4</v>
      </c>
      <c r="X281" s="293">
        <f>'[1]Strohs Plant in Service'!$E284</f>
        <v>45231</v>
      </c>
      <c r="Y281" s="297">
        <f>'[1]Strohs Plant in Service'!$F284</f>
        <v>13914.52</v>
      </c>
      <c r="Z281" s="248"/>
      <c r="AA281" s="294">
        <f>'[1]Strohs Plant in Service'!$G$11/12</f>
        <v>6</v>
      </c>
      <c r="AB281" s="219" t="e">
        <f>('[1]Strohs Plant in Service'!$G284-'[1]Strohs Plant in Service'!$H284)/12</f>
        <v>#VALUE!</v>
      </c>
      <c r="AC281" s="219">
        <f>'[1]Strohs Plant in Service'!$I284</f>
        <v>0</v>
      </c>
      <c r="AD281" s="219"/>
      <c r="AE281" s="220">
        <f>'[1]Strohs Plant in Service'!$J284</f>
        <v>0</v>
      </c>
      <c r="AF281" s="221">
        <v>13914.52</v>
      </c>
      <c r="AG281" s="204"/>
      <c r="AH281" s="178"/>
      <c r="AI281" s="174"/>
      <c r="AJ281" s="179"/>
      <c r="AK281" s="247"/>
      <c r="AL281" s="248"/>
      <c r="AM281" s="294"/>
      <c r="AN281" s="219"/>
      <c r="AO281" s="219"/>
      <c r="AP281" s="219"/>
      <c r="AQ281" s="220"/>
      <c r="AR281" s="221"/>
      <c r="AY281" s="628"/>
      <c r="AZ281" s="470">
        <v>0.625</v>
      </c>
      <c r="BA281" s="466">
        <v>3075591004</v>
      </c>
      <c r="BB281" s="211">
        <v>437</v>
      </c>
      <c r="BC281" s="211">
        <v>417</v>
      </c>
      <c r="BD281" s="211">
        <v>477</v>
      </c>
      <c r="BE281" s="211" t="s">
        <v>655</v>
      </c>
      <c r="BF281" s="211">
        <v>1129</v>
      </c>
      <c r="BG281" s="211">
        <v>922</v>
      </c>
      <c r="BH281" s="211">
        <v>78</v>
      </c>
      <c r="BI281" s="211">
        <v>4750</v>
      </c>
      <c r="BJ281" s="211">
        <v>2155</v>
      </c>
      <c r="BK281" s="211">
        <v>1937</v>
      </c>
      <c r="BL281" s="211">
        <v>4</v>
      </c>
      <c r="BM281" s="211">
        <v>33</v>
      </c>
      <c r="BO281" s="28">
        <f t="shared" si="13"/>
        <v>1121.7272727272727</v>
      </c>
      <c r="BP281" s="28">
        <f t="shared" si="14"/>
        <v>12339</v>
      </c>
    </row>
    <row r="282" spans="22:68" x14ac:dyDescent="0.25">
      <c r="V282" s="449" t="str">
        <f>'[1]Strohs Plant in Service'!$C285</f>
        <v>Land, Water Rights, and Organization (0)</v>
      </c>
      <c r="W282" s="292" t="str">
        <f>'[1]Strohs Plant in Service'!$D285</f>
        <v>Land - Strohs, parcel 221203052 (47</v>
      </c>
      <c r="X282" s="293">
        <f>'[1]Strohs Plant in Service'!$E285</f>
        <v>45231</v>
      </c>
      <c r="Y282" s="297">
        <f>'[1]Strohs Plant in Service'!$F285</f>
        <v>903.54</v>
      </c>
      <c r="Z282" s="248"/>
      <c r="AA282" s="294">
        <f>'[1]Strohs Plant in Service'!$G$11/12</f>
        <v>6</v>
      </c>
      <c r="AB282" s="219" t="e">
        <f>('[1]Strohs Plant in Service'!$G285-'[1]Strohs Plant in Service'!$H285)/12</f>
        <v>#VALUE!</v>
      </c>
      <c r="AC282" s="219">
        <f>'[1]Strohs Plant in Service'!$I285</f>
        <v>0</v>
      </c>
      <c r="AD282" s="219"/>
      <c r="AE282" s="220">
        <f>'[1]Strohs Plant in Service'!$J285</f>
        <v>0</v>
      </c>
      <c r="AF282" s="221">
        <v>903.54</v>
      </c>
      <c r="AG282" s="204"/>
      <c r="AH282" s="178"/>
      <c r="AI282" s="174"/>
      <c r="AJ282" s="179"/>
      <c r="AK282" s="247"/>
      <c r="AL282" s="248"/>
      <c r="AM282" s="294"/>
      <c r="AN282" s="219"/>
      <c r="AO282" s="219"/>
      <c r="AP282" s="219"/>
      <c r="AQ282" s="220"/>
      <c r="AR282" s="221"/>
      <c r="AY282" s="628"/>
      <c r="AZ282" s="470">
        <v>0.75</v>
      </c>
      <c r="BA282" s="466">
        <v>3076896804</v>
      </c>
      <c r="BB282" s="211">
        <v>2204</v>
      </c>
      <c r="BC282" s="211">
        <v>1848</v>
      </c>
      <c r="BD282" s="211">
        <v>1980</v>
      </c>
      <c r="BE282" s="211">
        <v>1669</v>
      </c>
      <c r="BF282" s="211">
        <v>1483</v>
      </c>
      <c r="BG282" s="211">
        <v>1794</v>
      </c>
      <c r="BH282" s="211" t="s">
        <v>655</v>
      </c>
      <c r="BI282" s="211" t="s">
        <v>655</v>
      </c>
      <c r="BJ282" s="211" t="s">
        <v>655</v>
      </c>
      <c r="BK282" s="211" t="s">
        <v>655</v>
      </c>
      <c r="BL282" s="211" t="s">
        <v>655</v>
      </c>
      <c r="BM282" s="211" t="s">
        <v>655</v>
      </c>
      <c r="BO282" s="28">
        <f t="shared" si="13"/>
        <v>1829.6666666666667</v>
      </c>
      <c r="BP282" s="28">
        <f t="shared" si="14"/>
        <v>10978</v>
      </c>
    </row>
    <row r="283" spans="22:68" x14ac:dyDescent="0.25">
      <c r="V283" s="449" t="str">
        <f>'[1]Strohs Plant in Service'!$C286</f>
        <v>Land, Water Rights, and Organization (0)</v>
      </c>
      <c r="W283" s="292" t="str">
        <f>'[1]Strohs Plant in Service'!$D286</f>
        <v>Land - Strohs, parcel 221184046 (47</v>
      </c>
      <c r="X283" s="293">
        <f>'[1]Strohs Plant in Service'!$E286</f>
        <v>45231</v>
      </c>
      <c r="Y283" s="297">
        <f>'[1]Strohs Plant in Service'!$F286</f>
        <v>4999.59</v>
      </c>
      <c r="Z283" s="248"/>
      <c r="AA283" s="294">
        <f>'[1]Strohs Plant in Service'!$G$11/12</f>
        <v>6</v>
      </c>
      <c r="AB283" s="219" t="e">
        <f>('[1]Strohs Plant in Service'!$G286-'[1]Strohs Plant in Service'!$H286)/12</f>
        <v>#VALUE!</v>
      </c>
      <c r="AC283" s="219">
        <f>'[1]Strohs Plant in Service'!$I286</f>
        <v>0</v>
      </c>
      <c r="AD283" s="219"/>
      <c r="AE283" s="220">
        <f>'[1]Strohs Plant in Service'!$J286</f>
        <v>4999.59</v>
      </c>
      <c r="AF283" s="221">
        <v>0</v>
      </c>
      <c r="AG283" s="204"/>
      <c r="AH283" s="178"/>
      <c r="AI283" s="174"/>
      <c r="AJ283" s="179"/>
      <c r="AK283" s="247"/>
      <c r="AL283" s="248"/>
      <c r="AM283" s="294"/>
      <c r="AN283" s="219"/>
      <c r="AO283" s="219"/>
      <c r="AP283" s="219"/>
      <c r="AQ283" s="220"/>
      <c r="AR283" s="221"/>
      <c r="AY283" s="628"/>
      <c r="AZ283" s="470">
        <v>0.75</v>
      </c>
      <c r="BA283" s="466">
        <v>3078990106</v>
      </c>
      <c r="BB283" s="211">
        <v>592</v>
      </c>
      <c r="BC283" s="211">
        <v>1409</v>
      </c>
      <c r="BD283" s="211">
        <v>548</v>
      </c>
      <c r="BE283" s="211">
        <v>487</v>
      </c>
      <c r="BF283" s="211">
        <v>180</v>
      </c>
      <c r="BG283" s="211">
        <v>755</v>
      </c>
      <c r="BH283" s="211">
        <v>3180</v>
      </c>
      <c r="BI283" s="211">
        <v>1961</v>
      </c>
      <c r="BJ283" s="211">
        <v>644</v>
      </c>
      <c r="BK283" s="211">
        <v>233</v>
      </c>
      <c r="BL283" s="211">
        <v>103</v>
      </c>
      <c r="BM283" s="211">
        <v>999</v>
      </c>
      <c r="BO283" s="28">
        <f t="shared" si="13"/>
        <v>924.25</v>
      </c>
      <c r="BP283" s="28">
        <f t="shared" si="14"/>
        <v>11091</v>
      </c>
    </row>
    <row r="284" spans="22:68" x14ac:dyDescent="0.25">
      <c r="V284" s="449" t="str">
        <f>'[1]Strohs Plant in Service'!$C287</f>
        <v>Land, Water Rights, and Organization (0)</v>
      </c>
      <c r="W284" s="292" t="str">
        <f>'[1]Strohs Plant in Service'!$D287</f>
        <v>Land - Strohs, parcel 221184040 (47</v>
      </c>
      <c r="X284" s="293">
        <f>'[1]Strohs Plant in Service'!$E287</f>
        <v>45231</v>
      </c>
      <c r="Y284" s="297">
        <f>'[1]Strohs Plant in Service'!$F287</f>
        <v>9336.58</v>
      </c>
      <c r="Z284" s="248"/>
      <c r="AA284" s="294">
        <f>'[1]Strohs Plant in Service'!$G$11/12</f>
        <v>6</v>
      </c>
      <c r="AB284" s="219" t="e">
        <f>('[1]Strohs Plant in Service'!$G287-'[1]Strohs Plant in Service'!$H287)/12</f>
        <v>#VALUE!</v>
      </c>
      <c r="AC284" s="219">
        <f>'[1]Strohs Plant in Service'!$I287</f>
        <v>0</v>
      </c>
      <c r="AD284" s="219"/>
      <c r="AE284" s="220">
        <f>'[1]Strohs Plant in Service'!$J287</f>
        <v>0</v>
      </c>
      <c r="AF284" s="221">
        <v>9336.58</v>
      </c>
      <c r="AG284" s="204"/>
      <c r="AH284" s="178"/>
      <c r="AI284" s="174"/>
      <c r="AJ284" s="179"/>
      <c r="AK284" s="247"/>
      <c r="AL284" s="248"/>
      <c r="AM284" s="294"/>
      <c r="AN284" s="219"/>
      <c r="AO284" s="219"/>
      <c r="AP284" s="219"/>
      <c r="AQ284" s="220"/>
      <c r="AR284" s="221"/>
      <c r="AY284" s="628"/>
      <c r="AZ284" s="470">
        <v>1</v>
      </c>
      <c r="BA284" s="466">
        <v>3079544317</v>
      </c>
      <c r="BB284" s="211">
        <v>1499</v>
      </c>
      <c r="BC284" s="211">
        <v>1284</v>
      </c>
      <c r="BD284" s="211">
        <v>863</v>
      </c>
      <c r="BE284" s="211">
        <v>3209</v>
      </c>
      <c r="BF284" s="211">
        <v>2703</v>
      </c>
      <c r="BG284" s="211">
        <v>3129</v>
      </c>
      <c r="BH284" s="211">
        <v>6649</v>
      </c>
      <c r="BI284" s="211">
        <v>6088</v>
      </c>
      <c r="BJ284" s="211">
        <v>4299</v>
      </c>
      <c r="BK284" s="211">
        <v>2791</v>
      </c>
      <c r="BL284" s="211">
        <v>1090</v>
      </c>
      <c r="BM284" s="211">
        <v>1599</v>
      </c>
      <c r="BO284" s="28">
        <f t="shared" si="13"/>
        <v>2933.5833333333335</v>
      </c>
      <c r="BP284" s="28">
        <f t="shared" si="14"/>
        <v>35203</v>
      </c>
    </row>
    <row r="285" spans="22:68" x14ac:dyDescent="0.25">
      <c r="V285" s="449" t="str">
        <f>'[1]Strohs Plant in Service'!$C288</f>
        <v>Land, Water Rights, and Organization (0)</v>
      </c>
      <c r="W285" s="292" t="str">
        <f>'[1]Strohs Plant in Service'!$D288</f>
        <v>Land - Strohs, parcel 221172118 (07</v>
      </c>
      <c r="X285" s="293">
        <f>'[1]Strohs Plant in Service'!$E288</f>
        <v>45231</v>
      </c>
      <c r="Y285" s="297">
        <f>'[1]Strohs Plant in Service'!$F288</f>
        <v>2710.63</v>
      </c>
      <c r="Z285" s="248"/>
      <c r="AA285" s="294">
        <f>'[1]Strohs Plant in Service'!$G$11/12</f>
        <v>6</v>
      </c>
      <c r="AB285" s="219" t="e">
        <f>('[1]Strohs Plant in Service'!$G288-'[1]Strohs Plant in Service'!$H288)/12</f>
        <v>#VALUE!</v>
      </c>
      <c r="AC285" s="219">
        <f>'[1]Strohs Plant in Service'!$I288</f>
        <v>0</v>
      </c>
      <c r="AD285" s="219"/>
      <c r="AE285" s="220">
        <f>'[1]Strohs Plant in Service'!$J288</f>
        <v>0</v>
      </c>
      <c r="AF285" s="221">
        <v>2710.63</v>
      </c>
      <c r="AG285" s="204"/>
      <c r="AH285" s="178"/>
      <c r="AI285" s="174"/>
      <c r="AJ285" s="179"/>
      <c r="AK285" s="247"/>
      <c r="AL285" s="248"/>
      <c r="AM285" s="294"/>
      <c r="AN285" s="219"/>
      <c r="AO285" s="219"/>
      <c r="AP285" s="219"/>
      <c r="AQ285" s="220"/>
      <c r="AR285" s="221"/>
      <c r="AY285" s="628"/>
      <c r="AZ285" s="470">
        <v>0.75</v>
      </c>
      <c r="BA285" s="466">
        <v>3085558120</v>
      </c>
      <c r="BB285" s="211">
        <v>591</v>
      </c>
      <c r="BC285" s="211">
        <v>349</v>
      </c>
      <c r="BD285" s="211">
        <v>1303</v>
      </c>
      <c r="BE285" s="211">
        <v>624</v>
      </c>
      <c r="BF285" s="211">
        <v>570</v>
      </c>
      <c r="BG285" s="211">
        <v>638</v>
      </c>
      <c r="BH285" s="211">
        <v>610</v>
      </c>
      <c r="BI285" s="211">
        <v>576</v>
      </c>
      <c r="BJ285" s="211">
        <v>597</v>
      </c>
      <c r="BK285" s="211">
        <v>392</v>
      </c>
      <c r="BL285" s="211">
        <v>325</v>
      </c>
      <c r="BM285" s="211">
        <v>353</v>
      </c>
      <c r="BO285" s="28">
        <f t="shared" si="13"/>
        <v>577.33333333333337</v>
      </c>
      <c r="BP285" s="28">
        <f t="shared" si="14"/>
        <v>6928</v>
      </c>
    </row>
    <row r="286" spans="22:68" x14ac:dyDescent="0.25">
      <c r="V286" s="449" t="str">
        <f>'[1]Strohs Plant in Service'!$C289</f>
        <v>Service Connection (30)</v>
      </c>
      <c r="W286" s="292" t="str">
        <f>'[1]Strohs Plant in Service'!$D289</f>
        <v>Services - Strohs (472)</v>
      </c>
      <c r="X286" s="293">
        <f>'[1]Strohs Plant in Service'!$E289</f>
        <v>45231</v>
      </c>
      <c r="Y286" s="297">
        <f>'[1]Strohs Plant in Service'!$F289</f>
        <v>7689</v>
      </c>
      <c r="Z286" s="248"/>
      <c r="AA286" s="294">
        <f>'[1]Strohs Plant in Service'!$G$11/12</f>
        <v>6</v>
      </c>
      <c r="AB286" s="219">
        <f>('[1]Strohs Plant in Service'!$G289-'[1]Strohs Plant in Service'!$H289)/12</f>
        <v>18.083333333333332</v>
      </c>
      <c r="AC286" s="219">
        <f>'[1]Strohs Plant in Service'!$I289</f>
        <v>256.3</v>
      </c>
      <c r="AD286" s="219"/>
      <c r="AE286" s="220">
        <f>'[1]Strohs Plant in Service'!$J289</f>
        <v>4656.1400000000003</v>
      </c>
      <c r="AF286" s="221">
        <v>3032.8599999999997</v>
      </c>
      <c r="AG286" s="204"/>
      <c r="AH286" s="178"/>
      <c r="AI286" s="174"/>
      <c r="AJ286" s="179"/>
      <c r="AK286" s="247"/>
      <c r="AL286" s="248"/>
      <c r="AM286" s="294"/>
      <c r="AN286" s="219"/>
      <c r="AO286" s="219"/>
      <c r="AP286" s="219"/>
      <c r="AQ286" s="220"/>
      <c r="AR286" s="221"/>
      <c r="AY286" s="628"/>
      <c r="AZ286" s="470">
        <v>0.75</v>
      </c>
      <c r="BA286" s="466">
        <v>3093257427</v>
      </c>
      <c r="BB286" s="211">
        <v>166</v>
      </c>
      <c r="BC286" s="211">
        <v>621</v>
      </c>
      <c r="BD286" s="211">
        <v>225</v>
      </c>
      <c r="BE286" s="211">
        <v>295</v>
      </c>
      <c r="BF286" s="211">
        <v>321</v>
      </c>
      <c r="BG286" s="211">
        <v>210</v>
      </c>
      <c r="BH286" s="211">
        <v>2061</v>
      </c>
      <c r="BI286" s="211">
        <v>1749</v>
      </c>
      <c r="BJ286" s="211">
        <v>689</v>
      </c>
      <c r="BK286" s="211">
        <v>350</v>
      </c>
      <c r="BL286" s="211">
        <v>350</v>
      </c>
      <c r="BM286" s="211">
        <v>401</v>
      </c>
      <c r="BO286" s="28">
        <f t="shared" si="13"/>
        <v>619.83333333333337</v>
      </c>
      <c r="BP286" s="28">
        <f t="shared" si="14"/>
        <v>7438</v>
      </c>
    </row>
    <row r="287" spans="22:68" x14ac:dyDescent="0.25">
      <c r="V287" s="449" t="str">
        <f>'[1]Strohs Plant in Service'!$C290</f>
        <v>Service Connection (30)</v>
      </c>
      <c r="W287" s="292" t="str">
        <f>'[1]Strohs Plant in Service'!$D290</f>
        <v>Services (CIAC) - Strohs</v>
      </c>
      <c r="X287" s="293">
        <f>'[1]Strohs Plant in Service'!$E290</f>
        <v>45231</v>
      </c>
      <c r="Y287" s="297">
        <f>'[1]Strohs Plant in Service'!$F290</f>
        <v>584.89</v>
      </c>
      <c r="Z287" s="248"/>
      <c r="AA287" s="294">
        <f>'[1]Strohs Plant in Service'!$G$11/12</f>
        <v>6</v>
      </c>
      <c r="AB287" s="219">
        <f>('[1]Strohs Plant in Service'!$G290-'[1]Strohs Plant in Service'!$H290)/12</f>
        <v>13.916666666666666</v>
      </c>
      <c r="AC287" s="219">
        <f>'[1]Strohs Plant in Service'!$I290</f>
        <v>19.496333333333332</v>
      </c>
      <c r="AD287" s="219"/>
      <c r="AE287" s="220">
        <f>'[1]Strohs Plant in Service'!$J290</f>
        <v>272.89</v>
      </c>
      <c r="AF287" s="221">
        <v>312</v>
      </c>
      <c r="AG287" s="204"/>
      <c r="AH287" s="178"/>
      <c r="AI287" s="174"/>
      <c r="AJ287" s="179"/>
      <c r="AK287" s="247"/>
      <c r="AL287" s="248"/>
      <c r="AM287" s="294"/>
      <c r="AN287" s="219"/>
      <c r="AO287" s="219"/>
      <c r="AP287" s="219"/>
      <c r="AQ287" s="220"/>
      <c r="AR287" s="221"/>
      <c r="AY287" s="628"/>
      <c r="AZ287" s="470">
        <v>0.75</v>
      </c>
      <c r="BA287" s="466">
        <v>3109778317</v>
      </c>
      <c r="BB287" s="211">
        <v>377</v>
      </c>
      <c r="BC287" s="211">
        <v>452</v>
      </c>
      <c r="BD287" s="211">
        <v>769</v>
      </c>
      <c r="BE287" s="211">
        <v>576</v>
      </c>
      <c r="BF287" s="211">
        <v>561</v>
      </c>
      <c r="BG287" s="211">
        <v>508</v>
      </c>
      <c r="BH287" s="211">
        <v>4313</v>
      </c>
      <c r="BI287" s="211">
        <v>398</v>
      </c>
      <c r="BJ287" s="211">
        <v>328</v>
      </c>
      <c r="BK287" s="211">
        <v>306</v>
      </c>
      <c r="BL287" s="211">
        <v>137</v>
      </c>
      <c r="BM287" s="211">
        <v>449</v>
      </c>
      <c r="BO287" s="28">
        <f t="shared" si="13"/>
        <v>764.5</v>
      </c>
      <c r="BP287" s="28">
        <f t="shared" si="14"/>
        <v>9174</v>
      </c>
    </row>
    <row r="288" spans="22:68" x14ac:dyDescent="0.25">
      <c r="V288" s="449" t="str">
        <f>'[1]Strohs Plant in Service'!$C291</f>
        <v>Service Connection (30)</v>
      </c>
      <c r="W288" s="292" t="str">
        <f>'[1]Strohs Plant in Service'!$D291</f>
        <v>Services (CIAC) - Strohs</v>
      </c>
      <c r="X288" s="293">
        <f>'[1]Strohs Plant in Service'!$E291</f>
        <v>45231</v>
      </c>
      <c r="Y288" s="297">
        <f>'[1]Strohs Plant in Service'!$F291</f>
        <v>670.78</v>
      </c>
      <c r="Z288" s="248"/>
      <c r="AA288" s="294">
        <f>'[1]Strohs Plant in Service'!$G$11/12</f>
        <v>6</v>
      </c>
      <c r="AB288" s="219">
        <f>('[1]Strohs Plant in Service'!$G291-'[1]Strohs Plant in Service'!$H291)/12</f>
        <v>13.916666666666666</v>
      </c>
      <c r="AC288" s="219">
        <f>'[1]Strohs Plant in Service'!$I291</f>
        <v>22.359333333333332</v>
      </c>
      <c r="AD288" s="219"/>
      <c r="AE288" s="220">
        <f>'[1]Strohs Plant in Service'!$J291</f>
        <v>312.99</v>
      </c>
      <c r="AF288" s="221">
        <v>357.78999999999996</v>
      </c>
      <c r="AG288" s="204"/>
      <c r="AH288" s="178"/>
      <c r="AI288" s="174"/>
      <c r="AJ288" s="179"/>
      <c r="AK288" s="247"/>
      <c r="AL288" s="248"/>
      <c r="AM288" s="294"/>
      <c r="AN288" s="219"/>
      <c r="AO288" s="219"/>
      <c r="AP288" s="219"/>
      <c r="AQ288" s="220"/>
      <c r="AR288" s="221"/>
      <c r="AY288" s="628"/>
      <c r="AZ288" s="470">
        <v>0.625</v>
      </c>
      <c r="BA288" s="466">
        <v>3150604123</v>
      </c>
      <c r="BB288" s="211" t="s">
        <v>655</v>
      </c>
      <c r="BC288" s="211">
        <v>20</v>
      </c>
      <c r="BD288" s="211">
        <v>17</v>
      </c>
      <c r="BE288" s="211">
        <v>64</v>
      </c>
      <c r="BF288" s="211">
        <v>790</v>
      </c>
      <c r="BG288" s="211">
        <v>1067</v>
      </c>
      <c r="BH288" s="211">
        <v>2081</v>
      </c>
      <c r="BI288" s="211">
        <v>2137</v>
      </c>
      <c r="BJ288" s="211">
        <v>2484</v>
      </c>
      <c r="BK288" s="211">
        <v>882</v>
      </c>
      <c r="BL288" s="211" t="s">
        <v>655</v>
      </c>
      <c r="BM288" s="211" t="s">
        <v>655</v>
      </c>
      <c r="BO288" s="28">
        <f t="shared" si="13"/>
        <v>1060.2222222222222</v>
      </c>
      <c r="BP288" s="28">
        <f t="shared" si="14"/>
        <v>9542</v>
      </c>
    </row>
    <row r="289" spans="22:68" x14ac:dyDescent="0.25">
      <c r="V289" s="449" t="str">
        <f>'[1]Strohs Plant in Service'!$C292</f>
        <v>Service Connection (30)</v>
      </c>
      <c r="W289" s="292" t="str">
        <f>'[1]Strohs Plant in Service'!$D292</f>
        <v>Services (CIAC) - Strohs</v>
      </c>
      <c r="X289" s="293">
        <f>'[1]Strohs Plant in Service'!$E292</f>
        <v>45231</v>
      </c>
      <c r="Y289" s="297">
        <f>'[1]Strohs Plant in Service'!$F292</f>
        <v>928</v>
      </c>
      <c r="Z289" s="248"/>
      <c r="AA289" s="294">
        <f>'[1]Strohs Plant in Service'!$G$11/12</f>
        <v>6</v>
      </c>
      <c r="AB289" s="219">
        <f>('[1]Strohs Plant in Service'!$G292-'[1]Strohs Plant in Service'!$H292)/12</f>
        <v>13.916666666666666</v>
      </c>
      <c r="AC289" s="219">
        <f>'[1]Strohs Plant in Service'!$I292</f>
        <v>30.933333333333337</v>
      </c>
      <c r="AD289" s="219"/>
      <c r="AE289" s="220">
        <f>'[1]Strohs Plant in Service'!$J292</f>
        <v>433.1</v>
      </c>
      <c r="AF289" s="221">
        <v>494.9</v>
      </c>
      <c r="AG289" s="204"/>
      <c r="AH289" s="178"/>
      <c r="AI289" s="174"/>
      <c r="AJ289" s="179"/>
      <c r="AK289" s="247"/>
      <c r="AL289" s="248"/>
      <c r="AM289" s="294"/>
      <c r="AN289" s="219"/>
      <c r="AO289" s="219"/>
      <c r="AP289" s="219"/>
      <c r="AQ289" s="220"/>
      <c r="AR289" s="221"/>
      <c r="AY289" s="628"/>
      <c r="AZ289" s="470">
        <v>0.75</v>
      </c>
      <c r="BA289" s="466">
        <v>3163837535</v>
      </c>
      <c r="BB289" s="211">
        <v>1265</v>
      </c>
      <c r="BC289" s="211">
        <v>873</v>
      </c>
      <c r="BD289" s="211">
        <v>507</v>
      </c>
      <c r="BE289" s="211">
        <v>2661</v>
      </c>
      <c r="BF289" s="211">
        <v>1551</v>
      </c>
      <c r="BG289" s="211">
        <v>1400</v>
      </c>
      <c r="BH289" s="211">
        <v>1581</v>
      </c>
      <c r="BI289" s="211">
        <v>1309</v>
      </c>
      <c r="BJ289" s="211">
        <v>1065</v>
      </c>
      <c r="BK289" s="211">
        <v>960</v>
      </c>
      <c r="BL289" s="211">
        <v>734</v>
      </c>
      <c r="BM289" s="211">
        <v>500</v>
      </c>
      <c r="BO289" s="28">
        <f t="shared" si="13"/>
        <v>1200.5</v>
      </c>
      <c r="BP289" s="28">
        <f t="shared" si="14"/>
        <v>14406</v>
      </c>
    </row>
    <row r="290" spans="22:68" x14ac:dyDescent="0.25">
      <c r="V290" s="449" t="str">
        <f>'[1]Strohs Plant in Service'!$C293</f>
        <v>Service Connection (30)</v>
      </c>
      <c r="W290" s="292" t="str">
        <f>'[1]Strohs Plant in Service'!$D293</f>
        <v>Services - Strohs (075)</v>
      </c>
      <c r="X290" s="293">
        <f>'[1]Strohs Plant in Service'!$E293</f>
        <v>45231</v>
      </c>
      <c r="Y290" s="297">
        <f>'[1]Strohs Plant in Service'!$F293</f>
        <v>975.85</v>
      </c>
      <c r="Z290" s="248"/>
      <c r="AA290" s="294">
        <f>'[1]Strohs Plant in Service'!$G$11/12</f>
        <v>6</v>
      </c>
      <c r="AB290" s="219">
        <f>('[1]Strohs Plant in Service'!$G293-'[1]Strohs Plant in Service'!$H293)/12</f>
        <v>12.916666666666666</v>
      </c>
      <c r="AC290" s="219">
        <f>'[1]Strohs Plant in Service'!$I293</f>
        <v>32.528333333333336</v>
      </c>
      <c r="AD290" s="219"/>
      <c r="AE290" s="220">
        <f>'[1]Strohs Plant in Service'!$J293</f>
        <v>422.86</v>
      </c>
      <c r="AF290" s="221">
        <v>552.99</v>
      </c>
      <c r="AG290" s="204"/>
      <c r="AH290" s="178"/>
      <c r="AI290" s="174"/>
      <c r="AJ290" s="179"/>
      <c r="AK290" s="247"/>
      <c r="AL290" s="248"/>
      <c r="AM290" s="294"/>
      <c r="AN290" s="219"/>
      <c r="AO290" s="219"/>
      <c r="AP290" s="219"/>
      <c r="AQ290" s="220"/>
      <c r="AR290" s="221"/>
      <c r="AY290" s="628"/>
      <c r="AZ290" s="470">
        <v>0.75</v>
      </c>
      <c r="BA290" s="466">
        <v>3165022638</v>
      </c>
      <c r="BB290" s="211">
        <v>338</v>
      </c>
      <c r="BC290" s="211">
        <v>315</v>
      </c>
      <c r="BD290" s="211">
        <v>147</v>
      </c>
      <c r="BE290" s="211">
        <v>207</v>
      </c>
      <c r="BF290" s="211">
        <v>211</v>
      </c>
      <c r="BG290" s="211">
        <v>315</v>
      </c>
      <c r="BH290" s="211">
        <v>1585</v>
      </c>
      <c r="BI290" s="211">
        <v>2890</v>
      </c>
      <c r="BJ290" s="211">
        <v>2734</v>
      </c>
      <c r="BK290" s="211">
        <v>198</v>
      </c>
      <c r="BL290" s="211">
        <v>299</v>
      </c>
      <c r="BM290" s="211">
        <v>159</v>
      </c>
      <c r="BO290" s="28">
        <f t="shared" si="13"/>
        <v>783.16666666666663</v>
      </c>
      <c r="BP290" s="28">
        <f t="shared" si="14"/>
        <v>9398</v>
      </c>
    </row>
    <row r="291" spans="22:68" x14ac:dyDescent="0.25">
      <c r="V291" s="449" t="str">
        <f>'[1]Strohs Plant in Service'!$C294</f>
        <v>Service Connection (30)</v>
      </c>
      <c r="W291" s="292" t="str">
        <f>'[1]Strohs Plant in Service'!$D294</f>
        <v>Services - Strohs (075)</v>
      </c>
      <c r="X291" s="293">
        <f>'[1]Strohs Plant in Service'!$E294</f>
        <v>45231</v>
      </c>
      <c r="Y291" s="297">
        <f>'[1]Strohs Plant in Service'!$F294</f>
        <v>3159.38</v>
      </c>
      <c r="Z291" s="248"/>
      <c r="AA291" s="294">
        <f>'[1]Strohs Plant in Service'!$G$11/12</f>
        <v>6</v>
      </c>
      <c r="AB291" s="219">
        <f>('[1]Strohs Plant in Service'!$G294-'[1]Strohs Plant in Service'!$H294)/12</f>
        <v>15.916666666666666</v>
      </c>
      <c r="AC291" s="219">
        <f>'[1]Strohs Plant in Service'!$I294</f>
        <v>105.31266666666667</v>
      </c>
      <c r="AD291" s="219"/>
      <c r="AE291" s="220">
        <f>'[1]Strohs Plant in Service'!$J294</f>
        <v>1685.05</v>
      </c>
      <c r="AF291" s="221">
        <v>1474.3300000000002</v>
      </c>
      <c r="AG291" s="204"/>
      <c r="AH291" s="178"/>
      <c r="AI291" s="174"/>
      <c r="AJ291" s="179"/>
      <c r="AK291" s="247"/>
      <c r="AL291" s="248"/>
      <c r="AM291" s="294"/>
      <c r="AN291" s="219"/>
      <c r="AO291" s="219"/>
      <c r="AP291" s="219"/>
      <c r="AQ291" s="220"/>
      <c r="AR291" s="221"/>
      <c r="AY291" s="628"/>
      <c r="AZ291" s="470">
        <v>0.625</v>
      </c>
      <c r="BA291" s="466">
        <v>3178897371</v>
      </c>
      <c r="BB291" s="211">
        <v>614</v>
      </c>
      <c r="BC291" s="211">
        <v>1236</v>
      </c>
      <c r="BD291" s="211" t="s">
        <v>655</v>
      </c>
      <c r="BE291" s="211" t="s">
        <v>655</v>
      </c>
      <c r="BF291" s="211">
        <v>4606</v>
      </c>
      <c r="BG291" s="211">
        <v>2933</v>
      </c>
      <c r="BH291" s="211">
        <v>7486</v>
      </c>
      <c r="BI291" s="211">
        <v>4208</v>
      </c>
      <c r="BJ291" s="211">
        <v>2057</v>
      </c>
      <c r="BK291" s="211">
        <v>860</v>
      </c>
      <c r="BL291" s="211">
        <v>783</v>
      </c>
      <c r="BM291" s="211">
        <v>693</v>
      </c>
      <c r="BO291" s="28">
        <f t="shared" si="13"/>
        <v>2547.6</v>
      </c>
      <c r="BP291" s="28">
        <f t="shared" si="14"/>
        <v>25476</v>
      </c>
    </row>
    <row r="292" spans="22:68" x14ac:dyDescent="0.25">
      <c r="V292" s="449" t="str">
        <f>'[1]Strohs Plant in Service'!$C295</f>
        <v>Service Connection (30)</v>
      </c>
      <c r="W292" s="292" t="str">
        <f>'[1]Strohs Plant in Service'!$D295</f>
        <v>Services - Strohs (472)</v>
      </c>
      <c r="X292" s="293">
        <f>'[1]Strohs Plant in Service'!$E295</f>
        <v>45231</v>
      </c>
      <c r="Y292" s="297">
        <f>'[1]Strohs Plant in Service'!$F295</f>
        <v>744.99</v>
      </c>
      <c r="Z292" s="248"/>
      <c r="AA292" s="294">
        <f>'[1]Strohs Plant in Service'!$G$11/12</f>
        <v>6</v>
      </c>
      <c r="AB292" s="219">
        <f>('[1]Strohs Plant in Service'!$G295-'[1]Strohs Plant in Service'!$H295)/12</f>
        <v>18.916666666666668</v>
      </c>
      <c r="AC292" s="219">
        <f>'[1]Strohs Plant in Service'!$I295</f>
        <v>24.832999999999998</v>
      </c>
      <c r="AD292" s="219"/>
      <c r="AE292" s="220">
        <f>'[1]Strohs Plant in Service'!$J295</f>
        <v>471.83</v>
      </c>
      <c r="AF292" s="221">
        <v>273.16000000000003</v>
      </c>
      <c r="AG292" s="204"/>
      <c r="AH292" s="178"/>
      <c r="AI292" s="174"/>
      <c r="AJ292" s="179"/>
      <c r="AK292" s="247"/>
      <c r="AL292" s="248"/>
      <c r="AM292" s="294"/>
      <c r="AN292" s="219"/>
      <c r="AO292" s="219"/>
      <c r="AP292" s="219"/>
      <c r="AQ292" s="220"/>
      <c r="AR292" s="221"/>
      <c r="AY292" s="628"/>
      <c r="AZ292" s="470">
        <v>0.75</v>
      </c>
      <c r="BA292" s="466">
        <v>3215360953</v>
      </c>
      <c r="BB292" s="211">
        <v>190</v>
      </c>
      <c r="BC292" s="211">
        <v>311</v>
      </c>
      <c r="BD292" s="211">
        <v>229</v>
      </c>
      <c r="BE292" s="211">
        <v>290</v>
      </c>
      <c r="BF292" s="211">
        <v>470</v>
      </c>
      <c r="BG292" s="211">
        <v>1915</v>
      </c>
      <c r="BH292" s="211">
        <v>3775</v>
      </c>
      <c r="BI292" s="211">
        <v>4196</v>
      </c>
      <c r="BJ292" s="211">
        <v>1722</v>
      </c>
      <c r="BK292" s="211">
        <v>1049</v>
      </c>
      <c r="BL292" s="211">
        <v>252</v>
      </c>
      <c r="BM292" s="211">
        <v>231</v>
      </c>
      <c r="BO292" s="28">
        <f t="shared" si="13"/>
        <v>1219.1666666666667</v>
      </c>
      <c r="BP292" s="28">
        <f t="shared" si="14"/>
        <v>14630</v>
      </c>
    </row>
    <row r="293" spans="22:68" x14ac:dyDescent="0.25">
      <c r="V293" s="449" t="str">
        <f>'[1]Strohs Plant in Service'!$C296</f>
        <v>Service Connection (30)</v>
      </c>
      <c r="W293" s="292" t="str">
        <f>'[1]Strohs Plant in Service'!$D296</f>
        <v>Services (CIAC) - Strohs</v>
      </c>
      <c r="X293" s="293">
        <f>'[1]Strohs Plant in Service'!$E296</f>
        <v>45231</v>
      </c>
      <c r="Y293" s="297">
        <f>'[1]Strohs Plant in Service'!$F296</f>
        <v>5961.2</v>
      </c>
      <c r="Z293" s="248"/>
      <c r="AA293" s="294">
        <f>'[1]Strohs Plant in Service'!$G$11/12</f>
        <v>6</v>
      </c>
      <c r="AB293" s="219">
        <f>('[1]Strohs Plant in Service'!$G296-'[1]Strohs Plant in Service'!$H296)/12</f>
        <v>5.916666666666667</v>
      </c>
      <c r="AC293" s="219">
        <f>'[1]Strohs Plant in Service'!$I296</f>
        <v>198.70666666666665</v>
      </c>
      <c r="AD293" s="219"/>
      <c r="AE293" s="220">
        <f>'[1]Strohs Plant in Service'!$J296</f>
        <v>1192.25</v>
      </c>
      <c r="AF293" s="221">
        <v>4768.95</v>
      </c>
      <c r="AG293" s="204"/>
      <c r="AH293" s="178"/>
      <c r="AI293" s="174"/>
      <c r="AJ293" s="179"/>
      <c r="AK293" s="247"/>
      <c r="AL293" s="248"/>
      <c r="AM293" s="294"/>
      <c r="AN293" s="219"/>
      <c r="AO293" s="219"/>
      <c r="AP293" s="219"/>
      <c r="AQ293" s="220"/>
      <c r="AR293" s="221"/>
      <c r="AY293" s="628"/>
      <c r="AZ293" s="470">
        <v>0.625</v>
      </c>
      <c r="BA293" s="466">
        <v>3228401001</v>
      </c>
      <c r="BB293" s="211">
        <v>86</v>
      </c>
      <c r="BC293" s="211">
        <v>129</v>
      </c>
      <c r="BD293" s="211">
        <v>275</v>
      </c>
      <c r="BE293" s="211" t="s">
        <v>655</v>
      </c>
      <c r="BF293" s="211" t="s">
        <v>655</v>
      </c>
      <c r="BG293" s="211" t="s">
        <v>655</v>
      </c>
      <c r="BH293" s="211" t="s">
        <v>655</v>
      </c>
      <c r="BI293" s="211" t="s">
        <v>655</v>
      </c>
      <c r="BJ293" s="211" t="s">
        <v>655</v>
      </c>
      <c r="BK293" s="211" t="s">
        <v>655</v>
      </c>
      <c r="BL293" s="211" t="s">
        <v>655</v>
      </c>
      <c r="BM293" s="211" t="s">
        <v>655</v>
      </c>
      <c r="BO293" s="28">
        <f t="shared" si="13"/>
        <v>163.33333333333334</v>
      </c>
      <c r="BP293" s="28">
        <f t="shared" si="14"/>
        <v>490</v>
      </c>
    </row>
    <row r="294" spans="22:68" x14ac:dyDescent="0.25">
      <c r="V294" s="449" t="str">
        <f>'[1]Strohs Plant in Service'!$C297</f>
        <v>Service Connection (30)</v>
      </c>
      <c r="W294" s="292" t="str">
        <f>'[1]Strohs Plant in Service'!$D297</f>
        <v>Services (CIAC) - Strohs</v>
      </c>
      <c r="X294" s="293">
        <f>'[1]Strohs Plant in Service'!$E297</f>
        <v>45231</v>
      </c>
      <c r="Y294" s="297">
        <f>'[1]Strohs Plant in Service'!$F297</f>
        <v>1006</v>
      </c>
      <c r="Z294" s="248"/>
      <c r="AA294" s="294">
        <f>'[1]Strohs Plant in Service'!$G$11/12</f>
        <v>6</v>
      </c>
      <c r="AB294" s="219">
        <f>('[1]Strohs Plant in Service'!$G297-'[1]Strohs Plant in Service'!$H297)/12</f>
        <v>4.916666666666667</v>
      </c>
      <c r="AC294" s="219">
        <f>'[1]Strohs Plant in Service'!$I297</f>
        <v>33.533333333333331</v>
      </c>
      <c r="AD294" s="219"/>
      <c r="AE294" s="220">
        <f>'[1]Strohs Plant in Service'!$J297</f>
        <v>167.61</v>
      </c>
      <c r="AF294" s="221">
        <v>838.39</v>
      </c>
      <c r="AG294" s="204"/>
      <c r="AH294" s="178"/>
      <c r="AI294" s="174"/>
      <c r="AJ294" s="179"/>
      <c r="AK294" s="247"/>
      <c r="AL294" s="248"/>
      <c r="AM294" s="294"/>
      <c r="AN294" s="219"/>
      <c r="AO294" s="219"/>
      <c r="AP294" s="219"/>
      <c r="AQ294" s="220"/>
      <c r="AR294" s="221"/>
      <c r="AY294" s="628"/>
      <c r="AZ294" s="470">
        <v>1</v>
      </c>
      <c r="BA294" s="466">
        <v>3233937824</v>
      </c>
      <c r="BB294" s="211" t="s">
        <v>655</v>
      </c>
      <c r="BC294" s="211" t="s">
        <v>655</v>
      </c>
      <c r="BD294" s="211" t="s">
        <v>655</v>
      </c>
      <c r="BE294" s="211" t="s">
        <v>655</v>
      </c>
      <c r="BF294" s="211" t="s">
        <v>655</v>
      </c>
      <c r="BG294" s="211" t="s">
        <v>655</v>
      </c>
      <c r="BH294" s="211" t="s">
        <v>655</v>
      </c>
      <c r="BI294" s="211" t="s">
        <v>655</v>
      </c>
      <c r="BJ294" s="211" t="s">
        <v>655</v>
      </c>
      <c r="BK294" s="211" t="s">
        <v>655</v>
      </c>
      <c r="BL294" s="211" t="s">
        <v>655</v>
      </c>
      <c r="BM294" s="211" t="s">
        <v>655</v>
      </c>
      <c r="BO294" s="28" t="e">
        <f t="shared" si="13"/>
        <v>#DIV/0!</v>
      </c>
      <c r="BP294" s="28">
        <f t="shared" si="14"/>
        <v>0</v>
      </c>
    </row>
    <row r="295" spans="22:68" x14ac:dyDescent="0.25">
      <c r="V295" s="449" t="str">
        <f>'[1]Strohs Plant in Service'!$C298</f>
        <v>Service Connection (30)</v>
      </c>
      <c r="W295" s="292" t="str">
        <f>'[1]Strohs Plant in Service'!$D298</f>
        <v>Services (CIAC) - Strohs, 3516 53d</v>
      </c>
      <c r="X295" s="293">
        <f>'[1]Strohs Plant in Service'!$E298</f>
        <v>45231</v>
      </c>
      <c r="Y295" s="297">
        <f>'[1]Strohs Plant in Service'!$F298</f>
        <v>1014</v>
      </c>
      <c r="Z295" s="248"/>
      <c r="AA295" s="294">
        <f>'[1]Strohs Plant in Service'!$G$11/12</f>
        <v>6</v>
      </c>
      <c r="AB295" s="219">
        <f>('[1]Strohs Plant in Service'!$G298-'[1]Strohs Plant in Service'!$H298)/12</f>
        <v>3.9166666666666665</v>
      </c>
      <c r="AC295" s="219">
        <f>'[1]Strohs Plant in Service'!$I298</f>
        <v>33.800000000000004</v>
      </c>
      <c r="AD295" s="219"/>
      <c r="AE295" s="220">
        <f>'[1]Strohs Plant in Service'!$J298</f>
        <v>135.24</v>
      </c>
      <c r="AF295" s="221">
        <v>878.76</v>
      </c>
      <c r="AG295" s="204"/>
      <c r="AH295" s="178"/>
      <c r="AI295" s="174"/>
      <c r="AJ295" s="179"/>
      <c r="AK295" s="247"/>
      <c r="AL295" s="248"/>
      <c r="AM295" s="294"/>
      <c r="AN295" s="219"/>
      <c r="AO295" s="219"/>
      <c r="AP295" s="219"/>
      <c r="AQ295" s="220"/>
      <c r="AR295" s="221"/>
      <c r="AY295" s="628"/>
      <c r="AZ295" s="470">
        <v>0.75</v>
      </c>
      <c r="BA295" s="466">
        <v>3271326355</v>
      </c>
      <c r="BB295" s="211">
        <v>323</v>
      </c>
      <c r="BC295" s="211">
        <v>282</v>
      </c>
      <c r="BD295" s="211">
        <v>287</v>
      </c>
      <c r="BE295" s="211">
        <v>372</v>
      </c>
      <c r="BF295" s="211">
        <v>315</v>
      </c>
      <c r="BG295" s="211">
        <v>379</v>
      </c>
      <c r="BH295" s="211">
        <v>139</v>
      </c>
      <c r="BI295" s="211">
        <v>790</v>
      </c>
      <c r="BJ295" s="211">
        <v>877</v>
      </c>
      <c r="BK295" s="211">
        <v>311</v>
      </c>
      <c r="BL295" s="211">
        <v>501</v>
      </c>
      <c r="BM295" s="211">
        <v>143</v>
      </c>
      <c r="BO295" s="28">
        <f t="shared" si="13"/>
        <v>393.25</v>
      </c>
      <c r="BP295" s="28">
        <f t="shared" si="14"/>
        <v>4719</v>
      </c>
    </row>
    <row r="296" spans="22:68" x14ac:dyDescent="0.25">
      <c r="V296" s="449" t="str">
        <f>'[1]Strohs Plant in Service'!$C299</f>
        <v>Service Connection (30)</v>
      </c>
      <c r="W296" s="292" t="str">
        <f>'[1]Strohs Plant in Service'!$D299</f>
        <v>Services (CIAC) - Strohs</v>
      </c>
      <c r="X296" s="293">
        <f>'[1]Strohs Plant in Service'!$E299</f>
        <v>45231</v>
      </c>
      <c r="Y296" s="297">
        <f>'[1]Strohs Plant in Service'!$F299</f>
        <v>1561.45</v>
      </c>
      <c r="Z296" s="248"/>
      <c r="AA296" s="294">
        <f>'[1]Strohs Plant in Service'!$G$11/12</f>
        <v>6</v>
      </c>
      <c r="AB296" s="219">
        <f>('[1]Strohs Plant in Service'!$G299-'[1]Strohs Plant in Service'!$H299)/12</f>
        <v>2.9166666666666665</v>
      </c>
      <c r="AC296" s="219">
        <f>'[1]Strohs Plant in Service'!$I299</f>
        <v>52.048333333333332</v>
      </c>
      <c r="AD296" s="219"/>
      <c r="AE296" s="220">
        <f>'[1]Strohs Plant in Service'!$J299</f>
        <v>156.18</v>
      </c>
      <c r="AF296" s="221">
        <v>1405.27</v>
      </c>
      <c r="AG296" s="204"/>
      <c r="AH296" s="178"/>
      <c r="AI296" s="174"/>
      <c r="AJ296" s="179"/>
      <c r="AK296" s="247"/>
      <c r="AL296" s="248"/>
      <c r="AM296" s="294"/>
      <c r="AN296" s="219"/>
      <c r="AO296" s="219"/>
      <c r="AP296" s="219"/>
      <c r="AQ296" s="220"/>
      <c r="AR296" s="221"/>
      <c r="AY296" s="628"/>
      <c r="AZ296" s="470">
        <v>1</v>
      </c>
      <c r="BA296" s="466">
        <v>3306887718</v>
      </c>
      <c r="BB296" s="211">
        <v>234</v>
      </c>
      <c r="BC296" s="211">
        <v>259</v>
      </c>
      <c r="BD296" s="211">
        <v>225</v>
      </c>
      <c r="BE296" s="211">
        <v>319</v>
      </c>
      <c r="BF296" s="211">
        <v>1135</v>
      </c>
      <c r="BG296" s="211">
        <v>1737</v>
      </c>
      <c r="BH296" s="211">
        <v>5937</v>
      </c>
      <c r="BI296" s="211">
        <v>5576</v>
      </c>
      <c r="BJ296" s="211">
        <v>3970</v>
      </c>
      <c r="BK296" s="211">
        <v>1314</v>
      </c>
      <c r="BL296" s="211">
        <v>278</v>
      </c>
      <c r="BM296" s="211">
        <v>300</v>
      </c>
      <c r="BO296" s="28">
        <f t="shared" si="13"/>
        <v>1773.6666666666667</v>
      </c>
      <c r="BP296" s="28">
        <f t="shared" si="14"/>
        <v>21284</v>
      </c>
    </row>
    <row r="297" spans="22:68" x14ac:dyDescent="0.25">
      <c r="V297" s="449" t="str">
        <f>'[1]Strohs Plant in Service'!$C300</f>
        <v>Service Connection (30)</v>
      </c>
      <c r="W297" s="292" t="str">
        <f>'[1]Strohs Plant in Service'!$D300</f>
        <v>Service (CIAC) - Strohs, 3305 38th</v>
      </c>
      <c r="X297" s="293">
        <f>'[1]Strohs Plant in Service'!$E300</f>
        <v>45231</v>
      </c>
      <c r="Y297" s="297">
        <f>'[1]Strohs Plant in Service'!$F300</f>
        <v>4331.76</v>
      </c>
      <c r="Z297" s="248"/>
      <c r="AA297" s="294">
        <f>'[1]Strohs Plant in Service'!$G$11/12</f>
        <v>6</v>
      </c>
      <c r="AB297" s="219">
        <f>('[1]Strohs Plant in Service'!$G300-'[1]Strohs Plant in Service'!$H300)/12</f>
        <v>1.9166666666666667</v>
      </c>
      <c r="AC297" s="219">
        <f>'[1]Strohs Plant in Service'!$I300</f>
        <v>144.392</v>
      </c>
      <c r="AD297" s="219"/>
      <c r="AE297" s="220">
        <f>'[1]Strohs Plant in Service'!$J300</f>
        <v>288.75</v>
      </c>
      <c r="AF297" s="221">
        <v>4043.01</v>
      </c>
      <c r="AG297" s="204"/>
      <c r="AH297" s="178"/>
      <c r="AI297" s="174"/>
      <c r="AJ297" s="179"/>
      <c r="AK297" s="247"/>
      <c r="AL297" s="248"/>
      <c r="AM297" s="294"/>
      <c r="AN297" s="219"/>
      <c r="AO297" s="219"/>
      <c r="AP297" s="219"/>
      <c r="AQ297" s="220"/>
      <c r="AR297" s="221"/>
      <c r="AY297" s="628"/>
      <c r="AZ297" s="470">
        <v>0.75</v>
      </c>
      <c r="BA297" s="466">
        <v>3313396338</v>
      </c>
      <c r="BB297" s="211">
        <v>488</v>
      </c>
      <c r="BC297" s="211">
        <v>476</v>
      </c>
      <c r="BD297" s="211">
        <v>532</v>
      </c>
      <c r="BE297" s="211">
        <v>577</v>
      </c>
      <c r="BF297" s="211">
        <v>657</v>
      </c>
      <c r="BG297" s="211">
        <v>969</v>
      </c>
      <c r="BH297" s="211">
        <v>1778</v>
      </c>
      <c r="BI297" s="211">
        <v>1119</v>
      </c>
      <c r="BJ297" s="211">
        <v>1057</v>
      </c>
      <c r="BK297" s="211">
        <v>500</v>
      </c>
      <c r="BL297" s="211">
        <v>380</v>
      </c>
      <c r="BM297" s="211">
        <v>300</v>
      </c>
      <c r="BO297" s="28">
        <f t="shared" si="13"/>
        <v>736.08333333333337</v>
      </c>
      <c r="BP297" s="28">
        <f t="shared" si="14"/>
        <v>8833</v>
      </c>
    </row>
    <row r="298" spans="22:68" x14ac:dyDescent="0.25">
      <c r="V298" s="449" t="str">
        <f>'[1]Strohs Plant in Service'!$C301</f>
        <v>Service Connection (30)</v>
      </c>
      <c r="W298" s="292" t="str">
        <f>'[1]Strohs Plant in Service'!$D301</f>
        <v>Services - Strohs (472)</v>
      </c>
      <c r="X298" s="293">
        <f>'[1]Strohs Plant in Service'!$E301</f>
        <v>45231</v>
      </c>
      <c r="Y298" s="297">
        <f>'[1]Strohs Plant in Service'!$F301</f>
        <v>85608.53</v>
      </c>
      <c r="Z298" s="248"/>
      <c r="AA298" s="294">
        <f>'[1]Strohs Plant in Service'!$G$11/12</f>
        <v>6</v>
      </c>
      <c r="AB298" s="219">
        <f>('[1]Strohs Plant in Service'!$G301-'[1]Strohs Plant in Service'!$H301)/12</f>
        <v>30.833333333333332</v>
      </c>
      <c r="AC298" s="219">
        <f>'[1]Strohs Plant in Service'!$I301</f>
        <v>2238.131503267974</v>
      </c>
      <c r="AD298" s="219"/>
      <c r="AE298" s="220">
        <f>'[1]Strohs Plant in Service'!$J301</f>
        <v>69175.850000000006</v>
      </c>
      <c r="AF298" s="221">
        <v>16432.679999999993</v>
      </c>
      <c r="AG298" s="204"/>
      <c r="AH298" s="178"/>
      <c r="AI298" s="174"/>
      <c r="AJ298" s="179"/>
      <c r="AK298" s="247"/>
      <c r="AL298" s="248"/>
      <c r="AM298" s="294"/>
      <c r="AN298" s="219"/>
      <c r="AO298" s="219"/>
      <c r="AP298" s="219"/>
      <c r="AQ298" s="220"/>
      <c r="AR298" s="221"/>
      <c r="AY298" s="628"/>
      <c r="AZ298" s="470">
        <v>0.75</v>
      </c>
      <c r="BA298" s="466">
        <v>3323443716</v>
      </c>
      <c r="BB298" s="211">
        <v>562</v>
      </c>
      <c r="BC298" s="211">
        <v>479</v>
      </c>
      <c r="BD298" s="211">
        <v>561</v>
      </c>
      <c r="BE298" s="211">
        <v>750</v>
      </c>
      <c r="BF298" s="211">
        <v>701</v>
      </c>
      <c r="BG298" s="211">
        <v>641</v>
      </c>
      <c r="BH298" s="211">
        <v>1846</v>
      </c>
      <c r="BI298" s="211">
        <v>1640</v>
      </c>
      <c r="BJ298" s="211">
        <v>1274</v>
      </c>
      <c r="BK298" s="211">
        <v>642</v>
      </c>
      <c r="BL298" s="211">
        <v>545</v>
      </c>
      <c r="BM298" s="211">
        <v>600</v>
      </c>
      <c r="BO298" s="28">
        <f t="shared" si="13"/>
        <v>853.41666666666663</v>
      </c>
      <c r="BP298" s="28">
        <f t="shared" si="14"/>
        <v>10241</v>
      </c>
    </row>
    <row r="299" spans="22:68" x14ac:dyDescent="0.25">
      <c r="V299" s="449" t="str">
        <f>'[1]Strohs Plant in Service'!$C302</f>
        <v>Service Connection (30)</v>
      </c>
      <c r="W299" s="292" t="str">
        <f>'[1]Strohs Plant in Service'!$D302</f>
        <v>Services - Strohs (075)</v>
      </c>
      <c r="X299" s="293">
        <f>'[1]Strohs Plant in Service'!$E302</f>
        <v>45231</v>
      </c>
      <c r="Y299" s="297">
        <f>'[1]Strohs Plant in Service'!$F302</f>
        <v>800</v>
      </c>
      <c r="Z299" s="248"/>
      <c r="AA299" s="294">
        <f>'[1]Strohs Plant in Service'!$G$11/12</f>
        <v>6</v>
      </c>
      <c r="AB299" s="219">
        <f>('[1]Strohs Plant in Service'!$G302-'[1]Strohs Plant in Service'!$H302)/12</f>
        <v>22.666666666666668</v>
      </c>
      <c r="AC299" s="219">
        <f>'[1]Strohs Plant in Service'!$I302</f>
        <v>26.666666666666668</v>
      </c>
      <c r="AD299" s="219"/>
      <c r="AE299" s="220">
        <f>'[1]Strohs Plant in Service'!$J302</f>
        <v>606.64</v>
      </c>
      <c r="AF299" s="221">
        <v>193.36</v>
      </c>
      <c r="AG299" s="204"/>
      <c r="AH299" s="178"/>
      <c r="AI299" s="174"/>
      <c r="AJ299" s="179"/>
      <c r="AK299" s="247"/>
      <c r="AL299" s="248"/>
      <c r="AM299" s="294"/>
      <c r="AN299" s="219"/>
      <c r="AO299" s="219"/>
      <c r="AP299" s="219"/>
      <c r="AQ299" s="220"/>
      <c r="AR299" s="221"/>
      <c r="AY299" s="628"/>
      <c r="AZ299" s="470">
        <v>0.75</v>
      </c>
      <c r="BA299" s="466">
        <v>3327503649</v>
      </c>
      <c r="BB299" s="211">
        <v>220</v>
      </c>
      <c r="BC299" s="211">
        <v>780</v>
      </c>
      <c r="BD299" s="211">
        <v>360</v>
      </c>
      <c r="BE299" s="211" t="s">
        <v>655</v>
      </c>
      <c r="BF299" s="211">
        <v>395</v>
      </c>
      <c r="BG299" s="211">
        <v>431</v>
      </c>
      <c r="BH299" s="211">
        <v>1575</v>
      </c>
      <c r="BI299" s="211">
        <v>895</v>
      </c>
      <c r="BJ299" s="211">
        <v>520</v>
      </c>
      <c r="BK299" s="211">
        <v>279</v>
      </c>
      <c r="BL299" s="211" t="s">
        <v>655</v>
      </c>
      <c r="BM299" s="211">
        <v>534</v>
      </c>
      <c r="BO299" s="28">
        <f t="shared" si="13"/>
        <v>598.9</v>
      </c>
      <c r="BP299" s="28">
        <f t="shared" si="14"/>
        <v>5989</v>
      </c>
    </row>
    <row r="300" spans="22:68" x14ac:dyDescent="0.25">
      <c r="V300" s="449" t="str">
        <f>'[1]Strohs Plant in Service'!$C303</f>
        <v>Service Connection (30)</v>
      </c>
      <c r="W300" s="292" t="str">
        <f>'[1]Strohs Plant in Service'!$D303</f>
        <v>Services - Strohs (472)</v>
      </c>
      <c r="X300" s="293">
        <f>'[1]Strohs Plant in Service'!$E303</f>
        <v>45231</v>
      </c>
      <c r="Y300" s="297">
        <f>'[1]Strohs Plant in Service'!$F303</f>
        <v>2548</v>
      </c>
      <c r="Z300" s="248"/>
      <c r="AA300" s="294">
        <f>'[1]Strohs Plant in Service'!$G$11/12</f>
        <v>6</v>
      </c>
      <c r="AB300" s="219">
        <f>('[1]Strohs Plant in Service'!$G303-'[1]Strohs Plant in Service'!$H303)/12</f>
        <v>21.416666666666668</v>
      </c>
      <c r="AC300" s="219">
        <f>'[1]Strohs Plant in Service'!$I303</f>
        <v>84.933333333333337</v>
      </c>
      <c r="AD300" s="219"/>
      <c r="AE300" s="220">
        <f>'[1]Strohs Plant in Service'!$J303</f>
        <v>1826.1</v>
      </c>
      <c r="AF300" s="221">
        <v>721.90000000000009</v>
      </c>
      <c r="AG300" s="204"/>
      <c r="AH300" s="178"/>
      <c r="AI300" s="174"/>
      <c r="AJ300" s="179"/>
      <c r="AK300" s="247"/>
      <c r="AL300" s="248"/>
      <c r="AM300" s="294"/>
      <c r="AN300" s="219"/>
      <c r="AO300" s="219"/>
      <c r="AP300" s="219"/>
      <c r="AQ300" s="220"/>
      <c r="AR300" s="221"/>
      <c r="AY300" s="628"/>
      <c r="AZ300" s="470">
        <v>0.75</v>
      </c>
      <c r="BA300" s="466">
        <v>3335470723</v>
      </c>
      <c r="BB300" s="211">
        <v>259</v>
      </c>
      <c r="BC300" s="211">
        <v>296</v>
      </c>
      <c r="BD300" s="211">
        <v>368</v>
      </c>
      <c r="BE300" s="211">
        <v>121</v>
      </c>
      <c r="BF300" s="211">
        <v>1332</v>
      </c>
      <c r="BG300" s="211">
        <v>1691</v>
      </c>
      <c r="BH300" s="211">
        <v>3152</v>
      </c>
      <c r="BI300" s="211">
        <v>3819</v>
      </c>
      <c r="BJ300" s="211">
        <v>3176</v>
      </c>
      <c r="BK300" s="211">
        <v>600</v>
      </c>
      <c r="BL300" s="211">
        <v>400</v>
      </c>
      <c r="BM300" s="211">
        <v>400</v>
      </c>
      <c r="BO300" s="28">
        <f t="shared" si="13"/>
        <v>1301.1666666666667</v>
      </c>
      <c r="BP300" s="28">
        <f t="shared" si="14"/>
        <v>15614</v>
      </c>
    </row>
    <row r="301" spans="22:68" x14ac:dyDescent="0.25">
      <c r="V301" s="449" t="str">
        <f>'[1]Strohs Plant in Service'!$C304</f>
        <v>Service Connection (30)</v>
      </c>
      <c r="W301" s="292" t="str">
        <f>'[1]Strohs Plant in Service'!$D304</f>
        <v>Services - Strohs (472)</v>
      </c>
      <c r="X301" s="293">
        <f>'[1]Strohs Plant in Service'!$E304</f>
        <v>45231</v>
      </c>
      <c r="Y301" s="297">
        <f>'[1]Strohs Plant in Service'!$F304</f>
        <v>263</v>
      </c>
      <c r="Z301" s="248"/>
      <c r="AA301" s="294">
        <f>'[1]Strohs Plant in Service'!$G$11/12</f>
        <v>6</v>
      </c>
      <c r="AB301" s="219">
        <f>('[1]Strohs Plant in Service'!$G304-'[1]Strohs Plant in Service'!$H304)/12</f>
        <v>10.166666666666666</v>
      </c>
      <c r="AC301" s="219">
        <f>'[1]Strohs Plant in Service'!$I304</f>
        <v>8.7666666666666657</v>
      </c>
      <c r="AD301" s="219"/>
      <c r="AE301" s="220">
        <f>'[1]Strohs Plant in Service'!$J304</f>
        <v>89.85</v>
      </c>
      <c r="AF301" s="221">
        <v>173.15</v>
      </c>
      <c r="AG301" s="204"/>
      <c r="AH301" s="178"/>
      <c r="AI301" s="174"/>
      <c r="AJ301" s="179"/>
      <c r="AK301" s="247"/>
      <c r="AL301" s="248"/>
      <c r="AM301" s="294"/>
      <c r="AN301" s="219"/>
      <c r="AO301" s="219"/>
      <c r="AP301" s="219"/>
      <c r="AQ301" s="220"/>
      <c r="AR301" s="221"/>
      <c r="AY301" s="628"/>
      <c r="AZ301" s="470">
        <v>0.625</v>
      </c>
      <c r="BA301" s="466">
        <v>3362673197</v>
      </c>
      <c r="BB301" s="211" t="s">
        <v>655</v>
      </c>
      <c r="BC301" s="211">
        <v>1</v>
      </c>
      <c r="BD301" s="211" t="s">
        <v>655</v>
      </c>
      <c r="BE301" s="211" t="s">
        <v>655</v>
      </c>
      <c r="BF301" s="211" t="s">
        <v>655</v>
      </c>
      <c r="BG301" s="211" t="s">
        <v>655</v>
      </c>
      <c r="BH301" s="211" t="s">
        <v>655</v>
      </c>
      <c r="BI301" s="211" t="s">
        <v>655</v>
      </c>
      <c r="BJ301" s="211" t="s">
        <v>655</v>
      </c>
      <c r="BK301" s="211" t="s">
        <v>655</v>
      </c>
      <c r="BL301" s="211" t="s">
        <v>655</v>
      </c>
      <c r="BM301" s="211" t="s">
        <v>655</v>
      </c>
      <c r="BO301" s="28">
        <f t="shared" si="13"/>
        <v>1</v>
      </c>
      <c r="BP301" s="28">
        <f t="shared" si="14"/>
        <v>1</v>
      </c>
    </row>
    <row r="302" spans="22:68" x14ac:dyDescent="0.25">
      <c r="V302" s="449" t="str">
        <f>'[1]Strohs Plant in Service'!$C305</f>
        <v>Service Connection (30)</v>
      </c>
      <c r="W302" s="292" t="str">
        <f>'[1]Strohs Plant in Service'!$D305</f>
        <v>Services - Strohs (472)</v>
      </c>
      <c r="X302" s="293">
        <f>'[1]Strohs Plant in Service'!$E305</f>
        <v>45231</v>
      </c>
      <c r="Y302" s="297">
        <f>'[1]Strohs Plant in Service'!$F305</f>
        <v>312.5</v>
      </c>
      <c r="Z302" s="248"/>
      <c r="AA302" s="294">
        <f>'[1]Strohs Plant in Service'!$G$11/12</f>
        <v>6</v>
      </c>
      <c r="AB302" s="219">
        <f>('[1]Strohs Plant in Service'!$G305-'[1]Strohs Plant in Service'!$H305)/12</f>
        <v>15.916666666666666</v>
      </c>
      <c r="AC302" s="219">
        <f>'[1]Strohs Plant in Service'!$I305</f>
        <v>10.416666666666668</v>
      </c>
      <c r="AD302" s="219"/>
      <c r="AE302" s="220">
        <f>'[1]Strohs Plant in Service'!$J305</f>
        <v>166.69</v>
      </c>
      <c r="AF302" s="221">
        <v>145.81</v>
      </c>
      <c r="AG302" s="204"/>
      <c r="AH302" s="178"/>
      <c r="AI302" s="174"/>
      <c r="AJ302" s="179"/>
      <c r="AK302" s="247"/>
      <c r="AL302" s="248"/>
      <c r="AM302" s="294"/>
      <c r="AN302" s="219"/>
      <c r="AO302" s="219"/>
      <c r="AP302" s="219"/>
      <c r="AQ302" s="220"/>
      <c r="AR302" s="221"/>
      <c r="AY302" s="628"/>
      <c r="AZ302" s="470">
        <v>0.75</v>
      </c>
      <c r="BA302" s="466">
        <v>3373714925</v>
      </c>
      <c r="BB302" s="211">
        <v>1301</v>
      </c>
      <c r="BC302" s="211">
        <v>1119</v>
      </c>
      <c r="BD302" s="211">
        <v>1424</v>
      </c>
      <c r="BE302" s="211">
        <v>1516</v>
      </c>
      <c r="BF302" s="211">
        <v>1073</v>
      </c>
      <c r="BG302" s="211">
        <v>1253</v>
      </c>
      <c r="BH302" s="211">
        <v>2498</v>
      </c>
      <c r="BI302" s="211">
        <v>1747</v>
      </c>
      <c r="BJ302" s="211">
        <v>1468</v>
      </c>
      <c r="BK302" s="211">
        <v>1060</v>
      </c>
      <c r="BL302" s="211">
        <v>1130</v>
      </c>
      <c r="BM302" s="211">
        <v>1400</v>
      </c>
      <c r="BO302" s="28">
        <f t="shared" si="13"/>
        <v>1415.75</v>
      </c>
      <c r="BP302" s="28">
        <f t="shared" si="14"/>
        <v>16989</v>
      </c>
    </row>
    <row r="303" spans="22:68" x14ac:dyDescent="0.25">
      <c r="V303" s="449" t="str">
        <f>'[1]Strohs Plant in Service'!$C306</f>
        <v>Service Connection (30)</v>
      </c>
      <c r="W303" s="292" t="str">
        <f>'[1]Strohs Plant in Service'!$D306</f>
        <v>Services - Strohs (075)</v>
      </c>
      <c r="X303" s="293">
        <f>'[1]Strohs Plant in Service'!$E306</f>
        <v>45231</v>
      </c>
      <c r="Y303" s="297">
        <f>'[1]Strohs Plant in Service'!$F306</f>
        <v>702.5</v>
      </c>
      <c r="Z303" s="248"/>
      <c r="AA303" s="294">
        <f>'[1]Strohs Plant in Service'!$G$11/12</f>
        <v>6</v>
      </c>
      <c r="AB303" s="219">
        <f>('[1]Strohs Plant in Service'!$G306-'[1]Strohs Plant in Service'!$H306)/12</f>
        <v>20.583333333333332</v>
      </c>
      <c r="AC303" s="219">
        <f>'[1]Strohs Plant in Service'!$I306</f>
        <v>23.416666666666664</v>
      </c>
      <c r="AD303" s="219"/>
      <c r="AE303" s="220">
        <f>'[1]Strohs Plant in Service'!$J306</f>
        <v>483.93</v>
      </c>
      <c r="AF303" s="221">
        <v>218.57</v>
      </c>
      <c r="AG303" s="204"/>
      <c r="AH303" s="178"/>
      <c r="AI303" s="174"/>
      <c r="AJ303" s="179"/>
      <c r="AK303" s="247"/>
      <c r="AL303" s="248"/>
      <c r="AM303" s="294"/>
      <c r="AN303" s="219"/>
      <c r="AO303" s="219"/>
      <c r="AP303" s="219"/>
      <c r="AQ303" s="220"/>
      <c r="AR303" s="221"/>
      <c r="AY303" s="628"/>
      <c r="AZ303" s="470">
        <v>0.75</v>
      </c>
      <c r="BA303" s="466">
        <v>3387402961</v>
      </c>
      <c r="BB303" s="211" t="s">
        <v>655</v>
      </c>
      <c r="BC303" s="211" t="s">
        <v>655</v>
      </c>
      <c r="BD303" s="211" t="s">
        <v>655</v>
      </c>
      <c r="BE303" s="211" t="s">
        <v>655</v>
      </c>
      <c r="BF303" s="211" t="s">
        <v>655</v>
      </c>
      <c r="BG303" s="211" t="s">
        <v>655</v>
      </c>
      <c r="BH303" s="211">
        <v>3855</v>
      </c>
      <c r="BI303" s="211">
        <v>5195</v>
      </c>
      <c r="BJ303" s="211">
        <v>3555</v>
      </c>
      <c r="BK303" s="211">
        <v>8</v>
      </c>
      <c r="BL303" s="211">
        <v>9</v>
      </c>
      <c r="BM303" s="211" t="s">
        <v>655</v>
      </c>
      <c r="BO303" s="28">
        <f t="shared" si="13"/>
        <v>2524.4</v>
      </c>
      <c r="BP303" s="28">
        <f t="shared" si="14"/>
        <v>12622</v>
      </c>
    </row>
    <row r="304" spans="22:68" x14ac:dyDescent="0.25">
      <c r="V304" s="449" t="str">
        <f>'[1]Strohs Plant in Service'!$C307</f>
        <v>Service Connection (30)</v>
      </c>
      <c r="W304" s="292" t="str">
        <f>'[1]Strohs Plant in Service'!$D307</f>
        <v>Services - Strohs (472)</v>
      </c>
      <c r="X304" s="293">
        <f>'[1]Strohs Plant in Service'!$E307</f>
        <v>45231</v>
      </c>
      <c r="Y304" s="297">
        <f>'[1]Strohs Plant in Service'!$F307</f>
        <v>217</v>
      </c>
      <c r="Z304" s="248"/>
      <c r="AA304" s="294">
        <f>'[1]Strohs Plant in Service'!$G$11/12</f>
        <v>6</v>
      </c>
      <c r="AB304" s="219">
        <f>('[1]Strohs Plant in Service'!$G307-'[1]Strohs Plant in Service'!$H307)/12</f>
        <v>11.833333333333334</v>
      </c>
      <c r="AC304" s="219">
        <f>'[1]Strohs Plant in Service'!$I307</f>
        <v>7.2333333333333325</v>
      </c>
      <c r="AD304" s="219"/>
      <c r="AE304" s="220">
        <f>'[1]Strohs Plant in Service'!$J307</f>
        <v>86.16</v>
      </c>
      <c r="AF304" s="221">
        <v>130.84</v>
      </c>
      <c r="AG304" s="204"/>
      <c r="AH304" s="178"/>
      <c r="AI304" s="174"/>
      <c r="AJ304" s="179"/>
      <c r="AK304" s="247"/>
      <c r="AL304" s="248"/>
      <c r="AM304" s="294"/>
      <c r="AN304" s="219"/>
      <c r="AO304" s="219"/>
      <c r="AP304" s="219"/>
      <c r="AQ304" s="220"/>
      <c r="AR304" s="221"/>
      <c r="AY304" s="628"/>
      <c r="AZ304" s="470">
        <v>0.75</v>
      </c>
      <c r="BA304" s="466">
        <v>3391621689</v>
      </c>
      <c r="BB304" s="211">
        <v>379</v>
      </c>
      <c r="BC304" s="211">
        <v>422</v>
      </c>
      <c r="BD304" s="211">
        <v>320</v>
      </c>
      <c r="BE304" s="211">
        <v>811</v>
      </c>
      <c r="BF304" s="211">
        <v>3468</v>
      </c>
      <c r="BG304" s="211">
        <v>1795</v>
      </c>
      <c r="BH304" s="211">
        <v>4262</v>
      </c>
      <c r="BI304" s="211">
        <v>5203</v>
      </c>
      <c r="BJ304" s="211">
        <v>3826</v>
      </c>
      <c r="BK304" s="211">
        <v>2166</v>
      </c>
      <c r="BL304" s="211">
        <v>289</v>
      </c>
      <c r="BM304" s="211">
        <v>269</v>
      </c>
      <c r="BO304" s="28">
        <f t="shared" si="13"/>
        <v>1934.1666666666667</v>
      </c>
      <c r="BP304" s="28">
        <f t="shared" si="14"/>
        <v>23210</v>
      </c>
    </row>
    <row r="305" spans="22:68" x14ac:dyDescent="0.25">
      <c r="V305" s="449" t="str">
        <f>'[1]Strohs Plant in Service'!$C308</f>
        <v>Service Connection (30)</v>
      </c>
      <c r="W305" s="292" t="str">
        <f>'[1]Strohs Plant in Service'!$D308</f>
        <v>Services - Strohs (075)</v>
      </c>
      <c r="X305" s="293">
        <f>'[1]Strohs Plant in Service'!$E308</f>
        <v>45231</v>
      </c>
      <c r="Y305" s="297">
        <f>'[1]Strohs Plant in Service'!$F308</f>
        <v>1425.23</v>
      </c>
      <c r="Z305" s="248"/>
      <c r="AA305" s="294">
        <f>'[1]Strohs Plant in Service'!$G$11/12</f>
        <v>6</v>
      </c>
      <c r="AB305" s="219">
        <f>('[1]Strohs Plant in Service'!$G308-'[1]Strohs Plant in Service'!$H308)/12</f>
        <v>18.083333333333332</v>
      </c>
      <c r="AC305" s="219">
        <f>'[1]Strohs Plant in Service'!$I308</f>
        <v>47.507666666666665</v>
      </c>
      <c r="AD305" s="219"/>
      <c r="AE305" s="220">
        <f>'[1]Strohs Plant in Service'!$J308</f>
        <v>863.07</v>
      </c>
      <c r="AF305" s="221">
        <v>562.16</v>
      </c>
      <c r="AG305" s="204"/>
      <c r="AH305" s="178"/>
      <c r="AI305" s="174"/>
      <c r="AJ305" s="179"/>
      <c r="AK305" s="247"/>
      <c r="AL305" s="248"/>
      <c r="AM305" s="294"/>
      <c r="AN305" s="219"/>
      <c r="AO305" s="219"/>
      <c r="AP305" s="219"/>
      <c r="AQ305" s="220"/>
      <c r="AR305" s="221"/>
      <c r="AY305" s="628"/>
      <c r="AZ305" s="470">
        <v>0.75</v>
      </c>
      <c r="BA305" s="466">
        <v>3407412698</v>
      </c>
      <c r="BB305" s="211">
        <v>508</v>
      </c>
      <c r="BC305" s="211">
        <v>406</v>
      </c>
      <c r="BD305" s="211">
        <v>491</v>
      </c>
      <c r="BE305" s="211">
        <v>507</v>
      </c>
      <c r="BF305" s="211">
        <v>692</v>
      </c>
      <c r="BG305" s="211">
        <v>400</v>
      </c>
      <c r="BH305" s="211">
        <v>1461</v>
      </c>
      <c r="BI305" s="211">
        <v>665</v>
      </c>
      <c r="BJ305" s="211">
        <v>1812</v>
      </c>
      <c r="BK305" s="211">
        <v>400</v>
      </c>
      <c r="BL305" s="211">
        <v>350</v>
      </c>
      <c r="BM305" s="211">
        <v>240</v>
      </c>
      <c r="BO305" s="28">
        <f t="shared" si="13"/>
        <v>661</v>
      </c>
      <c r="BP305" s="28">
        <f t="shared" si="14"/>
        <v>7932</v>
      </c>
    </row>
    <row r="306" spans="22:68" x14ac:dyDescent="0.25">
      <c r="V306" s="449" t="str">
        <f>'[1]Strohs Plant in Service'!$C309</f>
        <v>Service Connection (30)</v>
      </c>
      <c r="W306" s="292" t="str">
        <f>'[1]Strohs Plant in Service'!$D309</f>
        <v>Services - Strohs (075)</v>
      </c>
      <c r="X306" s="293">
        <f>'[1]Strohs Plant in Service'!$E309</f>
        <v>45231</v>
      </c>
      <c r="Y306" s="297">
        <f>'[1]Strohs Plant in Service'!$F309</f>
        <v>2251.42</v>
      </c>
      <c r="Z306" s="248"/>
      <c r="AA306" s="294">
        <f>'[1]Strohs Plant in Service'!$G$11/12</f>
        <v>6</v>
      </c>
      <c r="AB306" s="219">
        <f>('[1]Strohs Plant in Service'!$G309-'[1]Strohs Plant in Service'!$H309)/12</f>
        <v>17.916666666666668</v>
      </c>
      <c r="AC306" s="219">
        <f>'[1]Strohs Plant in Service'!$I309</f>
        <v>75.047333333333341</v>
      </c>
      <c r="AD306" s="219"/>
      <c r="AE306" s="220">
        <f>'[1]Strohs Plant in Service'!$J309</f>
        <v>1350.8</v>
      </c>
      <c r="AF306" s="221">
        <v>900.62000000000012</v>
      </c>
      <c r="AG306" s="204"/>
      <c r="AH306" s="178"/>
      <c r="AI306" s="174"/>
      <c r="AJ306" s="179"/>
      <c r="AK306" s="247"/>
      <c r="AL306" s="248"/>
      <c r="AM306" s="294"/>
      <c r="AN306" s="219"/>
      <c r="AO306" s="219"/>
      <c r="AP306" s="219"/>
      <c r="AQ306" s="220"/>
      <c r="AR306" s="221"/>
      <c r="AY306" s="628"/>
      <c r="AZ306" s="470">
        <v>0.75</v>
      </c>
      <c r="BA306" s="466">
        <v>3410706383</v>
      </c>
      <c r="BB306" s="211">
        <v>294</v>
      </c>
      <c r="BC306" s="211">
        <v>425</v>
      </c>
      <c r="BD306" s="211">
        <v>510</v>
      </c>
      <c r="BE306" s="211">
        <v>547</v>
      </c>
      <c r="BF306" s="211">
        <v>658</v>
      </c>
      <c r="BG306" s="211">
        <v>517</v>
      </c>
      <c r="BH306" s="211">
        <v>957</v>
      </c>
      <c r="BI306" s="211">
        <v>922</v>
      </c>
      <c r="BJ306" s="211">
        <v>1178</v>
      </c>
      <c r="BK306" s="211">
        <v>612</v>
      </c>
      <c r="BL306" s="211">
        <v>350</v>
      </c>
      <c r="BM306" s="211">
        <v>379</v>
      </c>
      <c r="BO306" s="28">
        <f t="shared" si="13"/>
        <v>612.41666666666663</v>
      </c>
      <c r="BP306" s="28">
        <f t="shared" si="14"/>
        <v>7349</v>
      </c>
    </row>
    <row r="307" spans="22:68" x14ac:dyDescent="0.25">
      <c r="V307" s="449" t="str">
        <f>'[1]Strohs Plant in Service'!$C310</f>
        <v>Service Connection (30)</v>
      </c>
      <c r="W307" s="292" t="str">
        <f>'[1]Strohs Plant in Service'!$D310</f>
        <v>Services - Strohs (075)</v>
      </c>
      <c r="X307" s="293">
        <f>'[1]Strohs Plant in Service'!$E310</f>
        <v>45231</v>
      </c>
      <c r="Y307" s="297">
        <f>'[1]Strohs Plant in Service'!$F310</f>
        <v>792.73</v>
      </c>
      <c r="Z307" s="248"/>
      <c r="AA307" s="294">
        <f>'[1]Strohs Plant in Service'!$G$11/12</f>
        <v>6</v>
      </c>
      <c r="AB307" s="219">
        <f>('[1]Strohs Plant in Service'!$G310-'[1]Strohs Plant in Service'!$H310)/12</f>
        <v>16.666666666666668</v>
      </c>
      <c r="AC307" s="219">
        <f>'[1]Strohs Plant in Service'!$I310</f>
        <v>26.424333333333337</v>
      </c>
      <c r="AD307" s="219"/>
      <c r="AE307" s="220">
        <f>'[1]Strohs Plant in Service'!$J310</f>
        <v>442.58</v>
      </c>
      <c r="AF307" s="221">
        <v>350.15000000000003</v>
      </c>
      <c r="AG307" s="204"/>
      <c r="AH307" s="178"/>
      <c r="AI307" s="174"/>
      <c r="AJ307" s="179"/>
      <c r="AK307" s="247"/>
      <c r="AL307" s="248"/>
      <c r="AM307" s="294"/>
      <c r="AN307" s="219"/>
      <c r="AO307" s="219"/>
      <c r="AP307" s="219"/>
      <c r="AQ307" s="220"/>
      <c r="AR307" s="221"/>
      <c r="AY307" s="628"/>
      <c r="AZ307" s="470">
        <v>0.75</v>
      </c>
      <c r="BA307" s="466">
        <v>3427990964</v>
      </c>
      <c r="BB307" s="211">
        <v>1</v>
      </c>
      <c r="BC307" s="211">
        <v>334</v>
      </c>
      <c r="BD307" s="211">
        <v>148</v>
      </c>
      <c r="BE307" s="211">
        <v>141</v>
      </c>
      <c r="BF307" s="211">
        <v>798</v>
      </c>
      <c r="BG307" s="211">
        <v>1935</v>
      </c>
      <c r="BH307" s="211">
        <v>5335</v>
      </c>
      <c r="BI307" s="211">
        <v>1695</v>
      </c>
      <c r="BJ307" s="211">
        <v>1552</v>
      </c>
      <c r="BK307" s="211">
        <v>151</v>
      </c>
      <c r="BL307" s="211">
        <v>119</v>
      </c>
      <c r="BM307" s="211">
        <v>181</v>
      </c>
      <c r="BO307" s="28">
        <f t="shared" si="13"/>
        <v>1032.5</v>
      </c>
      <c r="BP307" s="28">
        <f t="shared" si="14"/>
        <v>12390</v>
      </c>
    </row>
    <row r="308" spans="22:68" x14ac:dyDescent="0.25">
      <c r="V308" s="449" t="str">
        <f>'[1]Strohs Plant in Service'!$C311</f>
        <v>Service Connection (30)</v>
      </c>
      <c r="W308" s="292" t="str">
        <f>'[1]Strohs Plant in Service'!$D311</f>
        <v>Services - Strohs (075)</v>
      </c>
      <c r="X308" s="293">
        <f>'[1]Strohs Plant in Service'!$E311</f>
        <v>45231</v>
      </c>
      <c r="Y308" s="297">
        <f>'[1]Strohs Plant in Service'!$F311</f>
        <v>6758.54</v>
      </c>
      <c r="Z308" s="248"/>
      <c r="AA308" s="294">
        <f>'[1]Strohs Plant in Service'!$G$11/12</f>
        <v>6</v>
      </c>
      <c r="AB308" s="219">
        <f>('[1]Strohs Plant in Service'!$G311-'[1]Strohs Plant in Service'!$H311)/12</f>
        <v>13.916666666666666</v>
      </c>
      <c r="AC308" s="219">
        <f>'[1]Strohs Plant in Service'!$I311</f>
        <v>225.28466666666668</v>
      </c>
      <c r="AD308" s="219"/>
      <c r="AE308" s="220">
        <f>'[1]Strohs Plant in Service'!$J311</f>
        <v>3153.94</v>
      </c>
      <c r="AF308" s="221">
        <v>3604.6</v>
      </c>
      <c r="AG308" s="204"/>
      <c r="AH308" s="178"/>
      <c r="AI308" s="174"/>
      <c r="AJ308" s="179"/>
      <c r="AK308" s="247"/>
      <c r="AL308" s="248"/>
      <c r="AM308" s="294"/>
      <c r="AN308" s="219"/>
      <c r="AO308" s="219"/>
      <c r="AP308" s="219"/>
      <c r="AQ308" s="220"/>
      <c r="AR308" s="221"/>
      <c r="AY308" s="628"/>
      <c r="AZ308" s="470">
        <v>0.625</v>
      </c>
      <c r="BA308" s="466">
        <v>3428418957</v>
      </c>
      <c r="BB308" s="211">
        <v>601</v>
      </c>
      <c r="BC308" s="211">
        <v>1244</v>
      </c>
      <c r="BD308" s="211">
        <v>498</v>
      </c>
      <c r="BE308" s="211">
        <v>549</v>
      </c>
      <c r="BF308" s="211">
        <v>5005</v>
      </c>
      <c r="BG308" s="211">
        <v>4282</v>
      </c>
      <c r="BH308" s="211">
        <v>4413</v>
      </c>
      <c r="BI308" s="211">
        <v>3415</v>
      </c>
      <c r="BJ308" s="211">
        <v>2270</v>
      </c>
      <c r="BK308" s="211">
        <v>2030</v>
      </c>
      <c r="BL308" s="211">
        <v>806</v>
      </c>
      <c r="BM308" s="211">
        <v>1068</v>
      </c>
      <c r="BO308" s="28">
        <f t="shared" si="13"/>
        <v>2181.75</v>
      </c>
      <c r="BP308" s="28">
        <f t="shared" si="14"/>
        <v>26181</v>
      </c>
    </row>
    <row r="309" spans="22:68" x14ac:dyDescent="0.25">
      <c r="V309" s="449" t="str">
        <f>'[1]Strohs Plant in Service'!$C312</f>
        <v>Service Connection (30)</v>
      </c>
      <c r="W309" s="292" t="str">
        <f>'[1]Strohs Plant in Service'!$D312</f>
        <v>Services - Strohs (472)</v>
      </c>
      <c r="X309" s="293">
        <f>'[1]Strohs Plant in Service'!$E312</f>
        <v>45231</v>
      </c>
      <c r="Y309" s="297">
        <f>'[1]Strohs Plant in Service'!$F312</f>
        <v>500</v>
      </c>
      <c r="Z309" s="248"/>
      <c r="AA309" s="294">
        <f>'[1]Strohs Plant in Service'!$G$11/12</f>
        <v>6</v>
      </c>
      <c r="AB309" s="219">
        <f>('[1]Strohs Plant in Service'!$G312-'[1]Strohs Plant in Service'!$H312)/12</f>
        <v>11.916666666666666</v>
      </c>
      <c r="AC309" s="219">
        <f>'[1]Strohs Plant in Service'!$I312</f>
        <v>16.666666666666664</v>
      </c>
      <c r="AD309" s="219"/>
      <c r="AE309" s="220">
        <f>'[1]Strohs Plant in Service'!$J312</f>
        <v>200.01</v>
      </c>
      <c r="AF309" s="221">
        <v>299.99</v>
      </c>
      <c r="AG309" s="204"/>
      <c r="AH309" s="178"/>
      <c r="AI309" s="174"/>
      <c r="AJ309" s="179"/>
      <c r="AK309" s="247"/>
      <c r="AL309" s="248"/>
      <c r="AM309" s="294"/>
      <c r="AN309" s="219"/>
      <c r="AO309" s="219"/>
      <c r="AP309" s="219"/>
      <c r="AQ309" s="220"/>
      <c r="AR309" s="221"/>
      <c r="AY309" s="628"/>
      <c r="AZ309" s="470">
        <v>1</v>
      </c>
      <c r="BA309" s="466">
        <v>3432460869</v>
      </c>
      <c r="BB309" s="211">
        <v>693</v>
      </c>
      <c r="BC309" s="211">
        <v>621</v>
      </c>
      <c r="BD309" s="211">
        <v>716</v>
      </c>
      <c r="BE309" s="211">
        <v>647</v>
      </c>
      <c r="BF309" s="211">
        <v>710</v>
      </c>
      <c r="BG309" s="211">
        <v>701</v>
      </c>
      <c r="BH309" s="211">
        <v>975</v>
      </c>
      <c r="BI309" s="211">
        <v>796</v>
      </c>
      <c r="BJ309" s="211">
        <v>949</v>
      </c>
      <c r="BK309" s="211">
        <v>585</v>
      </c>
      <c r="BL309" s="211">
        <v>540</v>
      </c>
      <c r="BM309" s="211">
        <v>295</v>
      </c>
      <c r="BO309" s="28">
        <f t="shared" si="13"/>
        <v>685.66666666666663</v>
      </c>
      <c r="BP309" s="28">
        <f t="shared" si="14"/>
        <v>8228</v>
      </c>
    </row>
    <row r="310" spans="22:68" x14ac:dyDescent="0.25">
      <c r="V310" s="449" t="str">
        <f>'[1]Strohs Plant in Service'!$C313</f>
        <v>Service Connection (30)</v>
      </c>
      <c r="W310" s="292" t="str">
        <f>'[1]Strohs Plant in Service'!$D313</f>
        <v>Services - Strohs (075)</v>
      </c>
      <c r="X310" s="293">
        <f>'[1]Strohs Plant in Service'!$E313</f>
        <v>45231</v>
      </c>
      <c r="Y310" s="297">
        <f>'[1]Strohs Plant in Service'!$F313</f>
        <v>3695</v>
      </c>
      <c r="Z310" s="248"/>
      <c r="AA310" s="294">
        <f>'[1]Strohs Plant in Service'!$G$11/12</f>
        <v>6</v>
      </c>
      <c r="AB310" s="219">
        <f>('[1]Strohs Plant in Service'!$G313-'[1]Strohs Plant in Service'!$H313)/12</f>
        <v>10.916666666666666</v>
      </c>
      <c r="AC310" s="219">
        <f>'[1]Strohs Plant in Service'!$I313</f>
        <v>123.16666666666667</v>
      </c>
      <c r="AD310" s="219"/>
      <c r="AE310" s="220">
        <f>'[1]Strohs Plant in Service'!$J313</f>
        <v>1354.78</v>
      </c>
      <c r="AF310" s="221">
        <v>2340.2200000000003</v>
      </c>
      <c r="AG310" s="204"/>
      <c r="AH310" s="178"/>
      <c r="AI310" s="174"/>
      <c r="AJ310" s="179"/>
      <c r="AK310" s="247"/>
      <c r="AL310" s="248"/>
      <c r="AM310" s="294"/>
      <c r="AN310" s="219"/>
      <c r="AO310" s="219"/>
      <c r="AP310" s="219"/>
      <c r="AQ310" s="220"/>
      <c r="AR310" s="221"/>
      <c r="AY310" s="628"/>
      <c r="AZ310" s="470">
        <v>0.75</v>
      </c>
      <c r="BA310" s="466">
        <v>3447625332</v>
      </c>
      <c r="BB310" s="211">
        <v>498</v>
      </c>
      <c r="BC310" s="211">
        <v>1112</v>
      </c>
      <c r="BD310" s="211">
        <v>1175</v>
      </c>
      <c r="BE310" s="211">
        <v>320</v>
      </c>
      <c r="BF310" s="211">
        <v>474</v>
      </c>
      <c r="BG310" s="211">
        <v>823</v>
      </c>
      <c r="BH310" s="211">
        <v>3328</v>
      </c>
      <c r="BI310" s="211">
        <v>2353</v>
      </c>
      <c r="BJ310" s="211">
        <v>1951</v>
      </c>
      <c r="BK310" s="211">
        <v>523</v>
      </c>
      <c r="BL310" s="211">
        <v>429</v>
      </c>
      <c r="BM310" s="211">
        <v>539</v>
      </c>
      <c r="BO310" s="28">
        <f t="shared" si="13"/>
        <v>1127.0833333333333</v>
      </c>
      <c r="BP310" s="28">
        <f t="shared" si="14"/>
        <v>13525</v>
      </c>
    </row>
    <row r="311" spans="22:68" x14ac:dyDescent="0.25">
      <c r="V311" s="449" t="str">
        <f>'[1]Strohs Plant in Service'!$C314</f>
        <v>Service Connection (30)</v>
      </c>
      <c r="W311" s="292" t="str">
        <f>'[1]Strohs Plant in Service'!$D314</f>
        <v>Services - Strohs (472)</v>
      </c>
      <c r="X311" s="293">
        <f>'[1]Strohs Plant in Service'!$E314</f>
        <v>45231</v>
      </c>
      <c r="Y311" s="297">
        <f>'[1]Strohs Plant in Service'!$F314</f>
        <v>3258.04</v>
      </c>
      <c r="Z311" s="248"/>
      <c r="AA311" s="294">
        <f>'[1]Strohs Plant in Service'!$G$11/12</f>
        <v>6</v>
      </c>
      <c r="AB311" s="219">
        <f>('[1]Strohs Plant in Service'!$G314-'[1]Strohs Plant in Service'!$H314)/12</f>
        <v>9.9166666666666661</v>
      </c>
      <c r="AC311" s="219">
        <f>'[1]Strohs Plant in Service'!$I314</f>
        <v>108.60133333333333</v>
      </c>
      <c r="AD311" s="219"/>
      <c r="AE311" s="220">
        <f>'[1]Strohs Plant in Service'!$J314</f>
        <v>1086.01</v>
      </c>
      <c r="AF311" s="221">
        <v>2172.0299999999997</v>
      </c>
      <c r="AG311" s="204"/>
      <c r="AH311" s="178"/>
      <c r="AI311" s="174"/>
      <c r="AJ311" s="179"/>
      <c r="AK311" s="247"/>
      <c r="AL311" s="248"/>
      <c r="AM311" s="294"/>
      <c r="AN311" s="219"/>
      <c r="AO311" s="219"/>
      <c r="AP311" s="219"/>
      <c r="AQ311" s="220"/>
      <c r="AR311" s="221"/>
      <c r="AY311" s="628"/>
      <c r="AZ311" s="470">
        <v>0.625</v>
      </c>
      <c r="BA311" s="466">
        <v>3447649826</v>
      </c>
      <c r="BB311" s="211">
        <v>524</v>
      </c>
      <c r="BC311" s="211">
        <v>401</v>
      </c>
      <c r="BD311" s="211">
        <v>508</v>
      </c>
      <c r="BE311" s="211">
        <v>614</v>
      </c>
      <c r="BF311" s="211">
        <v>62</v>
      </c>
      <c r="BG311" s="211">
        <v>1553</v>
      </c>
      <c r="BH311" s="211">
        <v>1818</v>
      </c>
      <c r="BI311" s="211">
        <v>1621</v>
      </c>
      <c r="BJ311" s="211">
        <v>1612</v>
      </c>
      <c r="BK311" s="211">
        <v>590</v>
      </c>
      <c r="BL311" s="211">
        <v>400</v>
      </c>
      <c r="BM311" s="211">
        <v>200</v>
      </c>
      <c r="BO311" s="28">
        <f t="shared" si="13"/>
        <v>825.25</v>
      </c>
      <c r="BP311" s="28">
        <f t="shared" si="14"/>
        <v>9903</v>
      </c>
    </row>
    <row r="312" spans="22:68" x14ac:dyDescent="0.25">
      <c r="V312" s="449" t="str">
        <f>'[1]Strohs Plant in Service'!$C315</f>
        <v>Service Connection (30)</v>
      </c>
      <c r="W312" s="292" t="str">
        <f>'[1]Strohs Plant in Service'!$D315</f>
        <v>Services - Strohs (472)</v>
      </c>
      <c r="X312" s="293">
        <f>'[1]Strohs Plant in Service'!$E315</f>
        <v>45231</v>
      </c>
      <c r="Y312" s="297">
        <f>'[1]Strohs Plant in Service'!$F315</f>
        <v>8613.52</v>
      </c>
      <c r="Z312" s="248"/>
      <c r="AA312" s="294">
        <f>'[1]Strohs Plant in Service'!$G$11/12</f>
        <v>6</v>
      </c>
      <c r="AB312" s="219">
        <f>('[1]Strohs Plant in Service'!$G315-'[1]Strohs Plant in Service'!$H315)/12</f>
        <v>8.25</v>
      </c>
      <c r="AC312" s="219">
        <f>'[1]Strohs Plant in Service'!$I315</f>
        <v>287.11733333333336</v>
      </c>
      <c r="AD312" s="219"/>
      <c r="AE312" s="220">
        <f>'[1]Strohs Plant in Service'!$J315</f>
        <v>2392.69</v>
      </c>
      <c r="AF312" s="221">
        <v>6220.83</v>
      </c>
      <c r="AG312" s="204"/>
      <c r="AH312" s="178"/>
      <c r="AI312" s="174"/>
      <c r="AJ312" s="179"/>
      <c r="AK312" s="247"/>
      <c r="AL312" s="248"/>
      <c r="AM312" s="294"/>
      <c r="AN312" s="219"/>
      <c r="AO312" s="219"/>
      <c r="AP312" s="219"/>
      <c r="AQ312" s="220"/>
      <c r="AR312" s="221"/>
      <c r="AY312" s="628"/>
      <c r="AZ312" s="470">
        <v>0.625</v>
      </c>
      <c r="BA312" s="466">
        <v>3448760175</v>
      </c>
      <c r="BB312" s="211">
        <v>623</v>
      </c>
      <c r="BC312" s="211">
        <v>703</v>
      </c>
      <c r="BD312" s="211">
        <v>673</v>
      </c>
      <c r="BE312" s="211">
        <v>739</v>
      </c>
      <c r="BF312" s="211">
        <v>320</v>
      </c>
      <c r="BG312" s="211">
        <v>1345</v>
      </c>
      <c r="BH312" s="211">
        <v>731</v>
      </c>
      <c r="BI312" s="211">
        <v>1272</v>
      </c>
      <c r="BJ312" s="211">
        <v>1138</v>
      </c>
      <c r="BK312" s="211">
        <v>564</v>
      </c>
      <c r="BL312" s="211">
        <v>550</v>
      </c>
      <c r="BM312" s="211">
        <v>400</v>
      </c>
      <c r="BO312" s="28">
        <f t="shared" si="13"/>
        <v>754.83333333333337</v>
      </c>
      <c r="BP312" s="28">
        <f t="shared" si="14"/>
        <v>9058</v>
      </c>
    </row>
    <row r="313" spans="22:68" x14ac:dyDescent="0.25">
      <c r="V313" s="449" t="str">
        <f>'[1]Strohs Plant in Service'!$C316</f>
        <v>Service Connection (30)</v>
      </c>
      <c r="W313" s="292" t="str">
        <f>'[1]Strohs Plant in Service'!$D316</f>
        <v>Services - Strohs (075)</v>
      </c>
      <c r="X313" s="293">
        <f>'[1]Strohs Plant in Service'!$E316</f>
        <v>45231</v>
      </c>
      <c r="Y313" s="297">
        <f>'[1]Strohs Plant in Service'!$F316</f>
        <v>2424.11</v>
      </c>
      <c r="Z313" s="248"/>
      <c r="AA313" s="294">
        <f>'[1]Strohs Plant in Service'!$G$11/12</f>
        <v>6</v>
      </c>
      <c r="AB313" s="219">
        <f>('[1]Strohs Plant in Service'!$G316-'[1]Strohs Plant in Service'!$H316)/12</f>
        <v>5.916666666666667</v>
      </c>
      <c r="AC313" s="219">
        <f>'[1]Strohs Plant in Service'!$I316</f>
        <v>80.803666666666672</v>
      </c>
      <c r="AD313" s="219"/>
      <c r="AE313" s="220">
        <f>'[1]Strohs Plant in Service'!$J316</f>
        <v>484.77</v>
      </c>
      <c r="AF313" s="221">
        <v>1939.3400000000001</v>
      </c>
      <c r="AG313" s="204"/>
      <c r="AH313" s="178"/>
      <c r="AI313" s="174"/>
      <c r="AJ313" s="179"/>
      <c r="AK313" s="247"/>
      <c r="AL313" s="248"/>
      <c r="AM313" s="294"/>
      <c r="AN313" s="219"/>
      <c r="AO313" s="219"/>
      <c r="AP313" s="219"/>
      <c r="AQ313" s="220"/>
      <c r="AR313" s="221"/>
      <c r="AY313" s="628"/>
      <c r="AZ313" s="470">
        <v>0.75</v>
      </c>
      <c r="BA313" s="466">
        <v>3453151269</v>
      </c>
      <c r="BB313" s="211">
        <v>172</v>
      </c>
      <c r="BC313" s="211">
        <v>168</v>
      </c>
      <c r="BD313" s="211">
        <v>262</v>
      </c>
      <c r="BE313" s="211">
        <v>209</v>
      </c>
      <c r="BF313" s="211">
        <v>167</v>
      </c>
      <c r="BG313" s="211">
        <v>272</v>
      </c>
      <c r="BH313" s="211">
        <v>268</v>
      </c>
      <c r="BI313" s="211">
        <v>229</v>
      </c>
      <c r="BJ313" s="211">
        <v>215</v>
      </c>
      <c r="BK313" s="211">
        <v>294</v>
      </c>
      <c r="BL313" s="211">
        <v>100</v>
      </c>
      <c r="BM313" s="211">
        <v>200</v>
      </c>
      <c r="BO313" s="28">
        <f t="shared" si="13"/>
        <v>213</v>
      </c>
      <c r="BP313" s="28">
        <f t="shared" si="14"/>
        <v>2556</v>
      </c>
    </row>
    <row r="314" spans="22:68" x14ac:dyDescent="0.25">
      <c r="V314" s="449" t="str">
        <f>'[1]Strohs Plant in Service'!$C317</f>
        <v>Service Connection (30)</v>
      </c>
      <c r="W314" s="292" t="str">
        <f>'[1]Strohs Plant in Service'!$D317</f>
        <v>Services (CIAC) - Strohs (472)</v>
      </c>
      <c r="X314" s="293">
        <f>'[1]Strohs Plant in Service'!$E317</f>
        <v>45231</v>
      </c>
      <c r="Y314" s="297">
        <f>'[1]Strohs Plant in Service'!$F317</f>
        <v>7458.34</v>
      </c>
      <c r="Z314" s="248"/>
      <c r="AA314" s="294">
        <f>'[1]Strohs Plant in Service'!$G$11/12</f>
        <v>6</v>
      </c>
      <c r="AB314" s="219">
        <f>('[1]Strohs Plant in Service'!$G317-'[1]Strohs Plant in Service'!$H317)/12</f>
        <v>5.916666666666667</v>
      </c>
      <c r="AC314" s="219">
        <f>'[1]Strohs Plant in Service'!$I317</f>
        <v>248.61133333333333</v>
      </c>
      <c r="AD314" s="219"/>
      <c r="AE314" s="220">
        <f>'[1]Strohs Plant in Service'!$J317</f>
        <v>1491.7</v>
      </c>
      <c r="AF314" s="221">
        <v>5966.64</v>
      </c>
      <c r="AG314" s="204"/>
      <c r="AH314" s="178"/>
      <c r="AI314" s="174"/>
      <c r="AJ314" s="179"/>
      <c r="AK314" s="247"/>
      <c r="AL314" s="248"/>
      <c r="AM314" s="294"/>
      <c r="AN314" s="219"/>
      <c r="AO314" s="219"/>
      <c r="AP314" s="219"/>
      <c r="AQ314" s="220"/>
      <c r="AR314" s="221"/>
      <c r="AY314" s="628"/>
      <c r="AZ314" s="470">
        <v>0.75</v>
      </c>
      <c r="BA314" s="466">
        <v>3483411730</v>
      </c>
      <c r="BB314" s="211">
        <v>82</v>
      </c>
      <c r="BC314" s="211">
        <v>138</v>
      </c>
      <c r="BD314" s="211">
        <v>98</v>
      </c>
      <c r="BE314" s="211">
        <v>119</v>
      </c>
      <c r="BF314" s="211">
        <v>190</v>
      </c>
      <c r="BG314" s="211">
        <v>201</v>
      </c>
      <c r="BH314" s="211">
        <v>347</v>
      </c>
      <c r="BI314" s="211">
        <v>791</v>
      </c>
      <c r="BJ314" s="211">
        <v>266</v>
      </c>
      <c r="BK314" s="211">
        <v>217</v>
      </c>
      <c r="BL314" s="211">
        <v>111</v>
      </c>
      <c r="BM314" s="211">
        <v>284</v>
      </c>
      <c r="BO314" s="28">
        <f t="shared" si="13"/>
        <v>237</v>
      </c>
      <c r="BP314" s="28">
        <f t="shared" si="14"/>
        <v>2844</v>
      </c>
    </row>
    <row r="315" spans="22:68" x14ac:dyDescent="0.25">
      <c r="V315" s="449" t="str">
        <f>'[1]Strohs Plant in Service'!$C318</f>
        <v>Service Connection (30)</v>
      </c>
      <c r="W315" s="292" t="str">
        <f>'[1]Strohs Plant in Service'!$D318</f>
        <v>Services (CIAC) - Stroh (075)</v>
      </c>
      <c r="X315" s="293">
        <f>'[1]Strohs Plant in Service'!$E318</f>
        <v>45231</v>
      </c>
      <c r="Y315" s="297">
        <f>'[1]Strohs Plant in Service'!$F318</f>
        <v>3924</v>
      </c>
      <c r="Z315" s="248"/>
      <c r="AA315" s="294">
        <f>'[1]Strohs Plant in Service'!$G$11/12</f>
        <v>6</v>
      </c>
      <c r="AB315" s="219">
        <f>('[1]Strohs Plant in Service'!$G318-'[1]Strohs Plant in Service'!$H318)/12</f>
        <v>4.916666666666667</v>
      </c>
      <c r="AC315" s="219">
        <f>'[1]Strohs Plant in Service'!$I318</f>
        <v>130.80000000000001</v>
      </c>
      <c r="AD315" s="219"/>
      <c r="AE315" s="220">
        <f>'[1]Strohs Plant in Service'!$J318</f>
        <v>654</v>
      </c>
      <c r="AF315" s="221">
        <v>3270</v>
      </c>
      <c r="AG315" s="204"/>
      <c r="AH315" s="178"/>
      <c r="AI315" s="174"/>
      <c r="AJ315" s="179"/>
      <c r="AK315" s="247"/>
      <c r="AL315" s="248"/>
      <c r="AM315" s="294"/>
      <c r="AN315" s="219"/>
      <c r="AO315" s="219"/>
      <c r="AP315" s="219"/>
      <c r="AQ315" s="220"/>
      <c r="AR315" s="221"/>
      <c r="AY315" s="628"/>
      <c r="AZ315" s="470">
        <v>0.625</v>
      </c>
      <c r="BA315" s="466">
        <v>3488725868</v>
      </c>
      <c r="BB315" s="211">
        <v>290</v>
      </c>
      <c r="BC315" s="211">
        <v>101</v>
      </c>
      <c r="BD315" s="211">
        <v>107</v>
      </c>
      <c r="BE315" s="211">
        <v>156</v>
      </c>
      <c r="BF315" s="211">
        <v>156</v>
      </c>
      <c r="BG315" s="211">
        <v>367</v>
      </c>
      <c r="BH315" s="211">
        <v>748</v>
      </c>
      <c r="BI315" s="211">
        <v>660</v>
      </c>
      <c r="BJ315" s="211">
        <v>465</v>
      </c>
      <c r="BK315" s="211">
        <v>171</v>
      </c>
      <c r="BL315" s="211">
        <v>249</v>
      </c>
      <c r="BM315" s="211" t="s">
        <v>655</v>
      </c>
      <c r="BO315" s="28">
        <f t="shared" si="13"/>
        <v>315.45454545454544</v>
      </c>
      <c r="BP315" s="28">
        <f t="shared" si="14"/>
        <v>3470</v>
      </c>
    </row>
    <row r="316" spans="22:68" x14ac:dyDescent="0.25">
      <c r="V316" s="449" t="str">
        <f>'[1]Strohs Plant in Service'!$C319</f>
        <v>Service Connection (30)</v>
      </c>
      <c r="W316" s="292" t="str">
        <f>'[1]Strohs Plant in Service'!$D319</f>
        <v>Services (CIAC) - Strohs (472)</v>
      </c>
      <c r="X316" s="293">
        <f>'[1]Strohs Plant in Service'!$E319</f>
        <v>45231</v>
      </c>
      <c r="Y316" s="297">
        <f>'[1]Strohs Plant in Service'!$F319</f>
        <v>2456</v>
      </c>
      <c r="Z316" s="248"/>
      <c r="AA316" s="294">
        <f>'[1]Strohs Plant in Service'!$G$11/12</f>
        <v>6</v>
      </c>
      <c r="AB316" s="219">
        <f>('[1]Strohs Plant in Service'!$G319-'[1]Strohs Plant in Service'!$H319)/12</f>
        <v>3.9166666666666665</v>
      </c>
      <c r="AC316" s="219">
        <f>'[1]Strohs Plant in Service'!$I319</f>
        <v>81.86666666666666</v>
      </c>
      <c r="AD316" s="219"/>
      <c r="AE316" s="220">
        <f>'[1]Strohs Plant in Service'!$J319</f>
        <v>327.44</v>
      </c>
      <c r="AF316" s="221">
        <v>2128.56</v>
      </c>
      <c r="AG316" s="204"/>
      <c r="AH316" s="178"/>
      <c r="AI316" s="174"/>
      <c r="AJ316" s="179"/>
      <c r="AK316" s="247"/>
      <c r="AL316" s="248"/>
      <c r="AM316" s="294"/>
      <c r="AN316" s="219"/>
      <c r="AO316" s="219"/>
      <c r="AP316" s="219"/>
      <c r="AQ316" s="220"/>
      <c r="AR316" s="221"/>
      <c r="AY316" s="628"/>
      <c r="AZ316" s="471">
        <v>2</v>
      </c>
      <c r="BA316" s="466">
        <v>3515284816</v>
      </c>
      <c r="BB316" s="211">
        <v>430</v>
      </c>
      <c r="BC316" s="211">
        <v>650</v>
      </c>
      <c r="BD316" s="211">
        <v>610</v>
      </c>
      <c r="BE316" s="211">
        <v>720</v>
      </c>
      <c r="BF316" s="211">
        <v>16030</v>
      </c>
      <c r="BG316" s="211">
        <v>20410</v>
      </c>
      <c r="BH316" s="211">
        <v>29100</v>
      </c>
      <c r="BI316" s="211">
        <v>55150</v>
      </c>
      <c r="BJ316" s="211">
        <v>41110</v>
      </c>
      <c r="BK316" s="211">
        <v>940</v>
      </c>
      <c r="BL316" s="211">
        <v>450</v>
      </c>
      <c r="BM316" s="211">
        <v>400</v>
      </c>
      <c r="BO316" s="28">
        <f t="shared" si="13"/>
        <v>13833.333333333334</v>
      </c>
      <c r="BP316" s="28">
        <f t="shared" si="14"/>
        <v>166000</v>
      </c>
    </row>
    <row r="317" spans="22:68" x14ac:dyDescent="0.25">
      <c r="V317" s="449" t="str">
        <f>'[1]Strohs Plant in Service'!$C320</f>
        <v>Service Connection (30)</v>
      </c>
      <c r="W317" s="292" t="str">
        <f>'[1]Strohs Plant in Service'!$D320</f>
        <v>Services - Strohs (075)</v>
      </c>
      <c r="X317" s="293">
        <f>'[1]Strohs Plant in Service'!$E320</f>
        <v>45231</v>
      </c>
      <c r="Y317" s="297">
        <f>'[1]Strohs Plant in Service'!$F320</f>
        <v>2628</v>
      </c>
      <c r="Z317" s="248"/>
      <c r="AA317" s="294">
        <f>'[1]Strohs Plant in Service'!$G$11/12</f>
        <v>6</v>
      </c>
      <c r="AB317" s="219">
        <f>('[1]Strohs Plant in Service'!$G320-'[1]Strohs Plant in Service'!$H320)/12</f>
        <v>3.9166666666666665</v>
      </c>
      <c r="AC317" s="219">
        <f>'[1]Strohs Plant in Service'!$I320</f>
        <v>87.6</v>
      </c>
      <c r="AD317" s="219"/>
      <c r="AE317" s="220">
        <f>'[1]Strohs Plant in Service'!$J320</f>
        <v>350.4</v>
      </c>
      <c r="AF317" s="221">
        <v>2277.6</v>
      </c>
      <c r="AG317" s="204"/>
      <c r="AH317" s="178"/>
      <c r="AI317" s="174"/>
      <c r="AJ317" s="179"/>
      <c r="AK317" s="247"/>
      <c r="AL317" s="248"/>
      <c r="AM317" s="294"/>
      <c r="AN317" s="219"/>
      <c r="AO317" s="219"/>
      <c r="AP317" s="219"/>
      <c r="AQ317" s="220"/>
      <c r="AR317" s="221"/>
      <c r="AY317" s="628"/>
      <c r="AZ317" s="470">
        <v>0.75</v>
      </c>
      <c r="BA317" s="466">
        <v>3516799043</v>
      </c>
      <c r="BB317" s="211">
        <v>74</v>
      </c>
      <c r="BC317" s="211">
        <v>102</v>
      </c>
      <c r="BD317" s="211">
        <v>134</v>
      </c>
      <c r="BE317" s="211">
        <v>112</v>
      </c>
      <c r="BF317" s="211">
        <v>47</v>
      </c>
      <c r="BG317" s="211">
        <v>2017</v>
      </c>
      <c r="BH317" s="211">
        <v>2893</v>
      </c>
      <c r="BI317" s="211">
        <v>2010</v>
      </c>
      <c r="BJ317" s="211">
        <v>3256</v>
      </c>
      <c r="BK317" s="211">
        <v>844</v>
      </c>
      <c r="BL317" s="211">
        <v>44</v>
      </c>
      <c r="BM317" s="211">
        <v>34</v>
      </c>
      <c r="BO317" s="28">
        <f t="shared" si="13"/>
        <v>963.91666666666663</v>
      </c>
      <c r="BP317" s="28">
        <f t="shared" si="14"/>
        <v>11567</v>
      </c>
    </row>
    <row r="318" spans="22:68" x14ac:dyDescent="0.25">
      <c r="V318" s="449" t="str">
        <f>'[1]Strohs Plant in Service'!$C321</f>
        <v>Service Connection (30)</v>
      </c>
      <c r="W318" s="292" t="str">
        <f>'[1]Strohs Plant in Service'!$D321</f>
        <v>Services - Strohs (472)</v>
      </c>
      <c r="X318" s="293">
        <f>'[1]Strohs Plant in Service'!$E321</f>
        <v>45231</v>
      </c>
      <c r="Y318" s="297">
        <f>'[1]Strohs Plant in Service'!$F321</f>
        <v>500.48</v>
      </c>
      <c r="Z318" s="248"/>
      <c r="AA318" s="294">
        <f>'[1]Strohs Plant in Service'!$G$11/12</f>
        <v>6</v>
      </c>
      <c r="AB318" s="219">
        <f>('[1]Strohs Plant in Service'!$G321-'[1]Strohs Plant in Service'!$H321)/12</f>
        <v>2.9166666666666665</v>
      </c>
      <c r="AC318" s="219">
        <f>'[1]Strohs Plant in Service'!$I321</f>
        <v>16.682666666666666</v>
      </c>
      <c r="AD318" s="219"/>
      <c r="AE318" s="220">
        <f>'[1]Strohs Plant in Service'!$J321</f>
        <v>50.05</v>
      </c>
      <c r="AF318" s="221">
        <v>450.43</v>
      </c>
      <c r="AG318" s="204"/>
      <c r="AH318" s="178"/>
      <c r="AI318" s="174"/>
      <c r="AJ318" s="179"/>
      <c r="AK318" s="247"/>
      <c r="AL318" s="248"/>
      <c r="AM318" s="294"/>
      <c r="AN318" s="219"/>
      <c r="AO318" s="219"/>
      <c r="AP318" s="219"/>
      <c r="AQ318" s="220"/>
      <c r="AR318" s="221"/>
      <c r="AY318" s="628"/>
      <c r="AZ318" s="470">
        <v>0.625</v>
      </c>
      <c r="BA318" s="466">
        <v>3520347835</v>
      </c>
      <c r="BB318" s="211">
        <v>796</v>
      </c>
      <c r="BC318" s="211">
        <v>701</v>
      </c>
      <c r="BD318" s="211">
        <v>1280</v>
      </c>
      <c r="BE318" s="211">
        <v>628</v>
      </c>
      <c r="BF318" s="211">
        <v>454</v>
      </c>
      <c r="BG318" s="211">
        <v>1230</v>
      </c>
      <c r="BH318" s="211">
        <v>1079</v>
      </c>
      <c r="BI318" s="211">
        <v>983</v>
      </c>
      <c r="BJ318" s="211">
        <v>1073</v>
      </c>
      <c r="BK318" s="211">
        <v>880</v>
      </c>
      <c r="BL318" s="211">
        <v>800</v>
      </c>
      <c r="BM318" s="211">
        <v>600</v>
      </c>
      <c r="BO318" s="28">
        <f t="shared" si="13"/>
        <v>875.33333333333337</v>
      </c>
      <c r="BP318" s="28">
        <f t="shared" si="14"/>
        <v>10504</v>
      </c>
    </row>
    <row r="319" spans="22:68" x14ac:dyDescent="0.25">
      <c r="V319" s="449" t="str">
        <f>'[1]Strohs Plant in Service'!$C322</f>
        <v>Service Connection (30)</v>
      </c>
      <c r="W319" s="292" t="str">
        <f>'[1]Strohs Plant in Service'!$D322</f>
        <v>Services - Strohs (075)</v>
      </c>
      <c r="X319" s="293">
        <f>'[1]Strohs Plant in Service'!$E322</f>
        <v>45231</v>
      </c>
      <c r="Y319" s="297">
        <f>'[1]Strohs Plant in Service'!$F322</f>
        <v>2477</v>
      </c>
      <c r="Z319" s="248"/>
      <c r="AA319" s="294">
        <f>'[1]Strohs Plant in Service'!$G$11/12</f>
        <v>6</v>
      </c>
      <c r="AB319" s="219">
        <f>('[1]Strohs Plant in Service'!$G322-'[1]Strohs Plant in Service'!$H322)/12</f>
        <v>21.5</v>
      </c>
      <c r="AC319" s="219">
        <f>'[1]Strohs Plant in Service'!$I322</f>
        <v>70.771428571428572</v>
      </c>
      <c r="AD319" s="219"/>
      <c r="AE319" s="220">
        <f>'[1]Strohs Plant in Service'!$J322</f>
        <v>1527.51</v>
      </c>
      <c r="AF319" s="221">
        <v>949.49</v>
      </c>
      <c r="AG319" s="204"/>
      <c r="AH319" s="178"/>
      <c r="AI319" s="174"/>
      <c r="AJ319" s="179"/>
      <c r="AK319" s="247"/>
      <c r="AL319" s="248"/>
      <c r="AM319" s="294"/>
      <c r="AN319" s="219"/>
      <c r="AO319" s="219"/>
      <c r="AP319" s="219"/>
      <c r="AQ319" s="220"/>
      <c r="AR319" s="221"/>
      <c r="AY319" s="628"/>
      <c r="AZ319" s="470">
        <v>1</v>
      </c>
      <c r="BA319" s="466">
        <v>3521704331</v>
      </c>
      <c r="BB319" s="211">
        <v>450</v>
      </c>
      <c r="BC319" s="211">
        <v>527</v>
      </c>
      <c r="BD319" s="211">
        <v>412</v>
      </c>
      <c r="BE319" s="211">
        <v>221</v>
      </c>
      <c r="BF319" s="211">
        <v>442</v>
      </c>
      <c r="BG319" s="211">
        <v>1190</v>
      </c>
      <c r="BH319" s="211">
        <v>2728</v>
      </c>
      <c r="BI319" s="211">
        <v>2800</v>
      </c>
      <c r="BJ319" s="211">
        <v>3155</v>
      </c>
      <c r="BK319" s="211">
        <v>390</v>
      </c>
      <c r="BL319" s="211">
        <v>333</v>
      </c>
      <c r="BM319" s="211">
        <v>434</v>
      </c>
      <c r="BO319" s="28">
        <f t="shared" si="13"/>
        <v>1090.1666666666667</v>
      </c>
      <c r="BP319" s="28">
        <f t="shared" si="14"/>
        <v>13082</v>
      </c>
    </row>
    <row r="320" spans="22:68" x14ac:dyDescent="0.25">
      <c r="V320" s="449" t="str">
        <f>'[1]Strohs Plant in Service'!$C323</f>
        <v>Service Connection (30)</v>
      </c>
      <c r="W320" s="292" t="str">
        <f>'[1]Strohs Plant in Service'!$D323</f>
        <v>Services - Strohs (472)</v>
      </c>
      <c r="X320" s="293">
        <f>'[1]Strohs Plant in Service'!$E323</f>
        <v>45231</v>
      </c>
      <c r="Y320" s="297">
        <f>'[1]Strohs Plant in Service'!$F323</f>
        <v>5140.1899999999996</v>
      </c>
      <c r="Z320" s="248"/>
      <c r="AA320" s="294">
        <f>'[1]Strohs Plant in Service'!$G$11/12</f>
        <v>6</v>
      </c>
      <c r="AB320" s="219">
        <f>('[1]Strohs Plant in Service'!$G323-'[1]Strohs Plant in Service'!$H323)/12</f>
        <v>20.916666666666668</v>
      </c>
      <c r="AC320" s="219">
        <f>'[1]Strohs Plant in Service'!$I323</f>
        <v>146.86257142857141</v>
      </c>
      <c r="AD320" s="219"/>
      <c r="AE320" s="220">
        <f>'[1]Strohs Plant in Service'!$J323</f>
        <v>3084.13</v>
      </c>
      <c r="AF320" s="221">
        <v>2056.0599999999995</v>
      </c>
      <c r="AG320" s="204"/>
      <c r="AH320" s="178"/>
      <c r="AI320" s="174"/>
      <c r="AJ320" s="179"/>
      <c r="AK320" s="247"/>
      <c r="AL320" s="248"/>
      <c r="AM320" s="294"/>
      <c r="AN320" s="219"/>
      <c r="AO320" s="219"/>
      <c r="AP320" s="219"/>
      <c r="AQ320" s="220"/>
      <c r="AR320" s="221"/>
      <c r="AY320" s="628"/>
      <c r="AZ320" s="470">
        <v>1</v>
      </c>
      <c r="BA320" s="466">
        <v>3536726986</v>
      </c>
      <c r="BB320" s="211">
        <v>311</v>
      </c>
      <c r="BC320" s="211">
        <v>321</v>
      </c>
      <c r="BD320" s="211">
        <v>360</v>
      </c>
      <c r="BE320" s="211">
        <v>436</v>
      </c>
      <c r="BF320" s="211">
        <v>367</v>
      </c>
      <c r="BG320" s="211">
        <v>796</v>
      </c>
      <c r="BH320" s="211">
        <v>1328</v>
      </c>
      <c r="BI320" s="211">
        <v>1551</v>
      </c>
      <c r="BJ320" s="211">
        <v>1559</v>
      </c>
      <c r="BK320" s="211">
        <v>633</v>
      </c>
      <c r="BL320" s="211">
        <v>360</v>
      </c>
      <c r="BM320" s="211">
        <v>557</v>
      </c>
      <c r="BO320" s="28">
        <f t="shared" si="13"/>
        <v>714.91666666666663</v>
      </c>
      <c r="BP320" s="28">
        <f t="shared" si="14"/>
        <v>8579</v>
      </c>
    </row>
    <row r="321" spans="22:68" x14ac:dyDescent="0.25">
      <c r="V321" s="449" t="str">
        <f>'[1]Strohs Plant in Service'!$C324</f>
        <v>Service Connection (30)</v>
      </c>
      <c r="W321" s="292" t="str">
        <f>'[1]Strohs Plant in Service'!$D324</f>
        <v>Services - Strohs (075)</v>
      </c>
      <c r="X321" s="293">
        <f>'[1]Strohs Plant in Service'!$E324</f>
        <v>45231</v>
      </c>
      <c r="Y321" s="297">
        <f>'[1]Strohs Plant in Service'!$F324</f>
        <v>3925</v>
      </c>
      <c r="Z321" s="248"/>
      <c r="AA321" s="294">
        <f>'[1]Strohs Plant in Service'!$G$11/12</f>
        <v>6</v>
      </c>
      <c r="AB321" s="219">
        <f>('[1]Strohs Plant in Service'!$G324-'[1]Strohs Plant in Service'!$H324)/12</f>
        <v>16.416666666666668</v>
      </c>
      <c r="AC321" s="219">
        <f>'[1]Strohs Plant in Service'!$I324</f>
        <v>112.14285714285714</v>
      </c>
      <c r="AD321" s="219"/>
      <c r="AE321" s="220">
        <f>'[1]Strohs Plant in Service'!$J324</f>
        <v>1850.41</v>
      </c>
      <c r="AF321" s="221">
        <v>2074.59</v>
      </c>
      <c r="AG321" s="204"/>
      <c r="AH321" s="178"/>
      <c r="AI321" s="174"/>
      <c r="AJ321" s="179"/>
      <c r="AK321" s="247"/>
      <c r="AL321" s="248"/>
      <c r="AM321" s="294"/>
      <c r="AN321" s="219"/>
      <c r="AO321" s="219"/>
      <c r="AP321" s="219"/>
      <c r="AQ321" s="220"/>
      <c r="AR321" s="221"/>
      <c r="AY321" s="628"/>
      <c r="AZ321" s="470">
        <v>0.625</v>
      </c>
      <c r="BA321" s="466">
        <v>3549351557</v>
      </c>
      <c r="BB321" s="211">
        <v>1033</v>
      </c>
      <c r="BC321" s="211">
        <v>616</v>
      </c>
      <c r="BD321" s="211">
        <v>616</v>
      </c>
      <c r="BE321" s="211">
        <v>611</v>
      </c>
      <c r="BF321" s="211">
        <v>649</v>
      </c>
      <c r="BG321" s="211">
        <v>490</v>
      </c>
      <c r="BH321" s="211">
        <v>7738</v>
      </c>
      <c r="BI321" s="211">
        <v>7225</v>
      </c>
      <c r="BJ321" s="211">
        <v>11044</v>
      </c>
      <c r="BK321" s="211">
        <v>954</v>
      </c>
      <c r="BL321" s="211">
        <v>609</v>
      </c>
      <c r="BM321" s="211">
        <v>569</v>
      </c>
      <c r="BO321" s="28">
        <f t="shared" si="13"/>
        <v>2679.5</v>
      </c>
      <c r="BP321" s="28">
        <f t="shared" si="14"/>
        <v>32154</v>
      </c>
    </row>
    <row r="322" spans="22:68" x14ac:dyDescent="0.25">
      <c r="V322" s="449" t="str">
        <f>'[1]Strohs Plant in Service'!$C325</f>
        <v>Service Connection (30)</v>
      </c>
      <c r="W322" s="292" t="str">
        <f>'[1]Strohs Plant in Service'!$D325</f>
        <v>Services - Strohs (472)</v>
      </c>
      <c r="X322" s="293">
        <f>'[1]Strohs Plant in Service'!$E325</f>
        <v>45231</v>
      </c>
      <c r="Y322" s="297">
        <f>'[1]Strohs Plant in Service'!$F325</f>
        <v>1560.45</v>
      </c>
      <c r="Z322" s="248"/>
      <c r="AA322" s="294">
        <f>'[1]Strohs Plant in Service'!$G$11/12</f>
        <v>6</v>
      </c>
      <c r="AB322" s="219">
        <f>('[1]Strohs Plant in Service'!$G325-'[1]Strohs Plant in Service'!$H325)/12</f>
        <v>18.083333333333332</v>
      </c>
      <c r="AC322" s="219">
        <f>'[1]Strohs Plant in Service'!$I325</f>
        <v>44.584285714285713</v>
      </c>
      <c r="AD322" s="219"/>
      <c r="AE322" s="220">
        <f>'[1]Strohs Plant in Service'!$J325</f>
        <v>810.01</v>
      </c>
      <c r="AF322" s="221">
        <v>750.44</v>
      </c>
      <c r="AG322" s="204"/>
      <c r="AH322" s="178"/>
      <c r="AI322" s="174"/>
      <c r="AJ322" s="179"/>
      <c r="AK322" s="247"/>
      <c r="AL322" s="248"/>
      <c r="AM322" s="294"/>
      <c r="AN322" s="219"/>
      <c r="AO322" s="219"/>
      <c r="AP322" s="219"/>
      <c r="AQ322" s="220"/>
      <c r="AR322" s="221"/>
      <c r="AY322" s="628"/>
      <c r="AZ322" s="470">
        <v>0.75</v>
      </c>
      <c r="BA322" s="466">
        <v>3579030531</v>
      </c>
      <c r="BB322" s="211">
        <v>665</v>
      </c>
      <c r="BC322" s="211">
        <v>496</v>
      </c>
      <c r="BD322" s="211">
        <v>673</v>
      </c>
      <c r="BE322" s="211">
        <v>772</v>
      </c>
      <c r="BF322" s="211">
        <v>610</v>
      </c>
      <c r="BG322" s="211">
        <v>595</v>
      </c>
      <c r="BH322" s="211">
        <v>735</v>
      </c>
      <c r="BI322" s="211">
        <v>792</v>
      </c>
      <c r="BJ322" s="211">
        <v>595</v>
      </c>
      <c r="BK322" s="211">
        <v>488</v>
      </c>
      <c r="BL322" s="211">
        <v>436</v>
      </c>
      <c r="BM322" s="211">
        <v>600</v>
      </c>
      <c r="BO322" s="28">
        <f t="shared" si="13"/>
        <v>621.41666666666663</v>
      </c>
      <c r="BP322" s="28">
        <f t="shared" si="14"/>
        <v>7457</v>
      </c>
    </row>
    <row r="323" spans="22:68" x14ac:dyDescent="0.25">
      <c r="V323" s="449" t="str">
        <f>'[1]Strohs Plant in Service'!$C326</f>
        <v>Service Connection (30)</v>
      </c>
      <c r="W323" s="292" t="str">
        <f>'[1]Strohs Plant in Service'!$D326</f>
        <v>Services - Strohs (075)</v>
      </c>
      <c r="X323" s="293">
        <f>'[1]Strohs Plant in Service'!$E326</f>
        <v>45231</v>
      </c>
      <c r="Y323" s="297">
        <f>'[1]Strohs Plant in Service'!$F326</f>
        <v>5267.34</v>
      </c>
      <c r="Z323" s="248"/>
      <c r="AA323" s="294">
        <f>'[1]Strohs Plant in Service'!$G$11/12</f>
        <v>6</v>
      </c>
      <c r="AB323" s="219">
        <f>('[1]Strohs Plant in Service'!$G326-'[1]Strohs Plant in Service'!$H326)/12</f>
        <v>17.833333333333332</v>
      </c>
      <c r="AC323" s="219">
        <f>'[1]Strohs Plant in Service'!$I326</f>
        <v>150.49542857142859</v>
      </c>
      <c r="AD323" s="219"/>
      <c r="AE323" s="220">
        <f>'[1]Strohs Plant in Service'!$J326</f>
        <v>2696.36</v>
      </c>
      <c r="AF323" s="221">
        <v>2570.98</v>
      </c>
      <c r="AG323" s="204"/>
      <c r="AH323" s="178"/>
      <c r="AI323" s="174"/>
      <c r="AJ323" s="179"/>
      <c r="AK323" s="247"/>
      <c r="AL323" s="248"/>
      <c r="AM323" s="294"/>
      <c r="AN323" s="219"/>
      <c r="AO323" s="219"/>
      <c r="AP323" s="219"/>
      <c r="AQ323" s="220"/>
      <c r="AR323" s="221"/>
      <c r="AY323" s="628"/>
      <c r="AZ323" s="470">
        <v>0.75</v>
      </c>
      <c r="BA323" s="466">
        <v>3580174135</v>
      </c>
      <c r="BB323" s="211">
        <v>140</v>
      </c>
      <c r="BC323" s="211">
        <v>148</v>
      </c>
      <c r="BD323" s="211">
        <v>192</v>
      </c>
      <c r="BE323" s="211">
        <v>206</v>
      </c>
      <c r="BF323" s="211" t="s">
        <v>655</v>
      </c>
      <c r="BG323" s="211">
        <v>483</v>
      </c>
      <c r="BH323" s="211">
        <v>152</v>
      </c>
      <c r="BI323" s="211">
        <v>292</v>
      </c>
      <c r="BJ323" s="211">
        <v>279</v>
      </c>
      <c r="BK323" s="211">
        <v>151</v>
      </c>
      <c r="BL323" s="211">
        <v>133</v>
      </c>
      <c r="BM323" s="211">
        <v>149</v>
      </c>
      <c r="BO323" s="28">
        <f t="shared" si="13"/>
        <v>211.36363636363637</v>
      </c>
      <c r="BP323" s="28">
        <f t="shared" si="14"/>
        <v>2325</v>
      </c>
    </row>
    <row r="324" spans="22:68" x14ac:dyDescent="0.25">
      <c r="V324" s="449" t="str">
        <f>'[1]Strohs Plant in Service'!$C327</f>
        <v>Service Connection (30)</v>
      </c>
      <c r="W324" s="292" t="str">
        <f>'[1]Strohs Plant in Service'!$D327</f>
        <v>Services - Strohs (472)</v>
      </c>
      <c r="X324" s="293">
        <f>'[1]Strohs Plant in Service'!$E327</f>
        <v>45231</v>
      </c>
      <c r="Y324" s="297">
        <f>'[1]Strohs Plant in Service'!$F327</f>
        <v>402.15</v>
      </c>
      <c r="Z324" s="248"/>
      <c r="AA324" s="294">
        <f>'[1]Strohs Plant in Service'!$G$11/12</f>
        <v>6</v>
      </c>
      <c r="AB324" s="219">
        <f>('[1]Strohs Plant in Service'!$G327-'[1]Strohs Plant in Service'!$H327)/12</f>
        <v>15.916666666666666</v>
      </c>
      <c r="AC324" s="219">
        <f>'[1]Strohs Plant in Service'!$I327</f>
        <v>11.489999999999998</v>
      </c>
      <c r="AD324" s="219"/>
      <c r="AE324" s="220">
        <f>'[1]Strohs Plant in Service'!$J327</f>
        <v>183.87</v>
      </c>
      <c r="AF324" s="221">
        <v>218.27999999999997</v>
      </c>
      <c r="AG324" s="204"/>
      <c r="AH324" s="178"/>
      <c r="AI324" s="174"/>
      <c r="AJ324" s="179"/>
      <c r="AK324" s="247"/>
      <c r="AL324" s="248"/>
      <c r="AM324" s="294"/>
      <c r="AN324" s="219"/>
      <c r="AO324" s="219"/>
      <c r="AP324" s="219"/>
      <c r="AQ324" s="220"/>
      <c r="AR324" s="221"/>
      <c r="AY324" s="628"/>
      <c r="AZ324" s="470">
        <v>0.75</v>
      </c>
      <c r="BA324" s="466">
        <v>3592265432</v>
      </c>
      <c r="BB324" s="211">
        <v>808</v>
      </c>
      <c r="BC324" s="211">
        <v>533</v>
      </c>
      <c r="BD324" s="211">
        <v>611</v>
      </c>
      <c r="BE324" s="211">
        <v>289</v>
      </c>
      <c r="BF324" s="211">
        <v>1711</v>
      </c>
      <c r="BG324" s="211">
        <v>1294</v>
      </c>
      <c r="BH324" s="211">
        <v>2417</v>
      </c>
      <c r="BI324" s="211">
        <v>3015</v>
      </c>
      <c r="BJ324" s="211">
        <v>1363</v>
      </c>
      <c r="BK324" s="211">
        <v>1313</v>
      </c>
      <c r="BL324" s="211">
        <v>337</v>
      </c>
      <c r="BM324" s="211">
        <v>1150</v>
      </c>
      <c r="BO324" s="28">
        <f t="shared" si="13"/>
        <v>1236.75</v>
      </c>
      <c r="BP324" s="28">
        <f t="shared" si="14"/>
        <v>14841</v>
      </c>
    </row>
    <row r="325" spans="22:68" x14ac:dyDescent="0.25">
      <c r="V325" s="449" t="str">
        <f>'[1]Strohs Plant in Service'!$C328</f>
        <v>Service Connection (30)</v>
      </c>
      <c r="W325" s="292" t="str">
        <f>'[1]Strohs Plant in Service'!$D328</f>
        <v>Services - Strohs (472)</v>
      </c>
      <c r="X325" s="293">
        <f>'[1]Strohs Plant in Service'!$E328</f>
        <v>45231</v>
      </c>
      <c r="Y325" s="297">
        <f>'[1]Strohs Plant in Service'!$F328</f>
        <v>1335.47</v>
      </c>
      <c r="Z325" s="248"/>
      <c r="AA325" s="294">
        <f>'[1]Strohs Plant in Service'!$G$11/12</f>
        <v>6</v>
      </c>
      <c r="AB325" s="219">
        <f>('[1]Strohs Plant in Service'!$G328-'[1]Strohs Plant in Service'!$H328)/12</f>
        <v>17.833333333333332</v>
      </c>
      <c r="AC325" s="219">
        <f>'[1]Strohs Plant in Service'!$I328</f>
        <v>38.156285714285715</v>
      </c>
      <c r="AD325" s="219"/>
      <c r="AE325" s="220">
        <f>'[1]Strohs Plant in Service'!$J328</f>
        <v>683.64</v>
      </c>
      <c r="AF325" s="221">
        <v>651.83000000000004</v>
      </c>
      <c r="AG325" s="204"/>
      <c r="AH325" s="178"/>
      <c r="AI325" s="174"/>
      <c r="AJ325" s="179"/>
      <c r="AK325" s="247"/>
      <c r="AL325" s="248"/>
      <c r="AM325" s="294"/>
      <c r="AN325" s="219"/>
      <c r="AO325" s="219"/>
      <c r="AP325" s="219"/>
      <c r="AQ325" s="220"/>
      <c r="AR325" s="221"/>
      <c r="AY325" s="628"/>
      <c r="AZ325" s="470">
        <v>0.625</v>
      </c>
      <c r="BA325" s="466">
        <v>3605999555</v>
      </c>
      <c r="BB325" s="211">
        <v>481</v>
      </c>
      <c r="BC325" s="211">
        <v>421</v>
      </c>
      <c r="BD325" s="211">
        <v>236</v>
      </c>
      <c r="BE325" s="211">
        <v>373</v>
      </c>
      <c r="BF325" s="211">
        <v>3727</v>
      </c>
      <c r="BG325" s="211">
        <v>5909</v>
      </c>
      <c r="BH325" s="211">
        <v>9130</v>
      </c>
      <c r="BI325" s="211">
        <v>6528</v>
      </c>
      <c r="BJ325" s="211">
        <v>4399</v>
      </c>
      <c r="BK325" s="211">
        <v>469</v>
      </c>
      <c r="BL325" s="211">
        <v>510</v>
      </c>
      <c r="BM325" s="211">
        <v>431</v>
      </c>
      <c r="BO325" s="28">
        <f t="shared" si="13"/>
        <v>2717.8333333333335</v>
      </c>
      <c r="BP325" s="28">
        <f t="shared" si="14"/>
        <v>32614</v>
      </c>
    </row>
    <row r="326" spans="22:68" x14ac:dyDescent="0.25">
      <c r="V326" s="449" t="str">
        <f>'[1]Strohs Plant in Service'!$C329</f>
        <v>Service Connection (30)</v>
      </c>
      <c r="W326" s="292" t="str">
        <f>'[1]Strohs Plant in Service'!$D329</f>
        <v>Services - Strohs (075)</v>
      </c>
      <c r="X326" s="293">
        <f>'[1]Strohs Plant in Service'!$E329</f>
        <v>45231</v>
      </c>
      <c r="Y326" s="297">
        <f>'[1]Strohs Plant in Service'!$F329</f>
        <v>10886.68</v>
      </c>
      <c r="Z326" s="248"/>
      <c r="AA326" s="294">
        <f>'[1]Strohs Plant in Service'!$G$11/12</f>
        <v>6</v>
      </c>
      <c r="AB326" s="219">
        <f>('[1]Strohs Plant in Service'!$G329-'[1]Strohs Plant in Service'!$H329)/12</f>
        <v>13.916666666666666</v>
      </c>
      <c r="AC326" s="219">
        <f>'[1]Strohs Plant in Service'!$I329</f>
        <v>362.88933333333335</v>
      </c>
      <c r="AD326" s="219"/>
      <c r="AE326" s="220">
        <f>'[1]Strohs Plant in Service'!$J329</f>
        <v>5080.4399999999996</v>
      </c>
      <c r="AF326" s="221">
        <v>5806.2400000000007</v>
      </c>
      <c r="AG326" s="204"/>
      <c r="AH326" s="178"/>
      <c r="AI326" s="174"/>
      <c r="AJ326" s="179"/>
      <c r="AK326" s="247"/>
      <c r="AL326" s="248"/>
      <c r="AM326" s="294"/>
      <c r="AN326" s="219"/>
      <c r="AO326" s="219"/>
      <c r="AP326" s="219"/>
      <c r="AQ326" s="220"/>
      <c r="AR326" s="221"/>
      <c r="AY326" s="628"/>
      <c r="AZ326" s="470">
        <v>0.625</v>
      </c>
      <c r="BA326" s="466">
        <v>3611499018</v>
      </c>
      <c r="BB326" s="211" t="s">
        <v>655</v>
      </c>
      <c r="BC326" s="211" t="s">
        <v>655</v>
      </c>
      <c r="BD326" s="211" t="s">
        <v>655</v>
      </c>
      <c r="BE326" s="211" t="s">
        <v>655</v>
      </c>
      <c r="BF326" s="211" t="s">
        <v>655</v>
      </c>
      <c r="BG326" s="211">
        <v>155</v>
      </c>
      <c r="BH326" s="211">
        <v>264</v>
      </c>
      <c r="BI326" s="211">
        <v>134</v>
      </c>
      <c r="BJ326" s="211">
        <v>720</v>
      </c>
      <c r="BK326" s="211">
        <v>735</v>
      </c>
      <c r="BL326" s="211" t="s">
        <v>655</v>
      </c>
      <c r="BM326" s="211">
        <v>1500</v>
      </c>
      <c r="BO326" s="28">
        <f t="shared" si="13"/>
        <v>584.66666666666663</v>
      </c>
      <c r="BP326" s="28">
        <f t="shared" si="14"/>
        <v>3508</v>
      </c>
    </row>
    <row r="327" spans="22:68" x14ac:dyDescent="0.25">
      <c r="V327" s="449" t="str">
        <f>'[1]Strohs Plant in Service'!$C330</f>
        <v>Service Connection (30)</v>
      </c>
      <c r="W327" s="292" t="str">
        <f>'[1]Strohs Plant in Service'!$D330</f>
        <v>Services - Strohs, 3510 53d St (075</v>
      </c>
      <c r="X327" s="293">
        <f>'[1]Strohs Plant in Service'!$E330</f>
        <v>45231</v>
      </c>
      <c r="Y327" s="297">
        <f>'[1]Strohs Plant in Service'!$F330</f>
        <v>2200.39</v>
      </c>
      <c r="Z327" s="248"/>
      <c r="AA327" s="294">
        <f>'[1]Strohs Plant in Service'!$G$11/12</f>
        <v>6</v>
      </c>
      <c r="AB327" s="219">
        <f>('[1]Strohs Plant in Service'!$G330-'[1]Strohs Plant in Service'!$H330)/12</f>
        <v>12.916666666666666</v>
      </c>
      <c r="AC327" s="219">
        <f>'[1]Strohs Plant in Service'!$I330</f>
        <v>73.346333333333334</v>
      </c>
      <c r="AD327" s="219"/>
      <c r="AE327" s="220">
        <f>'[1]Strohs Plant in Service'!$J330</f>
        <v>953.47</v>
      </c>
      <c r="AF327" s="221">
        <v>1246.9199999999998</v>
      </c>
      <c r="AG327" s="204"/>
      <c r="AH327" s="178"/>
      <c r="AI327" s="174"/>
      <c r="AJ327" s="179"/>
      <c r="AK327" s="247"/>
      <c r="AL327" s="248"/>
      <c r="AM327" s="294"/>
      <c r="AN327" s="219"/>
      <c r="AO327" s="219"/>
      <c r="AP327" s="219"/>
      <c r="AQ327" s="220"/>
      <c r="AR327" s="221"/>
      <c r="AY327" s="628"/>
      <c r="AZ327" s="470">
        <v>0.75</v>
      </c>
      <c r="BA327" s="466">
        <v>3618285189</v>
      </c>
      <c r="BB327" s="211" t="s">
        <v>655</v>
      </c>
      <c r="BC327" s="211" t="s">
        <v>655</v>
      </c>
      <c r="BD327" s="211" t="s">
        <v>655</v>
      </c>
      <c r="BE327" s="211" t="s">
        <v>655</v>
      </c>
      <c r="BF327" s="211" t="s">
        <v>655</v>
      </c>
      <c r="BG327" s="211" t="s">
        <v>655</v>
      </c>
      <c r="BH327" s="211" t="s">
        <v>655</v>
      </c>
      <c r="BI327" s="211" t="s">
        <v>655</v>
      </c>
      <c r="BJ327" s="211" t="s">
        <v>655</v>
      </c>
      <c r="BK327" s="211" t="s">
        <v>655</v>
      </c>
      <c r="BL327" s="211" t="s">
        <v>655</v>
      </c>
      <c r="BM327" s="211" t="s">
        <v>655</v>
      </c>
      <c r="BO327" s="28" t="e">
        <f t="shared" si="13"/>
        <v>#DIV/0!</v>
      </c>
      <c r="BP327" s="28">
        <f t="shared" si="14"/>
        <v>0</v>
      </c>
    </row>
    <row r="328" spans="22:68" x14ac:dyDescent="0.25">
      <c r="V328" s="449" t="str">
        <f>'[1]Strohs Plant in Service'!$C331</f>
        <v>Service Connection (30)</v>
      </c>
      <c r="W328" s="292" t="str">
        <f>'[1]Strohs Plant in Service'!$D331</f>
        <v>Services (CIAC) Fox Run, upsized -</v>
      </c>
      <c r="X328" s="293">
        <f>'[1]Strohs Plant in Service'!$E331</f>
        <v>45231</v>
      </c>
      <c r="Y328" s="297">
        <f>'[1]Strohs Plant in Service'!$F331</f>
        <v>12913</v>
      </c>
      <c r="Z328" s="248"/>
      <c r="AA328" s="294">
        <f>'[1]Strohs Plant in Service'!$G$11/12</f>
        <v>6</v>
      </c>
      <c r="AB328" s="219">
        <f>('[1]Strohs Plant in Service'!$G331-'[1]Strohs Plant in Service'!$H331)/12</f>
        <v>6.916666666666667</v>
      </c>
      <c r="AC328" s="219">
        <f>'[1]Strohs Plant in Service'!$I331</f>
        <v>430.43333333333339</v>
      </c>
      <c r="AD328" s="219"/>
      <c r="AE328" s="220">
        <f>'[1]Strohs Plant in Service'!$J331</f>
        <v>3013.04</v>
      </c>
      <c r="AF328" s="221">
        <v>9899.9599999999991</v>
      </c>
      <c r="AG328" s="204"/>
      <c r="AH328" s="178"/>
      <c r="AI328" s="174"/>
      <c r="AJ328" s="179"/>
      <c r="AK328" s="247"/>
      <c r="AL328" s="248"/>
      <c r="AM328" s="294"/>
      <c r="AN328" s="219"/>
      <c r="AO328" s="219"/>
      <c r="AP328" s="219"/>
      <c r="AQ328" s="220"/>
      <c r="AR328" s="221"/>
      <c r="AY328" s="628"/>
      <c r="AZ328" s="470">
        <v>0.75</v>
      </c>
      <c r="BA328" s="466">
        <v>3621283247</v>
      </c>
      <c r="BB328" s="211">
        <v>646</v>
      </c>
      <c r="BC328" s="211">
        <v>595</v>
      </c>
      <c r="BD328" s="211">
        <v>567</v>
      </c>
      <c r="BE328" s="211" t="s">
        <v>655</v>
      </c>
      <c r="BF328" s="211" t="s">
        <v>655</v>
      </c>
      <c r="BG328" s="211" t="s">
        <v>655</v>
      </c>
      <c r="BH328" s="211">
        <v>3414</v>
      </c>
      <c r="BI328" s="211">
        <v>898</v>
      </c>
      <c r="BJ328" s="211">
        <v>577</v>
      </c>
      <c r="BK328" s="211">
        <v>706</v>
      </c>
      <c r="BL328" s="211">
        <v>780</v>
      </c>
      <c r="BM328" s="211">
        <v>658</v>
      </c>
      <c r="BO328" s="28">
        <f t="shared" si="13"/>
        <v>982.33333333333337</v>
      </c>
      <c r="BP328" s="28">
        <f t="shared" si="14"/>
        <v>8841</v>
      </c>
    </row>
    <row r="329" spans="22:68" x14ac:dyDescent="0.25">
      <c r="V329" s="449" t="str">
        <f>'[1]Strohs Plant in Service'!$C332</f>
        <v>Service Connection (30)</v>
      </c>
      <c r="W329" s="292" t="str">
        <f>'[1]Strohs Plant in Service'!$D332</f>
        <v>Services - Strohs (472)</v>
      </c>
      <c r="X329" s="293">
        <f>'[1]Strohs Plant in Service'!$E332</f>
        <v>45231</v>
      </c>
      <c r="Y329" s="297">
        <f>'[1]Strohs Plant in Service'!$F332</f>
        <v>3981.78</v>
      </c>
      <c r="Z329" s="248"/>
      <c r="AA329" s="294">
        <f>'[1]Strohs Plant in Service'!$G$11/12</f>
        <v>6</v>
      </c>
      <c r="AB329" s="219">
        <f>('[1]Strohs Plant in Service'!$G332-'[1]Strohs Plant in Service'!$H332)/12</f>
        <v>5.916666666666667</v>
      </c>
      <c r="AC329" s="219">
        <f>'[1]Strohs Plant in Service'!$I332</f>
        <v>132.726</v>
      </c>
      <c r="AD329" s="219"/>
      <c r="AE329" s="220">
        <f>'[1]Strohs Plant in Service'!$J332</f>
        <v>796.35</v>
      </c>
      <c r="AF329" s="221">
        <v>3185.4300000000003</v>
      </c>
      <c r="AG329" s="204"/>
      <c r="AH329" s="178"/>
      <c r="AI329" s="174"/>
      <c r="AJ329" s="179"/>
      <c r="AK329" s="247"/>
      <c r="AL329" s="248"/>
      <c r="AM329" s="294"/>
      <c r="AN329" s="219"/>
      <c r="AO329" s="219"/>
      <c r="AP329" s="219"/>
      <c r="AQ329" s="220"/>
      <c r="AR329" s="221"/>
      <c r="AY329" s="628"/>
      <c r="AZ329" s="470">
        <v>0.625</v>
      </c>
      <c r="BA329" s="466">
        <v>3626822688</v>
      </c>
      <c r="BB329" s="211">
        <v>584</v>
      </c>
      <c r="BC329" s="211">
        <v>22</v>
      </c>
      <c r="BD329" s="211" t="s">
        <v>655</v>
      </c>
      <c r="BE329" s="211" t="s">
        <v>655</v>
      </c>
      <c r="BF329" s="211">
        <v>714</v>
      </c>
      <c r="BG329" s="211">
        <v>955</v>
      </c>
      <c r="BH329" s="211">
        <v>4083</v>
      </c>
      <c r="BI329" s="211">
        <v>5043</v>
      </c>
      <c r="BJ329" s="211" t="s">
        <v>655</v>
      </c>
      <c r="BK329" s="211">
        <v>325</v>
      </c>
      <c r="BL329" s="211">
        <v>3847</v>
      </c>
      <c r="BM329" s="211">
        <v>808</v>
      </c>
      <c r="BO329" s="28">
        <f t="shared" ref="BO329:BO392" si="15">AVERAGE(BB329:BM329)</f>
        <v>1820.1111111111111</v>
      </c>
      <c r="BP329" s="28">
        <f t="shared" ref="BP329:BP392" si="16">SUM(BB329:BM329)</f>
        <v>16381</v>
      </c>
    </row>
    <row r="330" spans="22:68" x14ac:dyDescent="0.25">
      <c r="V330" s="449" t="str">
        <f>'[1]Strohs Plant in Service'!$C333</f>
        <v>Service Connection (30)</v>
      </c>
      <c r="W330" s="292" t="str">
        <f>'[1]Strohs Plant in Service'!$D333</f>
        <v>Services (CIAC) - Stroh (075)</v>
      </c>
      <c r="X330" s="293">
        <f>'[1]Strohs Plant in Service'!$E333</f>
        <v>45231</v>
      </c>
      <c r="Y330" s="297">
        <f>'[1]Strohs Plant in Service'!$F333</f>
        <v>1500</v>
      </c>
      <c r="Z330" s="248"/>
      <c r="AA330" s="294">
        <f>'[1]Strohs Plant in Service'!$G$11/12</f>
        <v>6</v>
      </c>
      <c r="AB330" s="219">
        <f>('[1]Strohs Plant in Service'!$G333-'[1]Strohs Plant in Service'!$H333)/12</f>
        <v>4.916666666666667</v>
      </c>
      <c r="AC330" s="219">
        <f>'[1]Strohs Plant in Service'!$I333</f>
        <v>50</v>
      </c>
      <c r="AD330" s="219"/>
      <c r="AE330" s="220">
        <f>'[1]Strohs Plant in Service'!$J333</f>
        <v>250.04</v>
      </c>
      <c r="AF330" s="221">
        <v>1249.96</v>
      </c>
      <c r="AG330" s="204"/>
      <c r="AH330" s="178"/>
      <c r="AI330" s="174"/>
      <c r="AJ330" s="179"/>
      <c r="AK330" s="247"/>
      <c r="AL330" s="248"/>
      <c r="AM330" s="294"/>
      <c r="AN330" s="219"/>
      <c r="AO330" s="219"/>
      <c r="AP330" s="219"/>
      <c r="AQ330" s="220"/>
      <c r="AR330" s="221"/>
      <c r="AY330" s="628"/>
      <c r="AZ330" s="470">
        <v>0.75</v>
      </c>
      <c r="BA330" s="466">
        <v>3643421179</v>
      </c>
      <c r="BB330" s="211">
        <v>480</v>
      </c>
      <c r="BC330" s="211">
        <v>554</v>
      </c>
      <c r="BD330" s="211">
        <v>117</v>
      </c>
      <c r="BE330" s="211">
        <v>263</v>
      </c>
      <c r="BF330" s="211">
        <v>486</v>
      </c>
      <c r="BG330" s="211">
        <v>607</v>
      </c>
      <c r="BH330" s="211">
        <v>1452</v>
      </c>
      <c r="BI330" s="211">
        <v>1444</v>
      </c>
      <c r="BJ330" s="211">
        <v>922</v>
      </c>
      <c r="BK330" s="211">
        <v>641</v>
      </c>
      <c r="BL330" s="211">
        <v>587</v>
      </c>
      <c r="BM330" s="211">
        <v>600</v>
      </c>
      <c r="BO330" s="28">
        <f t="shared" si="15"/>
        <v>679.41666666666663</v>
      </c>
      <c r="BP330" s="28">
        <f t="shared" si="16"/>
        <v>8153</v>
      </c>
    </row>
    <row r="331" spans="22:68" x14ac:dyDescent="0.25">
      <c r="V331" s="449" t="str">
        <f>'[1]Strohs Plant in Service'!$C334</f>
        <v>Service Connection (30)</v>
      </c>
      <c r="W331" s="292" t="str">
        <f>'[1]Strohs Plant in Service'!$D334</f>
        <v>Services - Strohs (472)</v>
      </c>
      <c r="X331" s="293">
        <f>'[1]Strohs Plant in Service'!$E334</f>
        <v>45231</v>
      </c>
      <c r="Y331" s="297">
        <f>'[1]Strohs Plant in Service'!$F334</f>
        <v>1407</v>
      </c>
      <c r="Z331" s="248"/>
      <c r="AA331" s="294">
        <f>'[1]Strohs Plant in Service'!$G$11/12</f>
        <v>6</v>
      </c>
      <c r="AB331" s="219">
        <f>('[1]Strohs Plant in Service'!$G334-'[1]Strohs Plant in Service'!$H334)/12</f>
        <v>3.9166666666666665</v>
      </c>
      <c r="AC331" s="219">
        <f>'[1]Strohs Plant in Service'!$I334</f>
        <v>46.9</v>
      </c>
      <c r="AD331" s="219"/>
      <c r="AE331" s="220">
        <f>'[1]Strohs Plant in Service'!$J334</f>
        <v>187.62</v>
      </c>
      <c r="AF331" s="221">
        <v>1219.3800000000001</v>
      </c>
      <c r="AG331" s="204"/>
      <c r="AH331" s="178"/>
      <c r="AI331" s="174"/>
      <c r="AJ331" s="179"/>
      <c r="AK331" s="247"/>
      <c r="AL331" s="248"/>
      <c r="AM331" s="294"/>
      <c r="AN331" s="219"/>
      <c r="AO331" s="219"/>
      <c r="AP331" s="219"/>
      <c r="AQ331" s="220"/>
      <c r="AR331" s="221"/>
      <c r="AY331" s="628"/>
      <c r="AZ331" s="470">
        <v>0.75</v>
      </c>
      <c r="BA331" s="466">
        <v>3643801144</v>
      </c>
      <c r="BB331" s="211">
        <v>369</v>
      </c>
      <c r="BC331" s="211">
        <v>187</v>
      </c>
      <c r="BD331" s="211">
        <v>272</v>
      </c>
      <c r="BE331" s="211">
        <v>150</v>
      </c>
      <c r="BF331" s="211">
        <v>252</v>
      </c>
      <c r="BG331" s="211">
        <v>193</v>
      </c>
      <c r="BH331" s="211">
        <v>4045</v>
      </c>
      <c r="BI331" s="211">
        <v>4920</v>
      </c>
      <c r="BJ331" s="211">
        <v>4680</v>
      </c>
      <c r="BK331" s="211">
        <v>2900</v>
      </c>
      <c r="BL331" s="211">
        <v>200</v>
      </c>
      <c r="BM331" s="211">
        <v>279</v>
      </c>
      <c r="BO331" s="28">
        <f t="shared" si="15"/>
        <v>1537.25</v>
      </c>
      <c r="BP331" s="28">
        <f t="shared" si="16"/>
        <v>18447</v>
      </c>
    </row>
    <row r="332" spans="22:68" x14ac:dyDescent="0.25">
      <c r="V332" s="449" t="str">
        <f>'[1]Strohs Plant in Service'!$C335</f>
        <v>Service Connection (30)</v>
      </c>
      <c r="W332" s="292" t="str">
        <f>'[1]Strohs Plant in Service'!$D335</f>
        <v>Services - Strohs (472)</v>
      </c>
      <c r="X332" s="293">
        <f>'[1]Strohs Plant in Service'!$E335</f>
        <v>45231</v>
      </c>
      <c r="Y332" s="297">
        <f>'[1]Strohs Plant in Service'!$F335</f>
        <v>7121.88</v>
      </c>
      <c r="Z332" s="248"/>
      <c r="AA332" s="294">
        <f>'[1]Strohs Plant in Service'!$G$11/12</f>
        <v>6</v>
      </c>
      <c r="AB332" s="219">
        <f>('[1]Strohs Plant in Service'!$G335-'[1]Strohs Plant in Service'!$H335)/12</f>
        <v>2.9166666666666665</v>
      </c>
      <c r="AC332" s="219">
        <f>'[1]Strohs Plant in Service'!$I335</f>
        <v>237.39600000000002</v>
      </c>
      <c r="AD332" s="219"/>
      <c r="AE332" s="220">
        <f>'[1]Strohs Plant in Service'!$J335</f>
        <v>712.15</v>
      </c>
      <c r="AF332" s="221">
        <v>6409.7300000000005</v>
      </c>
      <c r="AG332" s="204"/>
      <c r="AH332" s="178"/>
      <c r="AI332" s="174"/>
      <c r="AJ332" s="179"/>
      <c r="AK332" s="247"/>
      <c r="AL332" s="248"/>
      <c r="AM332" s="294"/>
      <c r="AN332" s="219"/>
      <c r="AO332" s="219"/>
      <c r="AP332" s="219"/>
      <c r="AQ332" s="220"/>
      <c r="AR332" s="221"/>
      <c r="AY332" s="628"/>
      <c r="AZ332" s="470">
        <v>1.5</v>
      </c>
      <c r="BA332" s="466">
        <v>3648495418</v>
      </c>
      <c r="BB332" s="211">
        <v>9552</v>
      </c>
      <c r="BC332" s="211">
        <v>11404</v>
      </c>
      <c r="BD332" s="211">
        <v>13555</v>
      </c>
      <c r="BE332" s="211">
        <v>10670</v>
      </c>
      <c r="BF332" s="211">
        <v>10159</v>
      </c>
      <c r="BG332" s="211">
        <v>11021</v>
      </c>
      <c r="BH332" s="211">
        <v>11244</v>
      </c>
      <c r="BI332" s="211">
        <v>11943</v>
      </c>
      <c r="BJ332" s="211">
        <v>12123</v>
      </c>
      <c r="BK332" s="211">
        <v>8971</v>
      </c>
      <c r="BL332" s="211">
        <v>8438</v>
      </c>
      <c r="BM332" s="211">
        <v>10099</v>
      </c>
      <c r="BO332" s="28">
        <f t="shared" si="15"/>
        <v>10764.916666666666</v>
      </c>
      <c r="BP332" s="28">
        <f t="shared" si="16"/>
        <v>129179</v>
      </c>
    </row>
    <row r="333" spans="22:68" x14ac:dyDescent="0.25">
      <c r="V333" s="449" t="str">
        <f>'[1]Strohs Plant in Service'!$C336</f>
        <v>Service Connection (30)</v>
      </c>
      <c r="W333" s="292" t="str">
        <f>'[1]Strohs Plant in Service'!$D336</f>
        <v>Services (CIAC) - Stroh (075)</v>
      </c>
      <c r="X333" s="293">
        <f>'[1]Strohs Plant in Service'!$E336</f>
        <v>45231</v>
      </c>
      <c r="Y333" s="297">
        <f>'[1]Strohs Plant in Service'!$F336</f>
        <v>300</v>
      </c>
      <c r="Z333" s="248"/>
      <c r="AA333" s="294">
        <f>'[1]Strohs Plant in Service'!$G$11/12</f>
        <v>6</v>
      </c>
      <c r="AB333" s="219">
        <f>('[1]Strohs Plant in Service'!$G336-'[1]Strohs Plant in Service'!$H336)/12</f>
        <v>1.9166666666666667</v>
      </c>
      <c r="AC333" s="219">
        <f>'[1]Strohs Plant in Service'!$I336</f>
        <v>10</v>
      </c>
      <c r="AD333" s="219"/>
      <c r="AE333" s="220">
        <f>'[1]Strohs Plant in Service'!$J336</f>
        <v>19.96</v>
      </c>
      <c r="AF333" s="221">
        <v>280.04000000000002</v>
      </c>
      <c r="AG333" s="204"/>
      <c r="AH333" s="178"/>
      <c r="AI333" s="174"/>
      <c r="AJ333" s="179"/>
      <c r="AK333" s="247"/>
      <c r="AL333" s="248"/>
      <c r="AM333" s="294"/>
      <c r="AN333" s="219"/>
      <c r="AO333" s="219"/>
      <c r="AP333" s="219"/>
      <c r="AQ333" s="220"/>
      <c r="AR333" s="221"/>
      <c r="AY333" s="628"/>
      <c r="AZ333" s="470">
        <v>0.75</v>
      </c>
      <c r="BA333" s="466">
        <v>3648700261</v>
      </c>
      <c r="BB333" s="211">
        <v>415</v>
      </c>
      <c r="BC333" s="211">
        <v>380</v>
      </c>
      <c r="BD333" s="211">
        <v>533</v>
      </c>
      <c r="BE333" s="211">
        <v>711</v>
      </c>
      <c r="BF333" s="211">
        <v>810</v>
      </c>
      <c r="BG333" s="211">
        <v>2731</v>
      </c>
      <c r="BH333" s="211">
        <v>8494</v>
      </c>
      <c r="BI333" s="211">
        <v>8922</v>
      </c>
      <c r="BJ333" s="211">
        <v>5418</v>
      </c>
      <c r="BK333" s="211">
        <v>999</v>
      </c>
      <c r="BL333" s="211">
        <v>409</v>
      </c>
      <c r="BM333" s="211">
        <v>420</v>
      </c>
      <c r="BO333" s="28">
        <f t="shared" si="15"/>
        <v>2520.1666666666665</v>
      </c>
      <c r="BP333" s="28">
        <f t="shared" si="16"/>
        <v>30242</v>
      </c>
    </row>
    <row r="334" spans="22:68" x14ac:dyDescent="0.25">
      <c r="V334" s="449" t="str">
        <f>'[1]Strohs Plant in Service'!$C337</f>
        <v>Service Connection (30)</v>
      </c>
      <c r="W334" s="292" t="str">
        <f>'[1]Strohs Plant in Service'!$D337</f>
        <v>Services (CIAC) - Stroh (075)</v>
      </c>
      <c r="X334" s="293">
        <f>'[1]Strohs Plant in Service'!$E337</f>
        <v>45231</v>
      </c>
      <c r="Y334" s="297">
        <f>'[1]Strohs Plant in Service'!$F337</f>
        <v>1303.3</v>
      </c>
      <c r="Z334" s="248"/>
      <c r="AA334" s="294">
        <f>'[1]Strohs Plant in Service'!$G$11/12</f>
        <v>6</v>
      </c>
      <c r="AB334" s="219">
        <f>('[1]Strohs Plant in Service'!$G337-'[1]Strohs Plant in Service'!$H337)/12</f>
        <v>15.916666666666666</v>
      </c>
      <c r="AC334" s="219">
        <f>'[1]Strohs Plant in Service'!$I337</f>
        <v>43.443333333333328</v>
      </c>
      <c r="AD334" s="219"/>
      <c r="AE334" s="220">
        <f>'[1]Strohs Plant in Service'!$J337</f>
        <v>695.09</v>
      </c>
      <c r="AF334" s="221">
        <v>608.20999999999992</v>
      </c>
      <c r="AG334" s="204"/>
      <c r="AH334" s="178"/>
      <c r="AI334" s="174"/>
      <c r="AJ334" s="179"/>
      <c r="AK334" s="247"/>
      <c r="AL334" s="248"/>
      <c r="AM334" s="294"/>
      <c r="AN334" s="219"/>
      <c r="AO334" s="219"/>
      <c r="AP334" s="219"/>
      <c r="AQ334" s="220"/>
      <c r="AR334" s="221"/>
      <c r="AY334" s="628"/>
      <c r="AZ334" s="470">
        <v>0.75</v>
      </c>
      <c r="BA334" s="466">
        <v>3669637563</v>
      </c>
      <c r="BB334" s="211">
        <v>891</v>
      </c>
      <c r="BC334" s="211">
        <v>644</v>
      </c>
      <c r="BD334" s="211">
        <v>2000</v>
      </c>
      <c r="BE334" s="211" t="s">
        <v>655</v>
      </c>
      <c r="BF334" s="211">
        <v>799</v>
      </c>
      <c r="BG334" s="211">
        <v>1222</v>
      </c>
      <c r="BH334" s="211">
        <v>1834</v>
      </c>
      <c r="BI334" s="211">
        <v>2167</v>
      </c>
      <c r="BJ334" s="211">
        <v>700</v>
      </c>
      <c r="BK334" s="211">
        <v>364</v>
      </c>
      <c r="BL334" s="211" t="s">
        <v>655</v>
      </c>
      <c r="BM334" s="211">
        <v>4714</v>
      </c>
      <c r="BO334" s="28">
        <f t="shared" si="15"/>
        <v>1533.5</v>
      </c>
      <c r="BP334" s="28">
        <f t="shared" si="16"/>
        <v>15335</v>
      </c>
    </row>
    <row r="335" spans="22:68" x14ac:dyDescent="0.25">
      <c r="V335" s="449" t="str">
        <f>'[1]Strohs Plant in Service'!$C338</f>
        <v>Service Connection (30)</v>
      </c>
      <c r="W335" s="292" t="str">
        <f>'[1]Strohs Plant in Service'!$D338</f>
        <v>Service (CIAC) - Strohs, 3909 38th</v>
      </c>
      <c r="X335" s="293">
        <f>'[1]Strohs Plant in Service'!$E338</f>
        <v>45231</v>
      </c>
      <c r="Y335" s="297">
        <f>'[1]Strohs Plant in Service'!$F338</f>
        <v>4713</v>
      </c>
      <c r="Z335" s="248"/>
      <c r="AA335" s="294">
        <f>'[1]Strohs Plant in Service'!$G$11/12</f>
        <v>6</v>
      </c>
      <c r="AB335" s="219">
        <f>('[1]Strohs Plant in Service'!$G338-'[1]Strohs Plant in Service'!$H338)/12</f>
        <v>1.75</v>
      </c>
      <c r="AC335" s="219">
        <f>'[1]Strohs Plant in Service'!$I338</f>
        <v>157.1</v>
      </c>
      <c r="AD335" s="219"/>
      <c r="AE335" s="220">
        <f>'[1]Strohs Plant in Service'!$J338</f>
        <v>288</v>
      </c>
      <c r="AF335" s="221">
        <v>4425</v>
      </c>
      <c r="AG335" s="204"/>
      <c r="AH335" s="178"/>
      <c r="AI335" s="174"/>
      <c r="AJ335" s="179"/>
      <c r="AK335" s="247"/>
      <c r="AL335" s="248"/>
      <c r="AM335" s="294"/>
      <c r="AN335" s="219"/>
      <c r="AO335" s="219"/>
      <c r="AP335" s="219"/>
      <c r="AQ335" s="220"/>
      <c r="AR335" s="221"/>
      <c r="AY335" s="628"/>
      <c r="AZ335" s="470">
        <v>0.625</v>
      </c>
      <c r="BA335" s="466">
        <v>3670876507</v>
      </c>
      <c r="BB335" s="211">
        <v>170</v>
      </c>
      <c r="BC335" s="211">
        <v>105</v>
      </c>
      <c r="BD335" s="211">
        <v>126</v>
      </c>
      <c r="BE335" s="211">
        <v>150</v>
      </c>
      <c r="BF335" s="211">
        <v>121</v>
      </c>
      <c r="BG335" s="211">
        <v>219</v>
      </c>
      <c r="BH335" s="211">
        <v>95</v>
      </c>
      <c r="BI335" s="211">
        <v>121</v>
      </c>
      <c r="BJ335" s="211">
        <v>400</v>
      </c>
      <c r="BK335" s="211">
        <v>274</v>
      </c>
      <c r="BL335" s="211">
        <v>126</v>
      </c>
      <c r="BM335" s="211">
        <v>106</v>
      </c>
      <c r="BO335" s="28">
        <f t="shared" si="15"/>
        <v>167.75</v>
      </c>
      <c r="BP335" s="28">
        <f t="shared" si="16"/>
        <v>2013</v>
      </c>
    </row>
    <row r="336" spans="22:68" x14ac:dyDescent="0.25">
      <c r="V336" s="449" t="str">
        <f>'[1]Strohs Plant in Service'!$C339</f>
        <v>Service Connection (30)</v>
      </c>
      <c r="W336" s="292" t="str">
        <f>'[1]Strohs Plant in Service'!$D339</f>
        <v>Service (CIAC) - Strohs, 3909 38th</v>
      </c>
      <c r="X336" s="293">
        <f>'[1]Strohs Plant in Service'!$E339</f>
        <v>45231</v>
      </c>
      <c r="Y336" s="297">
        <f>'[1]Strohs Plant in Service'!$F339</f>
        <v>4516.2700000000004</v>
      </c>
      <c r="Z336" s="248"/>
      <c r="AA336" s="294">
        <f>'[1]Strohs Plant in Service'!$G$11/12</f>
        <v>6</v>
      </c>
      <c r="AB336" s="219">
        <f>('[1]Strohs Plant in Service'!$G339-'[1]Strohs Plant in Service'!$H339)/12</f>
        <v>1.4166666666666667</v>
      </c>
      <c r="AC336" s="219">
        <f>'[1]Strohs Plant in Service'!$I339</f>
        <v>230.61804255319151</v>
      </c>
      <c r="AD336" s="219"/>
      <c r="AE336" s="220">
        <f>'[1]Strohs Plant in Service'!$J339</f>
        <v>345.95</v>
      </c>
      <c r="AF336" s="221">
        <v>4170.3200000000006</v>
      </c>
      <c r="AG336" s="204"/>
      <c r="AH336" s="178"/>
      <c r="AI336" s="174"/>
      <c r="AJ336" s="179"/>
      <c r="AK336" s="247"/>
      <c r="AL336" s="248"/>
      <c r="AM336" s="294"/>
      <c r="AN336" s="219"/>
      <c r="AO336" s="219"/>
      <c r="AP336" s="219"/>
      <c r="AQ336" s="220"/>
      <c r="AR336" s="221"/>
      <c r="AY336" s="628"/>
      <c r="AZ336" s="470">
        <v>0.625</v>
      </c>
      <c r="BA336" s="466">
        <v>3688785472</v>
      </c>
      <c r="BB336" s="211">
        <v>412</v>
      </c>
      <c r="BC336" s="211">
        <v>490</v>
      </c>
      <c r="BD336" s="211">
        <v>546</v>
      </c>
      <c r="BE336" s="211">
        <v>588</v>
      </c>
      <c r="BF336" s="211">
        <v>440</v>
      </c>
      <c r="BG336" s="211">
        <v>1867</v>
      </c>
      <c r="BH336" s="211">
        <v>2165</v>
      </c>
      <c r="BI336" s="211">
        <v>2422</v>
      </c>
      <c r="BJ336" s="211">
        <v>2368</v>
      </c>
      <c r="BK336" s="211">
        <v>715</v>
      </c>
      <c r="BL336" s="211">
        <v>687</v>
      </c>
      <c r="BM336" s="211">
        <v>519</v>
      </c>
      <c r="BO336" s="28">
        <f t="shared" si="15"/>
        <v>1101.5833333333333</v>
      </c>
      <c r="BP336" s="28">
        <f t="shared" si="16"/>
        <v>13219</v>
      </c>
    </row>
    <row r="337" spans="22:68" x14ac:dyDescent="0.25">
      <c r="V337" s="449" t="str">
        <f>'[1]Strohs Plant in Service'!$C340</f>
        <v>Service Connection (30)</v>
      </c>
      <c r="W337" s="292" t="str">
        <f>'[1]Strohs Plant in Service'!$D340</f>
        <v>Services - Strohs (472)</v>
      </c>
      <c r="X337" s="293">
        <f>'[1]Strohs Plant in Service'!$E340</f>
        <v>45231</v>
      </c>
      <c r="Y337" s="297">
        <f>'[1]Strohs Plant in Service'!$F340</f>
        <v>7368.05</v>
      </c>
      <c r="Z337" s="248"/>
      <c r="AA337" s="294">
        <f>'[1]Strohs Plant in Service'!$G$11/12</f>
        <v>6</v>
      </c>
      <c r="AB337" s="219">
        <f>('[1]Strohs Plant in Service'!$G340-'[1]Strohs Plant in Service'!$H340)/12</f>
        <v>1.4166666666666667</v>
      </c>
      <c r="AC337" s="219">
        <f>'[1]Strohs Plant in Service'!$I340</f>
        <v>376.24085106382978</v>
      </c>
      <c r="AD337" s="219"/>
      <c r="AE337" s="220">
        <f>'[1]Strohs Plant in Service'!$J340</f>
        <v>564.32000000000005</v>
      </c>
      <c r="AF337" s="221">
        <v>6803.7300000000005</v>
      </c>
      <c r="AG337" s="204"/>
      <c r="AH337" s="178"/>
      <c r="AI337" s="174"/>
      <c r="AJ337" s="179"/>
      <c r="AK337" s="247"/>
      <c r="AL337" s="248"/>
      <c r="AM337" s="294"/>
      <c r="AN337" s="219"/>
      <c r="AO337" s="219"/>
      <c r="AP337" s="219"/>
      <c r="AQ337" s="220"/>
      <c r="AR337" s="221"/>
      <c r="AY337" s="628"/>
      <c r="AZ337" s="470">
        <v>0.625</v>
      </c>
      <c r="BA337" s="466">
        <v>3694799821</v>
      </c>
      <c r="BB337" s="211">
        <v>618</v>
      </c>
      <c r="BC337" s="211">
        <v>636</v>
      </c>
      <c r="BD337" s="211">
        <v>683</v>
      </c>
      <c r="BE337" s="211">
        <v>697</v>
      </c>
      <c r="BF337" s="211">
        <v>380</v>
      </c>
      <c r="BG337" s="211">
        <v>865</v>
      </c>
      <c r="BH337" s="211">
        <v>632</v>
      </c>
      <c r="BI337" s="211">
        <v>427</v>
      </c>
      <c r="BJ337" s="211">
        <v>919</v>
      </c>
      <c r="BK337" s="211">
        <v>336</v>
      </c>
      <c r="BL337" s="211">
        <v>292</v>
      </c>
      <c r="BM337" s="211">
        <v>1156</v>
      </c>
      <c r="BO337" s="28">
        <f t="shared" si="15"/>
        <v>636.75</v>
      </c>
      <c r="BP337" s="28">
        <f t="shared" si="16"/>
        <v>7641</v>
      </c>
    </row>
    <row r="338" spans="22:68" x14ac:dyDescent="0.25">
      <c r="V338" s="449" t="str">
        <f>'[1]Strohs Plant in Service'!$C341</f>
        <v>Service Connection (30)</v>
      </c>
      <c r="W338" s="292" t="str">
        <f>'[1]Strohs Plant in Service'!$D341</f>
        <v>Services (CIAC) - Strohs</v>
      </c>
      <c r="X338" s="293">
        <f>'[1]Strohs Plant in Service'!$E341</f>
        <v>45231</v>
      </c>
      <c r="Y338" s="297">
        <f>'[1]Strohs Plant in Service'!$F341</f>
        <v>560.48</v>
      </c>
      <c r="Z338" s="248"/>
      <c r="AA338" s="294">
        <f>'[1]Strohs Plant in Service'!$G$11/12</f>
        <v>6</v>
      </c>
      <c r="AB338" s="219">
        <f>('[1]Strohs Plant in Service'!$G341-'[1]Strohs Plant in Service'!$H341)/12</f>
        <v>1.4166666666666667</v>
      </c>
      <c r="AC338" s="219">
        <f>'[1]Strohs Plant in Service'!$I341</f>
        <v>28.620255319148935</v>
      </c>
      <c r="AD338" s="219"/>
      <c r="AE338" s="220">
        <f>'[1]Strohs Plant in Service'!$J341</f>
        <v>42.94</v>
      </c>
      <c r="AF338" s="221">
        <v>517.54</v>
      </c>
      <c r="AG338" s="204"/>
      <c r="AH338" s="178"/>
      <c r="AI338" s="174"/>
      <c r="AJ338" s="179"/>
      <c r="AK338" s="247"/>
      <c r="AL338" s="248"/>
      <c r="AM338" s="294"/>
      <c r="AN338" s="219"/>
      <c r="AO338" s="219"/>
      <c r="AP338" s="219"/>
      <c r="AQ338" s="220"/>
      <c r="AR338" s="221"/>
      <c r="AY338" s="628"/>
      <c r="AZ338" s="470">
        <v>0.75</v>
      </c>
      <c r="BA338" s="466">
        <v>3698651666</v>
      </c>
      <c r="BB338" s="211">
        <v>2543</v>
      </c>
      <c r="BC338" s="211">
        <v>3225</v>
      </c>
      <c r="BD338" s="211">
        <v>3441</v>
      </c>
      <c r="BE338" s="211">
        <v>4475</v>
      </c>
      <c r="BF338" s="211">
        <v>1804</v>
      </c>
      <c r="BG338" s="211">
        <v>329</v>
      </c>
      <c r="BH338" s="211">
        <v>1158</v>
      </c>
      <c r="BI338" s="211">
        <v>1256</v>
      </c>
      <c r="BJ338" s="211">
        <v>1111</v>
      </c>
      <c r="BK338" s="211">
        <v>2781</v>
      </c>
      <c r="BL338" s="211">
        <v>1710</v>
      </c>
      <c r="BM338" s="211">
        <v>390</v>
      </c>
      <c r="BO338" s="28">
        <f t="shared" si="15"/>
        <v>2018.5833333333333</v>
      </c>
      <c r="BP338" s="28">
        <f t="shared" si="16"/>
        <v>24223</v>
      </c>
    </row>
    <row r="339" spans="22:68" x14ac:dyDescent="0.25">
      <c r="V339" s="449" t="str">
        <f>'[1]Strohs Plant in Service'!$C342</f>
        <v>Service Connection (30)</v>
      </c>
      <c r="W339" s="292" t="str">
        <f>'[1]Strohs Plant in Service'!$D342</f>
        <v>Services (CIAC) - Strohs</v>
      </c>
      <c r="X339" s="293">
        <f>'[1]Strohs Plant in Service'!$E342</f>
        <v>45231</v>
      </c>
      <c r="Y339" s="297">
        <f>'[1]Strohs Plant in Service'!$F342</f>
        <v>642.78</v>
      </c>
      <c r="Z339" s="248"/>
      <c r="AA339" s="294">
        <f>'[1]Strohs Plant in Service'!$G$11/12</f>
        <v>6</v>
      </c>
      <c r="AB339" s="219">
        <f>('[1]Strohs Plant in Service'!$G342-'[1]Strohs Plant in Service'!$H342)/12</f>
        <v>1.4166666666666667</v>
      </c>
      <c r="AC339" s="219">
        <f>'[1]Strohs Plant in Service'!$I342</f>
        <v>32.822808510638296</v>
      </c>
      <c r="AD339" s="219"/>
      <c r="AE339" s="220">
        <f>'[1]Strohs Plant in Service'!$J342</f>
        <v>49.29</v>
      </c>
      <c r="AF339" s="221">
        <v>593.49</v>
      </c>
      <c r="AG339" s="204"/>
      <c r="AH339" s="178"/>
      <c r="AI339" s="174"/>
      <c r="AJ339" s="179"/>
      <c r="AK339" s="247"/>
      <c r="AL339" s="248"/>
      <c r="AM339" s="294"/>
      <c r="AN339" s="219"/>
      <c r="AO339" s="219"/>
      <c r="AP339" s="219"/>
      <c r="AQ339" s="220"/>
      <c r="AR339" s="221"/>
      <c r="AY339" s="628"/>
      <c r="AZ339" s="470">
        <v>0.625</v>
      </c>
      <c r="BA339" s="466">
        <v>3718127686</v>
      </c>
      <c r="BB339" s="211">
        <v>366</v>
      </c>
      <c r="BC339" s="211">
        <v>235</v>
      </c>
      <c r="BD339" s="211">
        <v>195</v>
      </c>
      <c r="BE339" s="211" t="s">
        <v>655</v>
      </c>
      <c r="BF339" s="211" t="s">
        <v>655</v>
      </c>
      <c r="BG339" s="211" t="s">
        <v>655</v>
      </c>
      <c r="BH339" s="211" t="s">
        <v>655</v>
      </c>
      <c r="BI339" s="211" t="s">
        <v>655</v>
      </c>
      <c r="BJ339" s="211" t="s">
        <v>655</v>
      </c>
      <c r="BK339" s="211" t="s">
        <v>655</v>
      </c>
      <c r="BL339" s="211" t="s">
        <v>655</v>
      </c>
      <c r="BM339" s="211" t="s">
        <v>655</v>
      </c>
      <c r="BO339" s="28">
        <f t="shared" si="15"/>
        <v>265.33333333333331</v>
      </c>
      <c r="BP339" s="28">
        <f t="shared" si="16"/>
        <v>796</v>
      </c>
    </row>
    <row r="340" spans="22:68" x14ac:dyDescent="0.25">
      <c r="V340" s="449" t="str">
        <f>'[1]Strohs Plant in Service'!$C343</f>
        <v>Service Connection (30)</v>
      </c>
      <c r="W340" s="292" t="str">
        <f>'[1]Strohs Plant in Service'!$D343</f>
        <v>Services (CIAC) - Strohs</v>
      </c>
      <c r="X340" s="293">
        <f>'[1]Strohs Plant in Service'!$E343</f>
        <v>45231</v>
      </c>
      <c r="Y340" s="297">
        <f>'[1]Strohs Plant in Service'!$F343</f>
        <v>889.26</v>
      </c>
      <c r="Z340" s="248"/>
      <c r="AA340" s="294">
        <f>'[1]Strohs Plant in Service'!$G$11/12</f>
        <v>6</v>
      </c>
      <c r="AB340" s="219">
        <f>('[1]Strohs Plant in Service'!$G343-'[1]Strohs Plant in Service'!$H343)/12</f>
        <v>1.4166666666666667</v>
      </c>
      <c r="AC340" s="219">
        <f>'[1]Strohs Plant in Service'!$I343</f>
        <v>45.409021276595745</v>
      </c>
      <c r="AD340" s="219"/>
      <c r="AE340" s="220">
        <f>'[1]Strohs Plant in Service'!$J343</f>
        <v>68.06</v>
      </c>
      <c r="AF340" s="221">
        <v>821.2</v>
      </c>
      <c r="AG340" s="204"/>
      <c r="AH340" s="178"/>
      <c r="AI340" s="174"/>
      <c r="AJ340" s="179"/>
      <c r="AK340" s="247"/>
      <c r="AL340" s="248"/>
      <c r="AM340" s="294"/>
      <c r="AN340" s="219"/>
      <c r="AO340" s="219"/>
      <c r="AP340" s="219"/>
      <c r="AQ340" s="220"/>
      <c r="AR340" s="221"/>
      <c r="AY340" s="628"/>
      <c r="AZ340" s="470">
        <v>0.625</v>
      </c>
      <c r="BA340" s="466">
        <v>3735170060</v>
      </c>
      <c r="BB340" s="211">
        <v>820</v>
      </c>
      <c r="BC340" s="211">
        <v>460</v>
      </c>
      <c r="BD340" s="211">
        <v>1963</v>
      </c>
      <c r="BE340" s="211">
        <v>1460</v>
      </c>
      <c r="BF340" s="211">
        <v>1405</v>
      </c>
      <c r="BG340" s="211">
        <v>1420</v>
      </c>
      <c r="BH340" s="211">
        <v>1362</v>
      </c>
      <c r="BI340" s="211">
        <v>2317</v>
      </c>
      <c r="BJ340" s="211">
        <v>400</v>
      </c>
      <c r="BK340" s="211">
        <v>2829</v>
      </c>
      <c r="BL340" s="211">
        <v>235</v>
      </c>
      <c r="BM340" s="211">
        <v>289</v>
      </c>
      <c r="BO340" s="28">
        <f t="shared" si="15"/>
        <v>1246.6666666666667</v>
      </c>
      <c r="BP340" s="28">
        <f t="shared" si="16"/>
        <v>14960</v>
      </c>
    </row>
    <row r="341" spans="22:68" x14ac:dyDescent="0.25">
      <c r="V341" s="449" t="str">
        <f>'[1]Strohs Plant in Service'!$C344</f>
        <v>Service Connection (30)</v>
      </c>
      <c r="W341" s="292" t="str">
        <f>'[1]Strohs Plant in Service'!$D344</f>
        <v>Services - Strohs (075)</v>
      </c>
      <c r="X341" s="293">
        <f>'[1]Strohs Plant in Service'!$E344</f>
        <v>45231</v>
      </c>
      <c r="Y341" s="297">
        <f>'[1]Strohs Plant in Service'!$F344</f>
        <v>935.12</v>
      </c>
      <c r="Z341" s="248"/>
      <c r="AA341" s="294">
        <f>'[1]Strohs Plant in Service'!$G$11/12</f>
        <v>6</v>
      </c>
      <c r="AB341" s="219">
        <f>('[1]Strohs Plant in Service'!$G344-'[1]Strohs Plant in Service'!$H344)/12</f>
        <v>1.4166666666666667</v>
      </c>
      <c r="AC341" s="219">
        <f>'[1]Strohs Plant in Service'!$I344</f>
        <v>47.750808510638301</v>
      </c>
      <c r="AD341" s="219"/>
      <c r="AE341" s="220">
        <f>'[1]Strohs Plant in Service'!$J344</f>
        <v>71.64</v>
      </c>
      <c r="AF341" s="221">
        <v>863.48</v>
      </c>
      <c r="AG341" s="204"/>
      <c r="AH341" s="178"/>
      <c r="AI341" s="174"/>
      <c r="AJ341" s="179"/>
      <c r="AK341" s="247"/>
      <c r="AL341" s="248"/>
      <c r="AM341" s="294"/>
      <c r="AN341" s="219"/>
      <c r="AO341" s="219"/>
      <c r="AP341" s="219"/>
      <c r="AQ341" s="220"/>
      <c r="AR341" s="221"/>
      <c r="AY341" s="628"/>
      <c r="AZ341" s="470">
        <v>0.75</v>
      </c>
      <c r="BA341" s="466">
        <v>3740409746</v>
      </c>
      <c r="BB341" s="211">
        <v>355</v>
      </c>
      <c r="BC341" s="211">
        <v>333</v>
      </c>
      <c r="BD341" s="211">
        <v>186</v>
      </c>
      <c r="BE341" s="211">
        <v>489</v>
      </c>
      <c r="BF341" s="211">
        <v>500</v>
      </c>
      <c r="BG341" s="211">
        <v>1053</v>
      </c>
      <c r="BH341" s="211">
        <v>1247</v>
      </c>
      <c r="BI341" s="211">
        <v>2890</v>
      </c>
      <c r="BJ341" s="211">
        <v>2110</v>
      </c>
      <c r="BK341" s="211">
        <v>1125</v>
      </c>
      <c r="BL341" s="211">
        <v>375</v>
      </c>
      <c r="BM341" s="211">
        <v>400</v>
      </c>
      <c r="BO341" s="28">
        <f t="shared" si="15"/>
        <v>921.91666666666663</v>
      </c>
      <c r="BP341" s="28">
        <f t="shared" si="16"/>
        <v>11063</v>
      </c>
    </row>
    <row r="342" spans="22:68" x14ac:dyDescent="0.25">
      <c r="V342" s="449" t="str">
        <f>'[1]Strohs Plant in Service'!$C345</f>
        <v>Service Connection (30)</v>
      </c>
      <c r="W342" s="292" t="str">
        <f>'[1]Strohs Plant in Service'!$D345</f>
        <v>Services - Strohs (075)</v>
      </c>
      <c r="X342" s="293">
        <f>'[1]Strohs Plant in Service'!$E345</f>
        <v>45231</v>
      </c>
      <c r="Y342" s="297">
        <f>'[1]Strohs Plant in Service'!$F345</f>
        <v>3027.5</v>
      </c>
      <c r="Z342" s="248"/>
      <c r="AA342" s="294">
        <f>'[1]Strohs Plant in Service'!$G$11/12</f>
        <v>6</v>
      </c>
      <c r="AB342" s="219">
        <f>('[1]Strohs Plant in Service'!$G345-'[1]Strohs Plant in Service'!$H345)/12</f>
        <v>1.4166666666666667</v>
      </c>
      <c r="AC342" s="219">
        <f>'[1]Strohs Plant in Service'!$I345</f>
        <v>154.59574468085106</v>
      </c>
      <c r="AD342" s="219"/>
      <c r="AE342" s="220">
        <f>'[1]Strohs Plant in Service'!$J345</f>
        <v>231.85</v>
      </c>
      <c r="AF342" s="221">
        <v>2795.65</v>
      </c>
      <c r="AG342" s="204"/>
      <c r="AH342" s="178"/>
      <c r="AI342" s="174"/>
      <c r="AJ342" s="179"/>
      <c r="AK342" s="247"/>
      <c r="AL342" s="248"/>
      <c r="AM342" s="294"/>
      <c r="AN342" s="219"/>
      <c r="AO342" s="219"/>
      <c r="AP342" s="219"/>
      <c r="AQ342" s="220"/>
      <c r="AR342" s="221"/>
      <c r="AY342" s="628"/>
      <c r="AZ342" s="470">
        <v>0.75</v>
      </c>
      <c r="BA342" s="466">
        <v>3791754004</v>
      </c>
      <c r="BB342" s="211">
        <v>66</v>
      </c>
      <c r="BC342" s="211">
        <v>95</v>
      </c>
      <c r="BD342" s="211">
        <v>130</v>
      </c>
      <c r="BE342" s="211">
        <v>104</v>
      </c>
      <c r="BF342" s="211">
        <v>122</v>
      </c>
      <c r="BG342" s="211">
        <v>143</v>
      </c>
      <c r="BH342" s="211">
        <v>159</v>
      </c>
      <c r="BI342" s="211">
        <v>137</v>
      </c>
      <c r="BJ342" s="211">
        <v>137</v>
      </c>
      <c r="BK342" s="211">
        <v>146</v>
      </c>
      <c r="BL342" s="211">
        <v>131</v>
      </c>
      <c r="BM342" s="211">
        <v>102</v>
      </c>
      <c r="BO342" s="28">
        <f t="shared" si="15"/>
        <v>122.66666666666667</v>
      </c>
      <c r="BP342" s="28">
        <f t="shared" si="16"/>
        <v>1472</v>
      </c>
    </row>
    <row r="343" spans="22:68" x14ac:dyDescent="0.25">
      <c r="V343" s="449" t="str">
        <f>'[1]Strohs Plant in Service'!$C346</f>
        <v>Service Connection (30)</v>
      </c>
      <c r="W343" s="292" t="str">
        <f>'[1]Strohs Plant in Service'!$D346</f>
        <v>Services - Strohs (472)</v>
      </c>
      <c r="X343" s="293">
        <f>'[1]Strohs Plant in Service'!$E346</f>
        <v>45231</v>
      </c>
      <c r="Y343" s="297">
        <f>'[1]Strohs Plant in Service'!$F346</f>
        <v>713.89</v>
      </c>
      <c r="Z343" s="248"/>
      <c r="AA343" s="294">
        <f>'[1]Strohs Plant in Service'!$G$11/12</f>
        <v>6</v>
      </c>
      <c r="AB343" s="219">
        <f>('[1]Strohs Plant in Service'!$G346-'[1]Strohs Plant in Service'!$H346)/12</f>
        <v>1.4166666666666667</v>
      </c>
      <c r="AC343" s="219">
        <f>'[1]Strohs Plant in Service'!$I346</f>
        <v>36.453957446808509</v>
      </c>
      <c r="AD343" s="219"/>
      <c r="AE343" s="220">
        <f>'[1]Strohs Plant in Service'!$J346</f>
        <v>54.71</v>
      </c>
      <c r="AF343" s="221">
        <v>659.18</v>
      </c>
      <c r="AG343" s="204"/>
      <c r="AH343" s="178"/>
      <c r="AI343" s="174"/>
      <c r="AJ343" s="179"/>
      <c r="AK343" s="247"/>
      <c r="AL343" s="248"/>
      <c r="AM343" s="294"/>
      <c r="AN343" s="219"/>
      <c r="AO343" s="219"/>
      <c r="AP343" s="219"/>
      <c r="AQ343" s="220"/>
      <c r="AR343" s="221"/>
      <c r="AY343" s="628"/>
      <c r="AZ343" s="470">
        <v>0.75</v>
      </c>
      <c r="BA343" s="466">
        <v>3791907562</v>
      </c>
      <c r="BB343" s="211">
        <v>1320</v>
      </c>
      <c r="BC343" s="211">
        <v>731</v>
      </c>
      <c r="BD343" s="211">
        <v>1034</v>
      </c>
      <c r="BE343" s="211">
        <v>729</v>
      </c>
      <c r="BF343" s="211">
        <v>2355</v>
      </c>
      <c r="BG343" s="211">
        <v>909</v>
      </c>
      <c r="BH343" s="211">
        <v>5451</v>
      </c>
      <c r="BI343" s="211">
        <v>7146</v>
      </c>
      <c r="BJ343" s="211">
        <v>2869</v>
      </c>
      <c r="BK343" s="211">
        <v>1095</v>
      </c>
      <c r="BL343" s="211">
        <v>707</v>
      </c>
      <c r="BM343" s="211">
        <v>668</v>
      </c>
      <c r="BO343" s="28">
        <f t="shared" si="15"/>
        <v>2084.5</v>
      </c>
      <c r="BP343" s="28">
        <f t="shared" si="16"/>
        <v>25014</v>
      </c>
    </row>
    <row r="344" spans="22:68" x14ac:dyDescent="0.25">
      <c r="V344" s="449" t="str">
        <f>'[1]Strohs Plant in Service'!$C347</f>
        <v>Service Connection (30)</v>
      </c>
      <c r="W344" s="292" t="str">
        <f>'[1]Strohs Plant in Service'!$D347</f>
        <v>Services (CIAC) - Strohs</v>
      </c>
      <c r="X344" s="293">
        <f>'[1]Strohs Plant in Service'!$E347</f>
        <v>45231</v>
      </c>
      <c r="Y344" s="297">
        <f>'[1]Strohs Plant in Service'!$F347</f>
        <v>5712.37</v>
      </c>
      <c r="Z344" s="248"/>
      <c r="AA344" s="294">
        <f>'[1]Strohs Plant in Service'!$G$11/12</f>
        <v>6</v>
      </c>
      <c r="AB344" s="219">
        <f>('[1]Strohs Plant in Service'!$G347-'[1]Strohs Plant in Service'!$H347)/12</f>
        <v>1.4166666666666667</v>
      </c>
      <c r="AC344" s="219">
        <f>'[1]Strohs Plant in Service'!$I347</f>
        <v>291.69548936170213</v>
      </c>
      <c r="AD344" s="219"/>
      <c r="AE344" s="220">
        <f>'[1]Strohs Plant in Service'!$J347</f>
        <v>437.57</v>
      </c>
      <c r="AF344" s="221">
        <v>5274.8</v>
      </c>
      <c r="AG344" s="204"/>
      <c r="AH344" s="178"/>
      <c r="AI344" s="174"/>
      <c r="AJ344" s="179"/>
      <c r="AK344" s="247"/>
      <c r="AL344" s="248"/>
      <c r="AM344" s="294"/>
      <c r="AN344" s="219"/>
      <c r="AO344" s="219"/>
      <c r="AP344" s="219"/>
      <c r="AQ344" s="220"/>
      <c r="AR344" s="221"/>
      <c r="AY344" s="628"/>
      <c r="AZ344" s="470">
        <v>0.625</v>
      </c>
      <c r="BA344" s="466">
        <v>3801377768</v>
      </c>
      <c r="BB344" s="211">
        <v>368</v>
      </c>
      <c r="BC344" s="211">
        <v>440</v>
      </c>
      <c r="BD344" s="211">
        <v>552</v>
      </c>
      <c r="BE344" s="211" t="s">
        <v>655</v>
      </c>
      <c r="BF344" s="211" t="s">
        <v>655</v>
      </c>
      <c r="BG344" s="211" t="s">
        <v>655</v>
      </c>
      <c r="BH344" s="211" t="s">
        <v>655</v>
      </c>
      <c r="BI344" s="211" t="s">
        <v>655</v>
      </c>
      <c r="BJ344" s="211" t="s">
        <v>655</v>
      </c>
      <c r="BK344" s="211" t="s">
        <v>655</v>
      </c>
      <c r="BL344" s="211" t="s">
        <v>655</v>
      </c>
      <c r="BM344" s="211" t="s">
        <v>655</v>
      </c>
      <c r="BO344" s="28">
        <f t="shared" si="15"/>
        <v>453.33333333333331</v>
      </c>
      <c r="BP344" s="28">
        <f t="shared" si="16"/>
        <v>1360</v>
      </c>
    </row>
    <row r="345" spans="22:68" x14ac:dyDescent="0.25">
      <c r="V345" s="449" t="str">
        <f>'[1]Strohs Plant in Service'!$C348</f>
        <v>Service Connection (30)</v>
      </c>
      <c r="W345" s="292" t="str">
        <f>'[1]Strohs Plant in Service'!$D348</f>
        <v>Services (CIAC) - Strohs</v>
      </c>
      <c r="X345" s="293">
        <f>'[1]Strohs Plant in Service'!$E348</f>
        <v>45231</v>
      </c>
      <c r="Y345" s="297">
        <f>'[1]Strohs Plant in Service'!$F348</f>
        <v>964.01</v>
      </c>
      <c r="Z345" s="248"/>
      <c r="AA345" s="294">
        <f>'[1]Strohs Plant in Service'!$G$11/12</f>
        <v>6</v>
      </c>
      <c r="AB345" s="219">
        <f>('[1]Strohs Plant in Service'!$G348-'[1]Strohs Plant in Service'!$H348)/12</f>
        <v>1.4166666666666667</v>
      </c>
      <c r="AC345" s="219">
        <f>'[1]Strohs Plant in Service'!$I348</f>
        <v>49.22604255319149</v>
      </c>
      <c r="AD345" s="219"/>
      <c r="AE345" s="220">
        <f>'[1]Strohs Plant in Service'!$J348</f>
        <v>73.81</v>
      </c>
      <c r="AF345" s="221">
        <v>890.2</v>
      </c>
      <c r="AG345" s="204"/>
      <c r="AH345" s="178"/>
      <c r="AI345" s="174"/>
      <c r="AJ345" s="179"/>
      <c r="AK345" s="247"/>
      <c r="AL345" s="248"/>
      <c r="AM345" s="294"/>
      <c r="AN345" s="219"/>
      <c r="AO345" s="219"/>
      <c r="AP345" s="219"/>
      <c r="AQ345" s="220"/>
      <c r="AR345" s="221"/>
      <c r="AY345" s="628"/>
      <c r="AZ345" s="470">
        <v>0.75</v>
      </c>
      <c r="BA345" s="466">
        <v>3811820790</v>
      </c>
      <c r="BB345" s="211">
        <v>402</v>
      </c>
      <c r="BC345" s="211">
        <v>274</v>
      </c>
      <c r="BD345" s="211">
        <v>407</v>
      </c>
      <c r="BE345" s="211">
        <v>395</v>
      </c>
      <c r="BF345" s="211">
        <v>2008</v>
      </c>
      <c r="BG345" s="211">
        <v>4706</v>
      </c>
      <c r="BH345" s="211">
        <v>4503</v>
      </c>
      <c r="BI345" s="211">
        <v>8164</v>
      </c>
      <c r="BJ345" s="211">
        <v>1253</v>
      </c>
      <c r="BK345" s="211">
        <v>426</v>
      </c>
      <c r="BL345" s="211">
        <v>236</v>
      </c>
      <c r="BM345" s="211">
        <v>188</v>
      </c>
      <c r="BO345" s="28">
        <f t="shared" si="15"/>
        <v>1913.5</v>
      </c>
      <c r="BP345" s="28">
        <f t="shared" si="16"/>
        <v>22962</v>
      </c>
    </row>
    <row r="346" spans="22:68" x14ac:dyDescent="0.25">
      <c r="V346" s="449" t="str">
        <f>'[1]Strohs Plant in Service'!$C349</f>
        <v>Service Connection (30)</v>
      </c>
      <c r="W346" s="292" t="str">
        <f>'[1]Strohs Plant in Service'!$D349</f>
        <v>Services (CIAC) - Strohs, 3516 53d</v>
      </c>
      <c r="X346" s="293">
        <f>'[1]Strohs Plant in Service'!$E349</f>
        <v>45231</v>
      </c>
      <c r="Y346" s="297">
        <f>'[1]Strohs Plant in Service'!$F349</f>
        <v>971.67</v>
      </c>
      <c r="Z346" s="248"/>
      <c r="AA346" s="294">
        <f>'[1]Strohs Plant in Service'!$G$11/12</f>
        <v>6</v>
      </c>
      <c r="AB346" s="219">
        <f>('[1]Strohs Plant in Service'!$G349-'[1]Strohs Plant in Service'!$H349)/12</f>
        <v>1.4166666666666667</v>
      </c>
      <c r="AC346" s="219">
        <f>'[1]Strohs Plant in Service'!$I349</f>
        <v>49.617191489361701</v>
      </c>
      <c r="AD346" s="219"/>
      <c r="AE346" s="220">
        <f>'[1]Strohs Plant in Service'!$J349</f>
        <v>74.38</v>
      </c>
      <c r="AF346" s="221">
        <v>897.29</v>
      </c>
      <c r="AG346" s="204"/>
      <c r="AH346" s="178"/>
      <c r="AI346" s="174"/>
      <c r="AJ346" s="179"/>
      <c r="AK346" s="247"/>
      <c r="AL346" s="248"/>
      <c r="AM346" s="294"/>
      <c r="AN346" s="219"/>
      <c r="AO346" s="219"/>
      <c r="AP346" s="219"/>
      <c r="AQ346" s="220"/>
      <c r="AR346" s="221"/>
      <c r="AY346" s="628"/>
      <c r="AZ346" s="470">
        <v>0.75</v>
      </c>
      <c r="BA346" s="466">
        <v>3834661371</v>
      </c>
      <c r="BB346" s="211">
        <v>49</v>
      </c>
      <c r="BC346" s="211">
        <v>95</v>
      </c>
      <c r="BD346" s="211">
        <v>138</v>
      </c>
      <c r="BE346" s="211">
        <v>508</v>
      </c>
      <c r="BF346" s="211">
        <v>2047</v>
      </c>
      <c r="BG346" s="211">
        <v>1671</v>
      </c>
      <c r="BH346" s="211">
        <v>5029</v>
      </c>
      <c r="BI346" s="211">
        <v>4084</v>
      </c>
      <c r="BJ346" s="211">
        <v>2079</v>
      </c>
      <c r="BK346" s="211">
        <v>1306</v>
      </c>
      <c r="BL346" s="211">
        <v>600</v>
      </c>
      <c r="BM346" s="211">
        <v>528</v>
      </c>
      <c r="BO346" s="28">
        <f t="shared" si="15"/>
        <v>1511.1666666666667</v>
      </c>
      <c r="BP346" s="28">
        <f t="shared" si="16"/>
        <v>18134</v>
      </c>
    </row>
    <row r="347" spans="22:68" x14ac:dyDescent="0.25">
      <c r="V347" s="449" t="str">
        <f>'[1]Strohs Plant in Service'!$C350</f>
        <v>Service Connection (30)</v>
      </c>
      <c r="W347" s="292" t="str">
        <f>'[1]Strohs Plant in Service'!$D350</f>
        <v>Services (CIAC) - Strohs</v>
      </c>
      <c r="X347" s="293">
        <f>'[1]Strohs Plant in Service'!$E350</f>
        <v>45231</v>
      </c>
      <c r="Y347" s="297">
        <f>'[1]Strohs Plant in Service'!$F350</f>
        <v>1496.27</v>
      </c>
      <c r="Z347" s="248"/>
      <c r="AA347" s="294">
        <f>'[1]Strohs Plant in Service'!$G$11/12</f>
        <v>6</v>
      </c>
      <c r="AB347" s="219">
        <f>('[1]Strohs Plant in Service'!$G350-'[1]Strohs Plant in Service'!$H350)/12</f>
        <v>1.4166666666666667</v>
      </c>
      <c r="AC347" s="219">
        <f>'[1]Strohs Plant in Service'!$I350</f>
        <v>76.405276595744681</v>
      </c>
      <c r="AD347" s="219"/>
      <c r="AE347" s="220">
        <f>'[1]Strohs Plant in Service'!$J350</f>
        <v>114.65</v>
      </c>
      <c r="AF347" s="221">
        <v>1381.62</v>
      </c>
      <c r="AG347" s="204"/>
      <c r="AH347" s="178"/>
      <c r="AI347" s="174"/>
      <c r="AJ347" s="179"/>
      <c r="AK347" s="247"/>
      <c r="AL347" s="248"/>
      <c r="AM347" s="294"/>
      <c r="AN347" s="219"/>
      <c r="AO347" s="219"/>
      <c r="AP347" s="219"/>
      <c r="AQ347" s="220"/>
      <c r="AR347" s="221"/>
      <c r="AY347" s="628"/>
      <c r="AZ347" s="470">
        <v>0.75</v>
      </c>
      <c r="BA347" s="466">
        <v>3837505227</v>
      </c>
      <c r="BB347" s="211">
        <v>393</v>
      </c>
      <c r="BC347" s="211">
        <v>451</v>
      </c>
      <c r="BD347" s="211">
        <v>482</v>
      </c>
      <c r="BE347" s="211">
        <v>463</v>
      </c>
      <c r="BF347" s="211">
        <v>458</v>
      </c>
      <c r="BG347" s="211">
        <v>1591</v>
      </c>
      <c r="BH347" s="211">
        <v>2241</v>
      </c>
      <c r="BI347" s="211">
        <v>1656</v>
      </c>
      <c r="BJ347" s="211">
        <v>961</v>
      </c>
      <c r="BK347" s="211">
        <v>453</v>
      </c>
      <c r="BL347" s="211">
        <v>395</v>
      </c>
      <c r="BM347" s="211">
        <v>450</v>
      </c>
      <c r="BO347" s="28">
        <f t="shared" si="15"/>
        <v>832.83333333333337</v>
      </c>
      <c r="BP347" s="28">
        <f t="shared" si="16"/>
        <v>9994</v>
      </c>
    </row>
    <row r="348" spans="22:68" x14ac:dyDescent="0.25">
      <c r="V348" s="449" t="str">
        <f>'[1]Strohs Plant in Service'!$C351</f>
        <v>Service Connection (30)</v>
      </c>
      <c r="W348" s="292" t="str">
        <f>'[1]Strohs Plant in Service'!$D351</f>
        <v>Service (CIAC) - Strohs, 3305 38th</v>
      </c>
      <c r="X348" s="293">
        <f>'[1]Strohs Plant in Service'!$E351</f>
        <v>45231</v>
      </c>
      <c r="Y348" s="297">
        <f>'[1]Strohs Plant in Service'!$F351</f>
        <v>4150.95</v>
      </c>
      <c r="Z348" s="248"/>
      <c r="AA348" s="294">
        <f>'[1]Strohs Plant in Service'!$G$11/12</f>
        <v>6</v>
      </c>
      <c r="AB348" s="219">
        <f>('[1]Strohs Plant in Service'!$G351-'[1]Strohs Plant in Service'!$H351)/12</f>
        <v>1.4166666666666667</v>
      </c>
      <c r="AC348" s="219">
        <f>'[1]Strohs Plant in Service'!$I351</f>
        <v>211.96340425531912</v>
      </c>
      <c r="AD348" s="219"/>
      <c r="AE348" s="220">
        <f>'[1]Strohs Plant in Service'!$J351</f>
        <v>317.89999999999998</v>
      </c>
      <c r="AF348" s="221">
        <v>3833.0499999999997</v>
      </c>
      <c r="AG348" s="204"/>
      <c r="AH348" s="178"/>
      <c r="AI348" s="174"/>
      <c r="AJ348" s="179"/>
      <c r="AK348" s="247"/>
      <c r="AL348" s="248"/>
      <c r="AM348" s="294"/>
      <c r="AN348" s="219"/>
      <c r="AO348" s="219"/>
      <c r="AP348" s="219"/>
      <c r="AQ348" s="220"/>
      <c r="AR348" s="221"/>
      <c r="AY348" s="628"/>
      <c r="AZ348" s="470">
        <v>0.75</v>
      </c>
      <c r="BA348" s="466">
        <v>3872324178</v>
      </c>
      <c r="BB348" s="211">
        <v>215</v>
      </c>
      <c r="BC348" s="211">
        <v>196</v>
      </c>
      <c r="BD348" s="211">
        <v>375</v>
      </c>
      <c r="BE348" s="211">
        <v>419</v>
      </c>
      <c r="BF348" s="211">
        <v>232</v>
      </c>
      <c r="BG348" s="211">
        <v>997</v>
      </c>
      <c r="BH348" s="211">
        <v>2481</v>
      </c>
      <c r="BI348" s="211">
        <v>1860</v>
      </c>
      <c r="BJ348" s="211">
        <v>604</v>
      </c>
      <c r="BK348" s="211">
        <v>350</v>
      </c>
      <c r="BL348" s="211">
        <v>118</v>
      </c>
      <c r="BM348" s="211">
        <v>248</v>
      </c>
      <c r="BO348" s="28">
        <f t="shared" si="15"/>
        <v>674.58333333333337</v>
      </c>
      <c r="BP348" s="28">
        <f t="shared" si="16"/>
        <v>8095</v>
      </c>
    </row>
    <row r="349" spans="22:68" x14ac:dyDescent="0.25">
      <c r="V349" s="449" t="str">
        <f>'[1]Strohs Plant in Service'!$C352</f>
        <v>Service Connection (30)</v>
      </c>
      <c r="W349" s="292" t="str">
        <f>'[1]Strohs Plant in Service'!$D352</f>
        <v>Services - Strohs (472)</v>
      </c>
      <c r="X349" s="293">
        <f>'[1]Strohs Plant in Service'!$E352</f>
        <v>45231</v>
      </c>
      <c r="Y349" s="297">
        <f>'[1]Strohs Plant in Service'!$F352</f>
        <v>64320.25</v>
      </c>
      <c r="Z349" s="248"/>
      <c r="AA349" s="294">
        <f>'[1]Strohs Plant in Service'!$G$11/12</f>
        <v>6</v>
      </c>
      <c r="AB349" s="219">
        <f>('[1]Strohs Plant in Service'!$G352-'[1]Strohs Plant in Service'!$H352)/12</f>
        <v>1.4166666666666667</v>
      </c>
      <c r="AC349" s="219">
        <f>'[1]Strohs Plant in Service'!$I352</f>
        <v>3284.4382978723406</v>
      </c>
      <c r="AD349" s="219"/>
      <c r="AE349" s="220">
        <f>'[1]Strohs Plant in Service'!$J352</f>
        <v>4926.62</v>
      </c>
      <c r="AF349" s="221">
        <v>59393.63</v>
      </c>
      <c r="AG349" s="204"/>
      <c r="AH349" s="178"/>
      <c r="AI349" s="174"/>
      <c r="AJ349" s="179"/>
      <c r="AK349" s="247"/>
      <c r="AL349" s="248"/>
      <c r="AM349" s="294"/>
      <c r="AN349" s="219"/>
      <c r="AO349" s="219"/>
      <c r="AP349" s="219"/>
      <c r="AQ349" s="220"/>
      <c r="AR349" s="221"/>
      <c r="AY349" s="628"/>
      <c r="AZ349" s="470">
        <v>0.75</v>
      </c>
      <c r="BA349" s="466">
        <v>3872342915</v>
      </c>
      <c r="BB349" s="211">
        <v>578</v>
      </c>
      <c r="BC349" s="211">
        <v>421</v>
      </c>
      <c r="BD349" s="211">
        <v>585</v>
      </c>
      <c r="BE349" s="211">
        <v>315</v>
      </c>
      <c r="BF349" s="211">
        <v>586</v>
      </c>
      <c r="BG349" s="211">
        <v>4108</v>
      </c>
      <c r="BH349" s="211">
        <v>6328</v>
      </c>
      <c r="BI349" s="211">
        <v>6993</v>
      </c>
      <c r="BJ349" s="211">
        <v>3347</v>
      </c>
      <c r="BK349" s="211">
        <v>959</v>
      </c>
      <c r="BL349" s="211">
        <v>389</v>
      </c>
      <c r="BM349" s="211">
        <v>215</v>
      </c>
      <c r="BO349" s="28">
        <f t="shared" si="15"/>
        <v>2068.6666666666665</v>
      </c>
      <c r="BP349" s="28">
        <f t="shared" si="16"/>
        <v>24824</v>
      </c>
    </row>
    <row r="350" spans="22:68" x14ac:dyDescent="0.25">
      <c r="V350" s="449" t="str">
        <f>'[1]Strohs Plant in Service'!$C353</f>
        <v>Service Connection (30)</v>
      </c>
      <c r="W350" s="292" t="str">
        <f>'[1]Strohs Plant in Service'!$D353</f>
        <v>Services - Strohs (075)</v>
      </c>
      <c r="X350" s="293">
        <f>'[1]Strohs Plant in Service'!$E353</f>
        <v>45231</v>
      </c>
      <c r="Y350" s="297">
        <f>'[1]Strohs Plant in Service'!$F353</f>
        <v>766.61</v>
      </c>
      <c r="Z350" s="248"/>
      <c r="AA350" s="294">
        <f>'[1]Strohs Plant in Service'!$G$11/12</f>
        <v>6</v>
      </c>
      <c r="AB350" s="219">
        <f>('[1]Strohs Plant in Service'!$G353-'[1]Strohs Plant in Service'!$H353)/12</f>
        <v>1.4166666666666667</v>
      </c>
      <c r="AC350" s="219">
        <f>'[1]Strohs Plant in Service'!$I353</f>
        <v>39.146042553191492</v>
      </c>
      <c r="AD350" s="219"/>
      <c r="AE350" s="220">
        <f>'[1]Strohs Plant in Service'!$J353</f>
        <v>58.69</v>
      </c>
      <c r="AF350" s="221">
        <v>707.92000000000007</v>
      </c>
      <c r="AG350" s="204"/>
      <c r="AH350" s="178"/>
      <c r="AI350" s="174"/>
      <c r="AJ350" s="179"/>
      <c r="AK350" s="247"/>
      <c r="AL350" s="248"/>
      <c r="AM350" s="294"/>
      <c r="AN350" s="219"/>
      <c r="AO350" s="219"/>
      <c r="AP350" s="219"/>
      <c r="AQ350" s="220"/>
      <c r="AR350" s="221"/>
      <c r="AY350" s="628"/>
      <c r="AZ350" s="470">
        <v>0.75</v>
      </c>
      <c r="BA350" s="466">
        <v>3913941903</v>
      </c>
      <c r="BB350" s="211">
        <v>597</v>
      </c>
      <c r="BC350" s="211">
        <v>622</v>
      </c>
      <c r="BD350" s="211">
        <v>468</v>
      </c>
      <c r="BE350" s="211">
        <v>787</v>
      </c>
      <c r="BF350" s="211">
        <v>644</v>
      </c>
      <c r="BG350" s="211">
        <v>590</v>
      </c>
      <c r="BH350" s="211">
        <v>1410</v>
      </c>
      <c r="BI350" s="211">
        <v>2473</v>
      </c>
      <c r="BJ350" s="211">
        <v>789</v>
      </c>
      <c r="BK350" s="211">
        <v>669</v>
      </c>
      <c r="BL350" s="211">
        <v>646</v>
      </c>
      <c r="BM350" s="211">
        <v>632</v>
      </c>
      <c r="BO350" s="28">
        <f t="shared" si="15"/>
        <v>860.58333333333337</v>
      </c>
      <c r="BP350" s="28">
        <f t="shared" si="16"/>
        <v>10327</v>
      </c>
    </row>
    <row r="351" spans="22:68" x14ac:dyDescent="0.25">
      <c r="V351" s="449" t="str">
        <f>'[1]Strohs Plant in Service'!$C354</f>
        <v>Service Connection (30)</v>
      </c>
      <c r="W351" s="292" t="str">
        <f>'[1]Strohs Plant in Service'!$D354</f>
        <v>Services - Strohs (472)</v>
      </c>
      <c r="X351" s="293">
        <f>'[1]Strohs Plant in Service'!$E354</f>
        <v>45231</v>
      </c>
      <c r="Y351" s="297">
        <f>'[1]Strohs Plant in Service'!$F354</f>
        <v>2441.64</v>
      </c>
      <c r="Z351" s="248"/>
      <c r="AA351" s="294">
        <f>'[1]Strohs Plant in Service'!$G$11/12</f>
        <v>6</v>
      </c>
      <c r="AB351" s="219">
        <f>('[1]Strohs Plant in Service'!$G354-'[1]Strohs Plant in Service'!$H354)/12</f>
        <v>1.4166666666666667</v>
      </c>
      <c r="AC351" s="219">
        <f>'[1]Strohs Plant in Service'!$I354</f>
        <v>124.67948936170214</v>
      </c>
      <c r="AD351" s="219"/>
      <c r="AE351" s="220">
        <f>'[1]Strohs Plant in Service'!$J354</f>
        <v>187.02</v>
      </c>
      <c r="AF351" s="221">
        <v>2254.62</v>
      </c>
      <c r="AG351" s="204"/>
      <c r="AH351" s="178"/>
      <c r="AI351" s="174"/>
      <c r="AJ351" s="179"/>
      <c r="AK351" s="247"/>
      <c r="AL351" s="248"/>
      <c r="AM351" s="294"/>
      <c r="AN351" s="219"/>
      <c r="AO351" s="219"/>
      <c r="AP351" s="219"/>
      <c r="AQ351" s="220"/>
      <c r="AR351" s="221"/>
      <c r="AY351" s="628"/>
      <c r="AZ351" s="470">
        <v>0.625</v>
      </c>
      <c r="BA351" s="466">
        <v>3925363759</v>
      </c>
      <c r="BB351" s="211">
        <v>204</v>
      </c>
      <c r="BC351" s="211" t="s">
        <v>655</v>
      </c>
      <c r="BD351" s="211" t="s">
        <v>655</v>
      </c>
      <c r="BE351" s="211" t="s">
        <v>655</v>
      </c>
      <c r="BF351" s="211" t="s">
        <v>655</v>
      </c>
      <c r="BG351" s="211" t="s">
        <v>655</v>
      </c>
      <c r="BH351" s="211" t="s">
        <v>655</v>
      </c>
      <c r="BI351" s="211" t="s">
        <v>655</v>
      </c>
      <c r="BJ351" s="211" t="s">
        <v>655</v>
      </c>
      <c r="BK351" s="211" t="s">
        <v>655</v>
      </c>
      <c r="BL351" s="211" t="s">
        <v>655</v>
      </c>
      <c r="BM351" s="211" t="s">
        <v>655</v>
      </c>
      <c r="BO351" s="28">
        <f t="shared" si="15"/>
        <v>204</v>
      </c>
      <c r="BP351" s="28">
        <f t="shared" si="16"/>
        <v>204</v>
      </c>
    </row>
    <row r="352" spans="22:68" x14ac:dyDescent="0.25">
      <c r="V352" s="449" t="str">
        <f>'[1]Strohs Plant in Service'!$C355</f>
        <v>Service Connection (30)</v>
      </c>
      <c r="W352" s="292" t="str">
        <f>'[1]Strohs Plant in Service'!$D355</f>
        <v>Services - Strohs (472)</v>
      </c>
      <c r="X352" s="293">
        <f>'[1]Strohs Plant in Service'!$E355</f>
        <v>45231</v>
      </c>
      <c r="Y352" s="297">
        <f>'[1]Strohs Plant in Service'!$F355</f>
        <v>252.02</v>
      </c>
      <c r="Z352" s="248"/>
      <c r="AA352" s="294">
        <f>'[1]Strohs Plant in Service'!$G$11/12</f>
        <v>6</v>
      </c>
      <c r="AB352" s="219">
        <f>('[1]Strohs Plant in Service'!$G355-'[1]Strohs Plant in Service'!$H355)/12</f>
        <v>1.4166666666666667</v>
      </c>
      <c r="AC352" s="219">
        <f>'[1]Strohs Plant in Service'!$I355</f>
        <v>12.869106382978725</v>
      </c>
      <c r="AD352" s="219"/>
      <c r="AE352" s="220">
        <f>'[1]Strohs Plant in Service'!$J355</f>
        <v>19.27</v>
      </c>
      <c r="AF352" s="221">
        <v>232.75</v>
      </c>
      <c r="AG352" s="204"/>
      <c r="AH352" s="178"/>
      <c r="AI352" s="174"/>
      <c r="AJ352" s="179"/>
      <c r="AK352" s="247"/>
      <c r="AL352" s="248"/>
      <c r="AM352" s="294"/>
      <c r="AN352" s="219"/>
      <c r="AO352" s="219"/>
      <c r="AP352" s="219"/>
      <c r="AQ352" s="220"/>
      <c r="AR352" s="221"/>
      <c r="AY352" s="628"/>
      <c r="AZ352" s="470">
        <v>0.75</v>
      </c>
      <c r="BA352" s="466">
        <v>3949318455</v>
      </c>
      <c r="BB352" s="211">
        <v>907</v>
      </c>
      <c r="BC352" s="211">
        <v>988</v>
      </c>
      <c r="BD352" s="211">
        <v>1023</v>
      </c>
      <c r="BE352" s="211">
        <v>1001</v>
      </c>
      <c r="BF352" s="211">
        <v>631</v>
      </c>
      <c r="BG352" s="211">
        <v>693</v>
      </c>
      <c r="BH352" s="211">
        <v>3609</v>
      </c>
      <c r="BI352" s="211">
        <v>2931</v>
      </c>
      <c r="BJ352" s="211">
        <v>1148</v>
      </c>
      <c r="BK352" s="211">
        <v>967</v>
      </c>
      <c r="BL352" s="211">
        <v>1000</v>
      </c>
      <c r="BM352" s="211">
        <v>1077</v>
      </c>
      <c r="BO352" s="28">
        <f t="shared" si="15"/>
        <v>1331.25</v>
      </c>
      <c r="BP352" s="28">
        <f t="shared" si="16"/>
        <v>15975</v>
      </c>
    </row>
    <row r="353" spans="22:68" x14ac:dyDescent="0.25">
      <c r="V353" s="449" t="str">
        <f>'[1]Strohs Plant in Service'!$C356</f>
        <v>Service Connection (30)</v>
      </c>
      <c r="W353" s="292" t="str">
        <f>'[1]Strohs Plant in Service'!$D356</f>
        <v>Services - Strohs (472)</v>
      </c>
      <c r="X353" s="293">
        <f>'[1]Strohs Plant in Service'!$E356</f>
        <v>45231</v>
      </c>
      <c r="Y353" s="297">
        <f>'[1]Strohs Plant in Service'!$F356</f>
        <v>299.45999999999998</v>
      </c>
      <c r="Z353" s="248"/>
      <c r="AA353" s="294">
        <f>'[1]Strohs Plant in Service'!$G$11/12</f>
        <v>6</v>
      </c>
      <c r="AB353" s="219">
        <f>('[1]Strohs Plant in Service'!$G356-'[1]Strohs Plant in Service'!$H356)/12</f>
        <v>1.4166666666666667</v>
      </c>
      <c r="AC353" s="219">
        <f>'[1]Strohs Plant in Service'!$I356</f>
        <v>15.291574468085106</v>
      </c>
      <c r="AD353" s="219"/>
      <c r="AE353" s="220">
        <f>'[1]Strohs Plant in Service'!$J356</f>
        <v>22.88</v>
      </c>
      <c r="AF353" s="221">
        <v>276.58</v>
      </c>
      <c r="AG353" s="204"/>
      <c r="AH353" s="178"/>
      <c r="AI353" s="174"/>
      <c r="AJ353" s="179"/>
      <c r="AK353" s="247"/>
      <c r="AL353" s="248"/>
      <c r="AM353" s="294"/>
      <c r="AN353" s="219"/>
      <c r="AO353" s="219"/>
      <c r="AP353" s="219"/>
      <c r="AQ353" s="220"/>
      <c r="AR353" s="221"/>
      <c r="AY353" s="628"/>
      <c r="AZ353" s="470">
        <v>0.75</v>
      </c>
      <c r="BA353" s="466">
        <v>3969474371</v>
      </c>
      <c r="BB353" s="211">
        <v>347</v>
      </c>
      <c r="BC353" s="211">
        <v>757</v>
      </c>
      <c r="BD353" s="211">
        <v>511</v>
      </c>
      <c r="BE353" s="211">
        <v>595</v>
      </c>
      <c r="BF353" s="211">
        <v>528</v>
      </c>
      <c r="BG353" s="211">
        <v>474</v>
      </c>
      <c r="BH353" s="211">
        <v>292</v>
      </c>
      <c r="BI353" s="211">
        <v>864</v>
      </c>
      <c r="BJ353" s="211">
        <v>682</v>
      </c>
      <c r="BK353" s="211">
        <v>290</v>
      </c>
      <c r="BL353" s="211">
        <v>242</v>
      </c>
      <c r="BM353" s="211">
        <v>950</v>
      </c>
      <c r="BO353" s="28">
        <f t="shared" si="15"/>
        <v>544.33333333333337</v>
      </c>
      <c r="BP353" s="28">
        <f t="shared" si="16"/>
        <v>6532</v>
      </c>
    </row>
    <row r="354" spans="22:68" x14ac:dyDescent="0.25">
      <c r="V354" s="449" t="str">
        <f>'[1]Strohs Plant in Service'!$C357</f>
        <v>Service Connection (30)</v>
      </c>
      <c r="W354" s="292" t="str">
        <f>'[1]Strohs Plant in Service'!$D357</f>
        <v>Services - Strohs (075)</v>
      </c>
      <c r="X354" s="293">
        <f>'[1]Strohs Plant in Service'!$E357</f>
        <v>45231</v>
      </c>
      <c r="Y354" s="297">
        <f>'[1]Strohs Plant in Service'!$F357</f>
        <v>673.18</v>
      </c>
      <c r="Z354" s="248"/>
      <c r="AA354" s="294">
        <f>'[1]Strohs Plant in Service'!$G$11/12</f>
        <v>6</v>
      </c>
      <c r="AB354" s="219">
        <f>('[1]Strohs Plant in Service'!$G357-'[1]Strohs Plant in Service'!$H357)/12</f>
        <v>1.4166666666666667</v>
      </c>
      <c r="AC354" s="219">
        <f>'[1]Strohs Plant in Service'!$I357</f>
        <v>34.375148936170206</v>
      </c>
      <c r="AD354" s="219"/>
      <c r="AE354" s="220">
        <f>'[1]Strohs Plant in Service'!$J357</f>
        <v>51.5</v>
      </c>
      <c r="AF354" s="221">
        <v>621.67999999999995</v>
      </c>
      <c r="AG354" s="204"/>
      <c r="AH354" s="178"/>
      <c r="AI354" s="174"/>
      <c r="AJ354" s="179"/>
      <c r="AK354" s="247"/>
      <c r="AL354" s="248"/>
      <c r="AM354" s="294"/>
      <c r="AN354" s="219"/>
      <c r="AO354" s="219"/>
      <c r="AP354" s="219"/>
      <c r="AQ354" s="220"/>
      <c r="AR354" s="221"/>
      <c r="AY354" s="628"/>
      <c r="AZ354" s="470">
        <v>0.625</v>
      </c>
      <c r="BA354" s="466">
        <v>4000427705</v>
      </c>
      <c r="BB354" s="211" t="s">
        <v>655</v>
      </c>
      <c r="BC354" s="211" t="s">
        <v>655</v>
      </c>
      <c r="BD354" s="211" t="s">
        <v>655</v>
      </c>
      <c r="BE354" s="211" t="s">
        <v>655</v>
      </c>
      <c r="BF354" s="211">
        <v>88</v>
      </c>
      <c r="BG354" s="211" t="s">
        <v>655</v>
      </c>
      <c r="BH354" s="211">
        <v>3129</v>
      </c>
      <c r="BI354" s="211">
        <v>11562</v>
      </c>
      <c r="BJ354" s="211">
        <v>9235</v>
      </c>
      <c r="BK354" s="211">
        <v>8148</v>
      </c>
      <c r="BL354" s="211">
        <v>2181</v>
      </c>
      <c r="BM354" s="211" t="s">
        <v>655</v>
      </c>
      <c r="BO354" s="28">
        <f t="shared" si="15"/>
        <v>5723.833333333333</v>
      </c>
      <c r="BP354" s="28">
        <f t="shared" si="16"/>
        <v>34343</v>
      </c>
    </row>
    <row r="355" spans="22:68" x14ac:dyDescent="0.25">
      <c r="V355" s="449" t="str">
        <f>'[1]Strohs Plant in Service'!$C358</f>
        <v>Service Connection (30)</v>
      </c>
      <c r="W355" s="292" t="str">
        <f>'[1]Strohs Plant in Service'!$D358</f>
        <v>Services - Strohs (472)</v>
      </c>
      <c r="X355" s="293">
        <f>'[1]Strohs Plant in Service'!$E358</f>
        <v>45231</v>
      </c>
      <c r="Y355" s="297">
        <f>'[1]Strohs Plant in Service'!$F358</f>
        <v>207.94</v>
      </c>
      <c r="Z355" s="248"/>
      <c r="AA355" s="294">
        <f>'[1]Strohs Plant in Service'!$G$11/12</f>
        <v>6</v>
      </c>
      <c r="AB355" s="219">
        <f>('[1]Strohs Plant in Service'!$G358-'[1]Strohs Plant in Service'!$H358)/12</f>
        <v>1.4166666666666667</v>
      </c>
      <c r="AC355" s="219">
        <f>'[1]Strohs Plant in Service'!$I358</f>
        <v>10.618212765957447</v>
      </c>
      <c r="AD355" s="219"/>
      <c r="AE355" s="220">
        <f>'[1]Strohs Plant in Service'!$J358</f>
        <v>15.9</v>
      </c>
      <c r="AF355" s="221">
        <v>192.04</v>
      </c>
      <c r="AG355" s="204"/>
      <c r="AH355" s="178"/>
      <c r="AI355" s="174"/>
      <c r="AJ355" s="179"/>
      <c r="AK355" s="247"/>
      <c r="AL355" s="248"/>
      <c r="AM355" s="294"/>
      <c r="AN355" s="219"/>
      <c r="AO355" s="219"/>
      <c r="AP355" s="219"/>
      <c r="AQ355" s="220"/>
      <c r="AR355" s="221"/>
      <c r="AY355" s="628"/>
      <c r="AZ355" s="470">
        <v>0.75</v>
      </c>
      <c r="BA355" s="466">
        <v>4005465914</v>
      </c>
      <c r="BB355" s="211">
        <v>1276</v>
      </c>
      <c r="BC355" s="211">
        <v>771</v>
      </c>
      <c r="BD355" s="211">
        <v>628</v>
      </c>
      <c r="BE355" s="211">
        <v>795</v>
      </c>
      <c r="BF355" s="211">
        <v>905</v>
      </c>
      <c r="BG355" s="211">
        <v>439</v>
      </c>
      <c r="BH355" s="211">
        <v>2475</v>
      </c>
      <c r="BI355" s="211">
        <v>1366</v>
      </c>
      <c r="BJ355" s="211">
        <v>994</v>
      </c>
      <c r="BK355" s="211">
        <v>2186</v>
      </c>
      <c r="BL355" s="211">
        <v>1224</v>
      </c>
      <c r="BM355" s="211">
        <v>1297</v>
      </c>
      <c r="BO355" s="28">
        <f t="shared" si="15"/>
        <v>1196.3333333333333</v>
      </c>
      <c r="BP355" s="28">
        <f t="shared" si="16"/>
        <v>14356</v>
      </c>
    </row>
    <row r="356" spans="22:68" x14ac:dyDescent="0.25">
      <c r="V356" s="449" t="str">
        <f>'[1]Strohs Plant in Service'!$C359</f>
        <v>Service Connection (30)</v>
      </c>
      <c r="W356" s="292" t="str">
        <f>'[1]Strohs Plant in Service'!$D359</f>
        <v>Services - Strohs (075)</v>
      </c>
      <c r="X356" s="293">
        <f>'[1]Strohs Plant in Service'!$E359</f>
        <v>45231</v>
      </c>
      <c r="Y356" s="297">
        <f>'[1]Strohs Plant in Service'!$F359</f>
        <v>1365.74</v>
      </c>
      <c r="Z356" s="248"/>
      <c r="AA356" s="294">
        <f>'[1]Strohs Plant in Service'!$G$11/12</f>
        <v>6</v>
      </c>
      <c r="AB356" s="219">
        <f>('[1]Strohs Plant in Service'!$G359-'[1]Strohs Plant in Service'!$H359)/12</f>
        <v>1.4166666666666667</v>
      </c>
      <c r="AC356" s="219">
        <f>'[1]Strohs Plant in Service'!$I359</f>
        <v>69.739914893617026</v>
      </c>
      <c r="AD356" s="219"/>
      <c r="AE356" s="220">
        <f>'[1]Strohs Plant in Service'!$J359</f>
        <v>104.59</v>
      </c>
      <c r="AF356" s="221">
        <v>1261.1500000000001</v>
      </c>
      <c r="AG356" s="204"/>
      <c r="AH356" s="178"/>
      <c r="AI356" s="174"/>
      <c r="AJ356" s="179"/>
      <c r="AK356" s="247"/>
      <c r="AL356" s="248"/>
      <c r="AM356" s="294"/>
      <c r="AN356" s="219"/>
      <c r="AO356" s="219"/>
      <c r="AP356" s="219"/>
      <c r="AQ356" s="220"/>
      <c r="AR356" s="221"/>
      <c r="AY356" s="628"/>
      <c r="AZ356" s="471">
        <v>2</v>
      </c>
      <c r="BA356" s="466">
        <v>4026397574</v>
      </c>
      <c r="BB356" s="211">
        <v>14369</v>
      </c>
      <c r="BC356" s="211">
        <v>20631</v>
      </c>
      <c r="BD356" s="211">
        <v>20504</v>
      </c>
      <c r="BE356" s="211">
        <v>35976</v>
      </c>
      <c r="BF356" s="211">
        <v>31255</v>
      </c>
      <c r="BG356" s="211">
        <v>26919</v>
      </c>
      <c r="BH356" s="211">
        <v>48527</v>
      </c>
      <c r="BI356" s="211">
        <v>46720</v>
      </c>
      <c r="BJ356" s="211">
        <v>30518</v>
      </c>
      <c r="BK356" s="211">
        <v>15472</v>
      </c>
      <c r="BL356" s="211">
        <v>11550</v>
      </c>
      <c r="BM356" s="211">
        <v>16950</v>
      </c>
      <c r="BO356" s="28">
        <f t="shared" si="15"/>
        <v>26615.916666666668</v>
      </c>
      <c r="BP356" s="28">
        <f t="shared" si="16"/>
        <v>319391</v>
      </c>
    </row>
    <row r="357" spans="22:68" x14ac:dyDescent="0.25">
      <c r="V357" s="449" t="str">
        <f>'[1]Strohs Plant in Service'!$C360</f>
        <v>Service Connection (30)</v>
      </c>
      <c r="W357" s="292" t="str">
        <f>'[1]Strohs Plant in Service'!$D360</f>
        <v>Services - Strohs (075)</v>
      </c>
      <c r="X357" s="293">
        <f>'[1]Strohs Plant in Service'!$E360</f>
        <v>45231</v>
      </c>
      <c r="Y357" s="297">
        <f>'[1]Strohs Plant in Service'!$F360</f>
        <v>2157.44</v>
      </c>
      <c r="Z357" s="248"/>
      <c r="AA357" s="294">
        <f>'[1]Strohs Plant in Service'!$G$11/12</f>
        <v>6</v>
      </c>
      <c r="AB357" s="219">
        <f>('[1]Strohs Plant in Service'!$G360-'[1]Strohs Plant in Service'!$H360)/12</f>
        <v>1.4166666666666667</v>
      </c>
      <c r="AC357" s="219">
        <f>'[1]Strohs Plant in Service'!$I360</f>
        <v>110.16714893617021</v>
      </c>
      <c r="AD357" s="219"/>
      <c r="AE357" s="220">
        <f>'[1]Strohs Plant in Service'!$J360</f>
        <v>165.24</v>
      </c>
      <c r="AF357" s="221">
        <v>1992.2</v>
      </c>
      <c r="AG357" s="204"/>
      <c r="AH357" s="178"/>
      <c r="AI357" s="174"/>
      <c r="AJ357" s="179"/>
      <c r="AK357" s="247"/>
      <c r="AL357" s="248"/>
      <c r="AM357" s="294"/>
      <c r="AN357" s="219"/>
      <c r="AO357" s="219"/>
      <c r="AP357" s="219"/>
      <c r="AQ357" s="220"/>
      <c r="AR357" s="221"/>
      <c r="AY357" s="628"/>
      <c r="AZ357" s="470">
        <v>0.75</v>
      </c>
      <c r="BA357" s="466">
        <v>4052222563</v>
      </c>
      <c r="BB357" s="211">
        <v>894</v>
      </c>
      <c r="BC357" s="211">
        <v>740</v>
      </c>
      <c r="BD357" s="211">
        <v>693</v>
      </c>
      <c r="BE357" s="211">
        <v>912</v>
      </c>
      <c r="BF357" s="211">
        <v>1644</v>
      </c>
      <c r="BG357" s="211">
        <v>2141</v>
      </c>
      <c r="BH357" s="211">
        <v>2847</v>
      </c>
      <c r="BI357" s="211">
        <v>2471</v>
      </c>
      <c r="BJ357" s="211">
        <v>1962</v>
      </c>
      <c r="BK357" s="211">
        <v>753</v>
      </c>
      <c r="BL357" s="211">
        <v>315</v>
      </c>
      <c r="BM357" s="211">
        <v>460</v>
      </c>
      <c r="BO357" s="28">
        <f t="shared" si="15"/>
        <v>1319.3333333333333</v>
      </c>
      <c r="BP357" s="28">
        <f t="shared" si="16"/>
        <v>15832</v>
      </c>
    </row>
    <row r="358" spans="22:68" x14ac:dyDescent="0.25">
      <c r="V358" s="449" t="str">
        <f>'[1]Strohs Plant in Service'!$C361</f>
        <v>Service Connection (30)</v>
      </c>
      <c r="W358" s="292" t="str">
        <f>'[1]Strohs Plant in Service'!$D361</f>
        <v>Services - Strohs (075)</v>
      </c>
      <c r="X358" s="293">
        <f>'[1]Strohs Plant in Service'!$E361</f>
        <v>45231</v>
      </c>
      <c r="Y358" s="297">
        <f>'[1]Strohs Plant in Service'!$F361</f>
        <v>759.64</v>
      </c>
      <c r="Z358" s="248"/>
      <c r="AA358" s="294">
        <f>'[1]Strohs Plant in Service'!$G$11/12</f>
        <v>6</v>
      </c>
      <c r="AB358" s="219">
        <f>('[1]Strohs Plant in Service'!$G361-'[1]Strohs Plant in Service'!$H361)/12</f>
        <v>1.4166666666666667</v>
      </c>
      <c r="AC358" s="219">
        <f>'[1]Strohs Plant in Service'!$I361</f>
        <v>38.790127659574466</v>
      </c>
      <c r="AD358" s="219"/>
      <c r="AE358" s="220">
        <f>'[1]Strohs Plant in Service'!$J361</f>
        <v>58.15</v>
      </c>
      <c r="AF358" s="221">
        <v>701.49</v>
      </c>
      <c r="AG358" s="204"/>
      <c r="AH358" s="178"/>
      <c r="AI358" s="174"/>
      <c r="AJ358" s="179"/>
      <c r="AK358" s="247"/>
      <c r="AL358" s="248"/>
      <c r="AM358" s="294"/>
      <c r="AN358" s="219"/>
      <c r="AO358" s="219"/>
      <c r="AP358" s="219"/>
      <c r="AQ358" s="220"/>
      <c r="AR358" s="221"/>
      <c r="AY358" s="628"/>
      <c r="AZ358" s="470">
        <v>0.75</v>
      </c>
      <c r="BA358" s="466">
        <v>4096394761</v>
      </c>
      <c r="BB358" s="211">
        <v>431</v>
      </c>
      <c r="BC358" s="211">
        <v>641</v>
      </c>
      <c r="BD358" s="211">
        <v>846</v>
      </c>
      <c r="BE358" s="211">
        <v>787</v>
      </c>
      <c r="BF358" s="211">
        <v>806</v>
      </c>
      <c r="BG358" s="211">
        <v>689</v>
      </c>
      <c r="BH358" s="211">
        <v>755</v>
      </c>
      <c r="BI358" s="211">
        <v>787</v>
      </c>
      <c r="BJ358" s="211">
        <v>881</v>
      </c>
      <c r="BK358" s="211">
        <v>676</v>
      </c>
      <c r="BL358" s="211">
        <v>595</v>
      </c>
      <c r="BM358" s="211">
        <v>725</v>
      </c>
      <c r="BO358" s="28">
        <f t="shared" si="15"/>
        <v>718.25</v>
      </c>
      <c r="BP358" s="28">
        <f t="shared" si="16"/>
        <v>8619</v>
      </c>
    </row>
    <row r="359" spans="22:68" x14ac:dyDescent="0.25">
      <c r="V359" s="449" t="str">
        <f>'[1]Strohs Plant in Service'!$C362</f>
        <v>Service Connection (30)</v>
      </c>
      <c r="W359" s="292" t="str">
        <f>'[1]Strohs Plant in Service'!$D362</f>
        <v>Services - Strohs (075)</v>
      </c>
      <c r="X359" s="293">
        <f>'[1]Strohs Plant in Service'!$E362</f>
        <v>45231</v>
      </c>
      <c r="Y359" s="297">
        <f>'[1]Strohs Plant in Service'!$F362</f>
        <v>6476.43</v>
      </c>
      <c r="Z359" s="248"/>
      <c r="AA359" s="294">
        <f>'[1]Strohs Plant in Service'!$G$11/12</f>
        <v>6</v>
      </c>
      <c r="AB359" s="219">
        <f>('[1]Strohs Plant in Service'!$G362-'[1]Strohs Plant in Service'!$H362)/12</f>
        <v>1.4166666666666667</v>
      </c>
      <c r="AC359" s="219">
        <f>'[1]Strohs Plant in Service'!$I362</f>
        <v>330.71131914893618</v>
      </c>
      <c r="AD359" s="219"/>
      <c r="AE359" s="220">
        <f>'[1]Strohs Plant in Service'!$J362</f>
        <v>496.08</v>
      </c>
      <c r="AF359" s="221">
        <v>5980.35</v>
      </c>
      <c r="AG359" s="204"/>
      <c r="AH359" s="178"/>
      <c r="AI359" s="174"/>
      <c r="AJ359" s="179"/>
      <c r="AK359" s="247"/>
      <c r="AL359" s="248"/>
      <c r="AM359" s="294"/>
      <c r="AN359" s="219"/>
      <c r="AO359" s="219"/>
      <c r="AP359" s="219"/>
      <c r="AQ359" s="220"/>
      <c r="AR359" s="221"/>
      <c r="AY359" s="628"/>
      <c r="AZ359" s="470">
        <v>0.625</v>
      </c>
      <c r="BA359" s="466">
        <v>4098297418</v>
      </c>
      <c r="BB359" s="211">
        <v>518</v>
      </c>
      <c r="BC359" s="211">
        <v>885</v>
      </c>
      <c r="BD359" s="211">
        <v>144</v>
      </c>
      <c r="BE359" s="211">
        <v>163</v>
      </c>
      <c r="BF359" s="211">
        <v>142</v>
      </c>
      <c r="BG359" s="211">
        <v>155</v>
      </c>
      <c r="BH359" s="211">
        <v>229</v>
      </c>
      <c r="BI359" s="211">
        <v>156</v>
      </c>
      <c r="BJ359" s="211">
        <v>186</v>
      </c>
      <c r="BK359" s="211">
        <v>155</v>
      </c>
      <c r="BL359" s="211">
        <v>142</v>
      </c>
      <c r="BM359" s="211">
        <v>284</v>
      </c>
      <c r="BO359" s="28">
        <f t="shared" si="15"/>
        <v>263.25</v>
      </c>
      <c r="BP359" s="28">
        <f t="shared" si="16"/>
        <v>3159</v>
      </c>
    </row>
    <row r="360" spans="22:68" x14ac:dyDescent="0.25">
      <c r="V360" s="449" t="str">
        <f>'[1]Strohs Plant in Service'!$C363</f>
        <v>Service Connection (30)</v>
      </c>
      <c r="W360" s="292" t="str">
        <f>'[1]Strohs Plant in Service'!$D363</f>
        <v>Services - Strohs (472)</v>
      </c>
      <c r="X360" s="293">
        <f>'[1]Strohs Plant in Service'!$E363</f>
        <v>45231</v>
      </c>
      <c r="Y360" s="297">
        <f>'[1]Strohs Plant in Service'!$F363</f>
        <v>479.13</v>
      </c>
      <c r="Z360" s="248"/>
      <c r="AA360" s="294">
        <f>'[1]Strohs Plant in Service'!$G$11/12</f>
        <v>6</v>
      </c>
      <c r="AB360" s="219">
        <f>('[1]Strohs Plant in Service'!$G363-'[1]Strohs Plant in Service'!$H363)/12</f>
        <v>1.4166666666666667</v>
      </c>
      <c r="AC360" s="219">
        <f>'[1]Strohs Plant in Service'!$I363</f>
        <v>24.466212765957451</v>
      </c>
      <c r="AD360" s="219"/>
      <c r="AE360" s="220">
        <f>'[1]Strohs Plant in Service'!$J363</f>
        <v>36.71</v>
      </c>
      <c r="AF360" s="221">
        <v>442.42</v>
      </c>
      <c r="AG360" s="204"/>
      <c r="AH360" s="178"/>
      <c r="AI360" s="174"/>
      <c r="AJ360" s="179"/>
      <c r="AK360" s="247"/>
      <c r="AL360" s="248"/>
      <c r="AM360" s="294"/>
      <c r="AN360" s="219"/>
      <c r="AO360" s="219"/>
      <c r="AP360" s="219"/>
      <c r="AQ360" s="220"/>
      <c r="AR360" s="221"/>
      <c r="AY360" s="628"/>
      <c r="AZ360" s="470">
        <v>0.625</v>
      </c>
      <c r="BA360" s="466">
        <v>4102106420</v>
      </c>
      <c r="BB360" s="211">
        <v>251</v>
      </c>
      <c r="BC360" s="211">
        <v>256</v>
      </c>
      <c r="BD360" s="211">
        <v>227</v>
      </c>
      <c r="BE360" s="211">
        <v>265</v>
      </c>
      <c r="BF360" s="211">
        <v>275</v>
      </c>
      <c r="BG360" s="211">
        <v>358</v>
      </c>
      <c r="BH360" s="211">
        <v>899</v>
      </c>
      <c r="BI360" s="211">
        <v>533</v>
      </c>
      <c r="BJ360" s="211">
        <v>338</v>
      </c>
      <c r="BK360" s="211">
        <v>598</v>
      </c>
      <c r="BL360" s="211">
        <v>223</v>
      </c>
      <c r="BM360" s="211">
        <v>266</v>
      </c>
      <c r="BO360" s="28">
        <f t="shared" si="15"/>
        <v>374.08333333333331</v>
      </c>
      <c r="BP360" s="28">
        <f t="shared" si="16"/>
        <v>4489</v>
      </c>
    </row>
    <row r="361" spans="22:68" x14ac:dyDescent="0.25">
      <c r="V361" s="449" t="str">
        <f>'[1]Strohs Plant in Service'!$C364</f>
        <v>Service Connection (30)</v>
      </c>
      <c r="W361" s="292" t="str">
        <f>'[1]Strohs Plant in Service'!$D364</f>
        <v>Services - Strohs (075)</v>
      </c>
      <c r="X361" s="293">
        <f>'[1]Strohs Plant in Service'!$E364</f>
        <v>45231</v>
      </c>
      <c r="Y361" s="297">
        <f>'[1]Strohs Plant in Service'!$F364</f>
        <v>3540.77</v>
      </c>
      <c r="Z361" s="248"/>
      <c r="AA361" s="294">
        <f>'[1]Strohs Plant in Service'!$G$11/12</f>
        <v>6</v>
      </c>
      <c r="AB361" s="219">
        <f>('[1]Strohs Plant in Service'!$G364-'[1]Strohs Plant in Service'!$H364)/12</f>
        <v>1.4166666666666667</v>
      </c>
      <c r="AC361" s="219">
        <f>'[1]Strohs Plant in Service'!$I364</f>
        <v>180.80527659574469</v>
      </c>
      <c r="AD361" s="219"/>
      <c r="AE361" s="220">
        <f>'[1]Strohs Plant in Service'!$J364</f>
        <v>271.25</v>
      </c>
      <c r="AF361" s="221">
        <v>3269.52</v>
      </c>
      <c r="AG361" s="204"/>
      <c r="AH361" s="178"/>
      <c r="AI361" s="174"/>
      <c r="AJ361" s="179"/>
      <c r="AK361" s="247"/>
      <c r="AL361" s="248"/>
      <c r="AM361" s="294"/>
      <c r="AN361" s="219"/>
      <c r="AO361" s="219"/>
      <c r="AP361" s="219"/>
      <c r="AQ361" s="220"/>
      <c r="AR361" s="221"/>
      <c r="AY361" s="628"/>
      <c r="AZ361" s="470">
        <v>0.75</v>
      </c>
      <c r="BA361" s="466">
        <v>4104685495</v>
      </c>
      <c r="BB361" s="211">
        <v>639</v>
      </c>
      <c r="BC361" s="211">
        <v>584</v>
      </c>
      <c r="BD361" s="211">
        <v>271</v>
      </c>
      <c r="BE361" s="211">
        <v>1140</v>
      </c>
      <c r="BF361" s="211">
        <v>670</v>
      </c>
      <c r="BG361" s="211">
        <v>706</v>
      </c>
      <c r="BH361" s="211">
        <v>892</v>
      </c>
      <c r="BI361" s="211">
        <v>326</v>
      </c>
      <c r="BJ361" s="211">
        <v>595</v>
      </c>
      <c r="BK361" s="211">
        <v>275</v>
      </c>
      <c r="BL361" s="211">
        <v>275</v>
      </c>
      <c r="BM361" s="211">
        <v>205</v>
      </c>
      <c r="BO361" s="28">
        <f t="shared" si="15"/>
        <v>548.16666666666663</v>
      </c>
      <c r="BP361" s="28">
        <f t="shared" si="16"/>
        <v>6578</v>
      </c>
    </row>
    <row r="362" spans="22:68" x14ac:dyDescent="0.25">
      <c r="V362" s="449" t="str">
        <f>'[1]Strohs Plant in Service'!$C365</f>
        <v>Service Connection (30)</v>
      </c>
      <c r="W362" s="292" t="str">
        <f>'[1]Strohs Plant in Service'!$D365</f>
        <v>Services - Strohs (472)</v>
      </c>
      <c r="X362" s="293">
        <f>'[1]Strohs Plant in Service'!$E365</f>
        <v>45231</v>
      </c>
      <c r="Y362" s="297">
        <f>'[1]Strohs Plant in Service'!$F365</f>
        <v>3122.05</v>
      </c>
      <c r="Z362" s="248"/>
      <c r="AA362" s="294">
        <f>'[1]Strohs Plant in Service'!$G$11/12</f>
        <v>6</v>
      </c>
      <c r="AB362" s="219">
        <f>('[1]Strohs Plant in Service'!$G365-'[1]Strohs Plant in Service'!$H365)/12</f>
        <v>1.4166666666666667</v>
      </c>
      <c r="AC362" s="219">
        <f>'[1]Strohs Plant in Service'!$I365</f>
        <v>159.42382978723407</v>
      </c>
      <c r="AD362" s="219"/>
      <c r="AE362" s="220">
        <f>'[1]Strohs Plant in Service'!$J365</f>
        <v>239.2</v>
      </c>
      <c r="AF362" s="221">
        <v>2882.8500000000004</v>
      </c>
      <c r="AG362" s="204"/>
      <c r="AH362" s="178"/>
      <c r="AI362" s="174"/>
      <c r="AJ362" s="179"/>
      <c r="AK362" s="247"/>
      <c r="AL362" s="248"/>
      <c r="AM362" s="294"/>
      <c r="AN362" s="219"/>
      <c r="AO362" s="219"/>
      <c r="AP362" s="219"/>
      <c r="AQ362" s="220"/>
      <c r="AR362" s="221"/>
      <c r="AY362" s="628"/>
      <c r="AZ362" s="470">
        <v>0.75</v>
      </c>
      <c r="BA362" s="466">
        <v>4108263797</v>
      </c>
      <c r="BB362" s="211">
        <v>339</v>
      </c>
      <c r="BC362" s="211">
        <v>308</v>
      </c>
      <c r="BD362" s="211">
        <v>300</v>
      </c>
      <c r="BE362" s="211">
        <v>476</v>
      </c>
      <c r="BF362" s="211">
        <v>331</v>
      </c>
      <c r="BG362" s="211">
        <v>1208</v>
      </c>
      <c r="BH362" s="211">
        <v>1843</v>
      </c>
      <c r="BI362" s="211">
        <v>1532</v>
      </c>
      <c r="BJ362" s="211">
        <v>477</v>
      </c>
      <c r="BK362" s="211">
        <v>370</v>
      </c>
      <c r="BL362" s="211">
        <v>160</v>
      </c>
      <c r="BM362" s="211">
        <v>245</v>
      </c>
      <c r="BO362" s="28">
        <f t="shared" si="15"/>
        <v>632.41666666666663</v>
      </c>
      <c r="BP362" s="28">
        <f t="shared" si="16"/>
        <v>7589</v>
      </c>
    </row>
    <row r="363" spans="22:68" x14ac:dyDescent="0.25">
      <c r="V363" s="449" t="str">
        <f>'[1]Strohs Plant in Service'!$C366</f>
        <v>Service Connection (30)</v>
      </c>
      <c r="W363" s="292" t="str">
        <f>'[1]Strohs Plant in Service'!$D366</f>
        <v>Services - Strohs (472)</v>
      </c>
      <c r="X363" s="293">
        <f>'[1]Strohs Plant in Service'!$E366</f>
        <v>45231</v>
      </c>
      <c r="Y363" s="297">
        <f>'[1]Strohs Plant in Service'!$F366</f>
        <v>8253.98</v>
      </c>
      <c r="Z363" s="248"/>
      <c r="AA363" s="294">
        <f>'[1]Strohs Plant in Service'!$G$11/12</f>
        <v>6</v>
      </c>
      <c r="AB363" s="219">
        <f>('[1]Strohs Plant in Service'!$G366-'[1]Strohs Plant in Service'!$H366)/12</f>
        <v>1.4166666666666667</v>
      </c>
      <c r="AC363" s="219">
        <f>'[1]Strohs Plant in Service'!$I366</f>
        <v>421.47982978723405</v>
      </c>
      <c r="AD363" s="219"/>
      <c r="AE363" s="220">
        <f>'[1]Strohs Plant in Service'!$J366</f>
        <v>632.17999999999995</v>
      </c>
      <c r="AF363" s="221">
        <v>7621.7999999999993</v>
      </c>
      <c r="AG363" s="204"/>
      <c r="AH363" s="178"/>
      <c r="AI363" s="174"/>
      <c r="AJ363" s="179"/>
      <c r="AK363" s="247"/>
      <c r="AL363" s="248"/>
      <c r="AM363" s="294"/>
      <c r="AN363" s="219"/>
      <c r="AO363" s="219"/>
      <c r="AP363" s="219"/>
      <c r="AQ363" s="220"/>
      <c r="AR363" s="221"/>
      <c r="AY363" s="628"/>
      <c r="AZ363" s="470">
        <v>1.5</v>
      </c>
      <c r="BA363" s="466">
        <v>4109979479</v>
      </c>
      <c r="BB363" s="211">
        <v>8092</v>
      </c>
      <c r="BC363" s="211">
        <v>7812</v>
      </c>
      <c r="BD363" s="211">
        <v>9058</v>
      </c>
      <c r="BE363" s="211">
        <v>8221</v>
      </c>
      <c r="BF363" s="211">
        <v>9091</v>
      </c>
      <c r="BG363" s="211">
        <v>6498</v>
      </c>
      <c r="BH363" s="211">
        <v>7228</v>
      </c>
      <c r="BI363" s="211">
        <v>6080</v>
      </c>
      <c r="BJ363" s="211">
        <v>7169</v>
      </c>
      <c r="BK363" s="211">
        <v>6022</v>
      </c>
      <c r="BL363" s="211">
        <v>6029</v>
      </c>
      <c r="BM363" s="211">
        <v>6015</v>
      </c>
      <c r="BO363" s="28">
        <f t="shared" si="15"/>
        <v>7276.25</v>
      </c>
      <c r="BP363" s="28">
        <f t="shared" si="16"/>
        <v>87315</v>
      </c>
    </row>
    <row r="364" spans="22:68" x14ac:dyDescent="0.25">
      <c r="V364" s="449" t="str">
        <f>'[1]Strohs Plant in Service'!$C367</f>
        <v>Service Connection (30)</v>
      </c>
      <c r="W364" s="292" t="str">
        <f>'[1]Strohs Plant in Service'!$D367</f>
        <v>Services - Strohs (075)</v>
      </c>
      <c r="X364" s="293">
        <f>'[1]Strohs Plant in Service'!$E367</f>
        <v>45231</v>
      </c>
      <c r="Y364" s="297">
        <f>'[1]Strohs Plant in Service'!$F367</f>
        <v>2322.92</v>
      </c>
      <c r="Z364" s="248"/>
      <c r="AA364" s="294">
        <f>'[1]Strohs Plant in Service'!$G$11/12</f>
        <v>6</v>
      </c>
      <c r="AB364" s="219">
        <f>('[1]Strohs Plant in Service'!$G367-'[1]Strohs Plant in Service'!$H367)/12</f>
        <v>1.4166666666666667</v>
      </c>
      <c r="AC364" s="219">
        <f>'[1]Strohs Plant in Service'!$I367</f>
        <v>118.61719148936172</v>
      </c>
      <c r="AD364" s="219"/>
      <c r="AE364" s="220">
        <f>'[1]Strohs Plant in Service'!$J367</f>
        <v>177.88</v>
      </c>
      <c r="AF364" s="221">
        <v>2145.04</v>
      </c>
      <c r="AG364" s="204"/>
      <c r="AH364" s="178"/>
      <c r="AI364" s="174"/>
      <c r="AJ364" s="179"/>
      <c r="AK364" s="247"/>
      <c r="AL364" s="248"/>
      <c r="AM364" s="294"/>
      <c r="AN364" s="219"/>
      <c r="AO364" s="219"/>
      <c r="AP364" s="219"/>
      <c r="AQ364" s="220"/>
      <c r="AR364" s="221"/>
      <c r="AY364" s="628"/>
      <c r="AZ364" s="470">
        <v>0.75</v>
      </c>
      <c r="BA364" s="466">
        <v>4119906841</v>
      </c>
      <c r="BB364" s="211">
        <v>693</v>
      </c>
      <c r="BC364" s="211">
        <v>594</v>
      </c>
      <c r="BD364" s="211">
        <v>747</v>
      </c>
      <c r="BE364" s="211">
        <v>748</v>
      </c>
      <c r="BF364" s="211">
        <v>717</v>
      </c>
      <c r="BG364" s="211">
        <v>1505</v>
      </c>
      <c r="BH364" s="211">
        <v>3046</v>
      </c>
      <c r="BI364" s="211">
        <v>3466</v>
      </c>
      <c r="BJ364" s="211">
        <v>2907</v>
      </c>
      <c r="BK364" s="211">
        <v>951</v>
      </c>
      <c r="BL364" s="211">
        <v>615</v>
      </c>
      <c r="BM364" s="211">
        <v>780</v>
      </c>
      <c r="BO364" s="28">
        <f t="shared" si="15"/>
        <v>1397.4166666666667</v>
      </c>
      <c r="BP364" s="28">
        <f t="shared" si="16"/>
        <v>16769</v>
      </c>
    </row>
    <row r="365" spans="22:68" x14ac:dyDescent="0.25">
      <c r="V365" s="449" t="str">
        <f>'[1]Strohs Plant in Service'!$C368</f>
        <v>Service Connection (30)</v>
      </c>
      <c r="W365" s="292" t="str">
        <f>'[1]Strohs Plant in Service'!$D368</f>
        <v>Services (CIAC) - Strohs (472)</v>
      </c>
      <c r="X365" s="293">
        <f>'[1]Strohs Plant in Service'!$E368</f>
        <v>45231</v>
      </c>
      <c r="Y365" s="297">
        <f>'[1]Strohs Plant in Service'!$F368</f>
        <v>7147.02</v>
      </c>
      <c r="Z365" s="248"/>
      <c r="AA365" s="294">
        <f>'[1]Strohs Plant in Service'!$G$11/12</f>
        <v>6</v>
      </c>
      <c r="AB365" s="219">
        <f>('[1]Strohs Plant in Service'!$G368-'[1]Strohs Plant in Service'!$H368)/12</f>
        <v>1.4166666666666667</v>
      </c>
      <c r="AC365" s="219">
        <f>'[1]Strohs Plant in Service'!$I368</f>
        <v>364.95421276595744</v>
      </c>
      <c r="AD365" s="219"/>
      <c r="AE365" s="220">
        <f>'[1]Strohs Plant in Service'!$J368</f>
        <v>547.39</v>
      </c>
      <c r="AF365" s="221">
        <v>6599.63</v>
      </c>
      <c r="AG365" s="204"/>
      <c r="AH365" s="178"/>
      <c r="AI365" s="174"/>
      <c r="AJ365" s="179"/>
      <c r="AK365" s="247"/>
      <c r="AL365" s="248"/>
      <c r="AM365" s="294"/>
      <c r="AN365" s="219"/>
      <c r="AO365" s="219"/>
      <c r="AP365" s="219"/>
      <c r="AQ365" s="220"/>
      <c r="AR365" s="221"/>
      <c r="AY365" s="628"/>
      <c r="AZ365" s="470">
        <v>0.75</v>
      </c>
      <c r="BA365" s="466">
        <v>4135275295</v>
      </c>
      <c r="BB365" s="211">
        <v>1079</v>
      </c>
      <c r="BC365" s="211">
        <v>168</v>
      </c>
      <c r="BD365" s="211" t="s">
        <v>655</v>
      </c>
      <c r="BE365" s="211">
        <v>2</v>
      </c>
      <c r="BF365" s="211">
        <v>127</v>
      </c>
      <c r="BG365" s="211">
        <v>454</v>
      </c>
      <c r="BH365" s="211">
        <v>1810</v>
      </c>
      <c r="BI365" s="211">
        <v>933</v>
      </c>
      <c r="BJ365" s="211">
        <v>736</v>
      </c>
      <c r="BK365" s="211">
        <v>415</v>
      </c>
      <c r="BL365" s="211">
        <v>150</v>
      </c>
      <c r="BM365" s="211">
        <v>425</v>
      </c>
      <c r="BO365" s="28">
        <f t="shared" si="15"/>
        <v>572.63636363636363</v>
      </c>
      <c r="BP365" s="28">
        <f t="shared" si="16"/>
        <v>6299</v>
      </c>
    </row>
    <row r="366" spans="22:68" x14ac:dyDescent="0.25">
      <c r="V366" s="449" t="str">
        <f>'[1]Strohs Plant in Service'!$C369</f>
        <v>Service Connection (30)</v>
      </c>
      <c r="W366" s="292" t="str">
        <f>'[1]Strohs Plant in Service'!$D369</f>
        <v>Services (CIAC) - Stroh (075)</v>
      </c>
      <c r="X366" s="293">
        <f>'[1]Strohs Plant in Service'!$E369</f>
        <v>45231</v>
      </c>
      <c r="Y366" s="297">
        <f>'[1]Strohs Plant in Service'!$F369</f>
        <v>3760.21</v>
      </c>
      <c r="Z366" s="248"/>
      <c r="AA366" s="294">
        <f>'[1]Strohs Plant in Service'!$G$11/12</f>
        <v>6</v>
      </c>
      <c r="AB366" s="219">
        <f>('[1]Strohs Plant in Service'!$G369-'[1]Strohs Plant in Service'!$H369)/12</f>
        <v>1.4166666666666667</v>
      </c>
      <c r="AC366" s="219">
        <f>'[1]Strohs Plant in Service'!$I369</f>
        <v>192.01072340425532</v>
      </c>
      <c r="AD366" s="219"/>
      <c r="AE366" s="220">
        <f>'[1]Strohs Plant in Service'!$J369</f>
        <v>288</v>
      </c>
      <c r="AF366" s="221">
        <v>3472.21</v>
      </c>
      <c r="AG366" s="204"/>
      <c r="AH366" s="178"/>
      <c r="AI366" s="174"/>
      <c r="AJ366" s="179"/>
      <c r="AK366" s="247"/>
      <c r="AL366" s="248"/>
      <c r="AM366" s="294"/>
      <c r="AN366" s="219"/>
      <c r="AO366" s="219"/>
      <c r="AP366" s="219"/>
      <c r="AQ366" s="220"/>
      <c r="AR366" s="221"/>
      <c r="AY366" s="628"/>
      <c r="AZ366" s="470">
        <v>0.625</v>
      </c>
      <c r="BA366" s="466">
        <v>4140453815</v>
      </c>
      <c r="BB366" s="211">
        <v>170</v>
      </c>
      <c r="BC366" s="211">
        <v>134</v>
      </c>
      <c r="BD366" s="211">
        <v>149</v>
      </c>
      <c r="BE366" s="211">
        <v>166</v>
      </c>
      <c r="BF366" s="211">
        <v>236</v>
      </c>
      <c r="BG366" s="211">
        <v>65</v>
      </c>
      <c r="BH366" s="211" t="s">
        <v>655</v>
      </c>
      <c r="BI366" s="211">
        <v>1017</v>
      </c>
      <c r="BJ366" s="211">
        <v>165</v>
      </c>
      <c r="BK366" s="211" t="s">
        <v>655</v>
      </c>
      <c r="BL366" s="211">
        <v>316</v>
      </c>
      <c r="BM366" s="211">
        <v>107</v>
      </c>
      <c r="BO366" s="28">
        <f t="shared" si="15"/>
        <v>252.5</v>
      </c>
      <c r="BP366" s="28">
        <f t="shared" si="16"/>
        <v>2525</v>
      </c>
    </row>
    <row r="367" spans="22:68" x14ac:dyDescent="0.25">
      <c r="V367" s="449" t="str">
        <f>'[1]Strohs Plant in Service'!$C370</f>
        <v>Service Connection (30)</v>
      </c>
      <c r="W367" s="292" t="str">
        <f>'[1]Strohs Plant in Service'!$D370</f>
        <v>Services (CIAC) - Strohs (472)</v>
      </c>
      <c r="X367" s="293">
        <f>'[1]Strohs Plant in Service'!$E370</f>
        <v>45231</v>
      </c>
      <c r="Y367" s="297">
        <f>'[1]Strohs Plant in Service'!$F370</f>
        <v>2353.48</v>
      </c>
      <c r="Z367" s="248"/>
      <c r="AA367" s="294">
        <f>'[1]Strohs Plant in Service'!$G$11/12</f>
        <v>6</v>
      </c>
      <c r="AB367" s="219">
        <f>('[1]Strohs Plant in Service'!$G370-'[1]Strohs Plant in Service'!$H370)/12</f>
        <v>1.4166666666666667</v>
      </c>
      <c r="AC367" s="219">
        <f>'[1]Strohs Plant in Service'!$I370</f>
        <v>120.17770212765959</v>
      </c>
      <c r="AD367" s="219"/>
      <c r="AE367" s="220">
        <f>'[1]Strohs Plant in Service'!$J370</f>
        <v>180.23</v>
      </c>
      <c r="AF367" s="221">
        <v>2173.25</v>
      </c>
      <c r="AG367" s="204"/>
      <c r="AH367" s="178"/>
      <c r="AI367" s="174"/>
      <c r="AJ367" s="179"/>
      <c r="AK367" s="247"/>
      <c r="AL367" s="248"/>
      <c r="AM367" s="294"/>
      <c r="AN367" s="219"/>
      <c r="AO367" s="219"/>
      <c r="AP367" s="219"/>
      <c r="AQ367" s="220"/>
      <c r="AR367" s="221"/>
      <c r="AY367" s="628"/>
      <c r="AZ367" s="470">
        <v>0.75</v>
      </c>
      <c r="BA367" s="466">
        <v>4143630273</v>
      </c>
      <c r="BB367" s="211">
        <v>406</v>
      </c>
      <c r="BC367" s="211">
        <v>329</v>
      </c>
      <c r="BD367" s="211">
        <v>459</v>
      </c>
      <c r="BE367" s="211">
        <v>463</v>
      </c>
      <c r="BF367" s="211">
        <v>319</v>
      </c>
      <c r="BG367" s="211">
        <v>513</v>
      </c>
      <c r="BH367" s="211">
        <v>1807</v>
      </c>
      <c r="BI367" s="211">
        <v>1530</v>
      </c>
      <c r="BJ367" s="211">
        <v>1591</v>
      </c>
      <c r="BK367" s="211">
        <v>540</v>
      </c>
      <c r="BL367" s="211">
        <v>505</v>
      </c>
      <c r="BM367" s="211">
        <v>900</v>
      </c>
      <c r="BO367" s="28">
        <f t="shared" si="15"/>
        <v>780.16666666666663</v>
      </c>
      <c r="BP367" s="28">
        <f t="shared" si="16"/>
        <v>9362</v>
      </c>
    </row>
    <row r="368" spans="22:68" x14ac:dyDescent="0.25">
      <c r="V368" s="449" t="str">
        <f>'[1]Strohs Plant in Service'!$C371</f>
        <v>Service Connection (30)</v>
      </c>
      <c r="W368" s="292" t="str">
        <f>'[1]Strohs Plant in Service'!$D371</f>
        <v>Services - Strohs (075)</v>
      </c>
      <c r="X368" s="293">
        <f>'[1]Strohs Plant in Service'!$E371</f>
        <v>45231</v>
      </c>
      <c r="Y368" s="297">
        <f>'[1]Strohs Plant in Service'!$F371</f>
        <v>2518.3000000000002</v>
      </c>
      <c r="Z368" s="248"/>
      <c r="AA368" s="294">
        <f>'[1]Strohs Plant in Service'!$G$11/12</f>
        <v>6</v>
      </c>
      <c r="AB368" s="219">
        <f>('[1]Strohs Plant in Service'!$G371-'[1]Strohs Plant in Service'!$H371)/12</f>
        <v>1.4166666666666667</v>
      </c>
      <c r="AC368" s="219">
        <f>'[1]Strohs Plant in Service'!$I371</f>
        <v>128.59404255319149</v>
      </c>
      <c r="AD368" s="219"/>
      <c r="AE368" s="220">
        <f>'[1]Strohs Plant in Service'!$J371</f>
        <v>192.94</v>
      </c>
      <c r="AF368" s="221">
        <v>2325.36</v>
      </c>
      <c r="AG368" s="204"/>
      <c r="AH368" s="178"/>
      <c r="AI368" s="174"/>
      <c r="AJ368" s="179"/>
      <c r="AK368" s="247"/>
      <c r="AL368" s="248"/>
      <c r="AM368" s="294"/>
      <c r="AN368" s="219"/>
      <c r="AO368" s="219"/>
      <c r="AP368" s="219"/>
      <c r="AQ368" s="220"/>
      <c r="AR368" s="221"/>
      <c r="AY368" s="628"/>
      <c r="AZ368" s="471">
        <v>2</v>
      </c>
      <c r="BA368" s="466">
        <v>4192095355</v>
      </c>
      <c r="BB368" s="211">
        <v>1775</v>
      </c>
      <c r="BC368" s="211">
        <v>1830</v>
      </c>
      <c r="BD368" s="211">
        <v>2166</v>
      </c>
      <c r="BE368" s="211">
        <v>2638</v>
      </c>
      <c r="BF368" s="211">
        <v>2477</v>
      </c>
      <c r="BG368" s="211">
        <v>2374</v>
      </c>
      <c r="BH368" s="211">
        <v>3004</v>
      </c>
      <c r="BI368" s="211">
        <v>3597</v>
      </c>
      <c r="BJ368" s="211" t="s">
        <v>655</v>
      </c>
      <c r="BK368" s="211">
        <v>8422</v>
      </c>
      <c r="BL368" s="211">
        <v>2799</v>
      </c>
      <c r="BM368" s="211">
        <v>3664</v>
      </c>
      <c r="BO368" s="28">
        <f t="shared" si="15"/>
        <v>3158.7272727272725</v>
      </c>
      <c r="BP368" s="28">
        <f t="shared" si="16"/>
        <v>34746</v>
      </c>
    </row>
    <row r="369" spans="22:68" x14ac:dyDescent="0.25">
      <c r="V369" s="449" t="str">
        <f>'[1]Strohs Plant in Service'!$C372</f>
        <v>Service Connection (30)</v>
      </c>
      <c r="W369" s="292" t="str">
        <f>'[1]Strohs Plant in Service'!$D372</f>
        <v>Services - Strohs (472)</v>
      </c>
      <c r="X369" s="293">
        <f>'[1]Strohs Plant in Service'!$E372</f>
        <v>45231</v>
      </c>
      <c r="Y369" s="297">
        <f>'[1]Strohs Plant in Service'!$F372</f>
        <v>479.59</v>
      </c>
      <c r="Z369" s="248"/>
      <c r="AA369" s="294">
        <f>'[1]Strohs Plant in Service'!$G$11/12</f>
        <v>6</v>
      </c>
      <c r="AB369" s="219">
        <f>('[1]Strohs Plant in Service'!$G372-'[1]Strohs Plant in Service'!$H372)/12</f>
        <v>1.4166666666666667</v>
      </c>
      <c r="AC369" s="219">
        <f>'[1]Strohs Plant in Service'!$I372</f>
        <v>24.489702127659569</v>
      </c>
      <c r="AD369" s="219"/>
      <c r="AE369" s="220">
        <f>'[1]Strohs Plant in Service'!$J372</f>
        <v>36.72</v>
      </c>
      <c r="AF369" s="221">
        <v>442.87</v>
      </c>
      <c r="AG369" s="204"/>
      <c r="AH369" s="178"/>
      <c r="AI369" s="174"/>
      <c r="AJ369" s="179"/>
      <c r="AK369" s="247"/>
      <c r="AL369" s="248"/>
      <c r="AM369" s="294"/>
      <c r="AN369" s="219"/>
      <c r="AO369" s="219"/>
      <c r="AP369" s="219"/>
      <c r="AQ369" s="220"/>
      <c r="AR369" s="221"/>
      <c r="AY369" s="628"/>
      <c r="AZ369" s="470">
        <v>0.625</v>
      </c>
      <c r="BA369" s="466">
        <v>4214115771</v>
      </c>
      <c r="BB369" s="211">
        <v>559</v>
      </c>
      <c r="BC369" s="211">
        <v>411</v>
      </c>
      <c r="BD369" s="211">
        <v>491</v>
      </c>
      <c r="BE369" s="211">
        <v>547</v>
      </c>
      <c r="BF369" s="211">
        <v>456</v>
      </c>
      <c r="BG369" s="211">
        <v>479</v>
      </c>
      <c r="BH369" s="211">
        <v>699</v>
      </c>
      <c r="BI369" s="211">
        <v>700</v>
      </c>
      <c r="BJ369" s="211">
        <v>275</v>
      </c>
      <c r="BK369" s="211">
        <v>696</v>
      </c>
      <c r="BL369" s="211">
        <v>763</v>
      </c>
      <c r="BM369" s="211">
        <v>530</v>
      </c>
      <c r="BO369" s="28">
        <f t="shared" si="15"/>
        <v>550.5</v>
      </c>
      <c r="BP369" s="28">
        <f t="shared" si="16"/>
        <v>6606</v>
      </c>
    </row>
    <row r="370" spans="22:68" x14ac:dyDescent="0.25">
      <c r="V370" s="449" t="str">
        <f>'[1]Strohs Plant in Service'!$C373</f>
        <v>Service Connection (30)</v>
      </c>
      <c r="W370" s="292" t="str">
        <f>'[1]Strohs Plant in Service'!$D373</f>
        <v>Services - Strohs (075)</v>
      </c>
      <c r="X370" s="293">
        <f>'[1]Strohs Plant in Service'!$E373</f>
        <v>45231</v>
      </c>
      <c r="Y370" s="297">
        <f>'[1]Strohs Plant in Service'!$F373</f>
        <v>2373.61</v>
      </c>
      <c r="Z370" s="248"/>
      <c r="AA370" s="294">
        <f>'[1]Strohs Plant in Service'!$G$11/12</f>
        <v>6</v>
      </c>
      <c r="AB370" s="219">
        <f>('[1]Strohs Plant in Service'!$G373-'[1]Strohs Plant in Service'!$H373)/12</f>
        <v>1.4166666666666667</v>
      </c>
      <c r="AC370" s="219">
        <f>'[1]Strohs Plant in Service'!$I373</f>
        <v>121.20561702127659</v>
      </c>
      <c r="AD370" s="219"/>
      <c r="AE370" s="220">
        <f>'[1]Strohs Plant in Service'!$J373</f>
        <v>181.8</v>
      </c>
      <c r="AF370" s="221">
        <v>2191.81</v>
      </c>
      <c r="AG370" s="204"/>
      <c r="AH370" s="178"/>
      <c r="AI370" s="174"/>
      <c r="AJ370" s="179"/>
      <c r="AK370" s="247"/>
      <c r="AL370" s="248"/>
      <c r="AM370" s="294"/>
      <c r="AN370" s="219"/>
      <c r="AO370" s="219"/>
      <c r="AP370" s="219"/>
      <c r="AQ370" s="220"/>
      <c r="AR370" s="221"/>
      <c r="AY370" s="628"/>
      <c r="AZ370" s="470">
        <v>0.75</v>
      </c>
      <c r="BA370" s="466">
        <v>4217869246</v>
      </c>
      <c r="BB370" s="211">
        <v>737</v>
      </c>
      <c r="BC370" s="211">
        <v>650</v>
      </c>
      <c r="BD370" s="211">
        <v>14105</v>
      </c>
      <c r="BE370" s="211">
        <v>586</v>
      </c>
      <c r="BF370" s="211">
        <v>596</v>
      </c>
      <c r="BG370" s="211">
        <v>663</v>
      </c>
      <c r="BH370" s="211">
        <v>3441</v>
      </c>
      <c r="BI370" s="211">
        <v>833</v>
      </c>
      <c r="BJ370" s="211">
        <v>592</v>
      </c>
      <c r="BK370" s="211">
        <v>272</v>
      </c>
      <c r="BL370" s="211">
        <v>350</v>
      </c>
      <c r="BM370" s="211">
        <v>191</v>
      </c>
      <c r="BO370" s="28">
        <f t="shared" si="15"/>
        <v>1918</v>
      </c>
      <c r="BP370" s="28">
        <f t="shared" si="16"/>
        <v>23016</v>
      </c>
    </row>
    <row r="371" spans="22:68" x14ac:dyDescent="0.25">
      <c r="V371" s="449" t="str">
        <f>'[1]Strohs Plant in Service'!$C374</f>
        <v>Service Connection (30)</v>
      </c>
      <c r="W371" s="292" t="str">
        <f>'[1]Strohs Plant in Service'!$D374</f>
        <v>Services - Strohs (472)</v>
      </c>
      <c r="X371" s="293">
        <f>'[1]Strohs Plant in Service'!$E374</f>
        <v>45231</v>
      </c>
      <c r="Y371" s="297">
        <f>'[1]Strohs Plant in Service'!$F374</f>
        <v>4925.63</v>
      </c>
      <c r="Z371" s="248"/>
      <c r="AA371" s="294">
        <f>'[1]Strohs Plant in Service'!$G$11/12</f>
        <v>6</v>
      </c>
      <c r="AB371" s="219">
        <f>('[1]Strohs Plant in Service'!$G374-'[1]Strohs Plant in Service'!$H374)/12</f>
        <v>1.4166666666666667</v>
      </c>
      <c r="AC371" s="219">
        <f>'[1]Strohs Plant in Service'!$I374</f>
        <v>251.52153191489361</v>
      </c>
      <c r="AD371" s="219"/>
      <c r="AE371" s="220">
        <f>'[1]Strohs Plant in Service'!$J374</f>
        <v>377.28</v>
      </c>
      <c r="AF371" s="221">
        <v>4548.3500000000004</v>
      </c>
      <c r="AG371" s="204"/>
      <c r="AH371" s="178"/>
      <c r="AI371" s="174"/>
      <c r="AJ371" s="179"/>
      <c r="AK371" s="247"/>
      <c r="AL371" s="248"/>
      <c r="AM371" s="294"/>
      <c r="AN371" s="219"/>
      <c r="AO371" s="219"/>
      <c r="AP371" s="219"/>
      <c r="AQ371" s="220"/>
      <c r="AR371" s="221"/>
      <c r="AY371" s="628"/>
      <c r="AZ371" s="470">
        <v>0.625</v>
      </c>
      <c r="BA371" s="466">
        <v>4245930984</v>
      </c>
      <c r="BB371" s="211">
        <v>353</v>
      </c>
      <c r="BC371" s="211">
        <v>550</v>
      </c>
      <c r="BD371" s="211">
        <v>556</v>
      </c>
      <c r="BE371" s="211">
        <v>1213</v>
      </c>
      <c r="BF371" s="211">
        <v>595</v>
      </c>
      <c r="BG371" s="211">
        <v>667</v>
      </c>
      <c r="BH371" s="211">
        <v>1862</v>
      </c>
      <c r="BI371" s="211">
        <v>2580</v>
      </c>
      <c r="BJ371" s="211">
        <v>1758</v>
      </c>
      <c r="BK371" s="211">
        <v>625</v>
      </c>
      <c r="BL371" s="211">
        <v>517</v>
      </c>
      <c r="BM371" s="211">
        <v>396</v>
      </c>
      <c r="BO371" s="28">
        <f t="shared" si="15"/>
        <v>972.66666666666663</v>
      </c>
      <c r="BP371" s="28">
        <f t="shared" si="16"/>
        <v>11672</v>
      </c>
    </row>
    <row r="372" spans="22:68" x14ac:dyDescent="0.25">
      <c r="V372" s="449" t="str">
        <f>'[1]Strohs Plant in Service'!$C375</f>
        <v>Service Connection (30)</v>
      </c>
      <c r="W372" s="292" t="str">
        <f>'[1]Strohs Plant in Service'!$D375</f>
        <v>Services - Strohs (075)</v>
      </c>
      <c r="X372" s="293">
        <f>'[1]Strohs Plant in Service'!$E375</f>
        <v>45231</v>
      </c>
      <c r="Y372" s="297">
        <f>'[1]Strohs Plant in Service'!$F375</f>
        <v>3761.17</v>
      </c>
      <c r="Z372" s="248"/>
      <c r="AA372" s="294">
        <f>'[1]Strohs Plant in Service'!$G$11/12</f>
        <v>6</v>
      </c>
      <c r="AB372" s="219">
        <f>('[1]Strohs Plant in Service'!$G375-'[1]Strohs Plant in Service'!$H375)/12</f>
        <v>1.4166666666666667</v>
      </c>
      <c r="AC372" s="219">
        <f>'[1]Strohs Plant in Service'!$I375</f>
        <v>192.05974468085108</v>
      </c>
      <c r="AD372" s="219"/>
      <c r="AE372" s="220">
        <f>'[1]Strohs Plant in Service'!$J375</f>
        <v>288.08999999999997</v>
      </c>
      <c r="AF372" s="221">
        <v>3473.08</v>
      </c>
      <c r="AG372" s="204"/>
      <c r="AH372" s="178"/>
      <c r="AI372" s="174"/>
      <c r="AJ372" s="179"/>
      <c r="AK372" s="247"/>
      <c r="AL372" s="248"/>
      <c r="AM372" s="294"/>
      <c r="AN372" s="219"/>
      <c r="AO372" s="219"/>
      <c r="AP372" s="219"/>
      <c r="AQ372" s="220"/>
      <c r="AR372" s="221"/>
      <c r="AY372" s="628"/>
      <c r="AZ372" s="470">
        <v>0.75</v>
      </c>
      <c r="BA372" s="466">
        <v>4254886506</v>
      </c>
      <c r="BB372" s="211">
        <v>363</v>
      </c>
      <c r="BC372" s="211">
        <v>309</v>
      </c>
      <c r="BD372" s="211" t="s">
        <v>655</v>
      </c>
      <c r="BE372" s="211">
        <v>85</v>
      </c>
      <c r="BF372" s="211">
        <v>197</v>
      </c>
      <c r="BG372" s="211">
        <v>844</v>
      </c>
      <c r="BH372" s="211">
        <v>1985</v>
      </c>
      <c r="BI372" s="211">
        <v>2690</v>
      </c>
      <c r="BJ372" s="211">
        <v>1200</v>
      </c>
      <c r="BK372" s="211">
        <v>210</v>
      </c>
      <c r="BL372" s="211">
        <v>250</v>
      </c>
      <c r="BM372" s="211">
        <v>690</v>
      </c>
      <c r="BO372" s="28">
        <f t="shared" si="15"/>
        <v>802.09090909090912</v>
      </c>
      <c r="BP372" s="28">
        <f t="shared" si="16"/>
        <v>8823</v>
      </c>
    </row>
    <row r="373" spans="22:68" x14ac:dyDescent="0.25">
      <c r="V373" s="449" t="str">
        <f>'[1]Strohs Plant in Service'!$C376</f>
        <v>Service Connection (30)</v>
      </c>
      <c r="W373" s="292" t="str">
        <f>'[1]Strohs Plant in Service'!$D376</f>
        <v>Services - Strohs (472)</v>
      </c>
      <c r="X373" s="293">
        <f>'[1]Strohs Plant in Service'!$E376</f>
        <v>45231</v>
      </c>
      <c r="Y373" s="297">
        <f>'[1]Strohs Plant in Service'!$F376</f>
        <v>1495.31</v>
      </c>
      <c r="Z373" s="248"/>
      <c r="AA373" s="294">
        <f>'[1]Strohs Plant in Service'!$G$11/12</f>
        <v>6</v>
      </c>
      <c r="AB373" s="219">
        <f>('[1]Strohs Plant in Service'!$G376-'[1]Strohs Plant in Service'!$H376)/12</f>
        <v>1.4166666666666667</v>
      </c>
      <c r="AC373" s="219">
        <f>'[1]Strohs Plant in Service'!$I376</f>
        <v>76.356255319148929</v>
      </c>
      <c r="AD373" s="219"/>
      <c r="AE373" s="220">
        <f>'[1]Strohs Plant in Service'!$J376</f>
        <v>114.5</v>
      </c>
      <c r="AF373" s="221">
        <v>1380.81</v>
      </c>
      <c r="AG373" s="204"/>
      <c r="AH373" s="178"/>
      <c r="AI373" s="174"/>
      <c r="AJ373" s="179"/>
      <c r="AK373" s="247"/>
      <c r="AL373" s="248"/>
      <c r="AM373" s="294"/>
      <c r="AN373" s="219"/>
      <c r="AO373" s="219"/>
      <c r="AP373" s="219"/>
      <c r="AQ373" s="220"/>
      <c r="AR373" s="221"/>
      <c r="AY373" s="628"/>
      <c r="AZ373" s="470">
        <v>0.75</v>
      </c>
      <c r="BA373" s="466">
        <v>4255175290</v>
      </c>
      <c r="BB373" s="211">
        <v>328</v>
      </c>
      <c r="BC373" s="211">
        <v>405</v>
      </c>
      <c r="BD373" s="211">
        <v>347</v>
      </c>
      <c r="BE373" s="211">
        <v>815</v>
      </c>
      <c r="BF373" s="211">
        <v>1278</v>
      </c>
      <c r="BG373" s="211">
        <v>367</v>
      </c>
      <c r="BH373" s="211">
        <v>178</v>
      </c>
      <c r="BI373" s="211">
        <v>293</v>
      </c>
      <c r="BJ373" s="211">
        <v>616</v>
      </c>
      <c r="BK373" s="211">
        <v>623</v>
      </c>
      <c r="BL373" s="211">
        <v>538</v>
      </c>
      <c r="BM373" s="211">
        <v>696</v>
      </c>
      <c r="BO373" s="28">
        <f t="shared" si="15"/>
        <v>540.33333333333337</v>
      </c>
      <c r="BP373" s="28">
        <f t="shared" si="16"/>
        <v>6484</v>
      </c>
    </row>
    <row r="374" spans="22:68" x14ac:dyDescent="0.25">
      <c r="V374" s="449" t="str">
        <f>'[1]Strohs Plant in Service'!$C377</f>
        <v>Service Connection (30)</v>
      </c>
      <c r="W374" s="292" t="str">
        <f>'[1]Strohs Plant in Service'!$D377</f>
        <v>Services - Strohs (075)</v>
      </c>
      <c r="X374" s="293">
        <f>'[1]Strohs Plant in Service'!$E377</f>
        <v>45231</v>
      </c>
      <c r="Y374" s="297">
        <f>'[1]Strohs Plant in Service'!$F377</f>
        <v>5047.47</v>
      </c>
      <c r="Z374" s="248"/>
      <c r="AA374" s="294">
        <f>'[1]Strohs Plant in Service'!$G$11/12</f>
        <v>6</v>
      </c>
      <c r="AB374" s="219">
        <f>('[1]Strohs Plant in Service'!$G377-'[1]Strohs Plant in Service'!$H377)/12</f>
        <v>1.4166666666666667</v>
      </c>
      <c r="AC374" s="219">
        <f>'[1]Strohs Plant in Service'!$I377</f>
        <v>257.7431489361702</v>
      </c>
      <c r="AD374" s="219"/>
      <c r="AE374" s="220">
        <f>'[1]Strohs Plant in Service'!$J377</f>
        <v>386.63</v>
      </c>
      <c r="AF374" s="221">
        <v>4660.84</v>
      </c>
      <c r="AG374" s="204"/>
      <c r="AH374" s="178"/>
      <c r="AI374" s="174"/>
      <c r="AJ374" s="179"/>
      <c r="AK374" s="247"/>
      <c r="AL374" s="248"/>
      <c r="AM374" s="294"/>
      <c r="AN374" s="219"/>
      <c r="AO374" s="219"/>
      <c r="AP374" s="219"/>
      <c r="AQ374" s="220"/>
      <c r="AR374" s="221"/>
      <c r="AY374" s="628"/>
      <c r="AZ374" s="470">
        <v>0.75</v>
      </c>
      <c r="BA374" s="466">
        <v>4273692075</v>
      </c>
      <c r="BB374" s="211" t="s">
        <v>655</v>
      </c>
      <c r="BC374" s="211">
        <v>82</v>
      </c>
      <c r="BD374" s="211">
        <v>194</v>
      </c>
      <c r="BE374" s="211">
        <v>266</v>
      </c>
      <c r="BF374" s="211">
        <v>292</v>
      </c>
      <c r="BG374" s="211">
        <v>280</v>
      </c>
      <c r="BH374" s="211">
        <v>224</v>
      </c>
      <c r="BI374" s="211">
        <v>253</v>
      </c>
      <c r="BJ374" s="211">
        <v>323</v>
      </c>
      <c r="BK374" s="211">
        <v>414</v>
      </c>
      <c r="BL374" s="211">
        <v>239</v>
      </c>
      <c r="BM374" s="211">
        <v>305</v>
      </c>
      <c r="BO374" s="28">
        <f t="shared" si="15"/>
        <v>261.09090909090907</v>
      </c>
      <c r="BP374" s="28">
        <f t="shared" si="16"/>
        <v>2872</v>
      </c>
    </row>
    <row r="375" spans="22:68" x14ac:dyDescent="0.25">
      <c r="V375" s="449" t="str">
        <f>'[1]Strohs Plant in Service'!$C378</f>
        <v>Service Connection (30)</v>
      </c>
      <c r="W375" s="292" t="str">
        <f>'[1]Strohs Plant in Service'!$D378</f>
        <v>Services - Strohs (472)</v>
      </c>
      <c r="X375" s="293">
        <f>'[1]Strohs Plant in Service'!$E378</f>
        <v>45231</v>
      </c>
      <c r="Y375" s="297">
        <f>'[1]Strohs Plant in Service'!$F378</f>
        <v>385.36</v>
      </c>
      <c r="Z375" s="248"/>
      <c r="AA375" s="294">
        <f>'[1]Strohs Plant in Service'!$G$11/12</f>
        <v>6</v>
      </c>
      <c r="AB375" s="219">
        <f>('[1]Strohs Plant in Service'!$G378-'[1]Strohs Plant in Service'!$H378)/12</f>
        <v>1.4166666666666667</v>
      </c>
      <c r="AC375" s="219">
        <f>'[1]Strohs Plant in Service'!$I378</f>
        <v>19.677957446808513</v>
      </c>
      <c r="AD375" s="219"/>
      <c r="AE375" s="220">
        <f>'[1]Strohs Plant in Service'!$J378</f>
        <v>29.52</v>
      </c>
      <c r="AF375" s="221">
        <v>355.84000000000003</v>
      </c>
      <c r="AG375" s="204"/>
      <c r="AH375" s="178"/>
      <c r="AI375" s="174"/>
      <c r="AJ375" s="179"/>
      <c r="AK375" s="247"/>
      <c r="AL375" s="248"/>
      <c r="AM375" s="294"/>
      <c r="AN375" s="219"/>
      <c r="AO375" s="219"/>
      <c r="AP375" s="219"/>
      <c r="AQ375" s="220"/>
      <c r="AR375" s="221"/>
      <c r="AY375" s="628"/>
      <c r="AZ375" s="470">
        <v>0.75</v>
      </c>
      <c r="BA375" s="466">
        <v>4274560207</v>
      </c>
      <c r="BB375" s="211">
        <v>484</v>
      </c>
      <c r="BC375" s="211">
        <v>331</v>
      </c>
      <c r="BD375" s="211">
        <v>118</v>
      </c>
      <c r="BE375" s="211">
        <v>237</v>
      </c>
      <c r="BF375" s="211">
        <v>94</v>
      </c>
      <c r="BG375" s="211">
        <v>369</v>
      </c>
      <c r="BH375" s="211">
        <v>760</v>
      </c>
      <c r="BI375" s="211">
        <v>775</v>
      </c>
      <c r="BJ375" s="211">
        <v>239</v>
      </c>
      <c r="BK375" s="211">
        <v>256</v>
      </c>
      <c r="BL375" s="211">
        <v>130</v>
      </c>
      <c r="BM375" s="211">
        <v>129</v>
      </c>
      <c r="BO375" s="28">
        <f t="shared" si="15"/>
        <v>326.83333333333331</v>
      </c>
      <c r="BP375" s="28">
        <f t="shared" si="16"/>
        <v>3922</v>
      </c>
    </row>
    <row r="376" spans="22:68" x14ac:dyDescent="0.25">
      <c r="V376" s="449" t="str">
        <f>'[1]Strohs Plant in Service'!$C379</f>
        <v>Service Connection (30)</v>
      </c>
      <c r="W376" s="292" t="str">
        <f>'[1]Strohs Plant in Service'!$D379</f>
        <v>Services - Strohs (472)</v>
      </c>
      <c r="X376" s="293">
        <f>'[1]Strohs Plant in Service'!$E379</f>
        <v>45231</v>
      </c>
      <c r="Y376" s="297">
        <f>'[1]Strohs Plant in Service'!$F379</f>
        <v>1279.73</v>
      </c>
      <c r="Z376" s="248"/>
      <c r="AA376" s="294">
        <f>'[1]Strohs Plant in Service'!$G$11/12</f>
        <v>6</v>
      </c>
      <c r="AB376" s="219">
        <f>('[1]Strohs Plant in Service'!$G379-'[1]Strohs Plant in Service'!$H379)/12</f>
        <v>1.4166666666666667</v>
      </c>
      <c r="AC376" s="219">
        <f>'[1]Strohs Plant in Service'!$I379</f>
        <v>65.34791489361703</v>
      </c>
      <c r="AD376" s="219"/>
      <c r="AE376" s="220">
        <f>'[1]Strohs Plant in Service'!$J379</f>
        <v>98.08</v>
      </c>
      <c r="AF376" s="221">
        <v>1181.6500000000001</v>
      </c>
      <c r="AG376" s="204"/>
      <c r="AH376" s="178"/>
      <c r="AI376" s="174"/>
      <c r="AJ376" s="179"/>
      <c r="AK376" s="247"/>
      <c r="AL376" s="248"/>
      <c r="AM376" s="294"/>
      <c r="AN376" s="219"/>
      <c r="AO376" s="219"/>
      <c r="AP376" s="219"/>
      <c r="AQ376" s="220"/>
      <c r="AR376" s="221"/>
      <c r="AY376" s="628"/>
      <c r="AZ376" s="470">
        <v>0.75</v>
      </c>
      <c r="BA376" s="466">
        <v>4282804338</v>
      </c>
      <c r="BB376" s="211">
        <v>505</v>
      </c>
      <c r="BC376" s="211">
        <v>516</v>
      </c>
      <c r="BD376" s="211">
        <v>766</v>
      </c>
      <c r="BE376" s="211">
        <v>458</v>
      </c>
      <c r="BF376" s="211" t="s">
        <v>655</v>
      </c>
      <c r="BG376" s="211" t="s">
        <v>655</v>
      </c>
      <c r="BH376" s="211" t="s">
        <v>655</v>
      </c>
      <c r="BI376" s="211" t="s">
        <v>655</v>
      </c>
      <c r="BJ376" s="211" t="s">
        <v>655</v>
      </c>
      <c r="BK376" s="211" t="s">
        <v>655</v>
      </c>
      <c r="BL376" s="211" t="s">
        <v>655</v>
      </c>
      <c r="BM376" s="211" t="s">
        <v>655</v>
      </c>
      <c r="BO376" s="28">
        <f t="shared" si="15"/>
        <v>561.25</v>
      </c>
      <c r="BP376" s="28">
        <f t="shared" si="16"/>
        <v>2245</v>
      </c>
    </row>
    <row r="377" spans="22:68" x14ac:dyDescent="0.25">
      <c r="V377" s="449" t="str">
        <f>'[1]Strohs Plant in Service'!$C380</f>
        <v>Service Connection (30)</v>
      </c>
      <c r="W377" s="292" t="str">
        <f>'[1]Strohs Plant in Service'!$D380</f>
        <v>Services - Strohs (075)</v>
      </c>
      <c r="X377" s="293">
        <f>'[1]Strohs Plant in Service'!$E380</f>
        <v>45231</v>
      </c>
      <c r="Y377" s="297">
        <f>'[1]Strohs Plant in Service'!$F380</f>
        <v>10432.26</v>
      </c>
      <c r="Z377" s="248"/>
      <c r="AA377" s="294">
        <f>'[1]Strohs Plant in Service'!$G$11/12</f>
        <v>6</v>
      </c>
      <c r="AB377" s="219">
        <f>('[1]Strohs Plant in Service'!$G380-'[1]Strohs Plant in Service'!$H380)/12</f>
        <v>1.4166666666666667</v>
      </c>
      <c r="AC377" s="219">
        <f>'[1]Strohs Plant in Service'!$I380</f>
        <v>532.71114893617028</v>
      </c>
      <c r="AD377" s="219"/>
      <c r="AE377" s="220">
        <f>'[1]Strohs Plant in Service'!$J380</f>
        <v>799.03</v>
      </c>
      <c r="AF377" s="221">
        <v>9633.23</v>
      </c>
      <c r="AG377" s="204"/>
      <c r="AH377" s="178"/>
      <c r="AI377" s="174"/>
      <c r="AJ377" s="179"/>
      <c r="AK377" s="247"/>
      <c r="AL377" s="248"/>
      <c r="AM377" s="294"/>
      <c r="AN377" s="219"/>
      <c r="AO377" s="219"/>
      <c r="AP377" s="219"/>
      <c r="AQ377" s="220"/>
      <c r="AR377" s="221"/>
      <c r="AY377" s="628"/>
      <c r="AZ377" s="470">
        <v>0.75</v>
      </c>
      <c r="BA377" s="466">
        <v>4313495323</v>
      </c>
      <c r="BB377" s="211">
        <v>196</v>
      </c>
      <c r="BC377" s="211">
        <v>161</v>
      </c>
      <c r="BD377" s="211">
        <v>169</v>
      </c>
      <c r="BE377" s="211">
        <v>236</v>
      </c>
      <c r="BF377" s="211">
        <v>299</v>
      </c>
      <c r="BG377" s="211">
        <v>388</v>
      </c>
      <c r="BH377" s="211">
        <v>455</v>
      </c>
      <c r="BI377" s="211">
        <v>482</v>
      </c>
      <c r="BJ377" s="211">
        <v>440</v>
      </c>
      <c r="BK377" s="211">
        <v>126</v>
      </c>
      <c r="BL377" s="211">
        <v>128</v>
      </c>
      <c r="BM377" s="211">
        <v>160</v>
      </c>
      <c r="BO377" s="28">
        <f t="shared" si="15"/>
        <v>270</v>
      </c>
      <c r="BP377" s="28">
        <f t="shared" si="16"/>
        <v>3240</v>
      </c>
    </row>
    <row r="378" spans="22:68" x14ac:dyDescent="0.25">
      <c r="V378" s="449" t="str">
        <f>'[1]Strohs Plant in Service'!$C381</f>
        <v>Service Connection (30)</v>
      </c>
      <c r="W378" s="292" t="str">
        <f>'[1]Strohs Plant in Service'!$D381</f>
        <v>Services - Strohs, 3510 53d St (075</v>
      </c>
      <c r="X378" s="293">
        <f>'[1]Strohs Plant in Service'!$E381</f>
        <v>45231</v>
      </c>
      <c r="Y378" s="297">
        <f>'[1]Strohs Plant in Service'!$F381</f>
        <v>2108.54</v>
      </c>
      <c r="Z378" s="248"/>
      <c r="AA378" s="294">
        <f>'[1]Strohs Plant in Service'!$G$11/12</f>
        <v>6</v>
      </c>
      <c r="AB378" s="219">
        <f>('[1]Strohs Plant in Service'!$G381-'[1]Strohs Plant in Service'!$H381)/12</f>
        <v>1.4166666666666667</v>
      </c>
      <c r="AC378" s="219">
        <f>'[1]Strohs Plant in Service'!$I381</f>
        <v>107.67012765957448</v>
      </c>
      <c r="AD378" s="219"/>
      <c r="AE378" s="220">
        <f>'[1]Strohs Plant in Service'!$J381</f>
        <v>161.47</v>
      </c>
      <c r="AF378" s="221">
        <v>1947.07</v>
      </c>
      <c r="AG378" s="204"/>
      <c r="AH378" s="178"/>
      <c r="AI378" s="174"/>
      <c r="AJ378" s="179"/>
      <c r="AK378" s="247"/>
      <c r="AL378" s="248"/>
      <c r="AM378" s="294"/>
      <c r="AN378" s="219"/>
      <c r="AO378" s="219"/>
      <c r="AP378" s="219"/>
      <c r="AQ378" s="220"/>
      <c r="AR378" s="221"/>
      <c r="AY378" s="628"/>
      <c r="AZ378" s="470">
        <v>0.625</v>
      </c>
      <c r="BA378" s="466">
        <v>4335733235</v>
      </c>
      <c r="BB378" s="211">
        <v>533</v>
      </c>
      <c r="BC378" s="211">
        <v>378</v>
      </c>
      <c r="BD378" s="211">
        <v>504</v>
      </c>
      <c r="BE378" s="211">
        <v>344</v>
      </c>
      <c r="BF378" s="211">
        <v>654</v>
      </c>
      <c r="BG378" s="211">
        <v>657</v>
      </c>
      <c r="BH378" s="211">
        <v>1540</v>
      </c>
      <c r="BI378" s="211">
        <v>1499</v>
      </c>
      <c r="BJ378" s="211">
        <v>683</v>
      </c>
      <c r="BK378" s="211">
        <v>543</v>
      </c>
      <c r="BL378" s="211">
        <v>546</v>
      </c>
      <c r="BM378" s="211">
        <v>881</v>
      </c>
      <c r="BO378" s="28">
        <f t="shared" si="15"/>
        <v>730.16666666666663</v>
      </c>
      <c r="BP378" s="28">
        <f t="shared" si="16"/>
        <v>8762</v>
      </c>
    </row>
    <row r="379" spans="22:68" x14ac:dyDescent="0.25">
      <c r="V379" s="449" t="str">
        <f>'[1]Strohs Plant in Service'!$C382</f>
        <v>Service Connection (30)</v>
      </c>
      <c r="W379" s="292" t="str">
        <f>'[1]Strohs Plant in Service'!$D382</f>
        <v>Services (CIAC) Fox Run, upsized -</v>
      </c>
      <c r="X379" s="293">
        <f>'[1]Strohs Plant in Service'!$E382</f>
        <v>45231</v>
      </c>
      <c r="Y379" s="297">
        <f>'[1]Strohs Plant in Service'!$F382</f>
        <v>12374</v>
      </c>
      <c r="Z379" s="248"/>
      <c r="AA379" s="294">
        <f>'[1]Strohs Plant in Service'!$G$11/12</f>
        <v>6</v>
      </c>
      <c r="AB379" s="219">
        <f>('[1]Strohs Plant in Service'!$G382-'[1]Strohs Plant in Service'!$H382)/12</f>
        <v>1.4166666666666667</v>
      </c>
      <c r="AC379" s="219">
        <f>'[1]Strohs Plant in Service'!$I382</f>
        <v>631.86382978723407</v>
      </c>
      <c r="AD379" s="219"/>
      <c r="AE379" s="220">
        <f>'[1]Strohs Plant in Service'!$J382</f>
        <v>947.86</v>
      </c>
      <c r="AF379" s="221">
        <v>11426.14</v>
      </c>
      <c r="AG379" s="204"/>
      <c r="AH379" s="178"/>
      <c r="AI379" s="174"/>
      <c r="AJ379" s="179"/>
      <c r="AK379" s="247"/>
      <c r="AL379" s="248"/>
      <c r="AM379" s="294"/>
      <c r="AN379" s="219"/>
      <c r="AO379" s="219"/>
      <c r="AP379" s="219"/>
      <c r="AQ379" s="220"/>
      <c r="AR379" s="221"/>
      <c r="AY379" s="628"/>
      <c r="AZ379" s="471">
        <v>4</v>
      </c>
      <c r="BA379" s="466">
        <v>4357715712</v>
      </c>
      <c r="BB379" s="211">
        <v>35013</v>
      </c>
      <c r="BC379" s="211">
        <v>37064</v>
      </c>
      <c r="BD379" s="211">
        <v>8992</v>
      </c>
      <c r="BE379" s="211">
        <v>20340</v>
      </c>
      <c r="BF379" s="211">
        <v>16678</v>
      </c>
      <c r="BG379" s="211">
        <v>18954</v>
      </c>
      <c r="BH379" s="211" t="s">
        <v>655</v>
      </c>
      <c r="BI379" s="211">
        <v>39844</v>
      </c>
      <c r="BJ379" s="211">
        <v>21011</v>
      </c>
      <c r="BK379" s="211">
        <v>20937</v>
      </c>
      <c r="BL379" s="211">
        <v>18970</v>
      </c>
      <c r="BM379" s="211">
        <v>20405</v>
      </c>
      <c r="BO379" s="28">
        <f t="shared" si="15"/>
        <v>23473.454545454544</v>
      </c>
      <c r="BP379" s="28">
        <f t="shared" si="16"/>
        <v>258208</v>
      </c>
    </row>
    <row r="380" spans="22:68" x14ac:dyDescent="0.25">
      <c r="V380" s="449" t="str">
        <f>'[1]Strohs Plant in Service'!$C383</f>
        <v>Service Connection (30)</v>
      </c>
      <c r="W380" s="292" t="str">
        <f>'[1]Strohs Plant in Service'!$D383</f>
        <v>Services - Strohs (472)</v>
      </c>
      <c r="X380" s="293">
        <f>'[1]Strohs Plant in Service'!$E383</f>
        <v>45231</v>
      </c>
      <c r="Y380" s="297">
        <f>'[1]Strohs Plant in Service'!$F383</f>
        <v>3815.58</v>
      </c>
      <c r="Z380" s="248"/>
      <c r="AA380" s="294">
        <f>'[1]Strohs Plant in Service'!$G$11/12</f>
        <v>6</v>
      </c>
      <c r="AB380" s="219">
        <f>('[1]Strohs Plant in Service'!$G383-'[1]Strohs Plant in Service'!$H383)/12</f>
        <v>1.4166666666666667</v>
      </c>
      <c r="AC380" s="219">
        <f>'[1]Strohs Plant in Service'!$I383</f>
        <v>194.83812765957447</v>
      </c>
      <c r="AD380" s="219"/>
      <c r="AE380" s="220">
        <f>'[1]Strohs Plant in Service'!$J383</f>
        <v>292.3</v>
      </c>
      <c r="AF380" s="221">
        <v>3523.2799999999997</v>
      </c>
      <c r="AG380" s="204"/>
      <c r="AH380" s="178"/>
      <c r="AI380" s="174"/>
      <c r="AJ380" s="179"/>
      <c r="AK380" s="247"/>
      <c r="AL380" s="248"/>
      <c r="AM380" s="294"/>
      <c r="AN380" s="219"/>
      <c r="AO380" s="219"/>
      <c r="AP380" s="219"/>
      <c r="AQ380" s="220"/>
      <c r="AR380" s="221"/>
      <c r="AY380" s="628"/>
      <c r="AZ380" s="470">
        <v>0.625</v>
      </c>
      <c r="BA380" s="466">
        <v>4367590571</v>
      </c>
      <c r="BB380" s="211" t="s">
        <v>655</v>
      </c>
      <c r="BC380" s="211">
        <v>934</v>
      </c>
      <c r="BD380" s="211">
        <v>338</v>
      </c>
      <c r="BE380" s="211">
        <v>390</v>
      </c>
      <c r="BF380" s="211">
        <v>358</v>
      </c>
      <c r="BG380" s="211">
        <v>363</v>
      </c>
      <c r="BH380" s="211">
        <v>802</v>
      </c>
      <c r="BI380" s="211">
        <v>415</v>
      </c>
      <c r="BJ380" s="211">
        <v>373</v>
      </c>
      <c r="BK380" s="211">
        <v>372</v>
      </c>
      <c r="BL380" s="211">
        <v>261</v>
      </c>
      <c r="BM380" s="211">
        <v>302</v>
      </c>
      <c r="BO380" s="28">
        <f t="shared" si="15"/>
        <v>446.18181818181819</v>
      </c>
      <c r="BP380" s="28">
        <f t="shared" si="16"/>
        <v>4908</v>
      </c>
    </row>
    <row r="381" spans="22:68" x14ac:dyDescent="0.25">
      <c r="V381" s="449" t="str">
        <f>'[1]Strohs Plant in Service'!$C384</f>
        <v>Service Connection (30)</v>
      </c>
      <c r="W381" s="292" t="str">
        <f>'[1]Strohs Plant in Service'!$D384</f>
        <v>Services (CIAC) - Stroh (075)</v>
      </c>
      <c r="X381" s="293">
        <f>'[1]Strohs Plant in Service'!$E384</f>
        <v>45231</v>
      </c>
      <c r="Y381" s="297">
        <f>'[1]Strohs Plant in Service'!$F384</f>
        <v>1437.39</v>
      </c>
      <c r="Z381" s="248"/>
      <c r="AA381" s="294">
        <f>'[1]Strohs Plant in Service'!$G$11/12</f>
        <v>6</v>
      </c>
      <c r="AB381" s="219">
        <f>('[1]Strohs Plant in Service'!$G384-'[1]Strohs Plant in Service'!$H384)/12</f>
        <v>1.4166666666666667</v>
      </c>
      <c r="AC381" s="219">
        <f>'[1]Strohs Plant in Service'!$I384</f>
        <v>73.398638297872338</v>
      </c>
      <c r="AD381" s="219"/>
      <c r="AE381" s="220">
        <f>'[1]Strohs Plant in Service'!$J384</f>
        <v>110.14</v>
      </c>
      <c r="AF381" s="221">
        <v>1327.25</v>
      </c>
      <c r="AG381" s="204"/>
      <c r="AH381" s="178"/>
      <c r="AI381" s="174"/>
      <c r="AJ381" s="179"/>
      <c r="AK381" s="247"/>
      <c r="AL381" s="248"/>
      <c r="AM381" s="294"/>
      <c r="AN381" s="219"/>
      <c r="AO381" s="219"/>
      <c r="AP381" s="219"/>
      <c r="AQ381" s="220"/>
      <c r="AR381" s="221"/>
      <c r="AY381" s="628"/>
      <c r="AZ381" s="470">
        <v>0.75</v>
      </c>
      <c r="BA381" s="466">
        <v>4374744337</v>
      </c>
      <c r="BB381" s="211">
        <v>393</v>
      </c>
      <c r="BC381" s="211">
        <v>367</v>
      </c>
      <c r="BD381" s="211">
        <v>298</v>
      </c>
      <c r="BE381" s="211">
        <v>751</v>
      </c>
      <c r="BF381" s="211">
        <v>915</v>
      </c>
      <c r="BG381" s="211">
        <v>1185</v>
      </c>
      <c r="BH381" s="211">
        <v>4355</v>
      </c>
      <c r="BI381" s="211">
        <v>3244</v>
      </c>
      <c r="BJ381" s="211">
        <v>2903</v>
      </c>
      <c r="BK381" s="211">
        <v>1567</v>
      </c>
      <c r="BL381" s="211">
        <v>360</v>
      </c>
      <c r="BM381" s="211">
        <v>300</v>
      </c>
      <c r="BO381" s="28">
        <f t="shared" si="15"/>
        <v>1386.5</v>
      </c>
      <c r="BP381" s="28">
        <f t="shared" si="16"/>
        <v>16638</v>
      </c>
    </row>
    <row r="382" spans="22:68" x14ac:dyDescent="0.25">
      <c r="V382" s="449" t="str">
        <f>'[1]Strohs Plant in Service'!$C385</f>
        <v>Service Connection (30)</v>
      </c>
      <c r="W382" s="292" t="str">
        <f>'[1]Strohs Plant in Service'!$D385</f>
        <v>Services - Strohs (472)</v>
      </c>
      <c r="X382" s="293">
        <f>'[1]Strohs Plant in Service'!$E385</f>
        <v>45231</v>
      </c>
      <c r="Y382" s="297">
        <f>'[1]Strohs Plant in Service'!$F385</f>
        <v>1348.27</v>
      </c>
      <c r="Z382" s="248"/>
      <c r="AA382" s="294">
        <f>'[1]Strohs Plant in Service'!$G$11/12</f>
        <v>6</v>
      </c>
      <c r="AB382" s="219">
        <f>('[1]Strohs Plant in Service'!$G385-'[1]Strohs Plant in Service'!$H385)/12</f>
        <v>1.4166666666666667</v>
      </c>
      <c r="AC382" s="219">
        <f>'[1]Strohs Plant in Service'!$I385</f>
        <v>68.847829787234048</v>
      </c>
      <c r="AD382" s="219"/>
      <c r="AE382" s="220">
        <f>'[1]Strohs Plant in Service'!$J385</f>
        <v>103.31</v>
      </c>
      <c r="AF382" s="221">
        <v>1244.96</v>
      </c>
      <c r="AG382" s="204"/>
      <c r="AH382" s="178"/>
      <c r="AI382" s="174"/>
      <c r="AJ382" s="179"/>
      <c r="AK382" s="247"/>
      <c r="AL382" s="248"/>
      <c r="AM382" s="294"/>
      <c r="AN382" s="219"/>
      <c r="AO382" s="219"/>
      <c r="AP382" s="219"/>
      <c r="AQ382" s="220"/>
      <c r="AR382" s="221"/>
      <c r="AY382" s="628"/>
      <c r="AZ382" s="470">
        <v>0.75</v>
      </c>
      <c r="BA382" s="466">
        <v>4392479211</v>
      </c>
      <c r="BB382" s="211">
        <v>99</v>
      </c>
      <c r="BC382" s="211">
        <v>158</v>
      </c>
      <c r="BD382" s="211">
        <v>288</v>
      </c>
      <c r="BE382" s="211" t="s">
        <v>655</v>
      </c>
      <c r="BF382" s="211">
        <v>1418</v>
      </c>
      <c r="BG382" s="211">
        <v>941</v>
      </c>
      <c r="BH382" s="211">
        <v>516</v>
      </c>
      <c r="BI382" s="211">
        <v>1151</v>
      </c>
      <c r="BJ382" s="211">
        <v>351</v>
      </c>
      <c r="BK382" s="211">
        <v>248</v>
      </c>
      <c r="BL382" s="211">
        <v>250</v>
      </c>
      <c r="BM382" s="211">
        <v>105</v>
      </c>
      <c r="BO382" s="28">
        <f t="shared" si="15"/>
        <v>502.27272727272725</v>
      </c>
      <c r="BP382" s="28">
        <f t="shared" si="16"/>
        <v>5525</v>
      </c>
    </row>
    <row r="383" spans="22:68" x14ac:dyDescent="0.25">
      <c r="V383" s="449" t="str">
        <f>'[1]Strohs Plant in Service'!$C386</f>
        <v>Service Connection (30)</v>
      </c>
      <c r="W383" s="292" t="str">
        <f>'[1]Strohs Plant in Service'!$D386</f>
        <v>Services - Strohs (472)</v>
      </c>
      <c r="X383" s="293">
        <f>'[1]Strohs Plant in Service'!$E386</f>
        <v>45231</v>
      </c>
      <c r="Y383" s="297">
        <f>'[1]Strohs Plant in Service'!$F386</f>
        <v>6824.6</v>
      </c>
      <c r="Z383" s="248"/>
      <c r="AA383" s="294">
        <f>'[1]Strohs Plant in Service'!$G$11/12</f>
        <v>6</v>
      </c>
      <c r="AB383" s="219">
        <f>('[1]Strohs Plant in Service'!$G386-'[1]Strohs Plant in Service'!$H386)/12</f>
        <v>1.4166666666666667</v>
      </c>
      <c r="AC383" s="219">
        <f>'[1]Strohs Plant in Service'!$I386</f>
        <v>348.49021276595744</v>
      </c>
      <c r="AD383" s="219"/>
      <c r="AE383" s="220">
        <f>'[1]Strohs Plant in Service'!$J386</f>
        <v>522.72</v>
      </c>
      <c r="AF383" s="221">
        <v>6301.88</v>
      </c>
      <c r="AG383" s="204"/>
      <c r="AH383" s="178"/>
      <c r="AI383" s="174"/>
      <c r="AJ383" s="179"/>
      <c r="AK383" s="247"/>
      <c r="AL383" s="248"/>
      <c r="AM383" s="294"/>
      <c r="AN383" s="219"/>
      <c r="AO383" s="219"/>
      <c r="AP383" s="219"/>
      <c r="AQ383" s="220"/>
      <c r="AR383" s="221"/>
      <c r="AY383" s="628"/>
      <c r="AZ383" s="470">
        <v>1.5</v>
      </c>
      <c r="BA383" s="466">
        <v>4400625486</v>
      </c>
      <c r="BB383" s="211">
        <v>16068</v>
      </c>
      <c r="BC383" s="211">
        <v>13492</v>
      </c>
      <c r="BD383" s="211">
        <v>14088</v>
      </c>
      <c r="BE383" s="211">
        <v>16522</v>
      </c>
      <c r="BF383" s="211">
        <v>14844</v>
      </c>
      <c r="BG383" s="211">
        <v>14453</v>
      </c>
      <c r="BH383" s="211">
        <v>15636</v>
      </c>
      <c r="BI383" s="211">
        <v>15043</v>
      </c>
      <c r="BJ383" s="211">
        <v>19848</v>
      </c>
      <c r="BK383" s="211">
        <v>12401</v>
      </c>
      <c r="BL383" s="211">
        <v>11383</v>
      </c>
      <c r="BM383" s="211">
        <v>13354</v>
      </c>
      <c r="BO383" s="28">
        <f t="shared" si="15"/>
        <v>14761</v>
      </c>
      <c r="BP383" s="28">
        <f t="shared" si="16"/>
        <v>177132</v>
      </c>
    </row>
    <row r="384" spans="22:68" x14ac:dyDescent="0.25">
      <c r="V384" s="449" t="str">
        <f>'[1]Strohs Plant in Service'!$C387</f>
        <v>Service Connection (30)</v>
      </c>
      <c r="W384" s="292" t="str">
        <f>'[1]Strohs Plant in Service'!$D387</f>
        <v>Services (CIAC) - Stroh (075)</v>
      </c>
      <c r="X384" s="293">
        <f>'[1]Strohs Plant in Service'!$E387</f>
        <v>45231</v>
      </c>
      <c r="Y384" s="297">
        <f>'[1]Strohs Plant in Service'!$F387</f>
        <v>287.48</v>
      </c>
      <c r="Z384" s="248"/>
      <c r="AA384" s="294">
        <f>'[1]Strohs Plant in Service'!$G$11/12</f>
        <v>6</v>
      </c>
      <c r="AB384" s="219">
        <f>('[1]Strohs Plant in Service'!$G387-'[1]Strohs Plant in Service'!$H387)/12</f>
        <v>1.4166666666666667</v>
      </c>
      <c r="AC384" s="219">
        <f>'[1]Strohs Plant in Service'!$I387</f>
        <v>14.679829787234045</v>
      </c>
      <c r="AD384" s="219"/>
      <c r="AE384" s="220">
        <f>'[1]Strohs Plant in Service'!$J387</f>
        <v>21.98</v>
      </c>
      <c r="AF384" s="221">
        <v>265.5</v>
      </c>
      <c r="AG384" s="204"/>
      <c r="AH384" s="178"/>
      <c r="AI384" s="174"/>
      <c r="AJ384" s="179"/>
      <c r="AK384" s="247"/>
      <c r="AL384" s="248"/>
      <c r="AM384" s="294"/>
      <c r="AN384" s="219"/>
      <c r="AO384" s="219"/>
      <c r="AP384" s="219"/>
      <c r="AQ384" s="220"/>
      <c r="AR384" s="221"/>
      <c r="AY384" s="628"/>
      <c r="AZ384" s="470">
        <v>0.75</v>
      </c>
      <c r="BA384" s="466">
        <v>4412962014</v>
      </c>
      <c r="BB384" s="211">
        <v>286</v>
      </c>
      <c r="BC384" s="211">
        <v>416</v>
      </c>
      <c r="BD384" s="211">
        <v>383</v>
      </c>
      <c r="BE384" s="211">
        <v>221</v>
      </c>
      <c r="BF384" s="211">
        <v>411</v>
      </c>
      <c r="BG384" s="211">
        <v>452</v>
      </c>
      <c r="BH384" s="211">
        <v>540</v>
      </c>
      <c r="BI384" s="211">
        <v>393</v>
      </c>
      <c r="BJ384" s="211">
        <v>643</v>
      </c>
      <c r="BK384" s="211">
        <v>850</v>
      </c>
      <c r="BL384" s="211">
        <v>735</v>
      </c>
      <c r="BM384" s="211">
        <v>365</v>
      </c>
      <c r="BO384" s="28">
        <f t="shared" si="15"/>
        <v>474.58333333333331</v>
      </c>
      <c r="BP384" s="28">
        <f t="shared" si="16"/>
        <v>5695</v>
      </c>
    </row>
    <row r="385" spans="22:68" x14ac:dyDescent="0.25">
      <c r="V385" s="449" t="str">
        <f>'[1]Strohs Plant in Service'!$C388</f>
        <v>Service Connection (30)</v>
      </c>
      <c r="W385" s="292" t="str">
        <f>'[1]Strohs Plant in Service'!$D388</f>
        <v>Services (CIAC) - Stroh (075)</v>
      </c>
      <c r="X385" s="293">
        <f>'[1]Strohs Plant in Service'!$E388</f>
        <v>45231</v>
      </c>
      <c r="Y385" s="297">
        <f>'[1]Strohs Plant in Service'!$F388</f>
        <v>1248.9000000000001</v>
      </c>
      <c r="Z385" s="248"/>
      <c r="AA385" s="294">
        <f>'[1]Strohs Plant in Service'!$G$11/12</f>
        <v>6</v>
      </c>
      <c r="AB385" s="219">
        <f>('[1]Strohs Plant in Service'!$G388-'[1]Strohs Plant in Service'!$H388)/12</f>
        <v>1.4166666666666667</v>
      </c>
      <c r="AC385" s="219">
        <f>'[1]Strohs Plant in Service'!$I388</f>
        <v>63.773617021276593</v>
      </c>
      <c r="AD385" s="219"/>
      <c r="AE385" s="220">
        <f>'[1]Strohs Plant in Service'!$J388</f>
        <v>95.6</v>
      </c>
      <c r="AF385" s="221">
        <v>1153.3000000000002</v>
      </c>
      <c r="AG385" s="204"/>
      <c r="AH385" s="178"/>
      <c r="AI385" s="174"/>
      <c r="AJ385" s="179"/>
      <c r="AK385" s="247"/>
      <c r="AL385" s="248"/>
      <c r="AM385" s="294"/>
      <c r="AN385" s="219"/>
      <c r="AO385" s="219"/>
      <c r="AP385" s="219"/>
      <c r="AQ385" s="220"/>
      <c r="AR385" s="221"/>
      <c r="AY385" s="628"/>
      <c r="AZ385" s="470">
        <v>1</v>
      </c>
      <c r="BA385" s="466">
        <v>4425272781</v>
      </c>
      <c r="BB385" s="211">
        <v>515</v>
      </c>
      <c r="BC385" s="211">
        <v>477</v>
      </c>
      <c r="BD385" s="211">
        <v>662</v>
      </c>
      <c r="BE385" s="211">
        <v>1045</v>
      </c>
      <c r="BF385" s="211">
        <v>904</v>
      </c>
      <c r="BG385" s="211">
        <v>1881</v>
      </c>
      <c r="BH385" s="211">
        <v>4014</v>
      </c>
      <c r="BI385" s="211">
        <v>17333</v>
      </c>
      <c r="BJ385" s="211">
        <v>5238</v>
      </c>
      <c r="BK385" s="211">
        <v>511</v>
      </c>
      <c r="BL385" s="211">
        <v>511</v>
      </c>
      <c r="BM385" s="211">
        <v>260</v>
      </c>
      <c r="BO385" s="28">
        <f t="shared" si="15"/>
        <v>2779.25</v>
      </c>
      <c r="BP385" s="28">
        <f t="shared" si="16"/>
        <v>33351</v>
      </c>
    </row>
    <row r="386" spans="22:68" x14ac:dyDescent="0.25">
      <c r="V386" s="449" t="str">
        <f>'[1]Strohs Plant in Service'!$C389</f>
        <v>Meters (20)</v>
      </c>
      <c r="W386" s="292" t="str">
        <f>'[1]Strohs Plant in Service'!$D389</f>
        <v>Meters - Strohs (472)</v>
      </c>
      <c r="X386" s="293">
        <f>'[1]Strohs Plant in Service'!$E389</f>
        <v>45231</v>
      </c>
      <c r="Y386" s="297">
        <f>'[1]Strohs Plant in Service'!$F389</f>
        <v>38602.83</v>
      </c>
      <c r="Z386" s="248"/>
      <c r="AA386" s="294">
        <f>'[1]Strohs Plant in Service'!$G$11/12</f>
        <v>6</v>
      </c>
      <c r="AB386" s="219">
        <f>('[1]Strohs Plant in Service'!$G389-'[1]Strohs Plant in Service'!$H389)/12</f>
        <v>31.416666666666668</v>
      </c>
      <c r="AC386" s="219">
        <f>'[1]Strohs Plant in Service'!$I389</f>
        <v>1102.9380000000001</v>
      </c>
      <c r="AD386" s="219"/>
      <c r="AE386" s="220">
        <f>'[1]Strohs Plant in Service'!$J389</f>
        <v>30272.39</v>
      </c>
      <c r="AF386" s="221">
        <v>8330.4400000000023</v>
      </c>
      <c r="AG386" s="204"/>
      <c r="AH386" s="178"/>
      <c r="AI386" s="174"/>
      <c r="AJ386" s="179"/>
      <c r="AK386" s="247"/>
      <c r="AL386" s="248"/>
      <c r="AM386" s="294"/>
      <c r="AN386" s="219"/>
      <c r="AO386" s="219"/>
      <c r="AP386" s="219"/>
      <c r="AQ386" s="220"/>
      <c r="AR386" s="221"/>
      <c r="AY386" s="628"/>
      <c r="AZ386" s="470">
        <v>0.75</v>
      </c>
      <c r="BA386" s="466">
        <v>4443439264</v>
      </c>
      <c r="BB386" s="211">
        <v>197</v>
      </c>
      <c r="BC386" s="211">
        <v>208</v>
      </c>
      <c r="BD386" s="211">
        <v>255</v>
      </c>
      <c r="BE386" s="211">
        <v>205</v>
      </c>
      <c r="BF386" s="211">
        <v>231</v>
      </c>
      <c r="BG386" s="211">
        <v>1023</v>
      </c>
      <c r="BH386" s="211">
        <v>3237</v>
      </c>
      <c r="BI386" s="211">
        <v>2679</v>
      </c>
      <c r="BJ386" s="211">
        <v>1448</v>
      </c>
      <c r="BK386" s="211">
        <v>430</v>
      </c>
      <c r="BL386" s="211">
        <v>250</v>
      </c>
      <c r="BM386" s="211">
        <v>255</v>
      </c>
      <c r="BO386" s="28">
        <f t="shared" si="15"/>
        <v>868.16666666666663</v>
      </c>
      <c r="BP386" s="28">
        <f t="shared" si="16"/>
        <v>10418</v>
      </c>
    </row>
    <row r="387" spans="22:68" x14ac:dyDescent="0.25">
      <c r="V387" s="449" t="str">
        <f>'[1]Strohs Plant in Service'!$C390</f>
        <v>Meters (20)</v>
      </c>
      <c r="W387" s="292" t="str">
        <f>'[1]Strohs Plant in Service'!$D390</f>
        <v>Meters - Strohs (472)</v>
      </c>
      <c r="X387" s="293">
        <f>'[1]Strohs Plant in Service'!$E390</f>
        <v>45231</v>
      </c>
      <c r="Y387" s="297">
        <f>'[1]Strohs Plant in Service'!$F390</f>
        <v>5729.68</v>
      </c>
      <c r="Z387" s="248"/>
      <c r="AA387" s="294">
        <f>'[1]Strohs Plant in Service'!$G$11/12</f>
        <v>6</v>
      </c>
      <c r="AB387" s="219">
        <f>('[1]Strohs Plant in Service'!$G390-'[1]Strohs Plant in Service'!$H390)/12</f>
        <v>25.916666666666668</v>
      </c>
      <c r="AC387" s="219">
        <f>'[1]Strohs Plant in Service'!$I390</f>
        <v>163.70514285714287</v>
      </c>
      <c r="AD387" s="219"/>
      <c r="AE387" s="220">
        <f>'[1]Strohs Plant in Service'!$J390</f>
        <v>4256.32</v>
      </c>
      <c r="AF387" s="221">
        <v>1473.3600000000006</v>
      </c>
      <c r="AG387" s="204"/>
      <c r="AH387" s="178"/>
      <c r="AI387" s="174"/>
      <c r="AJ387" s="179"/>
      <c r="AK387" s="247"/>
      <c r="AL387" s="248"/>
      <c r="AM387" s="294"/>
      <c r="AN387" s="219"/>
      <c r="AO387" s="219"/>
      <c r="AP387" s="219"/>
      <c r="AQ387" s="220"/>
      <c r="AR387" s="221"/>
      <c r="AY387" s="628"/>
      <c r="AZ387" s="470">
        <v>0.75</v>
      </c>
      <c r="BA387" s="466">
        <v>4459145951</v>
      </c>
      <c r="BB387" s="211">
        <v>313</v>
      </c>
      <c r="BC387" s="211">
        <v>237</v>
      </c>
      <c r="BD387" s="211">
        <v>266</v>
      </c>
      <c r="BE387" s="211">
        <v>110</v>
      </c>
      <c r="BF387" s="211">
        <v>504</v>
      </c>
      <c r="BG387" s="211">
        <v>275</v>
      </c>
      <c r="BH387" s="211">
        <v>338</v>
      </c>
      <c r="BI387" s="211">
        <v>328</v>
      </c>
      <c r="BJ387" s="211">
        <v>380</v>
      </c>
      <c r="BK387" s="211">
        <v>221</v>
      </c>
      <c r="BL387" s="211">
        <v>200</v>
      </c>
      <c r="BM387" s="211">
        <v>200</v>
      </c>
      <c r="BO387" s="28">
        <f t="shared" si="15"/>
        <v>281</v>
      </c>
      <c r="BP387" s="28">
        <f t="shared" si="16"/>
        <v>3372</v>
      </c>
    </row>
    <row r="388" spans="22:68" x14ac:dyDescent="0.25">
      <c r="V388" s="449" t="str">
        <f>'[1]Strohs Plant in Service'!$C391</f>
        <v>Meters (20)</v>
      </c>
      <c r="W388" s="292" t="str">
        <f>'[1]Strohs Plant in Service'!$D391</f>
        <v>Meters - Strohs (075)</v>
      </c>
      <c r="X388" s="293">
        <f>'[1]Strohs Plant in Service'!$E391</f>
        <v>45231</v>
      </c>
      <c r="Y388" s="297">
        <f>'[1]Strohs Plant in Service'!$F391</f>
        <v>3523</v>
      </c>
      <c r="Z388" s="248"/>
      <c r="AA388" s="294">
        <f>'[1]Strohs Plant in Service'!$G$11/12</f>
        <v>6</v>
      </c>
      <c r="AB388" s="219">
        <f>('[1]Strohs Plant in Service'!$G391-'[1]Strohs Plant in Service'!$H391)/12</f>
        <v>24.5</v>
      </c>
      <c r="AC388" s="219">
        <f>'[1]Strohs Plant in Service'!$I391</f>
        <v>100.65714285714284</v>
      </c>
      <c r="AD388" s="219"/>
      <c r="AE388" s="220">
        <f>'[1]Strohs Plant in Service'!$J391</f>
        <v>2474.5100000000002</v>
      </c>
      <c r="AF388" s="221">
        <v>1048.4899999999998</v>
      </c>
      <c r="AG388" s="204"/>
      <c r="AH388" s="178"/>
      <c r="AI388" s="174"/>
      <c r="AJ388" s="179"/>
      <c r="AK388" s="247"/>
      <c r="AL388" s="248"/>
      <c r="AM388" s="294"/>
      <c r="AN388" s="219"/>
      <c r="AO388" s="219"/>
      <c r="AP388" s="219"/>
      <c r="AQ388" s="220"/>
      <c r="AR388" s="221"/>
      <c r="AY388" s="628"/>
      <c r="AZ388" s="471">
        <v>2</v>
      </c>
      <c r="BA388" s="466">
        <v>4469236344</v>
      </c>
      <c r="BB388" s="211" t="s">
        <v>655</v>
      </c>
      <c r="BC388" s="211" t="s">
        <v>655</v>
      </c>
      <c r="BD388" s="211" t="s">
        <v>655</v>
      </c>
      <c r="BE388" s="211">
        <v>330</v>
      </c>
      <c r="BF388" s="211">
        <v>10</v>
      </c>
      <c r="BG388" s="211">
        <v>22010</v>
      </c>
      <c r="BH388" s="211">
        <v>38960</v>
      </c>
      <c r="BI388" s="211">
        <v>30560</v>
      </c>
      <c r="BJ388" s="211">
        <v>31830</v>
      </c>
      <c r="BK388" s="211">
        <v>5360</v>
      </c>
      <c r="BL388" s="211">
        <v>20</v>
      </c>
      <c r="BM388" s="211" t="s">
        <v>655</v>
      </c>
      <c r="BO388" s="28">
        <f t="shared" si="15"/>
        <v>16135</v>
      </c>
      <c r="BP388" s="28">
        <f t="shared" si="16"/>
        <v>129080</v>
      </c>
    </row>
    <row r="389" spans="22:68" x14ac:dyDescent="0.25">
      <c r="V389" s="449" t="str">
        <f>'[1]Strohs Plant in Service'!$C392</f>
        <v>Meters (20)</v>
      </c>
      <c r="W389" s="292" t="str">
        <f>'[1]Strohs Plant in Service'!$D392</f>
        <v>Meters - Strohs (472)</v>
      </c>
      <c r="X389" s="293">
        <f>'[1]Strohs Plant in Service'!$E392</f>
        <v>45231</v>
      </c>
      <c r="Y389" s="297">
        <f>'[1]Strohs Plant in Service'!$F392</f>
        <v>5249</v>
      </c>
      <c r="Z389" s="248"/>
      <c r="AA389" s="294">
        <f>'[1]Strohs Plant in Service'!$G$11/12</f>
        <v>6</v>
      </c>
      <c r="AB389" s="219">
        <f>('[1]Strohs Plant in Service'!$G392-'[1]Strohs Plant in Service'!$H392)/12</f>
        <v>23.416666666666668</v>
      </c>
      <c r="AC389" s="219">
        <f>'[1]Strohs Plant in Service'!$I392</f>
        <v>149.97142857142856</v>
      </c>
      <c r="AD389" s="219"/>
      <c r="AE389" s="220">
        <f>'[1]Strohs Plant in Service'!$J392</f>
        <v>3524.36</v>
      </c>
      <c r="AF389" s="221">
        <v>1724.6399999999999</v>
      </c>
      <c r="AG389" s="204"/>
      <c r="AH389" s="178"/>
      <c r="AI389" s="174"/>
      <c r="AJ389" s="179"/>
      <c r="AK389" s="247"/>
      <c r="AL389" s="248"/>
      <c r="AM389" s="294"/>
      <c r="AN389" s="219"/>
      <c r="AO389" s="219"/>
      <c r="AP389" s="219"/>
      <c r="AQ389" s="220"/>
      <c r="AR389" s="221"/>
      <c r="AY389" s="628"/>
      <c r="AZ389" s="470">
        <v>0.75</v>
      </c>
      <c r="BA389" s="466">
        <v>4483479521</v>
      </c>
      <c r="BB389" s="211">
        <v>687</v>
      </c>
      <c r="BC389" s="211">
        <v>505</v>
      </c>
      <c r="BD389" s="211">
        <v>563</v>
      </c>
      <c r="BE389" s="211">
        <v>571</v>
      </c>
      <c r="BF389" s="211">
        <v>506</v>
      </c>
      <c r="BG389" s="211">
        <v>687</v>
      </c>
      <c r="BH389" s="211">
        <v>788</v>
      </c>
      <c r="BI389" s="211">
        <v>504</v>
      </c>
      <c r="BJ389" s="211">
        <v>588</v>
      </c>
      <c r="BK389" s="211">
        <v>569</v>
      </c>
      <c r="BL389" s="211">
        <v>517</v>
      </c>
      <c r="BM389" s="211">
        <v>566</v>
      </c>
      <c r="BO389" s="28">
        <f t="shared" si="15"/>
        <v>587.58333333333337</v>
      </c>
      <c r="BP389" s="28">
        <f t="shared" si="16"/>
        <v>7051</v>
      </c>
    </row>
    <row r="390" spans="22:68" x14ac:dyDescent="0.25">
      <c r="V390" s="449" t="str">
        <f>'[1]Strohs Plant in Service'!$C393</f>
        <v>Meters (20)</v>
      </c>
      <c r="W390" s="292" t="str">
        <f>'[1]Strohs Plant in Service'!$D393</f>
        <v>Meters - Strohs (075)</v>
      </c>
      <c r="X390" s="293">
        <f>'[1]Strohs Plant in Service'!$E393</f>
        <v>45231</v>
      </c>
      <c r="Y390" s="297">
        <f>'[1]Strohs Plant in Service'!$F393</f>
        <v>4509</v>
      </c>
      <c r="Z390" s="248"/>
      <c r="AA390" s="294">
        <f>'[1]Strohs Plant in Service'!$G$11/12</f>
        <v>6</v>
      </c>
      <c r="AB390" s="219">
        <f>('[1]Strohs Plant in Service'!$G393-'[1]Strohs Plant in Service'!$H393)/12</f>
        <v>22.416666666666668</v>
      </c>
      <c r="AC390" s="219">
        <f>'[1]Strohs Plant in Service'!$I393</f>
        <v>128.82857142857142</v>
      </c>
      <c r="AD390" s="219"/>
      <c r="AE390" s="220">
        <f>'[1]Strohs Plant in Service'!$J393</f>
        <v>2898.7</v>
      </c>
      <c r="AF390" s="221">
        <v>1610.3000000000002</v>
      </c>
      <c r="AG390" s="204"/>
      <c r="AH390" s="178"/>
      <c r="AI390" s="174"/>
      <c r="AJ390" s="179"/>
      <c r="AK390" s="247"/>
      <c r="AL390" s="248"/>
      <c r="AM390" s="294"/>
      <c r="AN390" s="219"/>
      <c r="AO390" s="219"/>
      <c r="AP390" s="219"/>
      <c r="AQ390" s="220"/>
      <c r="AR390" s="221"/>
      <c r="AY390" s="628"/>
      <c r="AZ390" s="470">
        <v>0.75</v>
      </c>
      <c r="BA390" s="466">
        <v>4505102505</v>
      </c>
      <c r="BB390" s="211">
        <v>442</v>
      </c>
      <c r="BC390" s="211">
        <v>384</v>
      </c>
      <c r="BD390" s="211">
        <v>495</v>
      </c>
      <c r="BE390" s="211">
        <v>529</v>
      </c>
      <c r="BF390" s="211">
        <v>512</v>
      </c>
      <c r="BG390" s="211">
        <v>389</v>
      </c>
      <c r="BH390" s="211">
        <v>534</v>
      </c>
      <c r="BI390" s="211">
        <v>488</v>
      </c>
      <c r="BJ390" s="211">
        <v>574</v>
      </c>
      <c r="BK390" s="211">
        <v>305</v>
      </c>
      <c r="BL390" s="211">
        <v>807</v>
      </c>
      <c r="BM390" s="211">
        <v>426</v>
      </c>
      <c r="BO390" s="28">
        <f t="shared" si="15"/>
        <v>490.41666666666669</v>
      </c>
      <c r="BP390" s="28">
        <f t="shared" si="16"/>
        <v>5885</v>
      </c>
    </row>
    <row r="391" spans="22:68" x14ac:dyDescent="0.25">
      <c r="V391" s="449" t="str">
        <f>'[1]Strohs Plant in Service'!$C394</f>
        <v>Meters (20)</v>
      </c>
      <c r="W391" s="292" t="str">
        <f>'[1]Strohs Plant in Service'!$D394</f>
        <v>Meters - Strohs (472)</v>
      </c>
      <c r="X391" s="293">
        <f>'[1]Strohs Plant in Service'!$E394</f>
        <v>45231</v>
      </c>
      <c r="Y391" s="297">
        <f>'[1]Strohs Plant in Service'!$F394</f>
        <v>270</v>
      </c>
      <c r="Z391" s="248"/>
      <c r="AA391" s="294">
        <f>'[1]Strohs Plant in Service'!$G$11/12</f>
        <v>6</v>
      </c>
      <c r="AB391" s="219">
        <f>('[1]Strohs Plant in Service'!$G394-'[1]Strohs Plant in Service'!$H394)/12</f>
        <v>15.833333333333334</v>
      </c>
      <c r="AC391" s="219">
        <f>'[1]Strohs Plant in Service'!$I394</f>
        <v>7.7142857142857153</v>
      </c>
      <c r="AD391" s="219"/>
      <c r="AE391" s="220">
        <f>'[1]Strohs Plant in Service'!$J394</f>
        <v>122.75</v>
      </c>
      <c r="AF391" s="221">
        <v>147.25</v>
      </c>
      <c r="AG391" s="204"/>
      <c r="AH391" s="178"/>
      <c r="AI391" s="174"/>
      <c r="AJ391" s="179"/>
      <c r="AK391" s="247"/>
      <c r="AL391" s="248"/>
      <c r="AM391" s="294"/>
      <c r="AN391" s="219"/>
      <c r="AO391" s="219"/>
      <c r="AP391" s="219"/>
      <c r="AQ391" s="220"/>
      <c r="AR391" s="221"/>
      <c r="AY391" s="628"/>
      <c r="AZ391" s="470">
        <v>0.75</v>
      </c>
      <c r="BA391" s="466">
        <v>4509296912</v>
      </c>
      <c r="BB391" s="211">
        <v>698</v>
      </c>
      <c r="BC391" s="211">
        <v>499</v>
      </c>
      <c r="BD391" s="211">
        <v>711</v>
      </c>
      <c r="BE391" s="211">
        <v>989</v>
      </c>
      <c r="BF391" s="211">
        <v>1004</v>
      </c>
      <c r="BG391" s="211">
        <v>795</v>
      </c>
      <c r="BH391" s="211">
        <v>602</v>
      </c>
      <c r="BI391" s="211">
        <v>620</v>
      </c>
      <c r="BJ391" s="211">
        <v>418</v>
      </c>
      <c r="BK391" s="211">
        <v>911</v>
      </c>
      <c r="BL391" s="211">
        <v>261</v>
      </c>
      <c r="BM391" s="211">
        <v>146</v>
      </c>
      <c r="BO391" s="28">
        <f t="shared" si="15"/>
        <v>637.83333333333337</v>
      </c>
      <c r="BP391" s="28">
        <f t="shared" si="16"/>
        <v>7654</v>
      </c>
    </row>
    <row r="392" spans="22:68" x14ac:dyDescent="0.25">
      <c r="V392" s="449" t="str">
        <f>'[1]Strohs Plant in Service'!$C395</f>
        <v>Meters (20)</v>
      </c>
      <c r="W392" s="292" t="str">
        <f>'[1]Strohs Plant in Service'!$D395</f>
        <v>Meters - Strohs (075)</v>
      </c>
      <c r="X392" s="293">
        <f>'[1]Strohs Plant in Service'!$E395</f>
        <v>45231</v>
      </c>
      <c r="Y392" s="297">
        <f>'[1]Strohs Plant in Service'!$F395</f>
        <v>1506</v>
      </c>
      <c r="Z392" s="248"/>
      <c r="AA392" s="294">
        <f>'[1]Strohs Plant in Service'!$G$11/12</f>
        <v>6</v>
      </c>
      <c r="AB392" s="219">
        <f>('[1]Strohs Plant in Service'!$G395-'[1]Strohs Plant in Service'!$H395)/12</f>
        <v>13.916666666666666</v>
      </c>
      <c r="AC392" s="219">
        <f>'[1]Strohs Plant in Service'!$I395</f>
        <v>43.028571428571432</v>
      </c>
      <c r="AD392" s="219"/>
      <c r="AE392" s="220">
        <f>'[1]Strohs Plant in Service'!$J395</f>
        <v>602.46</v>
      </c>
      <c r="AF392" s="221">
        <v>903.54</v>
      </c>
      <c r="AG392" s="204"/>
      <c r="AH392" s="178"/>
      <c r="AI392" s="174"/>
      <c r="AJ392" s="179"/>
      <c r="AK392" s="247"/>
      <c r="AL392" s="248"/>
      <c r="AM392" s="294"/>
      <c r="AN392" s="219"/>
      <c r="AO392" s="219"/>
      <c r="AP392" s="219"/>
      <c r="AQ392" s="220"/>
      <c r="AR392" s="221"/>
      <c r="AY392" s="628"/>
      <c r="AZ392" s="470">
        <v>0.75</v>
      </c>
      <c r="BA392" s="466">
        <v>4576811603</v>
      </c>
      <c r="BB392" s="211" t="s">
        <v>655</v>
      </c>
      <c r="BC392" s="211" t="s">
        <v>655</v>
      </c>
      <c r="BD392" s="211" t="s">
        <v>655</v>
      </c>
      <c r="BE392" s="211" t="s">
        <v>655</v>
      </c>
      <c r="BF392" s="211" t="s">
        <v>655</v>
      </c>
      <c r="BG392" s="211" t="s">
        <v>655</v>
      </c>
      <c r="BH392" s="211" t="s">
        <v>655</v>
      </c>
      <c r="BI392" s="211" t="s">
        <v>655</v>
      </c>
      <c r="BJ392" s="211" t="s">
        <v>655</v>
      </c>
      <c r="BK392" s="211" t="s">
        <v>655</v>
      </c>
      <c r="BL392" s="211" t="s">
        <v>655</v>
      </c>
      <c r="BM392" s="211" t="s">
        <v>655</v>
      </c>
      <c r="BO392" s="28" t="e">
        <f t="shared" si="15"/>
        <v>#DIV/0!</v>
      </c>
      <c r="BP392" s="28">
        <f t="shared" si="16"/>
        <v>0</v>
      </c>
    </row>
    <row r="393" spans="22:68" x14ac:dyDescent="0.25">
      <c r="V393" s="449" t="str">
        <f>'[1]Strohs Plant in Service'!$C396</f>
        <v>Meters (20)</v>
      </c>
      <c r="W393" s="292" t="str">
        <f>'[1]Strohs Plant in Service'!$D396</f>
        <v>Meters - Strohs (472)</v>
      </c>
      <c r="X393" s="293">
        <f>'[1]Strohs Plant in Service'!$E396</f>
        <v>45231</v>
      </c>
      <c r="Y393" s="297">
        <f>'[1]Strohs Plant in Service'!$F396</f>
        <v>3457.46</v>
      </c>
      <c r="Z393" s="248"/>
      <c r="AA393" s="294">
        <f>'[1]Strohs Plant in Service'!$G$11/12</f>
        <v>6</v>
      </c>
      <c r="AB393" s="219">
        <f>('[1]Strohs Plant in Service'!$G396-'[1]Strohs Plant in Service'!$H396)/12</f>
        <v>12.916666666666666</v>
      </c>
      <c r="AC393" s="219">
        <f>'[1]Strohs Plant in Service'!$I396</f>
        <v>115.24866666666668</v>
      </c>
      <c r="AD393" s="219"/>
      <c r="AE393" s="220">
        <f>'[1]Strohs Plant in Service'!$J396</f>
        <v>1498.18</v>
      </c>
      <c r="AF393" s="221">
        <v>1959.28</v>
      </c>
      <c r="AG393" s="204"/>
      <c r="AH393" s="178"/>
      <c r="AI393" s="174"/>
      <c r="AJ393" s="179"/>
      <c r="AK393" s="247"/>
      <c r="AL393" s="248"/>
      <c r="AM393" s="294"/>
      <c r="AN393" s="219"/>
      <c r="AO393" s="219"/>
      <c r="AP393" s="219"/>
      <c r="AQ393" s="220"/>
      <c r="AR393" s="221"/>
      <c r="AY393" s="628"/>
      <c r="AZ393" s="470">
        <v>0.75</v>
      </c>
      <c r="BA393" s="466">
        <v>4611520323</v>
      </c>
      <c r="BB393" s="211">
        <v>139</v>
      </c>
      <c r="BC393" s="211">
        <v>95</v>
      </c>
      <c r="BD393" s="211">
        <v>171</v>
      </c>
      <c r="BE393" s="211">
        <v>209</v>
      </c>
      <c r="BF393" s="211">
        <v>221</v>
      </c>
      <c r="BG393" s="211">
        <v>209</v>
      </c>
      <c r="BH393" s="211">
        <v>392</v>
      </c>
      <c r="BI393" s="211">
        <v>185</v>
      </c>
      <c r="BJ393" s="211">
        <v>245</v>
      </c>
      <c r="BK393" s="211">
        <v>228</v>
      </c>
      <c r="BL393" s="211">
        <v>330</v>
      </c>
      <c r="BM393" s="211">
        <v>366</v>
      </c>
      <c r="BO393" s="28">
        <f t="shared" ref="BO393:BO456" si="17">AVERAGE(BB393:BM393)</f>
        <v>232.5</v>
      </c>
      <c r="BP393" s="28">
        <f t="shared" ref="BP393:BP456" si="18">SUM(BB393:BM393)</f>
        <v>2790</v>
      </c>
    </row>
    <row r="394" spans="22:68" x14ac:dyDescent="0.25">
      <c r="V394" s="449" t="str">
        <f>'[1]Strohs Plant in Service'!$C397</f>
        <v>Meters (20)</v>
      </c>
      <c r="W394" s="292" t="str">
        <f>'[1]Strohs Plant in Service'!$D397</f>
        <v>Meters - Strohs (075)</v>
      </c>
      <c r="X394" s="293">
        <f>'[1]Strohs Plant in Service'!$E397</f>
        <v>45231</v>
      </c>
      <c r="Y394" s="297">
        <f>'[1]Strohs Plant in Service'!$F397</f>
        <v>1015.57</v>
      </c>
      <c r="Z394" s="248"/>
      <c r="AA394" s="294">
        <f>'[1]Strohs Plant in Service'!$G$11/12</f>
        <v>6</v>
      </c>
      <c r="AB394" s="219">
        <f>('[1]Strohs Plant in Service'!$G397-'[1]Strohs Plant in Service'!$H397)/12</f>
        <v>12.916666666666666</v>
      </c>
      <c r="AC394" s="219">
        <f>'[1]Strohs Plant in Service'!$I397</f>
        <v>33.852333333333334</v>
      </c>
      <c r="AD394" s="219"/>
      <c r="AE394" s="220">
        <f>'[1]Strohs Plant in Service'!$J397</f>
        <v>440.07</v>
      </c>
      <c r="AF394" s="221">
        <v>575.5</v>
      </c>
      <c r="AG394" s="204"/>
      <c r="AH394" s="178"/>
      <c r="AI394" s="174"/>
      <c r="AJ394" s="179"/>
      <c r="AK394" s="247"/>
      <c r="AL394" s="248"/>
      <c r="AM394" s="294"/>
      <c r="AN394" s="219"/>
      <c r="AO394" s="219"/>
      <c r="AP394" s="219"/>
      <c r="AQ394" s="220"/>
      <c r="AR394" s="221"/>
      <c r="AY394" s="628"/>
      <c r="AZ394" s="470">
        <v>0.75</v>
      </c>
      <c r="BA394" s="466">
        <v>4623630403</v>
      </c>
      <c r="BB394" s="211">
        <v>394</v>
      </c>
      <c r="BC394" s="211">
        <v>575</v>
      </c>
      <c r="BD394" s="211">
        <v>707</v>
      </c>
      <c r="BE394" s="211">
        <v>924</v>
      </c>
      <c r="BF394" s="211">
        <v>603</v>
      </c>
      <c r="BG394" s="211">
        <v>1378</v>
      </c>
      <c r="BH394" s="211">
        <v>663</v>
      </c>
      <c r="BI394" s="211">
        <v>2410</v>
      </c>
      <c r="BJ394" s="211">
        <v>1257</v>
      </c>
      <c r="BK394" s="211">
        <v>495</v>
      </c>
      <c r="BL394" s="211">
        <v>450</v>
      </c>
      <c r="BM394" s="211">
        <v>166</v>
      </c>
      <c r="BO394" s="28">
        <f t="shared" si="17"/>
        <v>835.16666666666663</v>
      </c>
      <c r="BP394" s="28">
        <f t="shared" si="18"/>
        <v>10022</v>
      </c>
    </row>
    <row r="395" spans="22:68" x14ac:dyDescent="0.25">
      <c r="V395" s="449" t="str">
        <f>'[1]Strohs Plant in Service'!$C398</f>
        <v>Meters (20)</v>
      </c>
      <c r="W395" s="292" t="str">
        <f>'[1]Strohs Plant in Service'!$D398</f>
        <v>Meters - Strohs (075)</v>
      </c>
      <c r="X395" s="293">
        <f>'[1]Strohs Plant in Service'!$E398</f>
        <v>45231</v>
      </c>
      <c r="Y395" s="297">
        <f>'[1]Strohs Plant in Service'!$F398</f>
        <v>1633.91</v>
      </c>
      <c r="Z395" s="248"/>
      <c r="AA395" s="294">
        <f>'[1]Strohs Plant in Service'!$G$11/12</f>
        <v>6</v>
      </c>
      <c r="AB395" s="219">
        <f>('[1]Strohs Plant in Service'!$G398-'[1]Strohs Plant in Service'!$H398)/12</f>
        <v>12.916666666666666</v>
      </c>
      <c r="AC395" s="219">
        <f>'[1]Strohs Plant in Service'!$I398</f>
        <v>54.463666666666668</v>
      </c>
      <c r="AD395" s="219"/>
      <c r="AE395" s="220">
        <f>'[1]Strohs Plant in Service'!$J398</f>
        <v>708.05</v>
      </c>
      <c r="AF395" s="221">
        <v>925.86000000000013</v>
      </c>
      <c r="AG395" s="204"/>
      <c r="AH395" s="178"/>
      <c r="AI395" s="174"/>
      <c r="AJ395" s="179"/>
      <c r="AK395" s="247"/>
      <c r="AL395" s="248"/>
      <c r="AM395" s="294"/>
      <c r="AN395" s="219"/>
      <c r="AO395" s="219"/>
      <c r="AP395" s="219"/>
      <c r="AQ395" s="220"/>
      <c r="AR395" s="221"/>
      <c r="AY395" s="628"/>
      <c r="AZ395" s="470">
        <v>0.75</v>
      </c>
      <c r="BA395" s="466">
        <v>4635414177</v>
      </c>
      <c r="BB395" s="211">
        <v>421</v>
      </c>
      <c r="BC395" s="211">
        <v>578</v>
      </c>
      <c r="BD395" s="211">
        <v>396</v>
      </c>
      <c r="BE395" s="211">
        <v>274</v>
      </c>
      <c r="BF395" s="211">
        <v>397</v>
      </c>
      <c r="BG395" s="211">
        <v>359</v>
      </c>
      <c r="BH395" s="211">
        <v>510</v>
      </c>
      <c r="BI395" s="211">
        <v>365</v>
      </c>
      <c r="BJ395" s="211">
        <v>435</v>
      </c>
      <c r="BK395" s="211">
        <v>392</v>
      </c>
      <c r="BL395" s="211" t="s">
        <v>655</v>
      </c>
      <c r="BM395" s="211">
        <v>39</v>
      </c>
      <c r="BO395" s="28">
        <f t="shared" si="17"/>
        <v>378.72727272727275</v>
      </c>
      <c r="BP395" s="28">
        <f t="shared" si="18"/>
        <v>4166</v>
      </c>
    </row>
    <row r="396" spans="22:68" x14ac:dyDescent="0.25">
      <c r="V396" s="449" t="str">
        <f>'[1]Strohs Plant in Service'!$C399</f>
        <v>Meters (20)</v>
      </c>
      <c r="W396" s="292" t="str">
        <f>'[1]Strohs Plant in Service'!$D399</f>
        <v>Meters - Strohs (075)</v>
      </c>
      <c r="X396" s="293">
        <f>'[1]Strohs Plant in Service'!$E399</f>
        <v>45231</v>
      </c>
      <c r="Y396" s="297">
        <f>'[1]Strohs Plant in Service'!$F399</f>
        <v>848.17</v>
      </c>
      <c r="Z396" s="248"/>
      <c r="AA396" s="294">
        <f>'[1]Strohs Plant in Service'!$G$11/12</f>
        <v>6</v>
      </c>
      <c r="AB396" s="219">
        <f>('[1]Strohs Plant in Service'!$G399-'[1]Strohs Plant in Service'!$H399)/12</f>
        <v>12.916666666666666</v>
      </c>
      <c r="AC396" s="219">
        <f>'[1]Strohs Plant in Service'!$I399</f>
        <v>28.272333333333336</v>
      </c>
      <c r="AD396" s="219"/>
      <c r="AE396" s="220">
        <f>'[1]Strohs Plant in Service'!$J399</f>
        <v>367.59</v>
      </c>
      <c r="AF396" s="221">
        <v>480.58</v>
      </c>
      <c r="AG396" s="204"/>
      <c r="AH396" s="178"/>
      <c r="AI396" s="174"/>
      <c r="AJ396" s="179"/>
      <c r="AK396" s="247"/>
      <c r="AL396" s="248"/>
      <c r="AM396" s="294"/>
      <c r="AN396" s="219"/>
      <c r="AO396" s="219"/>
      <c r="AP396" s="219"/>
      <c r="AQ396" s="220"/>
      <c r="AR396" s="221"/>
      <c r="AY396" s="628"/>
      <c r="AZ396" s="470">
        <v>0.75</v>
      </c>
      <c r="BA396" s="466">
        <v>4635631384</v>
      </c>
      <c r="BB396" s="211">
        <v>107</v>
      </c>
      <c r="BC396" s="211">
        <v>111</v>
      </c>
      <c r="BD396" s="211">
        <v>233</v>
      </c>
      <c r="BE396" s="211">
        <v>343</v>
      </c>
      <c r="BF396" s="211">
        <v>259</v>
      </c>
      <c r="BG396" s="211">
        <v>395</v>
      </c>
      <c r="BH396" s="211">
        <v>690</v>
      </c>
      <c r="BI396" s="211">
        <v>677</v>
      </c>
      <c r="BJ396" s="211">
        <v>525</v>
      </c>
      <c r="BK396" s="211">
        <v>257</v>
      </c>
      <c r="BL396" s="211">
        <v>294</v>
      </c>
      <c r="BM396" s="211">
        <v>293</v>
      </c>
      <c r="BO396" s="28">
        <f t="shared" si="17"/>
        <v>348.66666666666669</v>
      </c>
      <c r="BP396" s="28">
        <f t="shared" si="18"/>
        <v>4184</v>
      </c>
    </row>
    <row r="397" spans="22:68" x14ac:dyDescent="0.25">
      <c r="V397" s="449" t="str">
        <f>'[1]Strohs Plant in Service'!$C400</f>
        <v>Meters (20)</v>
      </c>
      <c r="W397" s="292" t="str">
        <f>'[1]Strohs Plant in Service'!$D400</f>
        <v>Meters - Strohs (472)</v>
      </c>
      <c r="X397" s="293">
        <f>'[1]Strohs Plant in Service'!$E400</f>
        <v>45231</v>
      </c>
      <c r="Y397" s="297">
        <f>'[1]Strohs Plant in Service'!$F400</f>
        <v>235.99</v>
      </c>
      <c r="Z397" s="248"/>
      <c r="AA397" s="294">
        <f>'[1]Strohs Plant in Service'!$G$11/12</f>
        <v>6</v>
      </c>
      <c r="AB397" s="219">
        <f>('[1]Strohs Plant in Service'!$G400-'[1]Strohs Plant in Service'!$H400)/12</f>
        <v>12</v>
      </c>
      <c r="AC397" s="219">
        <f>'[1]Strohs Plant in Service'!$I400</f>
        <v>7.8663333333333334</v>
      </c>
      <c r="AD397" s="219"/>
      <c r="AE397" s="220">
        <f>'[1]Strohs Plant in Service'!$J400</f>
        <v>95.11</v>
      </c>
      <c r="AF397" s="221">
        <v>140.88</v>
      </c>
      <c r="AG397" s="204"/>
      <c r="AH397" s="178"/>
      <c r="AI397" s="174"/>
      <c r="AJ397" s="179"/>
      <c r="AK397" s="247"/>
      <c r="AL397" s="248"/>
      <c r="AM397" s="294"/>
      <c r="AN397" s="219"/>
      <c r="AO397" s="219"/>
      <c r="AP397" s="219"/>
      <c r="AQ397" s="220"/>
      <c r="AR397" s="221"/>
      <c r="AY397" s="628"/>
      <c r="AZ397" s="470">
        <v>0.75</v>
      </c>
      <c r="BA397" s="466">
        <v>4640726729</v>
      </c>
      <c r="BB397" s="211">
        <v>1424</v>
      </c>
      <c r="BC397" s="211">
        <v>806</v>
      </c>
      <c r="BD397" s="211">
        <v>943</v>
      </c>
      <c r="BE397" s="211">
        <v>1180</v>
      </c>
      <c r="BF397" s="211">
        <v>933</v>
      </c>
      <c r="BG397" s="211">
        <v>3063</v>
      </c>
      <c r="BH397" s="211">
        <v>5067</v>
      </c>
      <c r="BI397" s="211">
        <v>6062</v>
      </c>
      <c r="BJ397" s="211">
        <v>3023</v>
      </c>
      <c r="BK397" s="211">
        <v>962</v>
      </c>
      <c r="BL397" s="211">
        <v>481</v>
      </c>
      <c r="BM397" s="211">
        <v>387</v>
      </c>
      <c r="BO397" s="28">
        <f t="shared" si="17"/>
        <v>2027.5833333333333</v>
      </c>
      <c r="BP397" s="28">
        <f t="shared" si="18"/>
        <v>24331</v>
      </c>
    </row>
    <row r="398" spans="22:68" x14ac:dyDescent="0.25">
      <c r="V398" s="449" t="str">
        <f>'[1]Strohs Plant in Service'!$C401</f>
        <v>Meters (20)</v>
      </c>
      <c r="W398" s="292" t="str">
        <f>'[1]Strohs Plant in Service'!$D401</f>
        <v>Meters - Strohs (075)</v>
      </c>
      <c r="X398" s="293">
        <f>'[1]Strohs Plant in Service'!$E401</f>
        <v>45231</v>
      </c>
      <c r="Y398" s="297">
        <f>'[1]Strohs Plant in Service'!$F401</f>
        <v>768.05</v>
      </c>
      <c r="Z398" s="248"/>
      <c r="AA398" s="294">
        <f>'[1]Strohs Plant in Service'!$G$11/12</f>
        <v>6</v>
      </c>
      <c r="AB398" s="219">
        <f>('[1]Strohs Plant in Service'!$G401-'[1]Strohs Plant in Service'!$H401)/12</f>
        <v>11.916666666666666</v>
      </c>
      <c r="AC398" s="219">
        <f>'[1]Strohs Plant in Service'!$I401</f>
        <v>25.601666666666667</v>
      </c>
      <c r="AD398" s="219"/>
      <c r="AE398" s="220">
        <f>'[1]Strohs Plant in Service'!$J401</f>
        <v>307.17</v>
      </c>
      <c r="AF398" s="221">
        <v>460.87999999999994</v>
      </c>
      <c r="AG398" s="204"/>
      <c r="AH398" s="178"/>
      <c r="AI398" s="174"/>
      <c r="AJ398" s="179"/>
      <c r="AK398" s="247"/>
      <c r="AL398" s="248"/>
      <c r="AM398" s="294"/>
      <c r="AN398" s="219"/>
      <c r="AO398" s="219"/>
      <c r="AP398" s="219"/>
      <c r="AQ398" s="220"/>
      <c r="AR398" s="221"/>
      <c r="AY398" s="628"/>
      <c r="AZ398" s="470">
        <v>0.75</v>
      </c>
      <c r="BA398" s="466">
        <v>4642148879</v>
      </c>
      <c r="BB398" s="211">
        <v>452</v>
      </c>
      <c r="BC398" s="211">
        <v>476</v>
      </c>
      <c r="BD398" s="211">
        <v>508</v>
      </c>
      <c r="BE398" s="211">
        <v>479</v>
      </c>
      <c r="BF398" s="211">
        <v>781</v>
      </c>
      <c r="BG398" s="211">
        <v>350</v>
      </c>
      <c r="BH398" s="211">
        <v>4274</v>
      </c>
      <c r="BI398" s="211">
        <v>3008</v>
      </c>
      <c r="BJ398" s="211">
        <v>549</v>
      </c>
      <c r="BK398" s="211">
        <v>300</v>
      </c>
      <c r="BL398" s="211" t="s">
        <v>655</v>
      </c>
      <c r="BM398" s="211">
        <v>1845</v>
      </c>
      <c r="BO398" s="28">
        <f t="shared" si="17"/>
        <v>1183.8181818181818</v>
      </c>
      <c r="BP398" s="28">
        <f t="shared" si="18"/>
        <v>13022</v>
      </c>
    </row>
    <row r="399" spans="22:68" x14ac:dyDescent="0.25">
      <c r="V399" s="449" t="str">
        <f>'[1]Strohs Plant in Service'!$C402</f>
        <v>Meters (20)</v>
      </c>
      <c r="W399" s="292" t="str">
        <f>'[1]Strohs Plant in Service'!$D402</f>
        <v>Meters - Strohs (472)</v>
      </c>
      <c r="X399" s="293">
        <f>'[1]Strohs Plant in Service'!$E402</f>
        <v>45231</v>
      </c>
      <c r="Y399" s="297">
        <f>'[1]Strohs Plant in Service'!$F402</f>
        <v>1075.8499999999999</v>
      </c>
      <c r="Z399" s="248"/>
      <c r="AA399" s="294">
        <f>'[1]Strohs Plant in Service'!$G$11/12</f>
        <v>6</v>
      </c>
      <c r="AB399" s="219">
        <f>('[1]Strohs Plant in Service'!$G402-'[1]Strohs Plant in Service'!$H402)/12</f>
        <v>10.916666666666666</v>
      </c>
      <c r="AC399" s="219">
        <f>'[1]Strohs Plant in Service'!$I402</f>
        <v>35.861666666666665</v>
      </c>
      <c r="AD399" s="219"/>
      <c r="AE399" s="220">
        <f>'[1]Strohs Plant in Service'!$J402</f>
        <v>394.5</v>
      </c>
      <c r="AF399" s="221">
        <v>681.34999999999991</v>
      </c>
      <c r="AG399" s="204"/>
      <c r="AH399" s="178"/>
      <c r="AI399" s="174"/>
      <c r="AJ399" s="179"/>
      <c r="AK399" s="247"/>
      <c r="AL399" s="248"/>
      <c r="AM399" s="294"/>
      <c r="AN399" s="219"/>
      <c r="AO399" s="219"/>
      <c r="AP399" s="219"/>
      <c r="AQ399" s="220"/>
      <c r="AR399" s="221"/>
      <c r="AY399" s="628"/>
      <c r="AZ399" s="470">
        <v>0.75</v>
      </c>
      <c r="BA399" s="466">
        <v>4643013673</v>
      </c>
      <c r="BB399" s="211">
        <v>250</v>
      </c>
      <c r="BC399" s="211" t="s">
        <v>655</v>
      </c>
      <c r="BD399" s="211">
        <v>67</v>
      </c>
      <c r="BE399" s="211">
        <v>372</v>
      </c>
      <c r="BF399" s="211">
        <v>422</v>
      </c>
      <c r="BG399" s="211">
        <v>411</v>
      </c>
      <c r="BH399" s="211">
        <v>1817</v>
      </c>
      <c r="BI399" s="211">
        <v>1256</v>
      </c>
      <c r="BJ399" s="211">
        <v>1044</v>
      </c>
      <c r="BK399" s="211">
        <v>563</v>
      </c>
      <c r="BL399" s="211">
        <v>37</v>
      </c>
      <c r="BM399" s="211">
        <v>137</v>
      </c>
      <c r="BO399" s="28">
        <f t="shared" si="17"/>
        <v>579.63636363636363</v>
      </c>
      <c r="BP399" s="28">
        <f t="shared" si="18"/>
        <v>6376</v>
      </c>
    </row>
    <row r="400" spans="22:68" x14ac:dyDescent="0.25">
      <c r="V400" s="449" t="str">
        <f>'[1]Strohs Plant in Service'!$C403</f>
        <v>Meters (20)</v>
      </c>
      <c r="W400" s="292" t="str">
        <f>'[1]Strohs Plant in Service'!$D403</f>
        <v>Meters - Strohs (472)</v>
      </c>
      <c r="X400" s="293">
        <f>'[1]Strohs Plant in Service'!$E403</f>
        <v>45231</v>
      </c>
      <c r="Y400" s="297">
        <f>'[1]Strohs Plant in Service'!$F403</f>
        <v>1039.93</v>
      </c>
      <c r="Z400" s="248"/>
      <c r="AA400" s="294">
        <f>'[1]Strohs Plant in Service'!$G$11/12</f>
        <v>6</v>
      </c>
      <c r="AB400" s="219">
        <f>('[1]Strohs Plant in Service'!$G403-'[1]Strohs Plant in Service'!$H403)/12</f>
        <v>9.9166666666666661</v>
      </c>
      <c r="AC400" s="219">
        <f>'[1]Strohs Plant in Service'!$I403</f>
        <v>34.664333333333332</v>
      </c>
      <c r="AD400" s="219"/>
      <c r="AE400" s="220">
        <f>'[1]Strohs Plant in Service'!$J403</f>
        <v>346.66</v>
      </c>
      <c r="AF400" s="221">
        <v>693.27</v>
      </c>
      <c r="AG400" s="204"/>
      <c r="AH400" s="178"/>
      <c r="AI400" s="174"/>
      <c r="AJ400" s="179"/>
      <c r="AK400" s="247"/>
      <c r="AL400" s="248"/>
      <c r="AM400" s="294"/>
      <c r="AN400" s="219"/>
      <c r="AO400" s="219"/>
      <c r="AP400" s="219"/>
      <c r="AQ400" s="220"/>
      <c r="AR400" s="221"/>
      <c r="AY400" s="628"/>
      <c r="AZ400" s="470">
        <v>0.75</v>
      </c>
      <c r="BA400" s="466">
        <v>4643334651</v>
      </c>
      <c r="BB400" s="211">
        <v>826</v>
      </c>
      <c r="BC400" s="211">
        <v>607</v>
      </c>
      <c r="BD400" s="211">
        <v>1102</v>
      </c>
      <c r="BE400" s="211">
        <v>1024</v>
      </c>
      <c r="BF400" s="211">
        <v>829</v>
      </c>
      <c r="BG400" s="211">
        <v>1053</v>
      </c>
      <c r="BH400" s="211">
        <v>2925</v>
      </c>
      <c r="BI400" s="211">
        <v>849</v>
      </c>
      <c r="BJ400" s="211">
        <v>6804</v>
      </c>
      <c r="BK400" s="211">
        <v>776</v>
      </c>
      <c r="BL400" s="211">
        <v>511</v>
      </c>
      <c r="BM400" s="211">
        <v>925</v>
      </c>
      <c r="BO400" s="28">
        <f t="shared" si="17"/>
        <v>1519.25</v>
      </c>
      <c r="BP400" s="28">
        <f t="shared" si="18"/>
        <v>18231</v>
      </c>
    </row>
    <row r="401" spans="22:68" x14ac:dyDescent="0.25">
      <c r="V401" s="449" t="str">
        <f>'[1]Strohs Plant in Service'!$C404</f>
        <v>Meters (20)</v>
      </c>
      <c r="W401" s="292" t="str">
        <f>'[1]Strohs Plant in Service'!$D404</f>
        <v>Meters - Strohs (075)</v>
      </c>
      <c r="X401" s="293">
        <f>'[1]Strohs Plant in Service'!$E404</f>
        <v>45231</v>
      </c>
      <c r="Y401" s="297">
        <f>'[1]Strohs Plant in Service'!$F404</f>
        <v>2085.59</v>
      </c>
      <c r="Z401" s="248"/>
      <c r="AA401" s="294">
        <f>'[1]Strohs Plant in Service'!$G$11/12</f>
        <v>6</v>
      </c>
      <c r="AB401" s="219">
        <f>('[1]Strohs Plant in Service'!$G404-'[1]Strohs Plant in Service'!$H404)/12</f>
        <v>9.9166666666666661</v>
      </c>
      <c r="AC401" s="219">
        <f>'[1]Strohs Plant in Service'!$I404</f>
        <v>69.51966666666668</v>
      </c>
      <c r="AD401" s="219"/>
      <c r="AE401" s="220">
        <f>'[1]Strohs Plant in Service'!$J404</f>
        <v>695.15</v>
      </c>
      <c r="AF401" s="221">
        <v>1390.44</v>
      </c>
      <c r="AG401" s="204"/>
      <c r="AH401" s="178"/>
      <c r="AI401" s="174"/>
      <c r="AJ401" s="179"/>
      <c r="AK401" s="247"/>
      <c r="AL401" s="248"/>
      <c r="AM401" s="294"/>
      <c r="AN401" s="219"/>
      <c r="AO401" s="219"/>
      <c r="AP401" s="219"/>
      <c r="AQ401" s="220"/>
      <c r="AR401" s="221"/>
      <c r="AY401" s="628"/>
      <c r="AZ401" s="470">
        <v>0.75</v>
      </c>
      <c r="BA401" s="466">
        <v>4648095267</v>
      </c>
      <c r="BB401" s="211">
        <v>179</v>
      </c>
      <c r="BC401" s="211">
        <v>168</v>
      </c>
      <c r="BD401" s="211">
        <v>218</v>
      </c>
      <c r="BE401" s="211">
        <v>349</v>
      </c>
      <c r="BF401" s="211">
        <v>323</v>
      </c>
      <c r="BG401" s="211">
        <v>865</v>
      </c>
      <c r="BH401" s="211">
        <v>3318</v>
      </c>
      <c r="BI401" s="211">
        <v>1589</v>
      </c>
      <c r="BJ401" s="211">
        <v>849</v>
      </c>
      <c r="BK401" s="211">
        <v>731</v>
      </c>
      <c r="BL401" s="211">
        <v>708</v>
      </c>
      <c r="BM401" s="211">
        <v>710</v>
      </c>
      <c r="BO401" s="28">
        <f t="shared" si="17"/>
        <v>833.91666666666663</v>
      </c>
      <c r="BP401" s="28">
        <f t="shared" si="18"/>
        <v>10007</v>
      </c>
    </row>
    <row r="402" spans="22:68" x14ac:dyDescent="0.25">
      <c r="V402" s="449" t="str">
        <f>'[1]Strohs Plant in Service'!$C405</f>
        <v>Meters (20)</v>
      </c>
      <c r="W402" s="292" t="str">
        <f>'[1]Strohs Plant in Service'!$D405</f>
        <v>Meters - Strohs (075)</v>
      </c>
      <c r="X402" s="293">
        <f>'[1]Strohs Plant in Service'!$E405</f>
        <v>45231</v>
      </c>
      <c r="Y402" s="297">
        <f>'[1]Strohs Plant in Service'!$F405</f>
        <v>1408.7</v>
      </c>
      <c r="Z402" s="248"/>
      <c r="AA402" s="294">
        <f>'[1]Strohs Plant in Service'!$G$11/12</f>
        <v>6</v>
      </c>
      <c r="AB402" s="219">
        <f>('[1]Strohs Plant in Service'!$G405-'[1]Strohs Plant in Service'!$H405)/12</f>
        <v>9.9166666666666661</v>
      </c>
      <c r="AC402" s="219">
        <f>'[1]Strohs Plant in Service'!$I405</f>
        <v>46.956666666666671</v>
      </c>
      <c r="AD402" s="219"/>
      <c r="AE402" s="220">
        <f>'[1]Strohs Plant in Service'!$J405</f>
        <v>469.53</v>
      </c>
      <c r="AF402" s="221">
        <v>939.17000000000007</v>
      </c>
      <c r="AG402" s="204"/>
      <c r="AH402" s="178"/>
      <c r="AI402" s="174"/>
      <c r="AJ402" s="179"/>
      <c r="AK402" s="247"/>
      <c r="AL402" s="248"/>
      <c r="AM402" s="294"/>
      <c r="AN402" s="219"/>
      <c r="AO402" s="219"/>
      <c r="AP402" s="219"/>
      <c r="AQ402" s="220"/>
      <c r="AR402" s="221"/>
      <c r="AY402" s="628"/>
      <c r="AZ402" s="470">
        <v>1</v>
      </c>
      <c r="BA402" s="466">
        <v>4650195495</v>
      </c>
      <c r="BB402" s="211">
        <v>4274</v>
      </c>
      <c r="BC402" s="211">
        <v>5999</v>
      </c>
      <c r="BD402" s="211">
        <v>5529</v>
      </c>
      <c r="BE402" s="211">
        <v>5104</v>
      </c>
      <c r="BF402" s="211">
        <v>4015</v>
      </c>
      <c r="BG402" s="211">
        <v>4183</v>
      </c>
      <c r="BH402" s="211">
        <v>4673</v>
      </c>
      <c r="BI402" s="211">
        <v>12077</v>
      </c>
      <c r="BJ402" s="211">
        <v>16631</v>
      </c>
      <c r="BK402" s="211">
        <v>6674</v>
      </c>
      <c r="BL402" s="211">
        <v>4093</v>
      </c>
      <c r="BM402" s="211">
        <v>4254</v>
      </c>
      <c r="BO402" s="28">
        <f t="shared" si="17"/>
        <v>6458.833333333333</v>
      </c>
      <c r="BP402" s="28">
        <f t="shared" si="18"/>
        <v>77506</v>
      </c>
    </row>
    <row r="403" spans="22:68" x14ac:dyDescent="0.25">
      <c r="V403" s="449" t="str">
        <f>'[1]Strohs Plant in Service'!$C406</f>
        <v>Meters (20)</v>
      </c>
      <c r="W403" s="292" t="str">
        <f>'[1]Strohs Plant in Service'!$D406</f>
        <v>Meters (CIAC, Fox Run) - Strohs (47</v>
      </c>
      <c r="X403" s="293">
        <f>'[1]Strohs Plant in Service'!$E406</f>
        <v>45231</v>
      </c>
      <c r="Y403" s="297">
        <f>'[1]Strohs Plant in Service'!$F406</f>
        <v>12858.41</v>
      </c>
      <c r="Z403" s="248"/>
      <c r="AA403" s="294">
        <f>'[1]Strohs Plant in Service'!$G$11/12</f>
        <v>6</v>
      </c>
      <c r="AB403" s="219">
        <f>('[1]Strohs Plant in Service'!$G406-'[1]Strohs Plant in Service'!$H406)/12</f>
        <v>7.916666666666667</v>
      </c>
      <c r="AC403" s="219">
        <f>'[1]Strohs Plant in Service'!$I406</f>
        <v>428.61366666666669</v>
      </c>
      <c r="AD403" s="219"/>
      <c r="AE403" s="220">
        <f>'[1]Strohs Plant in Service'!$J406</f>
        <v>3428.94</v>
      </c>
      <c r="AF403" s="221">
        <v>9429.4699999999993</v>
      </c>
      <c r="AG403" s="204"/>
      <c r="AH403" s="178"/>
      <c r="AI403" s="174"/>
      <c r="AJ403" s="179"/>
      <c r="AK403" s="247"/>
      <c r="AL403" s="248"/>
      <c r="AM403" s="294"/>
      <c r="AN403" s="219"/>
      <c r="AO403" s="219"/>
      <c r="AP403" s="219"/>
      <c r="AQ403" s="220"/>
      <c r="AR403" s="221"/>
      <c r="AY403" s="628"/>
      <c r="AZ403" s="470">
        <v>0.625</v>
      </c>
      <c r="BA403" s="466">
        <v>4652951853</v>
      </c>
      <c r="BB403" s="211">
        <v>629</v>
      </c>
      <c r="BC403" s="211">
        <v>637</v>
      </c>
      <c r="BD403" s="211">
        <v>704</v>
      </c>
      <c r="BE403" s="211">
        <v>793</v>
      </c>
      <c r="BF403" s="211">
        <v>820</v>
      </c>
      <c r="BG403" s="211">
        <v>1434</v>
      </c>
      <c r="BH403" s="211">
        <v>1130</v>
      </c>
      <c r="BI403" s="211" t="s">
        <v>655</v>
      </c>
      <c r="BJ403" s="211" t="s">
        <v>655</v>
      </c>
      <c r="BK403" s="211" t="s">
        <v>655</v>
      </c>
      <c r="BL403" s="211">
        <v>850</v>
      </c>
      <c r="BM403" s="211">
        <v>733</v>
      </c>
      <c r="BO403" s="28">
        <f t="shared" si="17"/>
        <v>858.88888888888891</v>
      </c>
      <c r="BP403" s="28">
        <f t="shared" si="18"/>
        <v>7730</v>
      </c>
    </row>
    <row r="404" spans="22:68" x14ac:dyDescent="0.25">
      <c r="V404" s="449" t="str">
        <f>'[1]Strohs Plant in Service'!$C407</f>
        <v>Meters (20)</v>
      </c>
      <c r="W404" s="292" t="str">
        <f>'[1]Strohs Plant in Service'!$D407</f>
        <v>Meters - Strohs (472)</v>
      </c>
      <c r="X404" s="293">
        <f>'[1]Strohs Plant in Service'!$E407</f>
        <v>45231</v>
      </c>
      <c r="Y404" s="297">
        <f>'[1]Strohs Plant in Service'!$F407</f>
        <v>724</v>
      </c>
      <c r="Z404" s="248"/>
      <c r="AA404" s="294">
        <f>'[1]Strohs Plant in Service'!$G$11/12</f>
        <v>6</v>
      </c>
      <c r="AB404" s="219">
        <f>('[1]Strohs Plant in Service'!$G407-'[1]Strohs Plant in Service'!$H407)/12</f>
        <v>4.916666666666667</v>
      </c>
      <c r="AC404" s="219">
        <f>'[1]Strohs Plant in Service'!$I407</f>
        <v>24.133333333333333</v>
      </c>
      <c r="AD404" s="219"/>
      <c r="AE404" s="220">
        <f>'[1]Strohs Plant in Service'!$J407</f>
        <v>120.65</v>
      </c>
      <c r="AF404" s="221">
        <v>603.35</v>
      </c>
      <c r="AG404" s="204"/>
      <c r="AH404" s="178"/>
      <c r="AI404" s="174"/>
      <c r="AJ404" s="179"/>
      <c r="AK404" s="247"/>
      <c r="AL404" s="248"/>
      <c r="AM404" s="294"/>
      <c r="AN404" s="219"/>
      <c r="AO404" s="219"/>
      <c r="AP404" s="219"/>
      <c r="AQ404" s="220"/>
      <c r="AR404" s="221"/>
      <c r="AY404" s="628"/>
      <c r="AZ404" s="470">
        <v>0.75</v>
      </c>
      <c r="BA404" s="466">
        <v>4671542515</v>
      </c>
      <c r="BB404" s="211">
        <v>290</v>
      </c>
      <c r="BC404" s="211">
        <v>288</v>
      </c>
      <c r="BD404" s="211">
        <v>420</v>
      </c>
      <c r="BE404" s="211">
        <v>281</v>
      </c>
      <c r="BF404" s="211">
        <v>364</v>
      </c>
      <c r="BG404" s="211">
        <v>2541</v>
      </c>
      <c r="BH404" s="211">
        <v>4484</v>
      </c>
      <c r="BI404" s="211">
        <v>3700</v>
      </c>
      <c r="BJ404" s="211">
        <v>1701</v>
      </c>
      <c r="BK404" s="211">
        <v>444</v>
      </c>
      <c r="BL404" s="211" t="s">
        <v>655</v>
      </c>
      <c r="BM404" s="211">
        <v>409</v>
      </c>
      <c r="BO404" s="28">
        <f t="shared" si="17"/>
        <v>1356.5454545454545</v>
      </c>
      <c r="BP404" s="28">
        <f t="shared" si="18"/>
        <v>14922</v>
      </c>
    </row>
    <row r="405" spans="22:68" x14ac:dyDescent="0.25">
      <c r="V405" s="449" t="str">
        <f>'[1]Strohs Plant in Service'!$C408</f>
        <v>Meters (20)</v>
      </c>
      <c r="W405" s="292" t="str">
        <f>'[1]Strohs Plant in Service'!$D408</f>
        <v>Meters - Strohs (472)</v>
      </c>
      <c r="X405" s="293">
        <f>'[1]Strohs Plant in Service'!$E408</f>
        <v>45231</v>
      </c>
      <c r="Y405" s="297">
        <f>'[1]Strohs Plant in Service'!$F408</f>
        <v>31588.58</v>
      </c>
      <c r="Z405" s="248"/>
      <c r="AA405" s="294">
        <f>'[1]Strohs Plant in Service'!$G$11/12</f>
        <v>6</v>
      </c>
      <c r="AB405" s="219">
        <f>('[1]Strohs Plant in Service'!$G408-'[1]Strohs Plant in Service'!$H408)/12</f>
        <v>2.9166666666666665</v>
      </c>
      <c r="AC405" s="219">
        <f>'[1]Strohs Plant in Service'!$I408</f>
        <v>1052.9526666666666</v>
      </c>
      <c r="AD405" s="219"/>
      <c r="AE405" s="220">
        <f>'[1]Strohs Plant in Service'!$J408</f>
        <v>2873.42</v>
      </c>
      <c r="AF405" s="221">
        <v>28715.160000000003</v>
      </c>
      <c r="AG405" s="204"/>
      <c r="AH405" s="178"/>
      <c r="AI405" s="174"/>
      <c r="AJ405" s="179"/>
      <c r="AK405" s="247"/>
      <c r="AL405" s="248"/>
      <c r="AM405" s="294"/>
      <c r="AN405" s="219"/>
      <c r="AO405" s="219"/>
      <c r="AP405" s="219"/>
      <c r="AQ405" s="220"/>
      <c r="AR405" s="221"/>
      <c r="AY405" s="628"/>
      <c r="AZ405" s="470">
        <v>0.75</v>
      </c>
      <c r="BA405" s="466">
        <v>4682192263</v>
      </c>
      <c r="BB405" s="211">
        <v>1039</v>
      </c>
      <c r="BC405" s="211">
        <v>659</v>
      </c>
      <c r="BD405" s="211">
        <v>572</v>
      </c>
      <c r="BE405" s="211">
        <v>699</v>
      </c>
      <c r="BF405" s="211">
        <v>744</v>
      </c>
      <c r="BG405" s="211">
        <v>640</v>
      </c>
      <c r="BH405" s="211">
        <v>656</v>
      </c>
      <c r="BI405" s="211">
        <v>339</v>
      </c>
      <c r="BJ405" s="211">
        <v>358</v>
      </c>
      <c r="BK405" s="211">
        <v>454</v>
      </c>
      <c r="BL405" s="211">
        <v>388</v>
      </c>
      <c r="BM405" s="211">
        <v>600</v>
      </c>
      <c r="BO405" s="28">
        <f t="shared" si="17"/>
        <v>595.66666666666663</v>
      </c>
      <c r="BP405" s="28">
        <f t="shared" si="18"/>
        <v>7148</v>
      </c>
    </row>
    <row r="406" spans="22:68" x14ac:dyDescent="0.25">
      <c r="V406" s="449" t="str">
        <f>'[1]Strohs Plant in Service'!$C409</f>
        <v>Meters (20)</v>
      </c>
      <c r="W406" s="292" t="str">
        <f>'[1]Strohs Plant in Service'!$D409</f>
        <v>Meters - Strohs (075)</v>
      </c>
      <c r="X406" s="293">
        <f>'[1]Strohs Plant in Service'!$E409</f>
        <v>45231</v>
      </c>
      <c r="Y406" s="297">
        <f>'[1]Strohs Plant in Service'!$F409</f>
        <v>20850.91</v>
      </c>
      <c r="Z406" s="248"/>
      <c r="AA406" s="294">
        <f>'[1]Strohs Plant in Service'!$G$11/12</f>
        <v>6</v>
      </c>
      <c r="AB406" s="219">
        <f>('[1]Strohs Plant in Service'!$G409-'[1]Strohs Plant in Service'!$H409)/12</f>
        <v>2.25</v>
      </c>
      <c r="AC406" s="219">
        <f>'[1]Strohs Plant in Service'!$I409</f>
        <v>695.03033333333337</v>
      </c>
      <c r="AD406" s="219"/>
      <c r="AE406" s="220">
        <f>'[1]Strohs Plant in Service'!$J409</f>
        <v>1621.75</v>
      </c>
      <c r="AF406" s="221">
        <v>19229.16</v>
      </c>
      <c r="AG406" s="204"/>
      <c r="AH406" s="178"/>
      <c r="AI406" s="174"/>
      <c r="AJ406" s="179"/>
      <c r="AK406" s="247"/>
      <c r="AL406" s="248"/>
      <c r="AM406" s="294"/>
      <c r="AN406" s="219"/>
      <c r="AO406" s="219"/>
      <c r="AP406" s="219"/>
      <c r="AQ406" s="220"/>
      <c r="AR406" s="221"/>
      <c r="AY406" s="628"/>
      <c r="AZ406" s="470">
        <v>0.625</v>
      </c>
      <c r="BA406" s="466">
        <v>4682881871</v>
      </c>
      <c r="BB406" s="211">
        <v>489</v>
      </c>
      <c r="BC406" s="211">
        <v>405</v>
      </c>
      <c r="BD406" s="211">
        <v>760</v>
      </c>
      <c r="BE406" s="211">
        <v>710</v>
      </c>
      <c r="BF406" s="211">
        <v>563</v>
      </c>
      <c r="BG406" s="211">
        <v>611</v>
      </c>
      <c r="BH406" s="211">
        <v>2978</v>
      </c>
      <c r="BI406" s="211">
        <v>1790</v>
      </c>
      <c r="BJ406" s="211">
        <v>1250</v>
      </c>
      <c r="BK406" s="211" t="s">
        <v>655</v>
      </c>
      <c r="BL406" s="211">
        <v>1040</v>
      </c>
      <c r="BM406" s="211">
        <v>37</v>
      </c>
      <c r="BO406" s="28">
        <f t="shared" si="17"/>
        <v>966.63636363636363</v>
      </c>
      <c r="BP406" s="28">
        <f t="shared" si="18"/>
        <v>10633</v>
      </c>
    </row>
    <row r="407" spans="22:68" x14ac:dyDescent="0.25">
      <c r="V407" s="449" t="str">
        <f>'[1]Strohs Plant in Service'!$C410</f>
        <v>Meters (20)</v>
      </c>
      <c r="W407" s="292" t="str">
        <f>'[1]Strohs Plant in Service'!$D410</f>
        <v>Meters - Strohs (472)</v>
      </c>
      <c r="X407" s="293">
        <f>'[1]Strohs Plant in Service'!$E410</f>
        <v>45231</v>
      </c>
      <c r="Y407" s="297">
        <f>'[1]Strohs Plant in Service'!$F410</f>
        <v>30671.48</v>
      </c>
      <c r="Z407" s="248"/>
      <c r="AA407" s="294">
        <f>'[1]Strohs Plant in Service'!$G$11/12</f>
        <v>6</v>
      </c>
      <c r="AB407" s="219">
        <f>('[1]Strohs Plant in Service'!$G410-'[1]Strohs Plant in Service'!$H410)/12</f>
        <v>1.4166666666666667</v>
      </c>
      <c r="AC407" s="219">
        <f>'[1]Strohs Plant in Service'!$I410</f>
        <v>1572.8964102564105</v>
      </c>
      <c r="AD407" s="219"/>
      <c r="AE407" s="220">
        <f>'[1]Strohs Plant in Service'!$J410</f>
        <v>2359.3200000000002</v>
      </c>
      <c r="AF407" s="221">
        <v>28312.16</v>
      </c>
      <c r="AG407" s="204"/>
      <c r="AH407" s="178"/>
      <c r="AI407" s="174"/>
      <c r="AJ407" s="179"/>
      <c r="AK407" s="247"/>
      <c r="AL407" s="248"/>
      <c r="AM407" s="294"/>
      <c r="AN407" s="219"/>
      <c r="AO407" s="219"/>
      <c r="AP407" s="219"/>
      <c r="AQ407" s="220"/>
      <c r="AR407" s="221"/>
      <c r="AY407" s="628"/>
      <c r="AZ407" s="470">
        <v>0.75</v>
      </c>
      <c r="BA407" s="466">
        <v>4685366820</v>
      </c>
      <c r="BB407" s="211">
        <v>358</v>
      </c>
      <c r="BC407" s="211">
        <v>342</v>
      </c>
      <c r="BD407" s="211">
        <v>407</v>
      </c>
      <c r="BE407" s="211">
        <v>384</v>
      </c>
      <c r="BF407" s="211">
        <v>385</v>
      </c>
      <c r="BG407" s="211">
        <v>397</v>
      </c>
      <c r="BH407" s="211">
        <v>674</v>
      </c>
      <c r="BI407" s="211">
        <v>523</v>
      </c>
      <c r="BJ407" s="211">
        <v>567</v>
      </c>
      <c r="BK407" s="211">
        <v>346</v>
      </c>
      <c r="BL407" s="211">
        <v>335</v>
      </c>
      <c r="BM407" s="211">
        <v>407</v>
      </c>
      <c r="BO407" s="28">
        <f t="shared" si="17"/>
        <v>427.08333333333331</v>
      </c>
      <c r="BP407" s="28">
        <f t="shared" si="18"/>
        <v>5125</v>
      </c>
    </row>
    <row r="408" spans="22:68" x14ac:dyDescent="0.25">
      <c r="V408" s="449" t="str">
        <f>'[1]Strohs Plant in Service'!$C411</f>
        <v>Meters (20)</v>
      </c>
      <c r="W408" s="292" t="str">
        <f>'[1]Strohs Plant in Service'!$D411</f>
        <v>Meters - Strohs (472)</v>
      </c>
      <c r="X408" s="293">
        <f>'[1]Strohs Plant in Service'!$E411</f>
        <v>45231</v>
      </c>
      <c r="Y408" s="297">
        <f>'[1]Strohs Plant in Service'!$F411</f>
        <v>5490.52</v>
      </c>
      <c r="Z408" s="248"/>
      <c r="AA408" s="294">
        <f>'[1]Strohs Plant in Service'!$G$11/12</f>
        <v>6</v>
      </c>
      <c r="AB408" s="219">
        <f>('[1]Strohs Plant in Service'!$G411-'[1]Strohs Plant in Service'!$H411)/12</f>
        <v>1.4166666666666667</v>
      </c>
      <c r="AC408" s="219">
        <f>'[1]Strohs Plant in Service'!$I411</f>
        <v>281.56512820512825</v>
      </c>
      <c r="AD408" s="219"/>
      <c r="AE408" s="220">
        <f>'[1]Strohs Plant in Service'!$J411</f>
        <v>422.35</v>
      </c>
      <c r="AF408" s="221">
        <v>5068.17</v>
      </c>
      <c r="AG408" s="204"/>
      <c r="AH408" s="178"/>
      <c r="AI408" s="174"/>
      <c r="AJ408" s="179"/>
      <c r="AK408" s="247"/>
      <c r="AL408" s="248"/>
      <c r="AM408" s="294"/>
      <c r="AN408" s="219"/>
      <c r="AO408" s="219"/>
      <c r="AP408" s="219"/>
      <c r="AQ408" s="220"/>
      <c r="AR408" s="221"/>
      <c r="AY408" s="628"/>
      <c r="AZ408" s="470">
        <v>1</v>
      </c>
      <c r="BA408" s="466">
        <v>4691474260</v>
      </c>
      <c r="BB408" s="211">
        <v>511</v>
      </c>
      <c r="BC408" s="211">
        <v>502</v>
      </c>
      <c r="BD408" s="211">
        <v>507</v>
      </c>
      <c r="BE408" s="211">
        <v>555</v>
      </c>
      <c r="BF408" s="211">
        <v>421</v>
      </c>
      <c r="BG408" s="211">
        <v>1232</v>
      </c>
      <c r="BH408" s="211">
        <v>2074</v>
      </c>
      <c r="BI408" s="211">
        <v>1569</v>
      </c>
      <c r="BJ408" s="211">
        <v>1972</v>
      </c>
      <c r="BK408" s="211">
        <v>853</v>
      </c>
      <c r="BL408" s="211">
        <v>631</v>
      </c>
      <c r="BM408" s="211">
        <v>710</v>
      </c>
      <c r="BO408" s="28">
        <f t="shared" si="17"/>
        <v>961.41666666666663</v>
      </c>
      <c r="BP408" s="28">
        <f t="shared" si="18"/>
        <v>11537</v>
      </c>
    </row>
    <row r="409" spans="22:68" x14ac:dyDescent="0.25">
      <c r="V409" s="449" t="str">
        <f>'[1]Strohs Plant in Service'!$C412</f>
        <v>Meters (20)</v>
      </c>
      <c r="W409" s="292" t="str">
        <f>'[1]Strohs Plant in Service'!$D412</f>
        <v>Meters - Strohs (075)</v>
      </c>
      <c r="X409" s="293">
        <f>'[1]Strohs Plant in Service'!$E412</f>
        <v>45231</v>
      </c>
      <c r="Y409" s="297">
        <f>'[1]Strohs Plant in Service'!$F412</f>
        <v>3375.95</v>
      </c>
      <c r="Z409" s="248"/>
      <c r="AA409" s="294">
        <f>'[1]Strohs Plant in Service'!$G$11/12</f>
        <v>6</v>
      </c>
      <c r="AB409" s="219">
        <f>('[1]Strohs Plant in Service'!$G412-'[1]Strohs Plant in Service'!$H412)/12</f>
        <v>1.4166666666666667</v>
      </c>
      <c r="AC409" s="219">
        <f>'[1]Strohs Plant in Service'!$I412</f>
        <v>173.12564102564102</v>
      </c>
      <c r="AD409" s="219"/>
      <c r="AE409" s="220">
        <f>'[1]Strohs Plant in Service'!$J412</f>
        <v>259.73</v>
      </c>
      <c r="AF409" s="221">
        <v>3116.22</v>
      </c>
      <c r="AG409" s="204"/>
      <c r="AH409" s="178"/>
      <c r="AI409" s="174"/>
      <c r="AJ409" s="179"/>
      <c r="AK409" s="247"/>
      <c r="AL409" s="248"/>
      <c r="AM409" s="294"/>
      <c r="AN409" s="219"/>
      <c r="AO409" s="219"/>
      <c r="AP409" s="219"/>
      <c r="AQ409" s="220"/>
      <c r="AR409" s="221"/>
      <c r="AY409" s="628"/>
      <c r="AZ409" s="470">
        <v>0.75</v>
      </c>
      <c r="BA409" s="466">
        <v>4696575036</v>
      </c>
      <c r="BB409" s="211">
        <v>381</v>
      </c>
      <c r="BC409" s="211">
        <v>748</v>
      </c>
      <c r="BD409" s="211">
        <v>358</v>
      </c>
      <c r="BE409" s="211">
        <v>343</v>
      </c>
      <c r="BF409" s="211">
        <v>339</v>
      </c>
      <c r="BG409" s="211">
        <v>352</v>
      </c>
      <c r="BH409" s="211">
        <v>1042</v>
      </c>
      <c r="BI409" s="211">
        <v>1990</v>
      </c>
      <c r="BJ409" s="211">
        <v>890</v>
      </c>
      <c r="BK409" s="211">
        <v>289</v>
      </c>
      <c r="BL409" s="211">
        <v>326</v>
      </c>
      <c r="BM409" s="211">
        <v>274</v>
      </c>
      <c r="BO409" s="28">
        <f t="shared" si="17"/>
        <v>611</v>
      </c>
      <c r="BP409" s="28">
        <f t="shared" si="18"/>
        <v>7332</v>
      </c>
    </row>
    <row r="410" spans="22:68" x14ac:dyDescent="0.25">
      <c r="V410" s="449" t="str">
        <f>'[1]Strohs Plant in Service'!$C413</f>
        <v>Meters (20)</v>
      </c>
      <c r="W410" s="292" t="str">
        <f>'[1]Strohs Plant in Service'!$D413</f>
        <v>Meters - Strohs (472)</v>
      </c>
      <c r="X410" s="293">
        <f>'[1]Strohs Plant in Service'!$E413</f>
        <v>45231</v>
      </c>
      <c r="Y410" s="297">
        <f>'[1]Strohs Plant in Service'!$F413</f>
        <v>5029.8999999999996</v>
      </c>
      <c r="Z410" s="248"/>
      <c r="AA410" s="294">
        <f>'[1]Strohs Plant in Service'!$G$11/12</f>
        <v>6</v>
      </c>
      <c r="AB410" s="219">
        <f>('[1]Strohs Plant in Service'!$G413-'[1]Strohs Plant in Service'!$H413)/12</f>
        <v>1.4166666666666667</v>
      </c>
      <c r="AC410" s="219">
        <f>'[1]Strohs Plant in Service'!$I413</f>
        <v>257.94358974358971</v>
      </c>
      <c r="AD410" s="219"/>
      <c r="AE410" s="220">
        <f>'[1]Strohs Plant in Service'!$J413</f>
        <v>386.98</v>
      </c>
      <c r="AF410" s="221">
        <v>4642.92</v>
      </c>
      <c r="AG410" s="204"/>
      <c r="AH410" s="178"/>
      <c r="AI410" s="174"/>
      <c r="AJ410" s="179"/>
      <c r="AK410" s="247"/>
      <c r="AL410" s="248"/>
      <c r="AM410" s="294"/>
      <c r="AN410" s="219"/>
      <c r="AO410" s="219"/>
      <c r="AP410" s="219"/>
      <c r="AQ410" s="220"/>
      <c r="AR410" s="221"/>
      <c r="AY410" s="628"/>
      <c r="AZ410" s="470">
        <v>0.75</v>
      </c>
      <c r="BA410" s="466">
        <v>4706066475</v>
      </c>
      <c r="BB410" s="211">
        <v>839</v>
      </c>
      <c r="BC410" s="211">
        <v>795</v>
      </c>
      <c r="BD410" s="211">
        <v>754</v>
      </c>
      <c r="BE410" s="211">
        <v>1006</v>
      </c>
      <c r="BF410" s="211">
        <v>622</v>
      </c>
      <c r="BG410" s="211">
        <v>226</v>
      </c>
      <c r="BH410" s="211">
        <v>1767</v>
      </c>
      <c r="BI410" s="211">
        <v>719</v>
      </c>
      <c r="BJ410" s="211">
        <v>1056</v>
      </c>
      <c r="BK410" s="211">
        <v>342</v>
      </c>
      <c r="BL410" s="211">
        <v>263</v>
      </c>
      <c r="BM410" s="211">
        <v>390</v>
      </c>
      <c r="BO410" s="28">
        <f t="shared" si="17"/>
        <v>731.58333333333337</v>
      </c>
      <c r="BP410" s="28">
        <f t="shared" si="18"/>
        <v>8779</v>
      </c>
    </row>
    <row r="411" spans="22:68" x14ac:dyDescent="0.25">
      <c r="V411" s="449" t="str">
        <f>'[1]Strohs Plant in Service'!$C414</f>
        <v>Meters (20)</v>
      </c>
      <c r="W411" s="292" t="str">
        <f>'[1]Strohs Plant in Service'!$D414</f>
        <v>Meters - Strohs (075)</v>
      </c>
      <c r="X411" s="293">
        <f>'[1]Strohs Plant in Service'!$E414</f>
        <v>45231</v>
      </c>
      <c r="Y411" s="297">
        <f>'[1]Strohs Plant in Service'!$F414</f>
        <v>4320.79</v>
      </c>
      <c r="Z411" s="248"/>
      <c r="AA411" s="294">
        <f>'[1]Strohs Plant in Service'!$G$11/12</f>
        <v>6</v>
      </c>
      <c r="AB411" s="219">
        <f>('[1]Strohs Plant in Service'!$G414-'[1]Strohs Plant in Service'!$H414)/12</f>
        <v>1.4166666666666667</v>
      </c>
      <c r="AC411" s="219">
        <f>'[1]Strohs Plant in Service'!$I414</f>
        <v>221.57897435897436</v>
      </c>
      <c r="AD411" s="219"/>
      <c r="AE411" s="220">
        <f>'[1]Strohs Plant in Service'!$J414</f>
        <v>332.35</v>
      </c>
      <c r="AF411" s="221">
        <v>3988.44</v>
      </c>
      <c r="AG411" s="204"/>
      <c r="AH411" s="178"/>
      <c r="AI411" s="174"/>
      <c r="AJ411" s="179"/>
      <c r="AK411" s="247"/>
      <c r="AL411" s="248"/>
      <c r="AM411" s="294"/>
      <c r="AN411" s="219"/>
      <c r="AO411" s="219"/>
      <c r="AP411" s="219"/>
      <c r="AQ411" s="220"/>
      <c r="AR411" s="221"/>
      <c r="AY411" s="628"/>
      <c r="AZ411" s="470">
        <v>1</v>
      </c>
      <c r="BA411" s="466">
        <v>4735927073</v>
      </c>
      <c r="BB411" s="211">
        <v>1838</v>
      </c>
      <c r="BC411" s="211">
        <v>570</v>
      </c>
      <c r="BD411" s="211">
        <v>708</v>
      </c>
      <c r="BE411" s="211">
        <v>2071</v>
      </c>
      <c r="BF411" s="211">
        <v>2198</v>
      </c>
      <c r="BG411" s="211">
        <v>3838</v>
      </c>
      <c r="BH411" s="211">
        <v>3570</v>
      </c>
      <c r="BI411" s="211">
        <v>4625</v>
      </c>
      <c r="BJ411" s="211">
        <v>2862</v>
      </c>
      <c r="BK411" s="211">
        <v>1430</v>
      </c>
      <c r="BL411" s="211">
        <v>550</v>
      </c>
      <c r="BM411" s="211">
        <v>640</v>
      </c>
      <c r="BO411" s="28">
        <f t="shared" si="17"/>
        <v>2075</v>
      </c>
      <c r="BP411" s="28">
        <f t="shared" si="18"/>
        <v>24900</v>
      </c>
    </row>
    <row r="412" spans="22:68" x14ac:dyDescent="0.25">
      <c r="V412" s="449" t="str">
        <f>'[1]Strohs Plant in Service'!$C415</f>
        <v>Meters (20)</v>
      </c>
      <c r="W412" s="292" t="str">
        <f>'[1]Strohs Plant in Service'!$D415</f>
        <v>Meters - Strohs (472)</v>
      </c>
      <c r="X412" s="293">
        <f>'[1]Strohs Plant in Service'!$E415</f>
        <v>45231</v>
      </c>
      <c r="Y412" s="297">
        <f>'[1]Strohs Plant in Service'!$F415</f>
        <v>258.73</v>
      </c>
      <c r="Z412" s="248"/>
      <c r="AA412" s="294">
        <f>'[1]Strohs Plant in Service'!$G$11/12</f>
        <v>6</v>
      </c>
      <c r="AB412" s="219">
        <f>('[1]Strohs Plant in Service'!$G415-'[1]Strohs Plant in Service'!$H415)/12</f>
        <v>1.4166666666666667</v>
      </c>
      <c r="AC412" s="219">
        <f>'[1]Strohs Plant in Service'!$I415</f>
        <v>13.26820512820513</v>
      </c>
      <c r="AD412" s="219"/>
      <c r="AE412" s="220">
        <f>'[1]Strohs Plant in Service'!$J415</f>
        <v>19.96</v>
      </c>
      <c r="AF412" s="221">
        <v>238.77</v>
      </c>
      <c r="AG412" s="204"/>
      <c r="AH412" s="178"/>
      <c r="AI412" s="174"/>
      <c r="AJ412" s="179"/>
      <c r="AK412" s="247"/>
      <c r="AL412" s="248"/>
      <c r="AM412" s="294"/>
      <c r="AN412" s="219"/>
      <c r="AO412" s="219"/>
      <c r="AP412" s="219"/>
      <c r="AQ412" s="220"/>
      <c r="AR412" s="221"/>
      <c r="AY412" s="628"/>
      <c r="AZ412" s="470">
        <v>0.75</v>
      </c>
      <c r="BA412" s="466">
        <v>4738619299</v>
      </c>
      <c r="BB412" s="211">
        <v>34</v>
      </c>
      <c r="BC412" s="211">
        <v>23</v>
      </c>
      <c r="BD412" s="211">
        <v>50</v>
      </c>
      <c r="BE412" s="211">
        <v>34</v>
      </c>
      <c r="BF412" s="211">
        <v>24</v>
      </c>
      <c r="BG412" s="211">
        <v>42</v>
      </c>
      <c r="BH412" s="211">
        <v>50</v>
      </c>
      <c r="BI412" s="211">
        <v>45</v>
      </c>
      <c r="BJ412" s="211">
        <v>38</v>
      </c>
      <c r="BK412" s="211">
        <v>36</v>
      </c>
      <c r="BL412" s="211">
        <v>48</v>
      </c>
      <c r="BM412" s="211">
        <v>53</v>
      </c>
      <c r="BO412" s="28">
        <f t="shared" si="17"/>
        <v>39.75</v>
      </c>
      <c r="BP412" s="28">
        <f t="shared" si="18"/>
        <v>477</v>
      </c>
    </row>
    <row r="413" spans="22:68" x14ac:dyDescent="0.25">
      <c r="V413" s="449" t="str">
        <f>'[1]Strohs Plant in Service'!$C416</f>
        <v>Meters (20)</v>
      </c>
      <c r="W413" s="292" t="str">
        <f>'[1]Strohs Plant in Service'!$D416</f>
        <v>Meters - Strohs (075)</v>
      </c>
      <c r="X413" s="293">
        <f>'[1]Strohs Plant in Service'!$E416</f>
        <v>45231</v>
      </c>
      <c r="Y413" s="297">
        <f>'[1]Strohs Plant in Service'!$F416</f>
        <v>1443.14</v>
      </c>
      <c r="Z413" s="248"/>
      <c r="AA413" s="294">
        <f>'[1]Strohs Plant in Service'!$G$11/12</f>
        <v>6</v>
      </c>
      <c r="AB413" s="219">
        <f>('[1]Strohs Plant in Service'!$G416-'[1]Strohs Plant in Service'!$H416)/12</f>
        <v>1.4166666666666667</v>
      </c>
      <c r="AC413" s="219">
        <f>'[1]Strohs Plant in Service'!$I416</f>
        <v>74.007179487179485</v>
      </c>
      <c r="AD413" s="219"/>
      <c r="AE413" s="220">
        <f>'[1]Strohs Plant in Service'!$J416</f>
        <v>111.05</v>
      </c>
      <c r="AF413" s="221">
        <v>1332.0900000000001</v>
      </c>
      <c r="AG413" s="204"/>
      <c r="AH413" s="178"/>
      <c r="AI413" s="174"/>
      <c r="AJ413" s="179"/>
      <c r="AK413" s="247"/>
      <c r="AL413" s="248"/>
      <c r="AM413" s="294"/>
      <c r="AN413" s="219"/>
      <c r="AO413" s="219"/>
      <c r="AP413" s="219"/>
      <c r="AQ413" s="220"/>
      <c r="AR413" s="221"/>
      <c r="AY413" s="628"/>
      <c r="AZ413" s="470">
        <v>1</v>
      </c>
      <c r="BA413" s="466">
        <v>4741361176</v>
      </c>
      <c r="BB413" s="211">
        <v>393</v>
      </c>
      <c r="BC413" s="211">
        <v>411</v>
      </c>
      <c r="BD413" s="211">
        <v>524</v>
      </c>
      <c r="BE413" s="211">
        <v>596</v>
      </c>
      <c r="BF413" s="211">
        <v>431</v>
      </c>
      <c r="BG413" s="211">
        <v>573</v>
      </c>
      <c r="BH413" s="211">
        <v>1156</v>
      </c>
      <c r="BI413" s="211">
        <v>2664</v>
      </c>
      <c r="BJ413" s="211">
        <v>704</v>
      </c>
      <c r="BK413" s="211">
        <v>434</v>
      </c>
      <c r="BL413" s="211">
        <v>179</v>
      </c>
      <c r="BM413" s="211">
        <v>600</v>
      </c>
      <c r="BO413" s="28">
        <f t="shared" si="17"/>
        <v>722.08333333333337</v>
      </c>
      <c r="BP413" s="28">
        <f t="shared" si="18"/>
        <v>8665</v>
      </c>
    </row>
    <row r="414" spans="22:68" x14ac:dyDescent="0.25">
      <c r="V414" s="449" t="str">
        <f>'[1]Strohs Plant in Service'!$C417</f>
        <v>Meters (20)</v>
      </c>
      <c r="W414" s="292" t="str">
        <f>'[1]Strohs Plant in Service'!$D417</f>
        <v>Meters - Strohs (472)</v>
      </c>
      <c r="X414" s="293">
        <f>'[1]Strohs Plant in Service'!$E417</f>
        <v>45231</v>
      </c>
      <c r="Y414" s="297">
        <f>'[1]Strohs Plant in Service'!$F417</f>
        <v>3313.14</v>
      </c>
      <c r="Z414" s="248"/>
      <c r="AA414" s="294">
        <f>'[1]Strohs Plant in Service'!$G$11/12</f>
        <v>6</v>
      </c>
      <c r="AB414" s="219">
        <f>('[1]Strohs Plant in Service'!$G417-'[1]Strohs Plant in Service'!$H417)/12</f>
        <v>1.4166666666666667</v>
      </c>
      <c r="AC414" s="219">
        <f>'[1]Strohs Plant in Service'!$I417</f>
        <v>169.90461538461537</v>
      </c>
      <c r="AD414" s="219"/>
      <c r="AE414" s="220">
        <f>'[1]Strohs Plant in Service'!$J417</f>
        <v>254.87</v>
      </c>
      <c r="AF414" s="221">
        <v>3058.27</v>
      </c>
      <c r="AG414" s="204"/>
      <c r="AH414" s="178"/>
      <c r="AI414" s="174"/>
      <c r="AJ414" s="179"/>
      <c r="AK414" s="247"/>
      <c r="AL414" s="248"/>
      <c r="AM414" s="294"/>
      <c r="AN414" s="219"/>
      <c r="AO414" s="219"/>
      <c r="AP414" s="219"/>
      <c r="AQ414" s="220"/>
      <c r="AR414" s="221"/>
      <c r="AY414" s="628"/>
      <c r="AZ414" s="470">
        <v>0.625</v>
      </c>
      <c r="BA414" s="466">
        <v>4753665558</v>
      </c>
      <c r="BB414" s="211">
        <v>179</v>
      </c>
      <c r="BC414" s="211">
        <v>187</v>
      </c>
      <c r="BD414" s="211">
        <v>172</v>
      </c>
      <c r="BE414" s="211">
        <v>187</v>
      </c>
      <c r="BF414" s="211">
        <v>197</v>
      </c>
      <c r="BG414" s="211">
        <v>1184</v>
      </c>
      <c r="BH414" s="211">
        <v>7821</v>
      </c>
      <c r="BI414" s="211">
        <v>7911</v>
      </c>
      <c r="BJ414" s="211">
        <v>9144</v>
      </c>
      <c r="BK414" s="211">
        <v>7031</v>
      </c>
      <c r="BL414" s="211">
        <v>85</v>
      </c>
      <c r="BM414" s="211">
        <v>104</v>
      </c>
      <c r="BO414" s="28">
        <f t="shared" si="17"/>
        <v>2850.1666666666665</v>
      </c>
      <c r="BP414" s="28">
        <f t="shared" si="18"/>
        <v>34202</v>
      </c>
    </row>
    <row r="415" spans="22:68" x14ac:dyDescent="0.25">
      <c r="V415" s="449" t="str">
        <f>'[1]Strohs Plant in Service'!$C418</f>
        <v>Meters (20)</v>
      </c>
      <c r="W415" s="292" t="str">
        <f>'[1]Strohs Plant in Service'!$D418</f>
        <v>Meters - Strohs (075)</v>
      </c>
      <c r="X415" s="293">
        <f>'[1]Strohs Plant in Service'!$E418</f>
        <v>45231</v>
      </c>
      <c r="Y415" s="297">
        <f>'[1]Strohs Plant in Service'!$F418</f>
        <v>973.18</v>
      </c>
      <c r="Z415" s="248"/>
      <c r="AA415" s="294">
        <f>'[1]Strohs Plant in Service'!$G$11/12</f>
        <v>6</v>
      </c>
      <c r="AB415" s="219">
        <f>('[1]Strohs Plant in Service'!$G418-'[1]Strohs Plant in Service'!$H418)/12</f>
        <v>1.4166666666666667</v>
      </c>
      <c r="AC415" s="219">
        <f>'[1]Strohs Plant in Service'!$I418</f>
        <v>49.906666666666666</v>
      </c>
      <c r="AD415" s="219"/>
      <c r="AE415" s="220">
        <f>'[1]Strohs Plant in Service'!$J418</f>
        <v>74.87</v>
      </c>
      <c r="AF415" s="221">
        <v>898.31</v>
      </c>
      <c r="AG415" s="204"/>
      <c r="AH415" s="178"/>
      <c r="AI415" s="174"/>
      <c r="AJ415" s="179"/>
      <c r="AK415" s="247"/>
      <c r="AL415" s="248"/>
      <c r="AM415" s="294"/>
      <c r="AN415" s="219"/>
      <c r="AO415" s="219"/>
      <c r="AP415" s="219"/>
      <c r="AQ415" s="220"/>
      <c r="AR415" s="221"/>
      <c r="AY415" s="628"/>
      <c r="AZ415" s="470">
        <v>0.75</v>
      </c>
      <c r="BA415" s="466">
        <v>4763672326</v>
      </c>
      <c r="BB415" s="211">
        <v>153</v>
      </c>
      <c r="BC415" s="211">
        <v>136</v>
      </c>
      <c r="BD415" s="211">
        <v>155</v>
      </c>
      <c r="BE415" s="211">
        <v>152</v>
      </c>
      <c r="BF415" s="211">
        <v>131</v>
      </c>
      <c r="BG415" s="211">
        <v>205</v>
      </c>
      <c r="BH415" s="211">
        <v>1132</v>
      </c>
      <c r="BI415" s="211">
        <v>271</v>
      </c>
      <c r="BJ415" s="211">
        <v>724</v>
      </c>
      <c r="BK415" s="211">
        <v>427</v>
      </c>
      <c r="BL415" s="211">
        <v>367</v>
      </c>
      <c r="BM415" s="211">
        <v>211</v>
      </c>
      <c r="BO415" s="28">
        <f t="shared" si="17"/>
        <v>338.66666666666669</v>
      </c>
      <c r="BP415" s="28">
        <f t="shared" si="18"/>
        <v>4064</v>
      </c>
    </row>
    <row r="416" spans="22:68" x14ac:dyDescent="0.25">
      <c r="V416" s="449" t="str">
        <f>'[1]Strohs Plant in Service'!$C419</f>
        <v>Meters (20)</v>
      </c>
      <c r="W416" s="292" t="str">
        <f>'[1]Strohs Plant in Service'!$D419</f>
        <v>Meters - Strohs (075)</v>
      </c>
      <c r="X416" s="293">
        <f>'[1]Strohs Plant in Service'!$E419</f>
        <v>45231</v>
      </c>
      <c r="Y416" s="297">
        <f>'[1]Strohs Plant in Service'!$F419</f>
        <v>1565.71</v>
      </c>
      <c r="Z416" s="248"/>
      <c r="AA416" s="294">
        <f>'[1]Strohs Plant in Service'!$G$11/12</f>
        <v>6</v>
      </c>
      <c r="AB416" s="219">
        <f>('[1]Strohs Plant in Service'!$G419-'[1]Strohs Plant in Service'!$H419)/12</f>
        <v>1.4166666666666667</v>
      </c>
      <c r="AC416" s="219">
        <f>'[1]Strohs Plant in Service'!$I419</f>
        <v>80.292820512820512</v>
      </c>
      <c r="AD416" s="219"/>
      <c r="AE416" s="220">
        <f>'[1]Strohs Plant in Service'!$J419</f>
        <v>120.43</v>
      </c>
      <c r="AF416" s="221">
        <v>1445.28</v>
      </c>
      <c r="AG416" s="204"/>
      <c r="AH416" s="178"/>
      <c r="AI416" s="174"/>
      <c r="AJ416" s="179"/>
      <c r="AK416" s="247"/>
      <c r="AL416" s="248"/>
      <c r="AM416" s="294"/>
      <c r="AN416" s="219"/>
      <c r="AO416" s="219"/>
      <c r="AP416" s="219"/>
      <c r="AQ416" s="220"/>
      <c r="AR416" s="221"/>
      <c r="AY416" s="628"/>
      <c r="AZ416" s="470">
        <v>0.75</v>
      </c>
      <c r="BA416" s="466">
        <v>4780559847</v>
      </c>
      <c r="BB416" s="211">
        <v>286</v>
      </c>
      <c r="BC416" s="211">
        <v>267</v>
      </c>
      <c r="BD416" s="211">
        <v>286</v>
      </c>
      <c r="BE416" s="211">
        <v>740</v>
      </c>
      <c r="BF416" s="211">
        <v>1806</v>
      </c>
      <c r="BG416" s="211">
        <v>1973</v>
      </c>
      <c r="BH416" s="211">
        <v>3276</v>
      </c>
      <c r="BI416" s="211">
        <v>2966</v>
      </c>
      <c r="BJ416" s="211">
        <v>2376</v>
      </c>
      <c r="BK416" s="211">
        <v>854</v>
      </c>
      <c r="BL416" s="211">
        <v>226</v>
      </c>
      <c r="BM416" s="211">
        <v>230</v>
      </c>
      <c r="BO416" s="28">
        <f t="shared" si="17"/>
        <v>1273.8333333333333</v>
      </c>
      <c r="BP416" s="28">
        <f t="shared" si="18"/>
        <v>15286</v>
      </c>
    </row>
    <row r="417" spans="22:68" x14ac:dyDescent="0.25">
      <c r="V417" s="449" t="str">
        <f>'[1]Strohs Plant in Service'!$C420</f>
        <v>Meters (20)</v>
      </c>
      <c r="W417" s="292" t="str">
        <f>'[1]Strohs Plant in Service'!$D420</f>
        <v>Meters - Strohs (075)</v>
      </c>
      <c r="X417" s="293">
        <f>'[1]Strohs Plant in Service'!$E420</f>
        <v>45231</v>
      </c>
      <c r="Y417" s="297">
        <f>'[1]Strohs Plant in Service'!$F420</f>
        <v>812.77</v>
      </c>
      <c r="Z417" s="248"/>
      <c r="AA417" s="294">
        <f>'[1]Strohs Plant in Service'!$G$11/12</f>
        <v>6</v>
      </c>
      <c r="AB417" s="219">
        <f>('[1]Strohs Plant in Service'!$G420-'[1]Strohs Plant in Service'!$H420)/12</f>
        <v>1.4166666666666667</v>
      </c>
      <c r="AC417" s="219">
        <f>'[1]Strohs Plant in Service'!$I420</f>
        <v>41.680512820512817</v>
      </c>
      <c r="AD417" s="219"/>
      <c r="AE417" s="220">
        <f>'[1]Strohs Plant in Service'!$J420</f>
        <v>62.48</v>
      </c>
      <c r="AF417" s="221">
        <v>750.29</v>
      </c>
      <c r="AG417" s="204"/>
      <c r="AH417" s="178"/>
      <c r="AI417" s="174"/>
      <c r="AJ417" s="179"/>
      <c r="AK417" s="247"/>
      <c r="AL417" s="248"/>
      <c r="AM417" s="294"/>
      <c r="AN417" s="219"/>
      <c r="AO417" s="219"/>
      <c r="AP417" s="219"/>
      <c r="AQ417" s="220"/>
      <c r="AR417" s="221"/>
      <c r="AY417" s="628"/>
      <c r="AZ417" s="470">
        <v>1.5</v>
      </c>
      <c r="BA417" s="466">
        <v>4782480183</v>
      </c>
      <c r="BB417" s="211">
        <v>3290</v>
      </c>
      <c r="BC417" s="211">
        <v>3910</v>
      </c>
      <c r="BD417" s="211">
        <v>5390</v>
      </c>
      <c r="BE417" s="211">
        <v>7080</v>
      </c>
      <c r="BF417" s="211">
        <v>5790</v>
      </c>
      <c r="BG417" s="211">
        <v>6690</v>
      </c>
      <c r="BH417" s="211">
        <v>8450</v>
      </c>
      <c r="BI417" s="211">
        <v>7150</v>
      </c>
      <c r="BJ417" s="211">
        <v>9730</v>
      </c>
      <c r="BK417" s="211">
        <v>6770</v>
      </c>
      <c r="BL417" s="211">
        <v>4950</v>
      </c>
      <c r="BM417" s="211">
        <v>5970</v>
      </c>
      <c r="BO417" s="28">
        <f t="shared" si="17"/>
        <v>6264.166666666667</v>
      </c>
      <c r="BP417" s="28">
        <f t="shared" si="18"/>
        <v>75170</v>
      </c>
    </row>
    <row r="418" spans="22:68" x14ac:dyDescent="0.25">
      <c r="V418" s="449" t="str">
        <f>'[1]Strohs Plant in Service'!$C421</f>
        <v>Meters (20)</v>
      </c>
      <c r="W418" s="292" t="str">
        <f>'[1]Strohs Plant in Service'!$D421</f>
        <v>Meters - Strohs (472)</v>
      </c>
      <c r="X418" s="293">
        <f>'[1]Strohs Plant in Service'!$E421</f>
        <v>45231</v>
      </c>
      <c r="Y418" s="297">
        <f>'[1]Strohs Plant in Service'!$F421</f>
        <v>226.14</v>
      </c>
      <c r="Z418" s="248"/>
      <c r="AA418" s="294">
        <f>'[1]Strohs Plant in Service'!$G$11/12</f>
        <v>6</v>
      </c>
      <c r="AB418" s="219">
        <f>('[1]Strohs Plant in Service'!$G421-'[1]Strohs Plant in Service'!$H421)/12</f>
        <v>1.4166666666666667</v>
      </c>
      <c r="AC418" s="219">
        <f>'[1]Strohs Plant in Service'!$I421</f>
        <v>11.596923076923076</v>
      </c>
      <c r="AD418" s="219"/>
      <c r="AE418" s="220">
        <f>'[1]Strohs Plant in Service'!$J421</f>
        <v>17.440000000000001</v>
      </c>
      <c r="AF418" s="221">
        <v>208.7</v>
      </c>
      <c r="AG418" s="204"/>
      <c r="AH418" s="178"/>
      <c r="AI418" s="174"/>
      <c r="AJ418" s="179"/>
      <c r="AK418" s="247"/>
      <c r="AL418" s="248"/>
      <c r="AM418" s="294"/>
      <c r="AN418" s="219"/>
      <c r="AO418" s="219"/>
      <c r="AP418" s="219"/>
      <c r="AQ418" s="220"/>
      <c r="AR418" s="221"/>
      <c r="AY418" s="628"/>
      <c r="AZ418" s="470">
        <v>0.75</v>
      </c>
      <c r="BA418" s="466">
        <v>4793179066</v>
      </c>
      <c r="BB418" s="211">
        <v>747</v>
      </c>
      <c r="BC418" s="211">
        <v>793</v>
      </c>
      <c r="BD418" s="211">
        <v>862</v>
      </c>
      <c r="BE418" s="211">
        <v>926</v>
      </c>
      <c r="BF418" s="211">
        <v>1001</v>
      </c>
      <c r="BG418" s="211">
        <v>1077</v>
      </c>
      <c r="BH418" s="211">
        <v>1689</v>
      </c>
      <c r="BI418" s="211">
        <v>1567</v>
      </c>
      <c r="BJ418" s="211">
        <v>1755</v>
      </c>
      <c r="BK418" s="211">
        <v>1278</v>
      </c>
      <c r="BL418" s="211">
        <v>569</v>
      </c>
      <c r="BM418" s="211">
        <v>650</v>
      </c>
      <c r="BO418" s="28">
        <f t="shared" si="17"/>
        <v>1076.1666666666667</v>
      </c>
      <c r="BP418" s="28">
        <f t="shared" si="18"/>
        <v>12914</v>
      </c>
    </row>
    <row r="419" spans="22:68" x14ac:dyDescent="0.25">
      <c r="V419" s="449" t="str">
        <f>'[1]Strohs Plant in Service'!$C422</f>
        <v>Meters (20)</v>
      </c>
      <c r="W419" s="292" t="str">
        <f>'[1]Strohs Plant in Service'!$D422</f>
        <v>Meters - Strohs (075)</v>
      </c>
      <c r="X419" s="293">
        <f>'[1]Strohs Plant in Service'!$E422</f>
        <v>45231</v>
      </c>
      <c r="Y419" s="297">
        <f>'[1]Strohs Plant in Service'!$F422</f>
        <v>735.99</v>
      </c>
      <c r="Z419" s="248"/>
      <c r="AA419" s="294">
        <f>'[1]Strohs Plant in Service'!$G$11/12</f>
        <v>6</v>
      </c>
      <c r="AB419" s="219">
        <f>('[1]Strohs Plant in Service'!$G422-'[1]Strohs Plant in Service'!$H422)/12</f>
        <v>1.4166666666666667</v>
      </c>
      <c r="AC419" s="219">
        <f>'[1]Strohs Plant in Service'!$I422</f>
        <v>37.743076923076927</v>
      </c>
      <c r="AD419" s="219"/>
      <c r="AE419" s="220">
        <f>'[1]Strohs Plant in Service'!$J422</f>
        <v>56.67</v>
      </c>
      <c r="AF419" s="221">
        <v>679.32</v>
      </c>
      <c r="AG419" s="204"/>
      <c r="AH419" s="178"/>
      <c r="AI419" s="174"/>
      <c r="AJ419" s="179"/>
      <c r="AK419" s="247"/>
      <c r="AL419" s="248"/>
      <c r="AM419" s="294"/>
      <c r="AN419" s="219"/>
      <c r="AO419" s="219"/>
      <c r="AP419" s="219"/>
      <c r="AQ419" s="220"/>
      <c r="AR419" s="221"/>
      <c r="AY419" s="628"/>
      <c r="AZ419" s="470">
        <v>1</v>
      </c>
      <c r="BA419" s="466">
        <v>4800333700</v>
      </c>
      <c r="BB419" s="211">
        <v>165</v>
      </c>
      <c r="BC419" s="211">
        <v>146</v>
      </c>
      <c r="BD419" s="211">
        <v>151</v>
      </c>
      <c r="BE419" s="211">
        <v>180</v>
      </c>
      <c r="BF419" s="211">
        <v>230</v>
      </c>
      <c r="BG419" s="211">
        <v>423</v>
      </c>
      <c r="BH419" s="211">
        <v>429</v>
      </c>
      <c r="BI419" s="211">
        <v>470</v>
      </c>
      <c r="BJ419" s="211">
        <v>308</v>
      </c>
      <c r="BK419" s="211">
        <v>192</v>
      </c>
      <c r="BL419" s="211">
        <v>153</v>
      </c>
      <c r="BM419" s="211">
        <v>103</v>
      </c>
      <c r="BO419" s="28">
        <f t="shared" si="17"/>
        <v>245.83333333333334</v>
      </c>
      <c r="BP419" s="28">
        <f t="shared" si="18"/>
        <v>2950</v>
      </c>
    </row>
    <row r="420" spans="22:68" x14ac:dyDescent="0.25">
      <c r="V420" s="449" t="str">
        <f>'[1]Strohs Plant in Service'!$C423</f>
        <v>Meters (20)</v>
      </c>
      <c r="W420" s="292" t="str">
        <f>'[1]Strohs Plant in Service'!$D423</f>
        <v>Meters - Strohs (472)</v>
      </c>
      <c r="X420" s="293">
        <f>'[1]Strohs Plant in Service'!$E423</f>
        <v>45231</v>
      </c>
      <c r="Y420" s="297">
        <f>'[1]Strohs Plant in Service'!$F423</f>
        <v>1030.94</v>
      </c>
      <c r="Z420" s="248"/>
      <c r="AA420" s="294">
        <f>'[1]Strohs Plant in Service'!$G$11/12</f>
        <v>6</v>
      </c>
      <c r="AB420" s="219">
        <f>('[1]Strohs Plant in Service'!$G423-'[1]Strohs Plant in Service'!$H423)/12</f>
        <v>1.4166666666666667</v>
      </c>
      <c r="AC420" s="219">
        <f>'[1]Strohs Plant in Service'!$I423</f>
        <v>52.868717948717951</v>
      </c>
      <c r="AD420" s="219"/>
      <c r="AE420" s="220">
        <f>'[1]Strohs Plant in Service'!$J423</f>
        <v>79.36</v>
      </c>
      <c r="AF420" s="221">
        <v>951.58</v>
      </c>
      <c r="AG420" s="204"/>
      <c r="AH420" s="178"/>
      <c r="AI420" s="174"/>
      <c r="AJ420" s="179"/>
      <c r="AK420" s="247"/>
      <c r="AL420" s="248"/>
      <c r="AM420" s="294"/>
      <c r="AN420" s="219"/>
      <c r="AO420" s="219"/>
      <c r="AP420" s="219"/>
      <c r="AQ420" s="220"/>
      <c r="AR420" s="221"/>
      <c r="AY420" s="628"/>
      <c r="AZ420" s="470">
        <v>0.75</v>
      </c>
      <c r="BA420" s="466">
        <v>4802146378</v>
      </c>
      <c r="BB420" s="211">
        <v>468</v>
      </c>
      <c r="BC420" s="211">
        <v>420</v>
      </c>
      <c r="BD420" s="211">
        <v>443</v>
      </c>
      <c r="BE420" s="211">
        <v>203</v>
      </c>
      <c r="BF420" s="211">
        <v>287</v>
      </c>
      <c r="BG420" s="211">
        <v>915</v>
      </c>
      <c r="BH420" s="211">
        <v>2785</v>
      </c>
      <c r="BI420" s="211">
        <v>392</v>
      </c>
      <c r="BJ420" s="211">
        <v>450</v>
      </c>
      <c r="BK420" s="211">
        <v>519</v>
      </c>
      <c r="BL420" s="211">
        <v>358</v>
      </c>
      <c r="BM420" s="211">
        <v>393</v>
      </c>
      <c r="BO420" s="28">
        <f t="shared" si="17"/>
        <v>636.08333333333337</v>
      </c>
      <c r="BP420" s="28">
        <f t="shared" si="18"/>
        <v>7633</v>
      </c>
    </row>
    <row r="421" spans="22:68" x14ac:dyDescent="0.25">
      <c r="V421" s="449" t="str">
        <f>'[1]Strohs Plant in Service'!$C424</f>
        <v>Meters (20)</v>
      </c>
      <c r="W421" s="292" t="str">
        <f>'[1]Strohs Plant in Service'!$D424</f>
        <v>Meters - Strohs (472)</v>
      </c>
      <c r="X421" s="293">
        <f>'[1]Strohs Plant in Service'!$E424</f>
        <v>45231</v>
      </c>
      <c r="Y421" s="297">
        <f>'[1]Strohs Plant in Service'!$F424</f>
        <v>996.52</v>
      </c>
      <c r="Z421" s="248"/>
      <c r="AA421" s="294">
        <f>'[1]Strohs Plant in Service'!$G$11/12</f>
        <v>6</v>
      </c>
      <c r="AB421" s="219">
        <f>('[1]Strohs Plant in Service'!$G424-'[1]Strohs Plant in Service'!$H424)/12</f>
        <v>1.4166666666666667</v>
      </c>
      <c r="AC421" s="219">
        <f>'[1]Strohs Plant in Service'!$I424</f>
        <v>51.103589743589751</v>
      </c>
      <c r="AD421" s="219"/>
      <c r="AE421" s="220">
        <f>'[1]Strohs Plant in Service'!$J424</f>
        <v>76.67</v>
      </c>
      <c r="AF421" s="221">
        <v>919.85</v>
      </c>
      <c r="AG421" s="204"/>
      <c r="AH421" s="178"/>
      <c r="AI421" s="174"/>
      <c r="AJ421" s="179"/>
      <c r="AK421" s="247"/>
      <c r="AL421" s="248"/>
      <c r="AM421" s="294"/>
      <c r="AN421" s="219"/>
      <c r="AO421" s="219"/>
      <c r="AP421" s="219"/>
      <c r="AQ421" s="220"/>
      <c r="AR421" s="221"/>
      <c r="AY421" s="628"/>
      <c r="AZ421" s="470">
        <v>0.75</v>
      </c>
      <c r="BA421" s="466">
        <v>4810625945</v>
      </c>
      <c r="BB421" s="211">
        <v>278</v>
      </c>
      <c r="BC421" s="211">
        <v>273</v>
      </c>
      <c r="BD421" s="211">
        <v>315</v>
      </c>
      <c r="BE421" s="211">
        <v>304</v>
      </c>
      <c r="BF421" s="211">
        <v>276</v>
      </c>
      <c r="BG421" s="211">
        <v>346</v>
      </c>
      <c r="BH421" s="211">
        <v>1265</v>
      </c>
      <c r="BI421" s="211">
        <v>5171</v>
      </c>
      <c r="BJ421" s="211">
        <v>6088</v>
      </c>
      <c r="BK421" s="211">
        <v>2005</v>
      </c>
      <c r="BL421" s="211">
        <v>300</v>
      </c>
      <c r="BM421" s="211">
        <v>384</v>
      </c>
      <c r="BO421" s="28">
        <f t="shared" si="17"/>
        <v>1417.0833333333333</v>
      </c>
      <c r="BP421" s="28">
        <f t="shared" si="18"/>
        <v>17005</v>
      </c>
    </row>
    <row r="422" spans="22:68" x14ac:dyDescent="0.25">
      <c r="V422" s="449" t="str">
        <f>'[1]Strohs Plant in Service'!$C425</f>
        <v>Meters (20)</v>
      </c>
      <c r="W422" s="292" t="str">
        <f>'[1]Strohs Plant in Service'!$D425</f>
        <v>Meters - Strohs (075)</v>
      </c>
      <c r="X422" s="293">
        <f>'[1]Strohs Plant in Service'!$E425</f>
        <v>45231</v>
      </c>
      <c r="Y422" s="297">
        <f>'[1]Strohs Plant in Service'!$F425</f>
        <v>1998.53</v>
      </c>
      <c r="Z422" s="248"/>
      <c r="AA422" s="294">
        <f>'[1]Strohs Plant in Service'!$G$11/12</f>
        <v>6</v>
      </c>
      <c r="AB422" s="219">
        <f>('[1]Strohs Plant in Service'!$G425-'[1]Strohs Plant in Service'!$H425)/12</f>
        <v>1.4166666666666667</v>
      </c>
      <c r="AC422" s="219">
        <f>'[1]Strohs Plant in Service'!$I425</f>
        <v>102.48871794871795</v>
      </c>
      <c r="AD422" s="219"/>
      <c r="AE422" s="220">
        <f>'[1]Strohs Plant in Service'!$J425</f>
        <v>153.72</v>
      </c>
      <c r="AF422" s="221">
        <v>1844.81</v>
      </c>
      <c r="AG422" s="204"/>
      <c r="AH422" s="178"/>
      <c r="AI422" s="174"/>
      <c r="AJ422" s="179"/>
      <c r="AK422" s="247"/>
      <c r="AL422" s="248"/>
      <c r="AM422" s="294"/>
      <c r="AN422" s="219"/>
      <c r="AO422" s="219"/>
      <c r="AP422" s="219"/>
      <c r="AQ422" s="220"/>
      <c r="AR422" s="221"/>
      <c r="AY422" s="628"/>
      <c r="AZ422" s="470">
        <v>0.75</v>
      </c>
      <c r="BA422" s="466">
        <v>4814054861</v>
      </c>
      <c r="BB422" s="211">
        <v>650</v>
      </c>
      <c r="BC422" s="211">
        <v>826</v>
      </c>
      <c r="BD422" s="211">
        <v>652</v>
      </c>
      <c r="BE422" s="211">
        <v>643</v>
      </c>
      <c r="BF422" s="211">
        <v>1247</v>
      </c>
      <c r="BG422" s="211">
        <v>2176</v>
      </c>
      <c r="BH422" s="211">
        <v>4209</v>
      </c>
      <c r="BI422" s="211">
        <v>3117</v>
      </c>
      <c r="BJ422" s="211">
        <v>1769</v>
      </c>
      <c r="BK422" s="211">
        <v>791</v>
      </c>
      <c r="BL422" s="211">
        <v>574</v>
      </c>
      <c r="BM422" s="211">
        <v>642</v>
      </c>
      <c r="BO422" s="28">
        <f t="shared" si="17"/>
        <v>1441.3333333333333</v>
      </c>
      <c r="BP422" s="28">
        <f t="shared" si="18"/>
        <v>17296</v>
      </c>
    </row>
    <row r="423" spans="22:68" x14ac:dyDescent="0.25">
      <c r="V423" s="449" t="str">
        <f>'[1]Strohs Plant in Service'!$C426</f>
        <v>Meters (20)</v>
      </c>
      <c r="W423" s="292" t="str">
        <f>'[1]Strohs Plant in Service'!$D426</f>
        <v>Meters - Strohs (075)</v>
      </c>
      <c r="X423" s="293">
        <f>'[1]Strohs Plant in Service'!$E426</f>
        <v>45231</v>
      </c>
      <c r="Y423" s="297">
        <f>'[1]Strohs Plant in Service'!$F426</f>
        <v>1349.9</v>
      </c>
      <c r="Z423" s="248"/>
      <c r="AA423" s="294">
        <f>'[1]Strohs Plant in Service'!$G$11/12</f>
        <v>6</v>
      </c>
      <c r="AB423" s="219">
        <f>('[1]Strohs Plant in Service'!$G426-'[1]Strohs Plant in Service'!$H426)/12</f>
        <v>1.4166666666666667</v>
      </c>
      <c r="AC423" s="219">
        <f>'[1]Strohs Plant in Service'!$I426</f>
        <v>69.225641025641039</v>
      </c>
      <c r="AD423" s="219"/>
      <c r="AE423" s="220">
        <f>'[1]Strohs Plant in Service'!$J426</f>
        <v>103.85</v>
      </c>
      <c r="AF423" s="221">
        <v>1246.0500000000002</v>
      </c>
      <c r="AG423" s="204"/>
      <c r="AH423" s="178"/>
      <c r="AI423" s="174"/>
      <c r="AJ423" s="179"/>
      <c r="AK423" s="247"/>
      <c r="AL423" s="248"/>
      <c r="AM423" s="294"/>
      <c r="AN423" s="219"/>
      <c r="AO423" s="219"/>
      <c r="AP423" s="219"/>
      <c r="AQ423" s="220"/>
      <c r="AR423" s="221"/>
      <c r="AY423" s="628"/>
      <c r="AZ423" s="470">
        <v>0.625</v>
      </c>
      <c r="BA423" s="466">
        <v>4815486587</v>
      </c>
      <c r="BB423" s="211">
        <v>285</v>
      </c>
      <c r="BC423" s="211">
        <v>679</v>
      </c>
      <c r="BD423" s="211">
        <v>684</v>
      </c>
      <c r="BE423" s="211">
        <v>753</v>
      </c>
      <c r="BF423" s="211" t="s">
        <v>655</v>
      </c>
      <c r="BG423" s="211" t="s">
        <v>655</v>
      </c>
      <c r="BH423" s="211" t="s">
        <v>655</v>
      </c>
      <c r="BI423" s="211" t="s">
        <v>655</v>
      </c>
      <c r="BJ423" s="211" t="s">
        <v>655</v>
      </c>
      <c r="BK423" s="211" t="s">
        <v>655</v>
      </c>
      <c r="BL423" s="211">
        <v>213</v>
      </c>
      <c r="BM423" s="211">
        <v>505</v>
      </c>
      <c r="BO423" s="28">
        <f t="shared" si="17"/>
        <v>519.83333333333337</v>
      </c>
      <c r="BP423" s="28">
        <f t="shared" si="18"/>
        <v>3119</v>
      </c>
    </row>
    <row r="424" spans="22:68" x14ac:dyDescent="0.25">
      <c r="V424" s="449" t="str">
        <f>'[1]Strohs Plant in Service'!$C427</f>
        <v>Meters (20)</v>
      </c>
      <c r="W424" s="292" t="str">
        <f>'[1]Strohs Plant in Service'!$D427</f>
        <v>Meters (CIAC, Fox Run) - Strohs (47</v>
      </c>
      <c r="X424" s="293">
        <f>'[1]Strohs Plant in Service'!$E427</f>
        <v>45231</v>
      </c>
      <c r="Y424" s="297">
        <f>'[1]Strohs Plant in Service'!$F427</f>
        <v>12321.68</v>
      </c>
      <c r="Z424" s="248"/>
      <c r="AA424" s="294">
        <f>'[1]Strohs Plant in Service'!$G$11/12</f>
        <v>6</v>
      </c>
      <c r="AB424" s="219">
        <f>('[1]Strohs Plant in Service'!$G427-'[1]Strohs Plant in Service'!$H427)/12</f>
        <v>1.4166666666666667</v>
      </c>
      <c r="AC424" s="219">
        <f>'[1]Strohs Plant in Service'!$I427</f>
        <v>631.88102564102564</v>
      </c>
      <c r="AD424" s="219"/>
      <c r="AE424" s="220">
        <f>'[1]Strohs Plant in Service'!$J427</f>
        <v>947.86</v>
      </c>
      <c r="AF424" s="221">
        <v>11373.82</v>
      </c>
      <c r="AG424" s="204"/>
      <c r="AH424" s="178"/>
      <c r="AI424" s="174"/>
      <c r="AJ424" s="179"/>
      <c r="AK424" s="247"/>
      <c r="AL424" s="248"/>
      <c r="AM424" s="294"/>
      <c r="AN424" s="219"/>
      <c r="AO424" s="219"/>
      <c r="AP424" s="219"/>
      <c r="AQ424" s="220"/>
      <c r="AR424" s="221"/>
      <c r="AY424" s="628"/>
      <c r="AZ424" s="470">
        <v>0.625</v>
      </c>
      <c r="BA424" s="466">
        <v>4821901464</v>
      </c>
      <c r="BB424" s="211">
        <v>419</v>
      </c>
      <c r="BC424" s="211">
        <v>140</v>
      </c>
      <c r="BD424" s="211">
        <v>150</v>
      </c>
      <c r="BE424" s="211" t="s">
        <v>655</v>
      </c>
      <c r="BF424" s="211">
        <v>939</v>
      </c>
      <c r="BG424" s="211">
        <v>254</v>
      </c>
      <c r="BH424" s="211">
        <v>373</v>
      </c>
      <c r="BI424" s="211">
        <v>283</v>
      </c>
      <c r="BJ424" s="211">
        <v>462</v>
      </c>
      <c r="BK424" s="211">
        <v>393</v>
      </c>
      <c r="BL424" s="211">
        <v>324</v>
      </c>
      <c r="BM424" s="211">
        <v>300</v>
      </c>
      <c r="BO424" s="28">
        <f t="shared" si="17"/>
        <v>367</v>
      </c>
      <c r="BP424" s="28">
        <f t="shared" si="18"/>
        <v>4037</v>
      </c>
    </row>
    <row r="425" spans="22:68" x14ac:dyDescent="0.25">
      <c r="V425" s="449" t="str">
        <f>'[1]Strohs Plant in Service'!$C428</f>
        <v>Meters (20)</v>
      </c>
      <c r="W425" s="292" t="str">
        <f>'[1]Strohs Plant in Service'!$D428</f>
        <v>Meters - Strohs (472)</v>
      </c>
      <c r="X425" s="293">
        <f>'[1]Strohs Plant in Service'!$E428</f>
        <v>45231</v>
      </c>
      <c r="Y425" s="297">
        <f>'[1]Strohs Plant in Service'!$F428</f>
        <v>693.78</v>
      </c>
      <c r="Z425" s="248"/>
      <c r="AA425" s="294">
        <f>'[1]Strohs Plant in Service'!$G$11/12</f>
        <v>6</v>
      </c>
      <c r="AB425" s="219">
        <f>('[1]Strohs Plant in Service'!$G428-'[1]Strohs Plant in Service'!$H428)/12</f>
        <v>1.4166666666666667</v>
      </c>
      <c r="AC425" s="219">
        <f>'[1]Strohs Plant in Service'!$I428</f>
        <v>35.578461538461539</v>
      </c>
      <c r="AD425" s="219"/>
      <c r="AE425" s="220">
        <f>'[1]Strohs Plant in Service'!$J428</f>
        <v>53.34</v>
      </c>
      <c r="AF425" s="221">
        <v>640.43999999999994</v>
      </c>
      <c r="AG425" s="204"/>
      <c r="AH425" s="178"/>
      <c r="AI425" s="174"/>
      <c r="AJ425" s="179"/>
      <c r="AK425" s="247"/>
      <c r="AL425" s="248"/>
      <c r="AM425" s="294"/>
      <c r="AN425" s="219"/>
      <c r="AO425" s="219"/>
      <c r="AP425" s="219"/>
      <c r="AQ425" s="220"/>
      <c r="AR425" s="221"/>
      <c r="AY425" s="628"/>
      <c r="AZ425" s="470">
        <v>0.75</v>
      </c>
      <c r="BA425" s="466">
        <v>4839884564</v>
      </c>
      <c r="BB425" s="211">
        <v>980</v>
      </c>
      <c r="BC425" s="211">
        <v>683</v>
      </c>
      <c r="BD425" s="211">
        <v>843</v>
      </c>
      <c r="BE425" s="211">
        <v>1681</v>
      </c>
      <c r="BF425" s="211">
        <v>104</v>
      </c>
      <c r="BG425" s="211">
        <v>166</v>
      </c>
      <c r="BH425" s="211" t="s">
        <v>655</v>
      </c>
      <c r="BI425" s="211" t="s">
        <v>655</v>
      </c>
      <c r="BJ425" s="211" t="s">
        <v>655</v>
      </c>
      <c r="BK425" s="211" t="s">
        <v>655</v>
      </c>
      <c r="BL425" s="211" t="s">
        <v>655</v>
      </c>
      <c r="BM425" s="211" t="s">
        <v>655</v>
      </c>
      <c r="BO425" s="28">
        <f t="shared" si="17"/>
        <v>742.83333333333337</v>
      </c>
      <c r="BP425" s="28">
        <f t="shared" si="18"/>
        <v>4457</v>
      </c>
    </row>
    <row r="426" spans="22:68" x14ac:dyDescent="0.25">
      <c r="V426" s="449" t="str">
        <f>'[1]Strohs Plant in Service'!$C429</f>
        <v>Meters (20)</v>
      </c>
      <c r="W426" s="292" t="str">
        <f>'[1]Strohs Plant in Service'!$D429</f>
        <v>Meters - Strohs (472)</v>
      </c>
      <c r="X426" s="293">
        <f>'[1]Strohs Plant in Service'!$E429</f>
        <v>45231</v>
      </c>
      <c r="Y426" s="297">
        <f>'[1]Strohs Plant in Service'!$F429</f>
        <v>26014.77</v>
      </c>
      <c r="Z426" s="248"/>
      <c r="AA426" s="294">
        <f>'[1]Strohs Plant in Service'!$G$11/12</f>
        <v>6</v>
      </c>
      <c r="AB426" s="219">
        <f>('[1]Strohs Plant in Service'!$G429-'[1]Strohs Plant in Service'!$H429)/12</f>
        <v>1.4166666666666667</v>
      </c>
      <c r="AC426" s="219">
        <f>'[1]Strohs Plant in Service'!$I429</f>
        <v>1334.0907692307692</v>
      </c>
      <c r="AD426" s="219"/>
      <c r="AE426" s="220">
        <f>'[1]Strohs Plant in Service'!$J429</f>
        <v>2001.08</v>
      </c>
      <c r="AF426" s="221">
        <v>24013.690000000002</v>
      </c>
      <c r="AG426" s="204"/>
      <c r="AH426" s="178"/>
      <c r="AI426" s="174"/>
      <c r="AJ426" s="179"/>
      <c r="AK426" s="247"/>
      <c r="AL426" s="248"/>
      <c r="AM426" s="294"/>
      <c r="AN426" s="219"/>
      <c r="AO426" s="219"/>
      <c r="AP426" s="219"/>
      <c r="AQ426" s="220"/>
      <c r="AR426" s="221"/>
      <c r="AY426" s="628"/>
      <c r="AZ426" s="470">
        <v>0.75</v>
      </c>
      <c r="BA426" s="466">
        <v>4868171380</v>
      </c>
      <c r="BB426" s="211">
        <v>53</v>
      </c>
      <c r="BC426" s="211">
        <v>1</v>
      </c>
      <c r="BD426" s="211">
        <v>12</v>
      </c>
      <c r="BE426" s="211">
        <v>167</v>
      </c>
      <c r="BF426" s="211">
        <v>645</v>
      </c>
      <c r="BG426" s="211">
        <v>927</v>
      </c>
      <c r="BH426" s="211">
        <v>2311</v>
      </c>
      <c r="BI426" s="211">
        <v>2287</v>
      </c>
      <c r="BJ426" s="211">
        <v>1168</v>
      </c>
      <c r="BK426" s="211">
        <v>376</v>
      </c>
      <c r="BL426" s="211">
        <v>155</v>
      </c>
      <c r="BM426" s="211">
        <v>76</v>
      </c>
      <c r="BO426" s="28">
        <f t="shared" si="17"/>
        <v>681.5</v>
      </c>
      <c r="BP426" s="28">
        <f t="shared" si="18"/>
        <v>8178</v>
      </c>
    </row>
    <row r="427" spans="22:68" x14ac:dyDescent="0.25">
      <c r="V427" s="449" t="str">
        <f>'[1]Strohs Plant in Service'!$C430</f>
        <v>Meters (20)</v>
      </c>
      <c r="W427" s="292" t="str">
        <f>'[1]Strohs Plant in Service'!$D430</f>
        <v>Meters - Strohs (075)</v>
      </c>
      <c r="X427" s="293">
        <f>'[1]Strohs Plant in Service'!$E430</f>
        <v>45231</v>
      </c>
      <c r="Y427" s="297">
        <f>'[1]Strohs Plant in Service'!$F430</f>
        <v>19980.57</v>
      </c>
      <c r="Z427" s="248"/>
      <c r="AA427" s="294">
        <f>'[1]Strohs Plant in Service'!$G$11/12</f>
        <v>6</v>
      </c>
      <c r="AB427" s="219">
        <f>('[1]Strohs Plant in Service'!$G430-'[1]Strohs Plant in Service'!$H430)/12</f>
        <v>1.4166666666666667</v>
      </c>
      <c r="AC427" s="219">
        <f>'[1]Strohs Plant in Service'!$I430</f>
        <v>1024.6446153846152</v>
      </c>
      <c r="AD427" s="219"/>
      <c r="AE427" s="220">
        <f>'[1]Strohs Plant in Service'!$J430</f>
        <v>1537.01</v>
      </c>
      <c r="AF427" s="221">
        <v>18443.560000000001</v>
      </c>
      <c r="AG427" s="204"/>
      <c r="AH427" s="178"/>
      <c r="AI427" s="174"/>
      <c r="AJ427" s="179"/>
      <c r="AK427" s="247"/>
      <c r="AL427" s="248"/>
      <c r="AM427" s="294"/>
      <c r="AN427" s="219"/>
      <c r="AO427" s="219"/>
      <c r="AP427" s="219"/>
      <c r="AQ427" s="220"/>
      <c r="AR427" s="221"/>
      <c r="AY427" s="628"/>
      <c r="AZ427" s="470">
        <v>0.75</v>
      </c>
      <c r="BA427" s="466">
        <v>4876312298</v>
      </c>
      <c r="BB427" s="211">
        <v>300</v>
      </c>
      <c r="BC427" s="211">
        <v>146</v>
      </c>
      <c r="BD427" s="211">
        <v>222</v>
      </c>
      <c r="BE427" s="211">
        <v>248</v>
      </c>
      <c r="BF427" s="211">
        <v>269</v>
      </c>
      <c r="BG427" s="211">
        <v>352</v>
      </c>
      <c r="BH427" s="211">
        <v>1300</v>
      </c>
      <c r="BI427" s="211">
        <v>500</v>
      </c>
      <c r="BJ427" s="211">
        <v>493</v>
      </c>
      <c r="BK427" s="211">
        <v>293</v>
      </c>
      <c r="BL427" s="211">
        <v>102</v>
      </c>
      <c r="BM427" s="211">
        <v>125</v>
      </c>
      <c r="BO427" s="28">
        <f t="shared" si="17"/>
        <v>362.5</v>
      </c>
      <c r="BP427" s="28">
        <f t="shared" si="18"/>
        <v>4350</v>
      </c>
    </row>
    <row r="428" spans="22:68" x14ac:dyDescent="0.25">
      <c r="V428" s="449" t="str">
        <f>'[1]Strohs Plant in Service'!$C431</f>
        <v>Land, Water Rights, and Organization (0)</v>
      </c>
      <c r="W428" s="292" t="str">
        <f>'[1]Strohs Plant in Service'!$D431</f>
        <v>Franchises - Strohs</v>
      </c>
      <c r="X428" s="293">
        <f>'[1]Strohs Plant in Service'!$E431</f>
        <v>45231</v>
      </c>
      <c r="Y428" s="297">
        <f>'[1]Strohs Plant in Service'!$F431</f>
        <v>351.97</v>
      </c>
      <c r="Z428" s="248"/>
      <c r="AA428" s="294">
        <f>'[1]Strohs Plant in Service'!$G$11/12</f>
        <v>6</v>
      </c>
      <c r="AB428" s="219" t="e">
        <f>('[1]Strohs Plant in Service'!$G431-'[1]Strohs Plant in Service'!$H431)/12</f>
        <v>#VALUE!</v>
      </c>
      <c r="AC428" s="219">
        <f>'[1]Strohs Plant in Service'!$I431</f>
        <v>0</v>
      </c>
      <c r="AD428" s="219"/>
      <c r="AE428" s="220">
        <f>'[1]Strohs Plant in Service'!$J431</f>
        <v>0</v>
      </c>
      <c r="AF428" s="221">
        <v>351.97</v>
      </c>
      <c r="AG428" s="204"/>
      <c r="AH428" s="178"/>
      <c r="AI428" s="174"/>
      <c r="AJ428" s="179"/>
      <c r="AK428" s="247"/>
      <c r="AL428" s="248"/>
      <c r="AM428" s="294"/>
      <c r="AN428" s="219"/>
      <c r="AO428" s="219"/>
      <c r="AP428" s="219"/>
      <c r="AQ428" s="220"/>
      <c r="AR428" s="221"/>
      <c r="AY428" s="628"/>
      <c r="AZ428" s="470">
        <v>1</v>
      </c>
      <c r="BA428" s="466">
        <v>4898689456</v>
      </c>
      <c r="BB428" s="211">
        <v>241</v>
      </c>
      <c r="BC428" s="211">
        <v>290</v>
      </c>
      <c r="BD428" s="211">
        <v>220</v>
      </c>
      <c r="BE428" s="211">
        <v>390</v>
      </c>
      <c r="BF428" s="211">
        <v>280</v>
      </c>
      <c r="BG428" s="211">
        <v>431</v>
      </c>
      <c r="BH428" s="211">
        <v>823</v>
      </c>
      <c r="BI428" s="211">
        <v>725</v>
      </c>
      <c r="BJ428" s="211">
        <v>708</v>
      </c>
      <c r="BK428" s="211">
        <v>228</v>
      </c>
      <c r="BL428" s="211">
        <v>250</v>
      </c>
      <c r="BM428" s="211">
        <v>400</v>
      </c>
      <c r="BO428" s="28">
        <f t="shared" si="17"/>
        <v>415.5</v>
      </c>
      <c r="BP428" s="28">
        <f t="shared" si="18"/>
        <v>4986</v>
      </c>
    </row>
    <row r="429" spans="22:68" x14ac:dyDescent="0.25">
      <c r="V429" s="449" t="str">
        <f>'[1]Strohs Plant in Service'!$C432</f>
        <v>Meters (20)</v>
      </c>
      <c r="W429" s="292" t="str">
        <f>'[1]Strohs Plant in Service'!$D432</f>
        <v>Meters - STROH</v>
      </c>
      <c r="X429" s="293">
        <f>'[1]Strohs Plant in Service'!$E432</f>
        <v>45139</v>
      </c>
      <c r="Y429" s="297">
        <f>'[1]Strohs Plant in Service'!$F432</f>
        <v>762.84</v>
      </c>
      <c r="Z429" s="248"/>
      <c r="AA429" s="294">
        <f>'[1]Strohs Plant in Service'!$G$11/12</f>
        <v>6</v>
      </c>
      <c r="AB429" s="219">
        <f>('[1]Strohs Plant in Service'!$G432-'[1]Strohs Plant in Service'!$H432)/12</f>
        <v>0.66666666666666663</v>
      </c>
      <c r="AC429" s="219">
        <f>'[1]Strohs Plant in Service'!$I432</f>
        <v>38.142000000000003</v>
      </c>
      <c r="AD429" s="219"/>
      <c r="AE429" s="220">
        <f>'[1]Strohs Plant in Service'!$J432</f>
        <v>28.75</v>
      </c>
      <c r="AF429" s="221">
        <v>734.09</v>
      </c>
      <c r="AG429" s="204"/>
      <c r="AH429" s="178"/>
      <c r="AI429" s="174"/>
      <c r="AJ429" s="179"/>
      <c r="AK429" s="247"/>
      <c r="AL429" s="248"/>
      <c r="AM429" s="294"/>
      <c r="AN429" s="219"/>
      <c r="AO429" s="219"/>
      <c r="AP429" s="219"/>
      <c r="AQ429" s="220"/>
      <c r="AR429" s="221"/>
      <c r="AY429" s="628"/>
      <c r="AZ429" s="470">
        <v>0.75</v>
      </c>
      <c r="BA429" s="466">
        <v>4909833229</v>
      </c>
      <c r="BB429" s="211">
        <v>139</v>
      </c>
      <c r="BC429" s="211">
        <v>475</v>
      </c>
      <c r="BD429" s="211">
        <v>202</v>
      </c>
      <c r="BE429" s="211">
        <v>668</v>
      </c>
      <c r="BF429" s="211">
        <v>540</v>
      </c>
      <c r="BG429" s="211">
        <v>192</v>
      </c>
      <c r="BH429" s="211">
        <v>1348</v>
      </c>
      <c r="BI429" s="211">
        <v>1612</v>
      </c>
      <c r="BJ429" s="211">
        <v>438</v>
      </c>
      <c r="BK429" s="211">
        <v>300</v>
      </c>
      <c r="BL429" s="211">
        <v>155</v>
      </c>
      <c r="BM429" s="211">
        <v>210</v>
      </c>
      <c r="BO429" s="28">
        <f t="shared" si="17"/>
        <v>523.25</v>
      </c>
      <c r="BP429" s="28">
        <f t="shared" si="18"/>
        <v>6279</v>
      </c>
    </row>
    <row r="430" spans="22:68" x14ac:dyDescent="0.25">
      <c r="V430" s="449" t="str">
        <f>'[1]Strohs Plant in Service'!$C433</f>
        <v>Pumping and Water Treatment (20)</v>
      </c>
      <c r="W430" s="292" t="str">
        <f>'[1]Strohs Plant in Service'!$D433</f>
        <v>Service - STROH</v>
      </c>
      <c r="X430" s="293">
        <f>'[1]Strohs Plant in Service'!$E433</f>
        <v>45139</v>
      </c>
      <c r="Y430" s="297">
        <f>'[1]Strohs Plant in Service'!$F433</f>
        <v>762.81</v>
      </c>
      <c r="Z430" s="248"/>
      <c r="AA430" s="294">
        <f>'[1]Strohs Plant in Service'!$G$11/12</f>
        <v>6</v>
      </c>
      <c r="AB430" s="219">
        <f>('[1]Strohs Plant in Service'!$G433-'[1]Strohs Plant in Service'!$H433)/12</f>
        <v>0.66666666666666663</v>
      </c>
      <c r="AC430" s="219">
        <f>'[1]Strohs Plant in Service'!$I433</f>
        <v>25.426999999999996</v>
      </c>
      <c r="AD430" s="219"/>
      <c r="AE430" s="220">
        <f>'[1]Strohs Plant in Service'!$J433</f>
        <v>19.21</v>
      </c>
      <c r="AF430" s="221">
        <v>743.59999999999991</v>
      </c>
      <c r="AG430" s="204"/>
      <c r="AH430" s="178"/>
      <c r="AI430" s="174"/>
      <c r="AJ430" s="179"/>
      <c r="AK430" s="247"/>
      <c r="AL430" s="248"/>
      <c r="AM430" s="294"/>
      <c r="AN430" s="219"/>
      <c r="AO430" s="219"/>
      <c r="AP430" s="219"/>
      <c r="AQ430" s="220"/>
      <c r="AR430" s="221"/>
      <c r="AY430" s="628"/>
      <c r="AZ430" s="470">
        <v>0.75</v>
      </c>
      <c r="BA430" s="466">
        <v>4945321095</v>
      </c>
      <c r="BB430" s="211">
        <v>301</v>
      </c>
      <c r="BC430" s="211">
        <v>246</v>
      </c>
      <c r="BD430" s="211">
        <v>296</v>
      </c>
      <c r="BE430" s="211">
        <v>150</v>
      </c>
      <c r="BF430" s="211">
        <v>265</v>
      </c>
      <c r="BG430" s="211">
        <v>264</v>
      </c>
      <c r="BH430" s="211">
        <v>1462</v>
      </c>
      <c r="BI430" s="211">
        <v>326</v>
      </c>
      <c r="BJ430" s="211">
        <v>320</v>
      </c>
      <c r="BK430" s="211" t="s">
        <v>655</v>
      </c>
      <c r="BL430" s="211" t="s">
        <v>655</v>
      </c>
      <c r="BM430" s="211">
        <v>710</v>
      </c>
      <c r="BO430" s="28">
        <f t="shared" si="17"/>
        <v>434</v>
      </c>
      <c r="BP430" s="28">
        <f t="shared" si="18"/>
        <v>4340</v>
      </c>
    </row>
    <row r="431" spans="22:68" x14ac:dyDescent="0.25">
      <c r="V431" s="449" t="str">
        <f>'[1]Strohs Plant in Service'!$C434</f>
        <v>Service Connection (30)</v>
      </c>
      <c r="W431" s="292" t="str">
        <f>'[1]Strohs Plant in Service'!$D434</f>
        <v>Service - STROH</v>
      </c>
      <c r="X431" s="293">
        <f>'[1]Strohs Plant in Service'!$E434</f>
        <v>45200</v>
      </c>
      <c r="Y431" s="297">
        <f>'[1]Strohs Plant in Service'!$F434</f>
        <v>616.91</v>
      </c>
      <c r="Z431" s="248"/>
      <c r="AA431" s="294">
        <f>'[1]Strohs Plant in Service'!$G$11/12</f>
        <v>6</v>
      </c>
      <c r="AB431" s="219">
        <f>('[1]Strohs Plant in Service'!$G434-'[1]Strohs Plant in Service'!$H434)/12</f>
        <v>1.1666666666666667</v>
      </c>
      <c r="AC431" s="219">
        <f>'[1]Strohs Plant in Service'!$I434</f>
        <v>20.563666666666663</v>
      </c>
      <c r="AD431" s="219"/>
      <c r="AE431" s="220">
        <f>'[1]Strohs Plant in Service'!$J434</f>
        <v>24.75</v>
      </c>
      <c r="AF431" s="221">
        <v>592.16</v>
      </c>
      <c r="AG431" s="204"/>
      <c r="AH431" s="178"/>
      <c r="AI431" s="174"/>
      <c r="AJ431" s="179"/>
      <c r="AK431" s="247"/>
      <c r="AL431" s="248"/>
      <c r="AM431" s="294"/>
      <c r="AN431" s="219"/>
      <c r="AO431" s="219"/>
      <c r="AP431" s="219"/>
      <c r="AQ431" s="220"/>
      <c r="AR431" s="221"/>
      <c r="AY431" s="628"/>
      <c r="AZ431" s="470">
        <v>0.75</v>
      </c>
      <c r="BA431" s="466">
        <v>4951181436</v>
      </c>
      <c r="BB431" s="211">
        <v>1124</v>
      </c>
      <c r="BC431" s="211">
        <v>916</v>
      </c>
      <c r="BD431" s="211">
        <v>455</v>
      </c>
      <c r="BE431" s="211">
        <v>2216</v>
      </c>
      <c r="BF431" s="211">
        <v>1295</v>
      </c>
      <c r="BG431" s="211">
        <v>3299</v>
      </c>
      <c r="BH431" s="211">
        <v>4362</v>
      </c>
      <c r="BI431" s="211">
        <v>4981</v>
      </c>
      <c r="BJ431" s="211">
        <v>3339</v>
      </c>
      <c r="BK431" s="211">
        <v>952</v>
      </c>
      <c r="BL431" s="211">
        <v>968</v>
      </c>
      <c r="BM431" s="211">
        <v>1200</v>
      </c>
      <c r="BO431" s="28">
        <f t="shared" si="17"/>
        <v>2092.25</v>
      </c>
      <c r="BP431" s="28">
        <f t="shared" si="18"/>
        <v>25107</v>
      </c>
    </row>
    <row r="432" spans="22:68" x14ac:dyDescent="0.25">
      <c r="V432" s="449" t="str">
        <f>'[1]Strohs Plant in Service'!$C435</f>
        <v>Meters (20)</v>
      </c>
      <c r="W432" s="292" t="str">
        <f>'[1]Strohs Plant in Service'!$D435</f>
        <v>Meters - STROH</v>
      </c>
      <c r="X432" s="293">
        <f>'[1]Strohs Plant in Service'!$E435</f>
        <v>45292</v>
      </c>
      <c r="Y432" s="297">
        <f>'[1]Strohs Plant in Service'!$F435</f>
        <v>11665.79</v>
      </c>
      <c r="Z432" s="248"/>
      <c r="AA432" s="294">
        <f>'[1]Strohs Plant in Service'!$G$11/12</f>
        <v>6</v>
      </c>
      <c r="AB432" s="219">
        <f>('[1]Strohs Plant in Service'!$G435-'[1]Strohs Plant in Service'!$H435)/12</f>
        <v>0.91666666666666663</v>
      </c>
      <c r="AC432" s="219">
        <f>'[1]Strohs Plant in Service'!$I435</f>
        <v>583.28949999999998</v>
      </c>
      <c r="AD432" s="219"/>
      <c r="AE432" s="220">
        <f>'[1]Strohs Plant in Service'!$J435</f>
        <v>563.47</v>
      </c>
      <c r="AF432" s="221">
        <v>11102.320000000002</v>
      </c>
      <c r="AG432" s="204"/>
      <c r="AH432" s="178"/>
      <c r="AI432" s="174"/>
      <c r="AJ432" s="179"/>
      <c r="AK432" s="247"/>
      <c r="AL432" s="248"/>
      <c r="AM432" s="294"/>
      <c r="AN432" s="219"/>
      <c r="AO432" s="219"/>
      <c r="AP432" s="219"/>
      <c r="AQ432" s="220"/>
      <c r="AR432" s="221"/>
      <c r="AY432" s="628"/>
      <c r="AZ432" s="470">
        <v>0.75</v>
      </c>
      <c r="BA432" s="466">
        <v>4971774651</v>
      </c>
      <c r="BB432" s="211">
        <v>1510</v>
      </c>
      <c r="BC432" s="211">
        <v>700</v>
      </c>
      <c r="BD432" s="211">
        <v>2212</v>
      </c>
      <c r="BE432" s="211">
        <v>2049</v>
      </c>
      <c r="BF432" s="211">
        <v>1984</v>
      </c>
      <c r="BG432" s="211">
        <v>1066</v>
      </c>
      <c r="BH432" s="211">
        <v>2009</v>
      </c>
      <c r="BI432" s="211">
        <v>2237</v>
      </c>
      <c r="BJ432" s="211">
        <v>1593</v>
      </c>
      <c r="BK432" s="211">
        <v>708</v>
      </c>
      <c r="BL432" s="211">
        <v>3249</v>
      </c>
      <c r="BM432" s="211">
        <v>538</v>
      </c>
      <c r="BO432" s="28">
        <f t="shared" si="17"/>
        <v>1654.5833333333333</v>
      </c>
      <c r="BP432" s="28">
        <f t="shared" si="18"/>
        <v>19855</v>
      </c>
    </row>
    <row r="433" spans="22:68" x14ac:dyDescent="0.25">
      <c r="V433" s="449" t="str">
        <f>'[1]Strohs Plant in Service'!$C436</f>
        <v>Service Connection (30)</v>
      </c>
      <c r="W433" s="292" t="str">
        <f>'[1]Strohs Plant in Service'!$D436</f>
        <v>Services - STROH</v>
      </c>
      <c r="X433" s="293">
        <f>'[1]Strohs Plant in Service'!$E436</f>
        <v>45292</v>
      </c>
      <c r="Y433" s="297">
        <f>'[1]Strohs Plant in Service'!$F436</f>
        <v>1114.8900000000001</v>
      </c>
      <c r="Z433" s="248"/>
      <c r="AA433" s="294">
        <f>'[1]Strohs Plant in Service'!$G$11/12</f>
        <v>6</v>
      </c>
      <c r="AB433" s="219">
        <f>('[1]Strohs Plant in Service'!$G436-'[1]Strohs Plant in Service'!$H436)/12</f>
        <v>0.91666666666666663</v>
      </c>
      <c r="AC433" s="219">
        <f>'[1]Strohs Plant in Service'!$I436</f>
        <v>37.163000000000004</v>
      </c>
      <c r="AD433" s="219"/>
      <c r="AE433" s="220">
        <f>'[1]Strohs Plant in Service'!$J436</f>
        <v>38.22</v>
      </c>
      <c r="AF433" s="221">
        <v>1076.67</v>
      </c>
      <c r="AG433" s="204"/>
      <c r="AH433" s="178"/>
      <c r="AI433" s="174"/>
      <c r="AJ433" s="179"/>
      <c r="AK433" s="247"/>
      <c r="AL433" s="248"/>
      <c r="AM433" s="294"/>
      <c r="AN433" s="219"/>
      <c r="AO433" s="219"/>
      <c r="AP433" s="219"/>
      <c r="AQ433" s="220"/>
      <c r="AR433" s="221"/>
      <c r="AY433" s="628"/>
      <c r="AZ433" s="470">
        <v>0.75</v>
      </c>
      <c r="BA433" s="466">
        <v>4972189875</v>
      </c>
      <c r="BB433" s="211">
        <v>590</v>
      </c>
      <c r="BC433" s="211">
        <v>318</v>
      </c>
      <c r="BD433" s="211">
        <v>282</v>
      </c>
      <c r="BE433" s="211">
        <v>546</v>
      </c>
      <c r="BF433" s="211">
        <v>395</v>
      </c>
      <c r="BG433" s="211">
        <v>532</v>
      </c>
      <c r="BH433" s="211">
        <v>746</v>
      </c>
      <c r="BI433" s="211" t="s">
        <v>655</v>
      </c>
      <c r="BJ433" s="211">
        <v>583</v>
      </c>
      <c r="BK433" s="211">
        <v>306</v>
      </c>
      <c r="BL433" s="211">
        <v>555</v>
      </c>
      <c r="BM433" s="211">
        <v>358</v>
      </c>
      <c r="BO433" s="28">
        <f t="shared" si="17"/>
        <v>473.72727272727275</v>
      </c>
      <c r="BP433" s="28">
        <f t="shared" si="18"/>
        <v>5211</v>
      </c>
    </row>
    <row r="434" spans="22:68" x14ac:dyDescent="0.25">
      <c r="V434" s="449" t="str">
        <f>'[1]Strohs Plant in Service'!$C437</f>
        <v>Meters (20)</v>
      </c>
      <c r="W434" s="292" t="str">
        <f>'[1]Strohs Plant in Service'!$D437</f>
        <v>Meters - STROH</v>
      </c>
      <c r="X434" s="293">
        <f>'[1]Strohs Plant in Service'!$E437</f>
        <v>45292</v>
      </c>
      <c r="Y434" s="297">
        <f>'[1]Strohs Plant in Service'!$F437</f>
        <v>1671.24</v>
      </c>
      <c r="Z434" s="248"/>
      <c r="AA434" s="294">
        <f>'[1]Strohs Plant in Service'!$G$11/12</f>
        <v>6</v>
      </c>
      <c r="AB434" s="219">
        <f>('[1]Strohs Plant in Service'!$G437-'[1]Strohs Plant in Service'!$H437)/12</f>
        <v>0.91666666666666663</v>
      </c>
      <c r="AC434" s="219">
        <f>'[1]Strohs Plant in Service'!$I437</f>
        <v>83.561999999999998</v>
      </c>
      <c r="AD434" s="219"/>
      <c r="AE434" s="220">
        <f>'[1]Strohs Plant in Service'!$J437</f>
        <v>55.22</v>
      </c>
      <c r="AF434" s="221">
        <v>1616.02</v>
      </c>
      <c r="AG434" s="204"/>
      <c r="AH434" s="178"/>
      <c r="AI434" s="174"/>
      <c r="AJ434" s="179"/>
      <c r="AK434" s="247"/>
      <c r="AL434" s="248"/>
      <c r="AM434" s="294"/>
      <c r="AN434" s="219"/>
      <c r="AO434" s="219"/>
      <c r="AP434" s="219"/>
      <c r="AQ434" s="220"/>
      <c r="AR434" s="221"/>
      <c r="AY434" s="628"/>
      <c r="AZ434" s="470">
        <v>0.625</v>
      </c>
      <c r="BA434" s="466">
        <v>4988485622</v>
      </c>
      <c r="BB434" s="211">
        <v>570</v>
      </c>
      <c r="BC434" s="211">
        <v>519</v>
      </c>
      <c r="BD434" s="211">
        <v>554</v>
      </c>
      <c r="BE434" s="211">
        <v>638</v>
      </c>
      <c r="BF434" s="211">
        <v>1372</v>
      </c>
      <c r="BG434" s="211">
        <v>1513</v>
      </c>
      <c r="BH434" s="211">
        <v>2926</v>
      </c>
      <c r="BI434" s="211">
        <v>974</v>
      </c>
      <c r="BJ434" s="211">
        <v>4639</v>
      </c>
      <c r="BK434" s="211">
        <v>709</v>
      </c>
      <c r="BL434" s="211">
        <v>820</v>
      </c>
      <c r="BM434" s="211">
        <v>453</v>
      </c>
      <c r="BO434" s="28">
        <f t="shared" si="17"/>
        <v>1307.25</v>
      </c>
      <c r="BP434" s="28">
        <f t="shared" si="18"/>
        <v>15687</v>
      </c>
    </row>
    <row r="435" spans="22:68" x14ac:dyDescent="0.25">
      <c r="V435" s="449" t="str">
        <f>'[1]Strohs Plant in Service'!$C438</f>
        <v>Meters (20)</v>
      </c>
      <c r="W435" s="292" t="str">
        <f>'[1]Strohs Plant in Service'!$D438</f>
        <v>Meters - STROH</v>
      </c>
      <c r="X435" s="293">
        <f>'[1]Strohs Plant in Service'!$E438</f>
        <v>45292</v>
      </c>
      <c r="Y435" s="297">
        <f>'[1]Strohs Plant in Service'!$F438</f>
        <v>1620.93</v>
      </c>
      <c r="Z435" s="248"/>
      <c r="AA435" s="294">
        <f>'[1]Strohs Plant in Service'!$G$11/12</f>
        <v>6</v>
      </c>
      <c r="AB435" s="219">
        <f>('[1]Strohs Plant in Service'!$G438-'[1]Strohs Plant in Service'!$H438)/12</f>
        <v>0.33333333333333331</v>
      </c>
      <c r="AC435" s="219">
        <f>'[1]Strohs Plant in Service'!$I438</f>
        <v>81.046499999999995</v>
      </c>
      <c r="AD435" s="219"/>
      <c r="AE435" s="220">
        <f>'[1]Strohs Plant in Service'!$J438</f>
        <v>32.31</v>
      </c>
      <c r="AF435" s="221">
        <v>1588.6200000000001</v>
      </c>
      <c r="AG435" s="204"/>
      <c r="AH435" s="178"/>
      <c r="AI435" s="174"/>
      <c r="AJ435" s="179"/>
      <c r="AK435" s="247"/>
      <c r="AL435" s="248"/>
      <c r="AM435" s="294"/>
      <c r="AN435" s="219"/>
      <c r="AO435" s="219"/>
      <c r="AP435" s="219"/>
      <c r="AQ435" s="220"/>
      <c r="AR435" s="221"/>
      <c r="AY435" s="628"/>
      <c r="AZ435" s="470">
        <v>0.75</v>
      </c>
      <c r="BA435" s="466">
        <v>5016064027</v>
      </c>
      <c r="BB435" s="211">
        <v>856</v>
      </c>
      <c r="BC435" s="211">
        <v>845</v>
      </c>
      <c r="BD435" s="211">
        <v>868</v>
      </c>
      <c r="BE435" s="211">
        <v>913</v>
      </c>
      <c r="BF435" s="211">
        <v>527</v>
      </c>
      <c r="BG435" s="211">
        <v>972</v>
      </c>
      <c r="BH435" s="211">
        <v>1691</v>
      </c>
      <c r="BI435" s="211">
        <v>1663</v>
      </c>
      <c r="BJ435" s="211">
        <v>1444</v>
      </c>
      <c r="BK435" s="211">
        <v>650</v>
      </c>
      <c r="BL435" s="211">
        <v>850</v>
      </c>
      <c r="BM435" s="211">
        <v>829</v>
      </c>
      <c r="BO435" s="28">
        <f t="shared" si="17"/>
        <v>1009</v>
      </c>
      <c r="BP435" s="28">
        <f t="shared" si="18"/>
        <v>12108</v>
      </c>
    </row>
    <row r="436" spans="22:68" x14ac:dyDescent="0.25">
      <c r="V436" s="449" t="str">
        <f>'[1]Strohs Plant in Service'!$C439</f>
        <v>Service Connection (30)</v>
      </c>
      <c r="W436" s="292" t="str">
        <f>'[1]Strohs Plant in Service'!$D439</f>
        <v>Services - STROH</v>
      </c>
      <c r="X436" s="293">
        <f>'[1]Strohs Plant in Service'!$E439</f>
        <v>45292</v>
      </c>
      <c r="Y436" s="297">
        <f>'[1]Strohs Plant in Service'!$F439</f>
        <v>749.47</v>
      </c>
      <c r="Z436" s="248"/>
      <c r="AA436" s="294">
        <f>'[1]Strohs Plant in Service'!$G$11/12</f>
        <v>6</v>
      </c>
      <c r="AB436" s="219">
        <f>('[1]Strohs Plant in Service'!$G439-'[1]Strohs Plant in Service'!$H439)/12</f>
        <v>0.33333333333333331</v>
      </c>
      <c r="AC436" s="219">
        <f>'[1]Strohs Plant in Service'!$I439</f>
        <v>24.982333333333337</v>
      </c>
      <c r="AD436" s="219"/>
      <c r="AE436" s="220">
        <f>'[1]Strohs Plant in Service'!$J439</f>
        <v>10.75</v>
      </c>
      <c r="AF436" s="221">
        <v>738.72</v>
      </c>
      <c r="AG436" s="204"/>
      <c r="AH436" s="178"/>
      <c r="AI436" s="174"/>
      <c r="AJ436" s="179"/>
      <c r="AK436" s="247"/>
      <c r="AL436" s="248"/>
      <c r="AM436" s="294"/>
      <c r="AN436" s="219"/>
      <c r="AO436" s="219"/>
      <c r="AP436" s="219"/>
      <c r="AQ436" s="220"/>
      <c r="AR436" s="221"/>
      <c r="AY436" s="628"/>
      <c r="AZ436" s="470">
        <v>0.625</v>
      </c>
      <c r="BA436" s="466">
        <v>5024242697</v>
      </c>
      <c r="BB436" s="211">
        <v>1</v>
      </c>
      <c r="BC436" s="211">
        <v>1</v>
      </c>
      <c r="BD436" s="211" t="s">
        <v>655</v>
      </c>
      <c r="BE436" s="211" t="s">
        <v>655</v>
      </c>
      <c r="BF436" s="211">
        <v>8</v>
      </c>
      <c r="BG436" s="211">
        <v>4941</v>
      </c>
      <c r="BH436" s="211">
        <v>5421</v>
      </c>
      <c r="BI436" s="211">
        <v>5123</v>
      </c>
      <c r="BJ436" s="211">
        <v>5470</v>
      </c>
      <c r="BK436" s="211">
        <v>1083</v>
      </c>
      <c r="BL436" s="211">
        <v>3</v>
      </c>
      <c r="BM436" s="211">
        <v>2</v>
      </c>
      <c r="BO436" s="28">
        <f t="shared" si="17"/>
        <v>2205.3000000000002</v>
      </c>
      <c r="BP436" s="28">
        <f t="shared" si="18"/>
        <v>22053</v>
      </c>
    </row>
    <row r="437" spans="22:68" x14ac:dyDescent="0.25">
      <c r="V437" s="449" t="str">
        <f>'[1]Strohs Plant in Service'!$C440</f>
        <v>Meters (20)</v>
      </c>
      <c r="W437" s="292" t="str">
        <f>'[1]Strohs Plant in Service'!$D440</f>
        <v>Meters - STROH</v>
      </c>
      <c r="X437" s="293">
        <f>'[1]Strohs Plant in Service'!$E440</f>
        <v>45292</v>
      </c>
      <c r="Y437" s="297">
        <f>'[1]Strohs Plant in Service'!$F440</f>
        <v>14348.08</v>
      </c>
      <c r="Z437" s="248"/>
      <c r="AA437" s="294">
        <f>'[1]Strohs Plant in Service'!$G$11/12</f>
        <v>6</v>
      </c>
      <c r="AB437" s="219">
        <f>('[1]Strohs Plant in Service'!$G440-'[1]Strohs Plant in Service'!$H440)/12</f>
        <v>0.91666666666666663</v>
      </c>
      <c r="AC437" s="219">
        <f>'[1]Strohs Plant in Service'!$I440</f>
        <v>717.404</v>
      </c>
      <c r="AD437" s="219"/>
      <c r="AE437" s="220">
        <f>'[1]Strohs Plant in Service'!$J440</f>
        <v>127.67</v>
      </c>
      <c r="AF437" s="221">
        <v>14220.41</v>
      </c>
      <c r="AG437" s="204"/>
      <c r="AH437" s="178"/>
      <c r="AI437" s="174"/>
      <c r="AJ437" s="179"/>
      <c r="AK437" s="247"/>
      <c r="AL437" s="248"/>
      <c r="AM437" s="294"/>
      <c r="AN437" s="219"/>
      <c r="AO437" s="219"/>
      <c r="AP437" s="219"/>
      <c r="AQ437" s="220"/>
      <c r="AR437" s="221"/>
      <c r="AY437" s="628"/>
      <c r="AZ437" s="470">
        <v>0.75</v>
      </c>
      <c r="BA437" s="466">
        <v>5057393105</v>
      </c>
      <c r="BB437" s="211">
        <v>718</v>
      </c>
      <c r="BC437" s="211">
        <v>722</v>
      </c>
      <c r="BD437" s="211">
        <v>889</v>
      </c>
      <c r="BE437" s="211">
        <v>985</v>
      </c>
      <c r="BF437" s="211">
        <v>1508</v>
      </c>
      <c r="BG437" s="211">
        <v>1594</v>
      </c>
      <c r="BH437" s="211">
        <v>1824</v>
      </c>
      <c r="BI437" s="211">
        <v>3082</v>
      </c>
      <c r="BJ437" s="211">
        <v>1822</v>
      </c>
      <c r="BK437" s="211">
        <v>1783</v>
      </c>
      <c r="BL437" s="211">
        <v>978</v>
      </c>
      <c r="BM437" s="211">
        <v>298</v>
      </c>
      <c r="BO437" s="28">
        <f t="shared" si="17"/>
        <v>1350.25</v>
      </c>
      <c r="BP437" s="28">
        <f t="shared" si="18"/>
        <v>16203</v>
      </c>
    </row>
    <row r="438" spans="22:68" x14ac:dyDescent="0.25">
      <c r="V438" s="449" t="str">
        <f>'[1]Strohs Plant in Service'!$C441</f>
        <v>Pumping and Water Treatment (20)</v>
      </c>
      <c r="W438" s="292" t="str">
        <f>'[1]Strohs Plant in Service'!$D441</f>
        <v>30HP Pump -STROH- Well7/SO6</v>
      </c>
      <c r="X438" s="293">
        <f>'[1]Strohs Plant in Service'!$E441</f>
        <v>45352</v>
      </c>
      <c r="Y438" s="297">
        <f>'[1]Strohs Plant in Service'!$F441</f>
        <v>46261.67</v>
      </c>
      <c r="Z438" s="248"/>
      <c r="AA438" s="294">
        <f>'[1]Strohs Plant in Service'!$G$11/12</f>
        <v>6</v>
      </c>
      <c r="AB438" s="219">
        <f>('[1]Strohs Plant in Service'!$G441-'[1]Strohs Plant in Service'!$H441)/12</f>
        <v>0.75</v>
      </c>
      <c r="AC438" s="219">
        <f>'[1]Strohs Plant in Service'!$I441</f>
        <v>2313.0834999999997</v>
      </c>
      <c r="AD438" s="219"/>
      <c r="AE438" s="220">
        <f>'[1]Strohs Plant in Service'!$J441</f>
        <v>1927.6</v>
      </c>
      <c r="AF438" s="221">
        <v>44334.07</v>
      </c>
      <c r="AG438" s="204"/>
      <c r="AH438" s="178"/>
      <c r="AI438" s="174"/>
      <c r="AJ438" s="179"/>
      <c r="AK438" s="247"/>
      <c r="AL438" s="248"/>
      <c r="AM438" s="294"/>
      <c r="AN438" s="219"/>
      <c r="AO438" s="219"/>
      <c r="AP438" s="219"/>
      <c r="AQ438" s="220"/>
      <c r="AR438" s="221"/>
      <c r="AY438" s="628"/>
      <c r="AZ438" s="470">
        <v>0.75</v>
      </c>
      <c r="BA438" s="466">
        <v>5062941601</v>
      </c>
      <c r="BB438" s="211">
        <v>71</v>
      </c>
      <c r="BC438" s="211">
        <v>69</v>
      </c>
      <c r="BD438" s="211">
        <v>75</v>
      </c>
      <c r="BE438" s="211">
        <v>84</v>
      </c>
      <c r="BF438" s="211">
        <v>66</v>
      </c>
      <c r="BG438" s="211">
        <v>73</v>
      </c>
      <c r="BH438" s="211">
        <v>120</v>
      </c>
      <c r="BI438" s="211">
        <v>85</v>
      </c>
      <c r="BJ438" s="211">
        <v>101</v>
      </c>
      <c r="BK438" s="211">
        <v>70</v>
      </c>
      <c r="BL438" s="211">
        <v>81</v>
      </c>
      <c r="BM438" s="211">
        <v>29</v>
      </c>
      <c r="BO438" s="28">
        <f t="shared" si="17"/>
        <v>77</v>
      </c>
      <c r="BP438" s="28">
        <f t="shared" si="18"/>
        <v>924</v>
      </c>
    </row>
    <row r="439" spans="22:68" x14ac:dyDescent="0.25">
      <c r="V439" s="449" t="str">
        <f>'[1]Strohs Plant in Service'!$C442</f>
        <v>Pumping and Water Treatment (20)</v>
      </c>
      <c r="W439" s="292" t="str">
        <f>'[1]Strohs Plant in Service'!$D442</f>
        <v>10HP pump,motor -STROH-</v>
      </c>
      <c r="X439" s="293">
        <f>'[1]Strohs Plant in Service'!$E442</f>
        <v>45352</v>
      </c>
      <c r="Y439" s="297">
        <f>'[1]Strohs Plant in Service'!$F442</f>
        <v>6301.56</v>
      </c>
      <c r="Z439" s="248"/>
      <c r="AA439" s="294">
        <f>'[1]Strohs Plant in Service'!$G$11/12</f>
        <v>6</v>
      </c>
      <c r="AB439" s="219">
        <f>('[1]Strohs Plant in Service'!$G442-'[1]Strohs Plant in Service'!$H442)/12</f>
        <v>0.75</v>
      </c>
      <c r="AC439" s="219">
        <f>'[1]Strohs Plant in Service'!$I442</f>
        <v>315.07800000000003</v>
      </c>
      <c r="AD439" s="219"/>
      <c r="AE439" s="220">
        <f>'[1]Strohs Plant in Service'!$J442</f>
        <v>262.60000000000002</v>
      </c>
      <c r="AF439" s="221">
        <v>6038.96</v>
      </c>
      <c r="AG439" s="204"/>
      <c r="AH439" s="178"/>
      <c r="AI439" s="174"/>
      <c r="AJ439" s="179"/>
      <c r="AK439" s="247"/>
      <c r="AL439" s="248"/>
      <c r="AM439" s="294"/>
      <c r="AN439" s="219"/>
      <c r="AO439" s="219"/>
      <c r="AP439" s="219"/>
      <c r="AQ439" s="220"/>
      <c r="AR439" s="221"/>
      <c r="AY439" s="628"/>
      <c r="AZ439" s="470">
        <v>0.625</v>
      </c>
      <c r="BA439" s="466">
        <v>5063114443</v>
      </c>
      <c r="BB439" s="211" t="s">
        <v>655</v>
      </c>
      <c r="BC439" s="211" t="s">
        <v>655</v>
      </c>
      <c r="BD439" s="211" t="s">
        <v>655</v>
      </c>
      <c r="BE439" s="211" t="s">
        <v>655</v>
      </c>
      <c r="BF439" s="211" t="s">
        <v>655</v>
      </c>
      <c r="BG439" s="211" t="s">
        <v>655</v>
      </c>
      <c r="BH439" s="211" t="s">
        <v>655</v>
      </c>
      <c r="BI439" s="211" t="s">
        <v>655</v>
      </c>
      <c r="BJ439" s="211" t="s">
        <v>655</v>
      </c>
      <c r="BK439" s="211" t="s">
        <v>655</v>
      </c>
      <c r="BL439" s="211" t="s">
        <v>655</v>
      </c>
      <c r="BM439" s="211">
        <v>387</v>
      </c>
      <c r="BO439" s="28">
        <f t="shared" si="17"/>
        <v>387</v>
      </c>
      <c r="BP439" s="28">
        <f t="shared" si="18"/>
        <v>387</v>
      </c>
    </row>
    <row r="440" spans="22:68" x14ac:dyDescent="0.25">
      <c r="V440" s="449" t="str">
        <f>'[1]Strohs Plant in Service'!$C443</f>
        <v>Service Connection (30)</v>
      </c>
      <c r="W440" s="292" t="str">
        <f>'[1]Strohs Plant in Service'!$D443</f>
        <v>3ft of 2in PVC -STROH-</v>
      </c>
      <c r="X440" s="293">
        <f>'[1]Strohs Plant in Service'!$E443</f>
        <v>45352</v>
      </c>
      <c r="Y440" s="297">
        <f>'[1]Strohs Plant in Service'!$F443</f>
        <v>2647.54</v>
      </c>
      <c r="Z440" s="248"/>
      <c r="AA440" s="294">
        <f>'[1]Strohs Plant in Service'!$G$11/12</f>
        <v>6</v>
      </c>
      <c r="AB440" s="219">
        <f>('[1]Strohs Plant in Service'!$G443-'[1]Strohs Plant in Service'!$H443)/12</f>
        <v>0.75</v>
      </c>
      <c r="AC440" s="219">
        <f>'[1]Strohs Plant in Service'!$I443</f>
        <v>88.251333333333335</v>
      </c>
      <c r="AD440" s="219"/>
      <c r="AE440" s="220">
        <f>'[1]Strohs Plant in Service'!$J443</f>
        <v>73.5</v>
      </c>
      <c r="AF440" s="221">
        <v>2574.04</v>
      </c>
      <c r="AG440" s="204"/>
      <c r="AH440" s="178"/>
      <c r="AI440" s="174"/>
      <c r="AJ440" s="179"/>
      <c r="AK440" s="247"/>
      <c r="AL440" s="248"/>
      <c r="AM440" s="294"/>
      <c r="AN440" s="219"/>
      <c r="AO440" s="219"/>
      <c r="AP440" s="219"/>
      <c r="AQ440" s="220"/>
      <c r="AR440" s="221"/>
      <c r="AY440" s="628"/>
      <c r="AZ440" s="470">
        <v>0.75</v>
      </c>
      <c r="BA440" s="466">
        <v>5077672540</v>
      </c>
      <c r="BB440" s="211">
        <v>490</v>
      </c>
      <c r="BC440" s="211">
        <v>501</v>
      </c>
      <c r="BD440" s="211">
        <v>224</v>
      </c>
      <c r="BE440" s="211">
        <v>979</v>
      </c>
      <c r="BF440" s="211">
        <v>1233</v>
      </c>
      <c r="BG440" s="211">
        <v>1529</v>
      </c>
      <c r="BH440" s="211">
        <v>4959</v>
      </c>
      <c r="BI440" s="211">
        <v>6303</v>
      </c>
      <c r="BJ440" s="211">
        <v>3646</v>
      </c>
      <c r="BK440" s="211">
        <v>2115</v>
      </c>
      <c r="BL440" s="211">
        <v>703</v>
      </c>
      <c r="BM440" s="211">
        <v>500</v>
      </c>
      <c r="BO440" s="28">
        <f t="shared" si="17"/>
        <v>1931.8333333333333</v>
      </c>
      <c r="BP440" s="28">
        <f t="shared" si="18"/>
        <v>23182</v>
      </c>
    </row>
    <row r="441" spans="22:68" x14ac:dyDescent="0.25">
      <c r="V441" s="449" t="str">
        <f>'[1]Strohs Plant in Service'!$C444</f>
        <v>Service Connection (30)</v>
      </c>
      <c r="W441" s="292" t="str">
        <f>'[1]Strohs Plant in Service'!$D444</f>
        <v>6ft on 2.5in PVC -STROH-</v>
      </c>
      <c r="X441" s="293">
        <f>'[1]Strohs Plant in Service'!$E444</f>
        <v>45352</v>
      </c>
      <c r="Y441" s="297">
        <f>'[1]Strohs Plant in Service'!$F444</f>
        <v>1758.14</v>
      </c>
      <c r="Z441" s="248"/>
      <c r="AA441" s="294">
        <f>'[1]Strohs Plant in Service'!$G$11/12</f>
        <v>6</v>
      </c>
      <c r="AB441" s="219">
        <f>('[1]Strohs Plant in Service'!$G444-'[1]Strohs Plant in Service'!$H444)/12</f>
        <v>0.75</v>
      </c>
      <c r="AC441" s="219">
        <f>'[1]Strohs Plant in Service'!$I444</f>
        <v>43.953499999999998</v>
      </c>
      <c r="AD441" s="219"/>
      <c r="AE441" s="220">
        <f>'[1]Strohs Plant in Service'!$J444</f>
        <v>36.6</v>
      </c>
      <c r="AF441" s="221">
        <v>1721.5400000000002</v>
      </c>
      <c r="AG441" s="204"/>
      <c r="AH441" s="178"/>
      <c r="AI441" s="174"/>
      <c r="AJ441" s="179"/>
      <c r="AK441" s="247"/>
      <c r="AL441" s="248"/>
      <c r="AM441" s="294"/>
      <c r="AN441" s="219"/>
      <c r="AO441" s="219"/>
      <c r="AP441" s="219"/>
      <c r="AQ441" s="220"/>
      <c r="AR441" s="221"/>
      <c r="AY441" s="628"/>
      <c r="AZ441" s="470">
        <v>0.75</v>
      </c>
      <c r="BA441" s="466">
        <v>5101376569</v>
      </c>
      <c r="BB441" s="211">
        <v>1097</v>
      </c>
      <c r="BC441" s="211">
        <v>4107</v>
      </c>
      <c r="BD441" s="211">
        <v>464</v>
      </c>
      <c r="BE441" s="211">
        <v>11940</v>
      </c>
      <c r="BF441" s="211">
        <v>4137</v>
      </c>
      <c r="BG441" s="211">
        <v>1863</v>
      </c>
      <c r="BH441" s="211">
        <v>5430</v>
      </c>
      <c r="BI441" s="211">
        <v>1296</v>
      </c>
      <c r="BJ441" s="211">
        <v>3439</v>
      </c>
      <c r="BK441" s="211">
        <v>710</v>
      </c>
      <c r="BL441" s="211">
        <v>250</v>
      </c>
      <c r="BM441" s="211">
        <v>1050</v>
      </c>
      <c r="BO441" s="28">
        <f t="shared" si="17"/>
        <v>2981.9166666666665</v>
      </c>
      <c r="BP441" s="28">
        <f t="shared" si="18"/>
        <v>35783</v>
      </c>
    </row>
    <row r="442" spans="22:68" x14ac:dyDescent="0.25">
      <c r="V442" s="449" t="str">
        <f>'[1]Strohs Plant in Service'!$C445</f>
        <v>Mains, Tanks and Reservoirs (50)</v>
      </c>
      <c r="W442" s="292" t="str">
        <f>'[1]Strohs Plant in Service'!$D445</f>
        <v>Tank, Anchor points &amp; vent -STROH</v>
      </c>
      <c r="X442" s="293">
        <f>'[1]Strohs Plant in Service'!$E445</f>
        <v>45352</v>
      </c>
      <c r="Y442" s="297">
        <f>'[1]Strohs Plant in Service'!$F445</f>
        <v>4798.9399999999996</v>
      </c>
      <c r="Z442" s="248"/>
      <c r="AA442" s="294">
        <f>'[1]Strohs Plant in Service'!$G$11/12</f>
        <v>6</v>
      </c>
      <c r="AB442" s="219">
        <f>('[1]Strohs Plant in Service'!$G445-'[1]Strohs Plant in Service'!$H445)/12</f>
        <v>0.75</v>
      </c>
      <c r="AC442" s="219">
        <f>'[1]Strohs Plant in Service'!$I445</f>
        <v>159.96466666666663</v>
      </c>
      <c r="AD442" s="219"/>
      <c r="AE442" s="220">
        <f>'[1]Strohs Plant in Service'!$J445</f>
        <v>133.30000000000001</v>
      </c>
      <c r="AF442" s="221">
        <v>4665.6399999999994</v>
      </c>
      <c r="AG442" s="204"/>
      <c r="AH442" s="178"/>
      <c r="AI442" s="174"/>
      <c r="AJ442" s="179"/>
      <c r="AK442" s="247"/>
      <c r="AL442" s="248"/>
      <c r="AM442" s="294"/>
      <c r="AN442" s="219"/>
      <c r="AO442" s="219"/>
      <c r="AP442" s="219"/>
      <c r="AQ442" s="220"/>
      <c r="AR442" s="221"/>
      <c r="AY442" s="628"/>
      <c r="AZ442" s="470">
        <v>1</v>
      </c>
      <c r="BA442" s="466">
        <v>5104998295</v>
      </c>
      <c r="BB442" s="211">
        <v>1964</v>
      </c>
      <c r="BC442" s="211">
        <v>64513</v>
      </c>
      <c r="BD442" s="211">
        <v>2236</v>
      </c>
      <c r="BE442" s="211">
        <v>1472</v>
      </c>
      <c r="BF442" s="211">
        <v>2168</v>
      </c>
      <c r="BG442" s="211">
        <v>4730</v>
      </c>
      <c r="BH442" s="211">
        <v>6927</v>
      </c>
      <c r="BI442" s="211">
        <v>2658</v>
      </c>
      <c r="BJ442" s="211">
        <v>3920</v>
      </c>
      <c r="BK442" s="211">
        <v>2524</v>
      </c>
      <c r="BL442" s="211">
        <v>652</v>
      </c>
      <c r="BM442" s="211">
        <v>641</v>
      </c>
      <c r="BO442" s="28">
        <f t="shared" si="17"/>
        <v>7867.083333333333</v>
      </c>
      <c r="BP442" s="28">
        <f t="shared" si="18"/>
        <v>94405</v>
      </c>
    </row>
    <row r="443" spans="22:68" x14ac:dyDescent="0.25">
      <c r="V443" s="449" t="str">
        <f>'[1]Strohs Plant in Service'!$C446</f>
        <v>Service Connection (30)</v>
      </c>
      <c r="W443" s="292" t="str">
        <f>'[1]Strohs Plant in Service'!$D446</f>
        <v>2 Inch Blowoff -STROH-</v>
      </c>
      <c r="X443" s="293">
        <f>'[1]Strohs Plant in Service'!$E446</f>
        <v>45383</v>
      </c>
      <c r="Y443" s="297">
        <f>'[1]Strohs Plant in Service'!$F446</f>
        <v>4771.28</v>
      </c>
      <c r="Z443" s="248"/>
      <c r="AA443" s="294">
        <f>'[1]Strohs Plant in Service'!$G$11/12</f>
        <v>6</v>
      </c>
      <c r="AB443" s="219">
        <f>('[1]Strohs Plant in Service'!$G446-'[1]Strohs Plant in Service'!$H446)/12</f>
        <v>0.66666666666666663</v>
      </c>
      <c r="AC443" s="219">
        <f>'[1]Strohs Plant in Service'!$I446</f>
        <v>119.282</v>
      </c>
      <c r="AD443" s="219"/>
      <c r="AE443" s="220">
        <f>'[1]Strohs Plant in Service'!$J446</f>
        <v>89.46</v>
      </c>
      <c r="AF443" s="221">
        <v>4681.82</v>
      </c>
      <c r="AG443" s="204"/>
      <c r="AH443" s="178"/>
      <c r="AI443" s="174"/>
      <c r="AJ443" s="179"/>
      <c r="AK443" s="247"/>
      <c r="AL443" s="248"/>
      <c r="AM443" s="294"/>
      <c r="AN443" s="219"/>
      <c r="AO443" s="219"/>
      <c r="AP443" s="219"/>
      <c r="AQ443" s="220"/>
      <c r="AR443" s="221"/>
      <c r="AY443" s="628"/>
      <c r="AZ443" s="470">
        <v>0.625</v>
      </c>
      <c r="BA443" s="466">
        <v>5107000584</v>
      </c>
      <c r="BB443" s="211">
        <v>458</v>
      </c>
      <c r="BC443" s="211">
        <v>454</v>
      </c>
      <c r="BD443" s="211">
        <v>464</v>
      </c>
      <c r="BE443" s="211">
        <v>714</v>
      </c>
      <c r="BF443" s="211">
        <v>450</v>
      </c>
      <c r="BG443" s="211">
        <v>141</v>
      </c>
      <c r="BH443" s="211">
        <v>725</v>
      </c>
      <c r="BI443" s="211">
        <v>443</v>
      </c>
      <c r="BJ443" s="211">
        <v>619</v>
      </c>
      <c r="BK443" s="211">
        <v>397</v>
      </c>
      <c r="BL443" s="211">
        <v>240</v>
      </c>
      <c r="BM443" s="211">
        <v>485</v>
      </c>
      <c r="BO443" s="28">
        <f t="shared" si="17"/>
        <v>465.83333333333331</v>
      </c>
      <c r="BP443" s="28">
        <f t="shared" si="18"/>
        <v>5590</v>
      </c>
    </row>
    <row r="444" spans="22:68" x14ac:dyDescent="0.25">
      <c r="V444" s="449" t="str">
        <f>'[1]Strohs Plant in Service'!$C447</f>
        <v>Mains, Tanks and Reservoirs (50)</v>
      </c>
      <c r="W444" s="292" t="str">
        <f>'[1]Strohs Plant in Service'!$D447</f>
        <v>4ft of 2in PVC Main -STROH-</v>
      </c>
      <c r="X444" s="293">
        <f>'[1]Strohs Plant in Service'!$E447</f>
        <v>45383</v>
      </c>
      <c r="Y444" s="297">
        <f>'[1]Strohs Plant in Service'!$F447</f>
        <v>1451.94</v>
      </c>
      <c r="Z444" s="248"/>
      <c r="AA444" s="294">
        <f>'[1]Strohs Plant in Service'!$G$11/12</f>
        <v>6</v>
      </c>
      <c r="AB444" s="219">
        <f>('[1]Strohs Plant in Service'!$G447-'[1]Strohs Plant in Service'!$H447)/12</f>
        <v>0.66666666666666663</v>
      </c>
      <c r="AC444" s="219">
        <f>'[1]Strohs Plant in Service'!$I447</f>
        <v>36.298500000000004</v>
      </c>
      <c r="AD444" s="219"/>
      <c r="AE444" s="220">
        <f>'[1]Strohs Plant in Service'!$J447</f>
        <v>27.18</v>
      </c>
      <c r="AF444" s="221">
        <v>1424.76</v>
      </c>
      <c r="AG444" s="204"/>
      <c r="AH444" s="178"/>
      <c r="AI444" s="174"/>
      <c r="AJ444" s="179"/>
      <c r="AK444" s="247"/>
      <c r="AL444" s="248"/>
      <c r="AM444" s="294"/>
      <c r="AN444" s="219"/>
      <c r="AO444" s="219"/>
      <c r="AP444" s="219"/>
      <c r="AQ444" s="220"/>
      <c r="AR444" s="221"/>
      <c r="AY444" s="628"/>
      <c r="AZ444" s="470">
        <v>0.75</v>
      </c>
      <c r="BA444" s="466">
        <v>5132124943</v>
      </c>
      <c r="BB444" s="211">
        <v>742</v>
      </c>
      <c r="BC444" s="211">
        <v>721</v>
      </c>
      <c r="BD444" s="211">
        <v>261</v>
      </c>
      <c r="BE444" s="211">
        <v>792</v>
      </c>
      <c r="BF444" s="211">
        <v>677</v>
      </c>
      <c r="BG444" s="211">
        <v>609</v>
      </c>
      <c r="BH444" s="211">
        <v>454</v>
      </c>
      <c r="BI444" s="211">
        <v>35</v>
      </c>
      <c r="BJ444" s="211">
        <v>287</v>
      </c>
      <c r="BK444" s="211" t="s">
        <v>655</v>
      </c>
      <c r="BL444" s="211" t="s">
        <v>655</v>
      </c>
      <c r="BM444" s="211" t="s">
        <v>655</v>
      </c>
      <c r="BO444" s="28">
        <f t="shared" si="17"/>
        <v>508.66666666666669</v>
      </c>
      <c r="BP444" s="28">
        <f t="shared" si="18"/>
        <v>4578</v>
      </c>
    </row>
    <row r="445" spans="22:68" x14ac:dyDescent="0.25">
      <c r="V445" s="449" t="str">
        <f>'[1]Strohs Plant in Service'!$C448</f>
        <v>Pumping and Water Treatment (20)</v>
      </c>
      <c r="W445" s="292" t="str">
        <f>'[1]Strohs Plant in Service'!$D448</f>
        <v>Sampling Station -STROH-</v>
      </c>
      <c r="X445" s="293">
        <f>'[1]Strohs Plant in Service'!$E448</f>
        <v>45383</v>
      </c>
      <c r="Y445" s="297">
        <f>'[1]Strohs Plant in Service'!$F448</f>
        <v>5368.79</v>
      </c>
      <c r="Z445" s="248"/>
      <c r="AA445" s="294">
        <f>'[1]Strohs Plant in Service'!$G$11/12</f>
        <v>6</v>
      </c>
      <c r="AB445" s="219">
        <f>('[1]Strohs Plant in Service'!$G448-'[1]Strohs Plant in Service'!$H448)/12</f>
        <v>0.66666666666666663</v>
      </c>
      <c r="AC445" s="219">
        <f>'[1]Strohs Plant in Service'!$I448</f>
        <v>268.43950000000001</v>
      </c>
      <c r="AD445" s="219"/>
      <c r="AE445" s="220">
        <f>'[1]Strohs Plant in Service'!$J448</f>
        <v>201.33</v>
      </c>
      <c r="AF445" s="221">
        <v>5167.46</v>
      </c>
      <c r="AG445" s="204"/>
      <c r="AH445" s="178"/>
      <c r="AI445" s="174"/>
      <c r="AJ445" s="179"/>
      <c r="AK445" s="247"/>
      <c r="AL445" s="248"/>
      <c r="AM445" s="294"/>
      <c r="AN445" s="219"/>
      <c r="AO445" s="219"/>
      <c r="AP445" s="219"/>
      <c r="AQ445" s="220"/>
      <c r="AR445" s="221"/>
      <c r="AY445" s="628"/>
      <c r="AZ445" s="470">
        <v>0.75</v>
      </c>
      <c r="BA445" s="466">
        <v>5141231539</v>
      </c>
      <c r="BB445" s="211">
        <v>340</v>
      </c>
      <c r="BC445" s="211">
        <v>345</v>
      </c>
      <c r="BD445" s="211">
        <v>458</v>
      </c>
      <c r="BE445" s="211">
        <v>526</v>
      </c>
      <c r="BF445" s="211">
        <v>418</v>
      </c>
      <c r="BG445" s="211">
        <v>743</v>
      </c>
      <c r="BH445" s="211">
        <v>1608</v>
      </c>
      <c r="BI445" s="211">
        <v>1667</v>
      </c>
      <c r="BJ445" s="211">
        <v>821</v>
      </c>
      <c r="BK445" s="211">
        <v>399</v>
      </c>
      <c r="BL445" s="211">
        <v>299</v>
      </c>
      <c r="BM445" s="211">
        <v>219</v>
      </c>
      <c r="BO445" s="28">
        <f t="shared" si="17"/>
        <v>653.58333333333337</v>
      </c>
      <c r="BP445" s="28">
        <f t="shared" si="18"/>
        <v>7843</v>
      </c>
    </row>
    <row r="446" spans="22:68" x14ac:dyDescent="0.25">
      <c r="V446" s="449" t="str">
        <f>'[1]Strohs Plant in Service'!$C449</f>
        <v>Mains, Tanks and Reservoirs (50)</v>
      </c>
      <c r="W446" s="292" t="str">
        <f>'[1]Strohs Plant in Service'!$D449</f>
        <v>TapPush - STROH - Par#0221207010</v>
      </c>
      <c r="X446" s="293">
        <f>'[1]Strohs Plant in Service'!$E449</f>
        <v>45383</v>
      </c>
      <c r="Y446" s="297">
        <f>'[1]Strohs Plant in Service'!$F449</f>
        <v>9459.64</v>
      </c>
      <c r="Z446" s="248"/>
      <c r="AA446" s="294">
        <f>'[1]Strohs Plant in Service'!$G$11/12</f>
        <v>6</v>
      </c>
      <c r="AB446" s="219">
        <f>('[1]Strohs Plant in Service'!$G449-'[1]Strohs Plant in Service'!$H449)/12</f>
        <v>0.66666666666666663</v>
      </c>
      <c r="AC446" s="219">
        <f>'[1]Strohs Plant in Service'!$I449</f>
        <v>315.32133333333331</v>
      </c>
      <c r="AD446" s="219"/>
      <c r="AE446" s="220">
        <f>'[1]Strohs Plant in Service'!$J449</f>
        <v>236.52</v>
      </c>
      <c r="AF446" s="221">
        <v>9223.119999999999</v>
      </c>
      <c r="AG446" s="204"/>
      <c r="AH446" s="178"/>
      <c r="AI446" s="174"/>
      <c r="AJ446" s="179"/>
      <c r="AK446" s="247"/>
      <c r="AL446" s="248"/>
      <c r="AM446" s="294"/>
      <c r="AN446" s="219"/>
      <c r="AO446" s="219"/>
      <c r="AP446" s="219"/>
      <c r="AQ446" s="220"/>
      <c r="AR446" s="221"/>
      <c r="AY446" s="628"/>
      <c r="AZ446" s="470">
        <v>0.625</v>
      </c>
      <c r="BA446" s="466">
        <v>5152903899</v>
      </c>
      <c r="BB446" s="211">
        <v>604</v>
      </c>
      <c r="BC446" s="211">
        <v>396</v>
      </c>
      <c r="BD446" s="211">
        <v>390</v>
      </c>
      <c r="BE446" s="211">
        <v>557</v>
      </c>
      <c r="BF446" s="211">
        <v>503</v>
      </c>
      <c r="BG446" s="211">
        <v>609</v>
      </c>
      <c r="BH446" s="211">
        <v>1843</v>
      </c>
      <c r="BI446" s="211">
        <v>1321</v>
      </c>
      <c r="BJ446" s="211">
        <v>1042</v>
      </c>
      <c r="BK446" s="211">
        <v>238</v>
      </c>
      <c r="BL446" s="211">
        <v>852</v>
      </c>
      <c r="BM446" s="211">
        <v>625</v>
      </c>
      <c r="BO446" s="28">
        <f t="shared" si="17"/>
        <v>748.33333333333337</v>
      </c>
      <c r="BP446" s="28">
        <f t="shared" si="18"/>
        <v>8980</v>
      </c>
    </row>
    <row r="447" spans="22:68" x14ac:dyDescent="0.25">
      <c r="V447" s="449" t="str">
        <f>'[1]Strohs Plant in Service'!$C450</f>
        <v>Pumping and Water Treatment (20)</v>
      </c>
      <c r="W447" s="292" t="str">
        <f>'[1]Strohs Plant in Service'!$D450</f>
        <v>2HP pump -STROH-</v>
      </c>
      <c r="X447" s="293">
        <f>'[1]Strohs Plant in Service'!$E450</f>
        <v>45413</v>
      </c>
      <c r="Y447" s="297">
        <f>'[1]Strohs Plant in Service'!$F450</f>
        <v>2811.77</v>
      </c>
      <c r="Z447" s="248"/>
      <c r="AA447" s="294">
        <f>'[1]Strohs Plant in Service'!$G$11/12</f>
        <v>6</v>
      </c>
      <c r="AB447" s="219">
        <f>('[1]Strohs Plant in Service'!$G450-'[1]Strohs Plant in Service'!$H450)/12</f>
        <v>0.58333333333333337</v>
      </c>
      <c r="AC447" s="219">
        <f>'[1]Strohs Plant in Service'!$I450</f>
        <v>140.58850000000001</v>
      </c>
      <c r="AD447" s="219"/>
      <c r="AE447" s="220">
        <f>'[1]Strohs Plant in Service'!$J450</f>
        <v>93.76</v>
      </c>
      <c r="AF447" s="221">
        <v>2718.0099999999998</v>
      </c>
      <c r="AG447" s="204"/>
      <c r="AH447" s="178"/>
      <c r="AI447" s="174"/>
      <c r="AJ447" s="179"/>
      <c r="AK447" s="247"/>
      <c r="AL447" s="248"/>
      <c r="AM447" s="294"/>
      <c r="AN447" s="219"/>
      <c r="AO447" s="219"/>
      <c r="AP447" s="219"/>
      <c r="AQ447" s="220"/>
      <c r="AR447" s="221"/>
      <c r="AY447" s="628"/>
      <c r="AZ447" s="470">
        <v>0.75</v>
      </c>
      <c r="BA447" s="466">
        <v>5175199105</v>
      </c>
      <c r="BB447" s="211">
        <v>685</v>
      </c>
      <c r="BC447" s="211">
        <v>715</v>
      </c>
      <c r="BD447" s="211">
        <v>732</v>
      </c>
      <c r="BE447" s="211">
        <v>940</v>
      </c>
      <c r="BF447" s="211">
        <v>1218</v>
      </c>
      <c r="BG447" s="211">
        <v>2084</v>
      </c>
      <c r="BH447" s="211">
        <v>22823</v>
      </c>
      <c r="BI447" s="211">
        <v>25863</v>
      </c>
      <c r="BJ447" s="211">
        <v>31792</v>
      </c>
      <c r="BK447" s="211">
        <v>21668</v>
      </c>
      <c r="BL447" s="211">
        <v>491</v>
      </c>
      <c r="BM447" s="211">
        <v>700</v>
      </c>
      <c r="BO447" s="28">
        <f t="shared" si="17"/>
        <v>9142.5833333333339</v>
      </c>
      <c r="BP447" s="28">
        <f t="shared" si="18"/>
        <v>109711</v>
      </c>
    </row>
    <row r="448" spans="22:68" x14ac:dyDescent="0.25">
      <c r="V448" s="449" t="str">
        <f>'[1]Strohs Plant in Service'!$C451</f>
        <v>Plant, Other (40)</v>
      </c>
      <c r="W448" s="292" t="str">
        <f>'[1]Strohs Plant in Service'!$D451</f>
        <v>HYDRANT RING -STROH-</v>
      </c>
      <c r="X448" s="293">
        <f>'[1]Strohs Plant in Service'!$E451</f>
        <v>45444</v>
      </c>
      <c r="Y448" s="297">
        <f>'[1]Strohs Plant in Service'!$F451</f>
        <v>5514.04</v>
      </c>
      <c r="Z448" s="248"/>
      <c r="AA448" s="294">
        <f>'[1]Strohs Plant in Service'!$G$11/12</f>
        <v>6</v>
      </c>
      <c r="AB448" s="219">
        <f>('[1]Strohs Plant in Service'!$G451-'[1]Strohs Plant in Service'!$H451)/12</f>
        <v>0.5</v>
      </c>
      <c r="AC448" s="219">
        <f>'[1]Strohs Plant in Service'!$I451</f>
        <v>137.851</v>
      </c>
      <c r="AD448" s="219"/>
      <c r="AE448" s="220">
        <f>'[1]Strohs Plant in Service'!$J451</f>
        <v>80.430000000000007</v>
      </c>
      <c r="AF448" s="221">
        <v>5433.61</v>
      </c>
      <c r="AG448" s="204"/>
      <c r="AH448" s="178"/>
      <c r="AI448" s="174"/>
      <c r="AJ448" s="179"/>
      <c r="AK448" s="247"/>
      <c r="AL448" s="248"/>
      <c r="AM448" s="294"/>
      <c r="AN448" s="219"/>
      <c r="AO448" s="219"/>
      <c r="AP448" s="219"/>
      <c r="AQ448" s="220"/>
      <c r="AR448" s="221"/>
      <c r="AY448" s="628"/>
      <c r="AZ448" s="470">
        <v>0.75</v>
      </c>
      <c r="BA448" s="466">
        <v>5177020150</v>
      </c>
      <c r="BB448" s="211">
        <v>262</v>
      </c>
      <c r="BC448" s="211">
        <v>369</v>
      </c>
      <c r="BD448" s="211">
        <v>428</v>
      </c>
      <c r="BE448" s="211">
        <v>506</v>
      </c>
      <c r="BF448" s="211">
        <v>381</v>
      </c>
      <c r="BG448" s="211">
        <v>491</v>
      </c>
      <c r="BH448" s="211">
        <v>304</v>
      </c>
      <c r="BI448" s="211">
        <v>266</v>
      </c>
      <c r="BJ448" s="211">
        <v>520</v>
      </c>
      <c r="BK448" s="211">
        <v>398</v>
      </c>
      <c r="BL448" s="211">
        <v>363</v>
      </c>
      <c r="BM448" s="211">
        <v>336</v>
      </c>
      <c r="BO448" s="28">
        <f t="shared" si="17"/>
        <v>385.33333333333331</v>
      </c>
      <c r="BP448" s="28">
        <f t="shared" si="18"/>
        <v>4624</v>
      </c>
    </row>
    <row r="449" spans="22:68" x14ac:dyDescent="0.25">
      <c r="V449" s="449" t="str">
        <f>'[1]Strohs Plant in Service'!$C452</f>
        <v>Plant, Other (40)</v>
      </c>
      <c r="W449" s="292" t="str">
        <f>'[1]Strohs Plant in Service'!$D452</f>
        <v>Hydrant -STROH-</v>
      </c>
      <c r="X449" s="293">
        <f>'[1]Strohs Plant in Service'!$E452</f>
        <v>45474</v>
      </c>
      <c r="Y449" s="297">
        <f>'[1]Strohs Plant in Service'!$F452</f>
        <v>19769.099999999999</v>
      </c>
      <c r="Z449" s="248"/>
      <c r="AA449" s="294">
        <f>'[1]Strohs Plant in Service'!$G$11/12</f>
        <v>6</v>
      </c>
      <c r="AB449" s="219">
        <f>('[1]Strohs Plant in Service'!$G452-'[1]Strohs Plant in Service'!$H452)/12</f>
        <v>0.41666666666666669</v>
      </c>
      <c r="AC449" s="219">
        <f>'[1]Strohs Plant in Service'!$I452</f>
        <v>494.22749999999996</v>
      </c>
      <c r="AD449" s="219"/>
      <c r="AE449" s="220">
        <f>'[1]Strohs Plant in Service'!$J452</f>
        <v>247.14</v>
      </c>
      <c r="AF449" s="221">
        <v>19521.96</v>
      </c>
      <c r="AG449" s="204"/>
      <c r="AH449" s="178"/>
      <c r="AI449" s="174"/>
      <c r="AJ449" s="179"/>
      <c r="AK449" s="247"/>
      <c r="AL449" s="248"/>
      <c r="AM449" s="294"/>
      <c r="AN449" s="219"/>
      <c r="AO449" s="219"/>
      <c r="AP449" s="219"/>
      <c r="AQ449" s="220"/>
      <c r="AR449" s="221"/>
      <c r="AY449" s="628"/>
      <c r="AZ449" s="470">
        <v>0.75</v>
      </c>
      <c r="BA449" s="466">
        <v>5201919105</v>
      </c>
      <c r="BB449" s="211">
        <v>61</v>
      </c>
      <c r="BC449" s="211">
        <v>273</v>
      </c>
      <c r="BD449" s="211">
        <v>230</v>
      </c>
      <c r="BE449" s="211">
        <v>296</v>
      </c>
      <c r="BF449" s="211">
        <v>589</v>
      </c>
      <c r="BG449" s="211">
        <v>375</v>
      </c>
      <c r="BH449" s="211">
        <v>785</v>
      </c>
      <c r="BI449" s="211">
        <v>837</v>
      </c>
      <c r="BJ449" s="211">
        <v>341</v>
      </c>
      <c r="BK449" s="211">
        <v>271</v>
      </c>
      <c r="BL449" s="211">
        <v>171</v>
      </c>
      <c r="BM449" s="211">
        <v>120</v>
      </c>
      <c r="BO449" s="28">
        <f t="shared" si="17"/>
        <v>362.41666666666669</v>
      </c>
      <c r="BP449" s="28">
        <f t="shared" si="18"/>
        <v>4349</v>
      </c>
    </row>
    <row r="450" spans="22:68" x14ac:dyDescent="0.25">
      <c r="V450" s="449" t="str">
        <f>'[1]Strohs Plant in Service'!$C453</f>
        <v>Meters (20)</v>
      </c>
      <c r="W450" s="292" t="str">
        <f>'[1]Strohs Plant in Service'!$D453</f>
        <v>Source Meter -STROH- (SO8)</v>
      </c>
      <c r="X450" s="293">
        <f>'[1]Strohs Plant in Service'!$E453</f>
        <v>45474</v>
      </c>
      <c r="Y450" s="297">
        <f>'[1]Strohs Plant in Service'!$F453</f>
        <v>925.94</v>
      </c>
      <c r="Z450" s="248"/>
      <c r="AA450" s="294">
        <f>'[1]Strohs Plant in Service'!$G$11/12</f>
        <v>6</v>
      </c>
      <c r="AB450" s="219">
        <f>('[1]Strohs Plant in Service'!$G453-'[1]Strohs Plant in Service'!$H453)/12</f>
        <v>0.41666666666666669</v>
      </c>
      <c r="AC450" s="219">
        <f>'[1]Strohs Plant in Service'!$I453</f>
        <v>46.297000000000004</v>
      </c>
      <c r="AD450" s="219"/>
      <c r="AE450" s="220">
        <f>'[1]Strohs Plant in Service'!$J453</f>
        <v>23.16</v>
      </c>
      <c r="AF450" s="221">
        <v>902.78000000000009</v>
      </c>
      <c r="AG450" s="204"/>
      <c r="AH450" s="178"/>
      <c r="AI450" s="174"/>
      <c r="AJ450" s="179"/>
      <c r="AK450" s="247"/>
      <c r="AL450" s="248"/>
      <c r="AM450" s="294"/>
      <c r="AN450" s="219"/>
      <c r="AO450" s="219"/>
      <c r="AP450" s="219"/>
      <c r="AQ450" s="220"/>
      <c r="AR450" s="221"/>
      <c r="AY450" s="628"/>
      <c r="AZ450" s="470">
        <v>0.75</v>
      </c>
      <c r="BA450" s="466">
        <v>5202867122</v>
      </c>
      <c r="BB450" s="211">
        <v>371</v>
      </c>
      <c r="BC450" s="211">
        <v>285</v>
      </c>
      <c r="BD450" s="211">
        <v>322</v>
      </c>
      <c r="BE450" s="211">
        <v>367</v>
      </c>
      <c r="BF450" s="211">
        <v>283</v>
      </c>
      <c r="BG450" s="211">
        <v>322</v>
      </c>
      <c r="BH450" s="211">
        <v>364</v>
      </c>
      <c r="BI450" s="211">
        <v>551</v>
      </c>
      <c r="BJ450" s="211">
        <v>280</v>
      </c>
      <c r="BK450" s="211">
        <v>430</v>
      </c>
      <c r="BL450" s="211" t="s">
        <v>655</v>
      </c>
      <c r="BM450" s="211">
        <v>726</v>
      </c>
      <c r="BO450" s="28">
        <f t="shared" si="17"/>
        <v>391</v>
      </c>
      <c r="BP450" s="28">
        <f t="shared" si="18"/>
        <v>4301</v>
      </c>
    </row>
    <row r="451" spans="22:68" x14ac:dyDescent="0.25">
      <c r="V451" s="449" t="str">
        <f>'[1]Strohs Plant in Service'!$C454</f>
        <v>Meters (20)</v>
      </c>
      <c r="W451" s="292" t="str">
        <f>'[1]Strohs Plant in Service'!$D454</f>
        <v>Source meter - STROH- (SO5)</v>
      </c>
      <c r="X451" s="293">
        <f>'[1]Strohs Plant in Service'!$E454</f>
        <v>45474</v>
      </c>
      <c r="Y451" s="297">
        <f>'[1]Strohs Plant in Service'!$F454</f>
        <v>1030.4000000000001</v>
      </c>
      <c r="Z451" s="248"/>
      <c r="AA451" s="294">
        <f>'[1]Strohs Plant in Service'!$G$11/12</f>
        <v>6</v>
      </c>
      <c r="AB451" s="219">
        <f>('[1]Strohs Plant in Service'!$G454-'[1]Strohs Plant in Service'!$H454)/12</f>
        <v>0.41666666666666669</v>
      </c>
      <c r="AC451" s="219">
        <f>'[1]Strohs Plant in Service'!$I454</f>
        <v>51.52000000000001</v>
      </c>
      <c r="AD451" s="219"/>
      <c r="AE451" s="220">
        <f>'[1]Strohs Plant in Service'!$J454</f>
        <v>25.74</v>
      </c>
      <c r="AF451" s="221">
        <v>1004.6600000000001</v>
      </c>
      <c r="AG451" s="204"/>
      <c r="AH451" s="178"/>
      <c r="AI451" s="174"/>
      <c r="AJ451" s="179"/>
      <c r="AK451" s="247"/>
      <c r="AL451" s="248"/>
      <c r="AM451" s="294"/>
      <c r="AN451" s="219"/>
      <c r="AO451" s="219"/>
      <c r="AP451" s="219"/>
      <c r="AQ451" s="220"/>
      <c r="AR451" s="221"/>
      <c r="AY451" s="628"/>
      <c r="AZ451" s="470">
        <v>0.75</v>
      </c>
      <c r="BA451" s="466">
        <v>5214390886</v>
      </c>
      <c r="BB451" s="211">
        <v>2</v>
      </c>
      <c r="BC451" s="211">
        <v>1</v>
      </c>
      <c r="BD451" s="211">
        <v>1</v>
      </c>
      <c r="BE451" s="211">
        <v>4</v>
      </c>
      <c r="BF451" s="211">
        <v>33</v>
      </c>
      <c r="BG451" s="211">
        <v>1</v>
      </c>
      <c r="BH451" s="211">
        <v>12</v>
      </c>
      <c r="BI451" s="211">
        <v>41</v>
      </c>
      <c r="BJ451" s="211">
        <v>19</v>
      </c>
      <c r="BK451" s="211">
        <v>21</v>
      </c>
      <c r="BL451" s="211" t="s">
        <v>655</v>
      </c>
      <c r="BM451" s="211" t="s">
        <v>655</v>
      </c>
      <c r="BO451" s="28">
        <f t="shared" si="17"/>
        <v>13.5</v>
      </c>
      <c r="BP451" s="28">
        <f t="shared" si="18"/>
        <v>135</v>
      </c>
    </row>
    <row r="452" spans="22:68" x14ac:dyDescent="0.25">
      <c r="V452" s="449" t="str">
        <f>'[1]Strohs Plant in Service'!$C455</f>
        <v>Mains, Tanks and Reservoirs (50)</v>
      </c>
      <c r="W452" s="292" t="str">
        <f>'[1]Strohs Plant in Service'!$D455</f>
        <v>Main Ex - Stroh - Par# 0221194053</v>
      </c>
      <c r="X452" s="293">
        <f>'[1]Strohs Plant in Service'!$E455</f>
        <v>45566</v>
      </c>
      <c r="Y452" s="297">
        <f>'[1]Strohs Plant in Service'!$F455</f>
        <v>283035.67</v>
      </c>
      <c r="Z452" s="248"/>
      <c r="AA452" s="294">
        <f>'[1]Strohs Plant in Service'!$G$11/12</f>
        <v>6</v>
      </c>
      <c r="AB452" s="219">
        <f>('[1]Strohs Plant in Service'!$G455-'[1]Strohs Plant in Service'!$H455)/12</f>
        <v>0.16666666666666666</v>
      </c>
      <c r="AC452" s="219">
        <f>'[1]Strohs Plant in Service'!$I455</f>
        <v>9434.5223333333324</v>
      </c>
      <c r="AD452" s="219"/>
      <c r="AE452" s="220">
        <f>'[1]Strohs Plant in Service'!$J455</f>
        <v>2358.63</v>
      </c>
      <c r="AF452" s="221">
        <v>280677.03999999998</v>
      </c>
      <c r="AG452" s="204"/>
      <c r="AH452" s="178"/>
      <c r="AI452" s="174"/>
      <c r="AJ452" s="179"/>
      <c r="AK452" s="247"/>
      <c r="AL452" s="248"/>
      <c r="AM452" s="294"/>
      <c r="AN452" s="219"/>
      <c r="AO452" s="219"/>
      <c r="AP452" s="219"/>
      <c r="AQ452" s="220"/>
      <c r="AR452" s="221"/>
      <c r="AY452" s="628"/>
      <c r="AZ452" s="470">
        <v>0.75</v>
      </c>
      <c r="BA452" s="466">
        <v>5215189302</v>
      </c>
      <c r="BB452" s="211">
        <v>129</v>
      </c>
      <c r="BC452" s="211">
        <v>1001</v>
      </c>
      <c r="BD452" s="211">
        <v>625</v>
      </c>
      <c r="BE452" s="211">
        <v>1097</v>
      </c>
      <c r="BF452" s="211">
        <v>1174</v>
      </c>
      <c r="BG452" s="211">
        <v>230</v>
      </c>
      <c r="BH452" s="211">
        <v>7018</v>
      </c>
      <c r="BI452" s="211">
        <v>2450</v>
      </c>
      <c r="BJ452" s="211">
        <v>7650</v>
      </c>
      <c r="BK452" s="211">
        <v>708</v>
      </c>
      <c r="BL452" s="211">
        <v>392</v>
      </c>
      <c r="BM452" s="211">
        <v>225</v>
      </c>
      <c r="BO452" s="28">
        <f t="shared" si="17"/>
        <v>1891.5833333333333</v>
      </c>
      <c r="BP452" s="28">
        <f t="shared" si="18"/>
        <v>22699</v>
      </c>
    </row>
    <row r="453" spans="22:68" x14ac:dyDescent="0.25">
      <c r="V453" s="449" t="str">
        <f>'[1]Strohs Plant in Service'!$C456</f>
        <v>Plant, Other (40)</v>
      </c>
      <c r="W453" s="292" t="str">
        <f>'[1]Strohs Plant in Service'!$D456</f>
        <v>Hydra - Stroh - Par# 0221194053</v>
      </c>
      <c r="X453" s="293">
        <f>'[1]Strohs Plant in Service'!$E456</f>
        <v>45566</v>
      </c>
      <c r="Y453" s="297">
        <f>'[1]Strohs Plant in Service'!$F456</f>
        <v>13489.02</v>
      </c>
      <c r="Z453" s="248"/>
      <c r="AA453" s="294">
        <f>'[1]Strohs Plant in Service'!$G$11/12</f>
        <v>6</v>
      </c>
      <c r="AB453" s="219">
        <f>('[1]Strohs Plant in Service'!$G456-'[1]Strohs Plant in Service'!$H456)/12</f>
        <v>0.16666666666666666</v>
      </c>
      <c r="AC453" s="219">
        <f>'[1]Strohs Plant in Service'!$I456</f>
        <v>337.22550000000001</v>
      </c>
      <c r="AD453" s="219"/>
      <c r="AE453" s="220">
        <f>'[1]Strohs Plant in Service'!$J456</f>
        <v>84.3</v>
      </c>
      <c r="AF453" s="221">
        <v>13404.720000000001</v>
      </c>
      <c r="AG453" s="204"/>
      <c r="AH453" s="178"/>
      <c r="AI453" s="174"/>
      <c r="AJ453" s="179"/>
      <c r="AK453" s="247"/>
      <c r="AL453" s="248"/>
      <c r="AM453" s="294"/>
      <c r="AN453" s="219"/>
      <c r="AO453" s="219"/>
      <c r="AP453" s="219"/>
      <c r="AQ453" s="220"/>
      <c r="AR453" s="221"/>
      <c r="AY453" s="628"/>
      <c r="AZ453" s="470">
        <v>0.75</v>
      </c>
      <c r="BA453" s="466">
        <v>5220806400</v>
      </c>
      <c r="BB453" s="211">
        <v>1597</v>
      </c>
      <c r="BC453" s="211">
        <v>939</v>
      </c>
      <c r="BD453" s="211">
        <v>1043</v>
      </c>
      <c r="BE453" s="211">
        <v>1164</v>
      </c>
      <c r="BF453" s="211">
        <v>1047</v>
      </c>
      <c r="BG453" s="211">
        <v>1061</v>
      </c>
      <c r="BH453" s="211">
        <v>1063</v>
      </c>
      <c r="BI453" s="211">
        <v>1058</v>
      </c>
      <c r="BJ453" s="211">
        <v>1149</v>
      </c>
      <c r="BK453" s="211">
        <v>1081</v>
      </c>
      <c r="BL453" s="211">
        <v>1016</v>
      </c>
      <c r="BM453" s="211">
        <v>1045</v>
      </c>
      <c r="BO453" s="28">
        <f t="shared" si="17"/>
        <v>1105.25</v>
      </c>
      <c r="BP453" s="28">
        <f t="shared" si="18"/>
        <v>13263</v>
      </c>
    </row>
    <row r="454" spans="22:68" x14ac:dyDescent="0.25">
      <c r="V454" s="449" t="str">
        <f>'[1]Strohs Plant in Service'!$C457</f>
        <v>Service Connection (30)</v>
      </c>
      <c r="W454" s="292" t="str">
        <f>'[1]Strohs Plant in Service'!$D457</f>
        <v>Svc - Stroh - Par# 0221194053</v>
      </c>
      <c r="X454" s="293">
        <f>'[1]Strohs Plant in Service'!$E457</f>
        <v>45566</v>
      </c>
      <c r="Y454" s="297">
        <f>'[1]Strohs Plant in Service'!$F457</f>
        <v>10376.16</v>
      </c>
      <c r="Z454" s="248"/>
      <c r="AA454" s="294">
        <f>'[1]Strohs Plant in Service'!$G$11/12</f>
        <v>6</v>
      </c>
      <c r="AB454" s="219">
        <f>('[1]Strohs Plant in Service'!$G457-'[1]Strohs Plant in Service'!$H457)/12</f>
        <v>0.16666666666666666</v>
      </c>
      <c r="AC454" s="219">
        <f>'[1]Strohs Plant in Service'!$I457</f>
        <v>345.87200000000001</v>
      </c>
      <c r="AD454" s="219"/>
      <c r="AE454" s="220">
        <f>'[1]Strohs Plant in Service'!$J457</f>
        <v>86.46</v>
      </c>
      <c r="AF454" s="221">
        <v>10289.700000000001</v>
      </c>
      <c r="AG454" s="204"/>
      <c r="AH454" s="178"/>
      <c r="AI454" s="174"/>
      <c r="AJ454" s="179"/>
      <c r="AK454" s="247"/>
      <c r="AL454" s="248"/>
      <c r="AM454" s="294"/>
      <c r="AN454" s="219"/>
      <c r="AO454" s="219"/>
      <c r="AP454" s="219"/>
      <c r="AQ454" s="220"/>
      <c r="AR454" s="221"/>
      <c r="AY454" s="628"/>
      <c r="AZ454" s="470">
        <v>0.625</v>
      </c>
      <c r="BA454" s="466">
        <v>5227504058</v>
      </c>
      <c r="BB454" s="211">
        <v>613</v>
      </c>
      <c r="BC454" s="211">
        <v>236</v>
      </c>
      <c r="BD454" s="211">
        <v>312</v>
      </c>
      <c r="BE454" s="211">
        <v>452</v>
      </c>
      <c r="BF454" s="211">
        <v>242</v>
      </c>
      <c r="BG454" s="211">
        <v>934</v>
      </c>
      <c r="BH454" s="211">
        <v>1497</v>
      </c>
      <c r="BI454" s="211">
        <v>1300</v>
      </c>
      <c r="BJ454" s="211">
        <v>1471</v>
      </c>
      <c r="BK454" s="211">
        <v>1160</v>
      </c>
      <c r="BL454" s="211">
        <v>123</v>
      </c>
      <c r="BM454" s="211">
        <v>146</v>
      </c>
      <c r="BO454" s="28">
        <f t="shared" si="17"/>
        <v>707.16666666666663</v>
      </c>
      <c r="BP454" s="28">
        <f t="shared" si="18"/>
        <v>8486</v>
      </c>
    </row>
    <row r="455" spans="22:68" x14ac:dyDescent="0.25">
      <c r="V455" s="449" t="str">
        <f>'[1]Strohs Plant in Service'!$C458</f>
        <v>Service Connection (30)</v>
      </c>
      <c r="W455" s="292" t="str">
        <f>'[1]Strohs Plant in Service'!$D458</f>
        <v>Svc - Stroh - Par# 0221194053</v>
      </c>
      <c r="X455" s="293">
        <f>'[1]Strohs Plant in Service'!$E458</f>
        <v>45566</v>
      </c>
      <c r="Y455" s="297">
        <f>'[1]Strohs Plant in Service'!$F458</f>
        <v>6225.7</v>
      </c>
      <c r="Z455" s="248"/>
      <c r="AA455" s="294">
        <f>'[1]Strohs Plant in Service'!$G$11/12</f>
        <v>6</v>
      </c>
      <c r="AB455" s="219">
        <f>('[1]Strohs Plant in Service'!$G458-'[1]Strohs Plant in Service'!$H458)/12</f>
        <v>0.16666666666666666</v>
      </c>
      <c r="AC455" s="219">
        <f>'[1]Strohs Plant in Service'!$I458</f>
        <v>207.52333333333334</v>
      </c>
      <c r="AD455" s="219"/>
      <c r="AE455" s="220">
        <f>'[1]Strohs Plant in Service'!$J458</f>
        <v>51.87</v>
      </c>
      <c r="AF455" s="221">
        <v>6173.83</v>
      </c>
      <c r="AG455" s="204"/>
      <c r="AH455" s="178"/>
      <c r="AI455" s="174"/>
      <c r="AJ455" s="179"/>
      <c r="AK455" s="247"/>
      <c r="AL455" s="248"/>
      <c r="AM455" s="294"/>
      <c r="AN455" s="219"/>
      <c r="AO455" s="219"/>
      <c r="AP455" s="219"/>
      <c r="AQ455" s="220"/>
      <c r="AR455" s="221"/>
      <c r="AY455" s="628"/>
      <c r="AZ455" s="470">
        <v>0.75</v>
      </c>
      <c r="BA455" s="466">
        <v>5232843787</v>
      </c>
      <c r="BB455" s="211">
        <v>224</v>
      </c>
      <c r="BC455" s="211">
        <v>118</v>
      </c>
      <c r="BD455" s="211">
        <v>128</v>
      </c>
      <c r="BE455" s="211">
        <v>318</v>
      </c>
      <c r="BF455" s="211">
        <v>481</v>
      </c>
      <c r="BG455" s="211">
        <v>1186</v>
      </c>
      <c r="BH455" s="211">
        <v>622</v>
      </c>
      <c r="BI455" s="211">
        <v>848</v>
      </c>
      <c r="BJ455" s="211">
        <v>597</v>
      </c>
      <c r="BK455" s="211">
        <v>475</v>
      </c>
      <c r="BL455" s="211">
        <v>346</v>
      </c>
      <c r="BM455" s="211">
        <v>217</v>
      </c>
      <c r="BO455" s="28">
        <f t="shared" si="17"/>
        <v>463.33333333333331</v>
      </c>
      <c r="BP455" s="28">
        <f t="shared" si="18"/>
        <v>5560</v>
      </c>
    </row>
    <row r="456" spans="22:68" x14ac:dyDescent="0.25">
      <c r="V456" s="449" t="str">
        <f>'[1]Strohs Plant in Service'!$C459</f>
        <v>Plant, Other (40)</v>
      </c>
      <c r="W456" s="292" t="str">
        <f>'[1]Strohs Plant in Service'!$D459</f>
        <v>2024 Sanitary Survey -STROH-</v>
      </c>
      <c r="X456" s="293">
        <f>'[1]Strohs Plant in Service'!$E459</f>
        <v>45566</v>
      </c>
      <c r="Y456" s="297">
        <f>'[1]Strohs Plant in Service'!$F459</f>
        <v>2110.17</v>
      </c>
      <c r="Z456" s="248"/>
      <c r="AA456" s="294">
        <f>'[1]Strohs Plant in Service'!$G$11/12</f>
        <v>6</v>
      </c>
      <c r="AB456" s="219">
        <f>('[1]Strohs Plant in Service'!$G459-'[1]Strohs Plant in Service'!$H459)/12</f>
        <v>0.16666666666666666</v>
      </c>
      <c r="AC456" s="219">
        <f>'[1]Strohs Plant in Service'!$I459</f>
        <v>422.03399999999999</v>
      </c>
      <c r="AD456" s="219"/>
      <c r="AE456" s="220">
        <f>'[1]Strohs Plant in Service'!$J459</f>
        <v>105.51</v>
      </c>
      <c r="AF456" s="221">
        <v>2004.66</v>
      </c>
      <c r="AG456" s="204"/>
      <c r="AH456" s="178"/>
      <c r="AI456" s="174"/>
      <c r="AJ456" s="179"/>
      <c r="AK456" s="247"/>
      <c r="AL456" s="248"/>
      <c r="AM456" s="294"/>
      <c r="AN456" s="219"/>
      <c r="AO456" s="219"/>
      <c r="AP456" s="219"/>
      <c r="AQ456" s="220"/>
      <c r="AR456" s="221"/>
      <c r="AY456" s="628"/>
      <c r="AZ456" s="470">
        <v>1.5</v>
      </c>
      <c r="BA456" s="466">
        <v>5243891015</v>
      </c>
      <c r="BB456" s="211">
        <v>6901</v>
      </c>
      <c r="BC456" s="211">
        <v>1818</v>
      </c>
      <c r="BD456" s="211">
        <v>8415</v>
      </c>
      <c r="BE456" s="211">
        <v>5822</v>
      </c>
      <c r="BF456" s="211">
        <v>4729</v>
      </c>
      <c r="BG456" s="211">
        <v>4458</v>
      </c>
      <c r="BH456" s="211">
        <v>5260</v>
      </c>
      <c r="BI456" s="211">
        <v>4897</v>
      </c>
      <c r="BJ456" s="211">
        <v>5259</v>
      </c>
      <c r="BK456" s="211">
        <v>4389</v>
      </c>
      <c r="BL456" s="211">
        <v>4325</v>
      </c>
      <c r="BM456" s="211">
        <v>4865</v>
      </c>
      <c r="BO456" s="28">
        <f t="shared" si="17"/>
        <v>5094.833333333333</v>
      </c>
      <c r="BP456" s="28">
        <f t="shared" si="18"/>
        <v>61138</v>
      </c>
    </row>
    <row r="457" spans="22:68" x14ac:dyDescent="0.25">
      <c r="V457" s="449" t="str">
        <f>'[1]Strohs Plant in Service'!$C460</f>
        <v>Service Connection (30)</v>
      </c>
      <c r="W457" s="292" t="str">
        <f>'[1]Strohs Plant in Service'!$D460</f>
        <v>2ft of 2in PVC -STROH-</v>
      </c>
      <c r="X457" s="293">
        <f>'[1]Strohs Plant in Service'!$E460</f>
        <v>45597</v>
      </c>
      <c r="Y457" s="297">
        <f>'[1]Strohs Plant in Service'!$F460</f>
        <v>5294.4</v>
      </c>
      <c r="Z457" s="248"/>
      <c r="AA457" s="294">
        <f>'[1]Strohs Plant in Service'!$G$11/12</f>
        <v>6</v>
      </c>
      <c r="AB457" s="219">
        <f>('[1]Strohs Plant in Service'!$G460-'[1]Strohs Plant in Service'!$H460)/12</f>
        <v>8.3333333333333329E-2</v>
      </c>
      <c r="AC457" s="219">
        <f>'[1]Strohs Plant in Service'!$I460</f>
        <v>132.35999999999999</v>
      </c>
      <c r="AD457" s="219"/>
      <c r="AE457" s="220">
        <f>'[1]Strohs Plant in Service'!$J460</f>
        <v>22.06</v>
      </c>
      <c r="AF457" s="221">
        <v>5272.3399999999992</v>
      </c>
      <c r="AG457" s="204"/>
      <c r="AH457" s="178"/>
      <c r="AI457" s="174"/>
      <c r="AJ457" s="179"/>
      <c r="AK457" s="247"/>
      <c r="AL457" s="248"/>
      <c r="AM457" s="294"/>
      <c r="AN457" s="219"/>
      <c r="AO457" s="219"/>
      <c r="AP457" s="219"/>
      <c r="AQ457" s="220"/>
      <c r="AR457" s="221"/>
      <c r="AY457" s="628"/>
      <c r="AZ457" s="470">
        <v>0.75</v>
      </c>
      <c r="BA457" s="466">
        <v>5246952793</v>
      </c>
      <c r="BB457" s="211">
        <v>400</v>
      </c>
      <c r="BC457" s="211">
        <v>490</v>
      </c>
      <c r="BD457" s="211">
        <v>609</v>
      </c>
      <c r="BE457" s="211">
        <v>701</v>
      </c>
      <c r="BF457" s="211">
        <v>619</v>
      </c>
      <c r="BG457" s="211">
        <v>1339</v>
      </c>
      <c r="BH457" s="211">
        <v>2588</v>
      </c>
      <c r="BI457" s="211">
        <v>2474</v>
      </c>
      <c r="BJ457" s="211">
        <v>2259</v>
      </c>
      <c r="BK457" s="211">
        <v>775</v>
      </c>
      <c r="BL457" s="211">
        <v>745</v>
      </c>
      <c r="BM457" s="211">
        <v>712</v>
      </c>
      <c r="BO457" s="28">
        <f t="shared" ref="BO457:BO520" si="19">AVERAGE(BB457:BM457)</f>
        <v>1142.5833333333333</v>
      </c>
      <c r="BP457" s="28">
        <f t="shared" ref="BP457:BP520" si="20">SUM(BB457:BM457)</f>
        <v>13711</v>
      </c>
    </row>
    <row r="458" spans="22:68" x14ac:dyDescent="0.25">
      <c r="V458" s="449" t="str">
        <f>'[1]Strohs Plant in Service'!$C461</f>
        <v>Land, Water Rights, and Organization (0)</v>
      </c>
      <c r="W458" s="292" t="str">
        <f>'[1]Strohs Plant in Service'!$D461</f>
        <v>Strohs water system</v>
      </c>
      <c r="X458" s="293">
        <f>'[1]Strohs Plant in Service'!$E461</f>
        <v>45292</v>
      </c>
      <c r="Y458" s="297">
        <f>'[1]Strohs Plant in Service'!$F461</f>
        <v>0</v>
      </c>
      <c r="Z458" s="248"/>
      <c r="AA458" s="294">
        <f>'[1]Strohs Plant in Service'!$G$11/12</f>
        <v>6</v>
      </c>
      <c r="AB458" s="219">
        <f>('[1]Strohs Plant in Service'!$G461-'[1]Strohs Plant in Service'!$H461)/12</f>
        <v>0.91666666666666663</v>
      </c>
      <c r="AC458" s="219">
        <f>'[1]Strohs Plant in Service'!$I461</f>
        <v>0</v>
      </c>
      <c r="AD458" s="219"/>
      <c r="AE458" s="220">
        <f>'[1]Strohs Plant in Service'!$J461</f>
        <v>0</v>
      </c>
      <c r="AF458" s="221">
        <v>0</v>
      </c>
      <c r="AG458" s="204"/>
      <c r="AH458" s="178"/>
      <c r="AI458" s="174"/>
      <c r="AJ458" s="179"/>
      <c r="AK458" s="247"/>
      <c r="AL458" s="248"/>
      <c r="AM458" s="294"/>
      <c r="AN458" s="219"/>
      <c r="AO458" s="219"/>
      <c r="AP458" s="219"/>
      <c r="AQ458" s="220"/>
      <c r="AR458" s="221"/>
      <c r="AY458" s="628"/>
      <c r="AZ458" s="470">
        <v>0.75</v>
      </c>
      <c r="BA458" s="466">
        <v>5256506634</v>
      </c>
      <c r="BB458" s="211">
        <v>132</v>
      </c>
      <c r="BC458" s="211">
        <v>265</v>
      </c>
      <c r="BD458" s="211">
        <v>134</v>
      </c>
      <c r="BE458" s="211">
        <v>163</v>
      </c>
      <c r="BF458" s="211">
        <v>2086</v>
      </c>
      <c r="BG458" s="211">
        <v>1574</v>
      </c>
      <c r="BH458" s="211">
        <v>2910</v>
      </c>
      <c r="BI458" s="211">
        <v>4177</v>
      </c>
      <c r="BJ458" s="211">
        <v>4589</v>
      </c>
      <c r="BK458" s="211">
        <v>3402</v>
      </c>
      <c r="BL458" s="211">
        <v>79</v>
      </c>
      <c r="BM458" s="211">
        <v>112</v>
      </c>
      <c r="BO458" s="28">
        <f t="shared" si="19"/>
        <v>1635.25</v>
      </c>
      <c r="BP458" s="28">
        <f t="shared" si="20"/>
        <v>19623</v>
      </c>
    </row>
    <row r="459" spans="22:68" x14ac:dyDescent="0.25">
      <c r="V459" s="449" t="str">
        <f>'[1]Strohs Plant in Service'!$C462</f>
        <v>Service Connection (30)</v>
      </c>
      <c r="W459" s="292" t="str">
        <f>'[1]Strohs Plant in Service'!$D462</f>
        <v>Service - STROH</v>
      </c>
      <c r="X459" s="293">
        <f>'[1]Strohs Plant in Service'!$E462</f>
        <v>45200</v>
      </c>
      <c r="Y459" s="297">
        <f>'[1]Strohs Plant in Service'!$F462</f>
        <v>-32.630000000000003</v>
      </c>
      <c r="Z459" s="248"/>
      <c r="AA459" s="294">
        <f>'[1]Strohs Plant in Service'!$G$11/12</f>
        <v>6</v>
      </c>
      <c r="AB459" s="219">
        <f>('[1]Strohs Plant in Service'!$G462-'[1]Strohs Plant in Service'!$H462)/12</f>
        <v>1.1666666666666667</v>
      </c>
      <c r="AC459" s="219">
        <f>'[1]Strohs Plant in Service'!$I462</f>
        <v>-1.0876666666666668</v>
      </c>
      <c r="AD459" s="219"/>
      <c r="AE459" s="220">
        <f>'[1]Strohs Plant in Service'!$J462</f>
        <v>-1.3</v>
      </c>
      <c r="AF459" s="221">
        <v>-31.330000000000002</v>
      </c>
      <c r="AG459" s="204"/>
      <c r="AH459" s="178"/>
      <c r="AI459" s="174"/>
      <c r="AJ459" s="179"/>
      <c r="AK459" s="247"/>
      <c r="AL459" s="248"/>
      <c r="AM459" s="294"/>
      <c r="AN459" s="219"/>
      <c r="AO459" s="219"/>
      <c r="AP459" s="219"/>
      <c r="AQ459" s="220"/>
      <c r="AR459" s="221"/>
      <c r="AY459" s="628"/>
      <c r="AZ459" s="470">
        <v>0.75</v>
      </c>
      <c r="BA459" s="466">
        <v>5263891967</v>
      </c>
      <c r="BB459" s="211">
        <v>459</v>
      </c>
      <c r="BC459" s="211">
        <v>476</v>
      </c>
      <c r="BD459" s="211">
        <v>557</v>
      </c>
      <c r="BE459" s="211">
        <v>629</v>
      </c>
      <c r="BF459" s="211">
        <v>578</v>
      </c>
      <c r="BG459" s="211">
        <v>622</v>
      </c>
      <c r="BH459" s="211">
        <v>1025</v>
      </c>
      <c r="BI459" s="211">
        <v>1285</v>
      </c>
      <c r="BJ459" s="211">
        <v>833</v>
      </c>
      <c r="BK459" s="211">
        <v>771</v>
      </c>
      <c r="BL459" s="211">
        <v>495</v>
      </c>
      <c r="BM459" s="211">
        <v>514</v>
      </c>
      <c r="BO459" s="28">
        <f t="shared" si="19"/>
        <v>687</v>
      </c>
      <c r="BP459" s="28">
        <f t="shared" si="20"/>
        <v>8244</v>
      </c>
    </row>
    <row r="460" spans="22:68" x14ac:dyDescent="0.25">
      <c r="V460" s="449" t="str">
        <f>'[1]Strohs Plant in Service'!$C463</f>
        <v>Meters (20)</v>
      </c>
      <c r="W460" s="292" t="str">
        <f>'[1]Strohs Plant in Service'!$D463</f>
        <v>Meters - STROH</v>
      </c>
      <c r="X460" s="293">
        <f>'[1]Strohs Plant in Service'!$E463</f>
        <v>45292</v>
      </c>
      <c r="Y460" s="297">
        <f>'[1]Strohs Plant in Service'!$F463</f>
        <v>-372.13</v>
      </c>
      <c r="Z460" s="248"/>
      <c r="AA460" s="294">
        <f>'[1]Strohs Plant in Service'!$G$11/12</f>
        <v>6</v>
      </c>
      <c r="AB460" s="219">
        <f>('[1]Strohs Plant in Service'!$G463-'[1]Strohs Plant in Service'!$H463)/12</f>
        <v>0.91666666666666663</v>
      </c>
      <c r="AC460" s="219">
        <f>'[1]Strohs Plant in Service'!$I463</f>
        <v>-18.6065</v>
      </c>
      <c r="AD460" s="219"/>
      <c r="AE460" s="220">
        <f>'[1]Strohs Plant in Service'!$J463</f>
        <v>-17.940000000000001</v>
      </c>
      <c r="AF460" s="221">
        <v>-354.19</v>
      </c>
      <c r="AG460" s="204"/>
      <c r="AH460" s="178"/>
      <c r="AI460" s="174"/>
      <c r="AJ460" s="179"/>
      <c r="AK460" s="247"/>
      <c r="AL460" s="248"/>
      <c r="AM460" s="294"/>
      <c r="AN460" s="219"/>
      <c r="AO460" s="219"/>
      <c r="AP460" s="219"/>
      <c r="AQ460" s="220"/>
      <c r="AR460" s="221"/>
      <c r="AY460" s="628"/>
      <c r="AZ460" s="470">
        <v>0.75</v>
      </c>
      <c r="BA460" s="466">
        <v>5305687275</v>
      </c>
      <c r="BB460" s="211">
        <v>840</v>
      </c>
      <c r="BC460" s="211">
        <v>721</v>
      </c>
      <c r="BD460" s="211">
        <v>711</v>
      </c>
      <c r="BE460" s="211">
        <v>1350</v>
      </c>
      <c r="BF460" s="211">
        <v>1020</v>
      </c>
      <c r="BG460" s="211">
        <v>3573</v>
      </c>
      <c r="BH460" s="211">
        <v>2580</v>
      </c>
      <c r="BI460" s="211">
        <v>3732</v>
      </c>
      <c r="BJ460" s="211">
        <v>2155</v>
      </c>
      <c r="BK460" s="211">
        <v>1497</v>
      </c>
      <c r="BL460" s="211">
        <v>1033</v>
      </c>
      <c r="BM460" s="211">
        <v>805</v>
      </c>
      <c r="BO460" s="28">
        <f t="shared" si="19"/>
        <v>1668.0833333333333</v>
      </c>
      <c r="BP460" s="28">
        <f t="shared" si="20"/>
        <v>20017</v>
      </c>
    </row>
    <row r="461" spans="22:68" x14ac:dyDescent="0.25">
      <c r="V461" s="449" t="str">
        <f>'[1]Strohs Plant in Service'!$C464</f>
        <v>Service Connection (30)</v>
      </c>
      <c r="W461" s="292" t="str">
        <f>'[1]Strohs Plant in Service'!$D464</f>
        <v>Services - STROH</v>
      </c>
      <c r="X461" s="293">
        <f>'[1]Strohs Plant in Service'!$E464</f>
        <v>45292</v>
      </c>
      <c r="Y461" s="297">
        <f>'[1]Strohs Plant in Service'!$F464</f>
        <v>-35.56</v>
      </c>
      <c r="Z461" s="248"/>
      <c r="AA461" s="294">
        <f>'[1]Strohs Plant in Service'!$G$11/12</f>
        <v>6</v>
      </c>
      <c r="AB461" s="219">
        <f>('[1]Strohs Plant in Service'!$G464-'[1]Strohs Plant in Service'!$H464)/12</f>
        <v>0.91666666666666663</v>
      </c>
      <c r="AC461" s="219">
        <f>'[1]Strohs Plant in Service'!$I464</f>
        <v>-1.1853333333333333</v>
      </c>
      <c r="AD461" s="219"/>
      <c r="AE461" s="220">
        <f>'[1]Strohs Plant in Service'!$J464</f>
        <v>-1.23</v>
      </c>
      <c r="AF461" s="221">
        <v>-34.330000000000005</v>
      </c>
      <c r="AG461" s="204"/>
      <c r="AH461" s="178"/>
      <c r="AI461" s="174"/>
      <c r="AJ461" s="179"/>
      <c r="AK461" s="247"/>
      <c r="AL461" s="248"/>
      <c r="AM461" s="294"/>
      <c r="AN461" s="219"/>
      <c r="AO461" s="219"/>
      <c r="AP461" s="219"/>
      <c r="AQ461" s="220"/>
      <c r="AR461" s="221"/>
      <c r="AY461" s="628"/>
      <c r="AZ461" s="470">
        <v>0.75</v>
      </c>
      <c r="BA461" s="466">
        <v>5330937441</v>
      </c>
      <c r="BB461" s="211">
        <v>406</v>
      </c>
      <c r="BC461" s="211">
        <v>448</v>
      </c>
      <c r="BD461" s="211">
        <v>332</v>
      </c>
      <c r="BE461" s="211">
        <v>424</v>
      </c>
      <c r="BF461" s="211">
        <v>449</v>
      </c>
      <c r="BG461" s="211">
        <v>475</v>
      </c>
      <c r="BH461" s="211">
        <v>2815</v>
      </c>
      <c r="BI461" s="211">
        <v>1967</v>
      </c>
      <c r="BJ461" s="211">
        <v>853</v>
      </c>
      <c r="BK461" s="211">
        <v>280</v>
      </c>
      <c r="BL461" s="211">
        <v>400</v>
      </c>
      <c r="BM461" s="211">
        <v>533</v>
      </c>
      <c r="BO461" s="28">
        <f t="shared" si="19"/>
        <v>781.83333333333337</v>
      </c>
      <c r="BP461" s="28">
        <f t="shared" si="20"/>
        <v>9382</v>
      </c>
    </row>
    <row r="462" spans="22:68" x14ac:dyDescent="0.25">
      <c r="V462" s="449" t="str">
        <f>'[1]Strohs Plant in Service'!$C465</f>
        <v>Meters (20)</v>
      </c>
      <c r="W462" s="292" t="str">
        <f>'[1]Strohs Plant in Service'!$D465</f>
        <v>Meters - STROH</v>
      </c>
      <c r="X462" s="293">
        <f>'[1]Strohs Plant in Service'!$E465</f>
        <v>45292</v>
      </c>
      <c r="Y462" s="297">
        <f>'[1]Strohs Plant in Service'!$F465</f>
        <v>-33.56</v>
      </c>
      <c r="Z462" s="248"/>
      <c r="AA462" s="294">
        <f>'[1]Strohs Plant in Service'!$G$11/12</f>
        <v>6</v>
      </c>
      <c r="AB462" s="219">
        <f>('[1]Strohs Plant in Service'!$G465-'[1]Strohs Plant in Service'!$H465)/12</f>
        <v>0.91666666666666663</v>
      </c>
      <c r="AC462" s="219">
        <f>'[1]Strohs Plant in Service'!$I465</f>
        <v>-1.6779999999999999</v>
      </c>
      <c r="AD462" s="219"/>
      <c r="AE462" s="220">
        <f>'[1]Strohs Plant in Service'!$J465</f>
        <v>-1.0900000000000001</v>
      </c>
      <c r="AF462" s="221">
        <v>-32.47</v>
      </c>
      <c r="AG462" s="204"/>
      <c r="AH462" s="178"/>
      <c r="AI462" s="174"/>
      <c r="AJ462" s="179"/>
      <c r="AK462" s="247"/>
      <c r="AL462" s="248"/>
      <c r="AM462" s="294"/>
      <c r="AN462" s="219"/>
      <c r="AO462" s="219"/>
      <c r="AP462" s="219"/>
      <c r="AQ462" s="220"/>
      <c r="AR462" s="221"/>
      <c r="AY462" s="628"/>
      <c r="AZ462" s="470">
        <v>0.75</v>
      </c>
      <c r="BA462" s="466">
        <v>5340549354</v>
      </c>
      <c r="BB462" s="211">
        <v>1289</v>
      </c>
      <c r="BC462" s="211">
        <v>1372</v>
      </c>
      <c r="BD462" s="211">
        <v>1462</v>
      </c>
      <c r="BE462" s="211">
        <v>1431</v>
      </c>
      <c r="BF462" s="211">
        <v>1900</v>
      </c>
      <c r="BG462" s="211">
        <v>625</v>
      </c>
      <c r="BH462" s="211">
        <v>7455</v>
      </c>
      <c r="BI462" s="211">
        <v>5945</v>
      </c>
      <c r="BJ462" s="211">
        <v>508</v>
      </c>
      <c r="BK462" s="211" t="s">
        <v>655</v>
      </c>
      <c r="BL462" s="211">
        <v>3947</v>
      </c>
      <c r="BM462" s="211">
        <v>719</v>
      </c>
      <c r="BO462" s="28">
        <f t="shared" si="19"/>
        <v>2423</v>
      </c>
      <c r="BP462" s="28">
        <f t="shared" si="20"/>
        <v>26653</v>
      </c>
    </row>
    <row r="463" spans="22:68" x14ac:dyDescent="0.25">
      <c r="V463" s="449" t="str">
        <f>'[1]Strohs Plant in Service'!$C466</f>
        <v>Meters (20)</v>
      </c>
      <c r="W463" s="292" t="str">
        <f>'[1]Strohs Plant in Service'!$D466</f>
        <v>Meters - STROH</v>
      </c>
      <c r="X463" s="293">
        <f>'[1]Strohs Plant in Service'!$E466</f>
        <v>45292</v>
      </c>
      <c r="Y463" s="297">
        <f>'[1]Strohs Plant in Service'!$F466</f>
        <v>-25.26</v>
      </c>
      <c r="Z463" s="248"/>
      <c r="AA463" s="294">
        <f>'[1]Strohs Plant in Service'!$G$11/12</f>
        <v>6</v>
      </c>
      <c r="AB463" s="219">
        <f>('[1]Strohs Plant in Service'!$G466-'[1]Strohs Plant in Service'!$H466)/12</f>
        <v>0.33333333333333331</v>
      </c>
      <c r="AC463" s="219">
        <f>'[1]Strohs Plant in Service'!$I466</f>
        <v>-1.2630000000000001</v>
      </c>
      <c r="AD463" s="219"/>
      <c r="AE463" s="220">
        <f>'[1]Strohs Plant in Service'!$J466</f>
        <v>-0.52</v>
      </c>
      <c r="AF463" s="221">
        <v>-24.740000000000002</v>
      </c>
      <c r="AG463" s="204"/>
      <c r="AH463" s="178"/>
      <c r="AI463" s="174"/>
      <c r="AJ463" s="179"/>
      <c r="AK463" s="247"/>
      <c r="AL463" s="248"/>
      <c r="AM463" s="294"/>
      <c r="AN463" s="219"/>
      <c r="AO463" s="219"/>
      <c r="AP463" s="219"/>
      <c r="AQ463" s="220"/>
      <c r="AR463" s="221"/>
      <c r="AY463" s="628"/>
      <c r="AZ463" s="470">
        <v>0.75</v>
      </c>
      <c r="BA463" s="466">
        <v>5350508978</v>
      </c>
      <c r="BB463" s="211">
        <v>653</v>
      </c>
      <c r="BC463" s="211">
        <v>604</v>
      </c>
      <c r="BD463" s="211">
        <v>692</v>
      </c>
      <c r="BE463" s="211">
        <v>690</v>
      </c>
      <c r="BF463" s="211">
        <v>491</v>
      </c>
      <c r="BG463" s="211">
        <v>549</v>
      </c>
      <c r="BH463" s="211">
        <v>1150</v>
      </c>
      <c r="BI463" s="211">
        <v>725</v>
      </c>
      <c r="BJ463" s="211">
        <v>606</v>
      </c>
      <c r="BK463" s="211">
        <v>456</v>
      </c>
      <c r="BL463" s="211">
        <v>445</v>
      </c>
      <c r="BM463" s="211">
        <v>600</v>
      </c>
      <c r="BO463" s="28">
        <f t="shared" si="19"/>
        <v>638.41666666666663</v>
      </c>
      <c r="BP463" s="28">
        <f t="shared" si="20"/>
        <v>7661</v>
      </c>
    </row>
    <row r="464" spans="22:68" x14ac:dyDescent="0.25">
      <c r="V464" s="449" t="str">
        <f>'[1]Strohs Plant in Service'!$C467</f>
        <v>Service Connection (30)</v>
      </c>
      <c r="W464" s="292" t="str">
        <f>'[1]Strohs Plant in Service'!$D467</f>
        <v>Services - STROH</v>
      </c>
      <c r="X464" s="293">
        <f>'[1]Strohs Plant in Service'!$E467</f>
        <v>45292</v>
      </c>
      <c r="Y464" s="297">
        <f>'[1]Strohs Plant in Service'!$F467</f>
        <v>-11.68</v>
      </c>
      <c r="Z464" s="248"/>
      <c r="AA464" s="294">
        <f>'[1]Strohs Plant in Service'!$G$11/12</f>
        <v>6</v>
      </c>
      <c r="AB464" s="219">
        <f>('[1]Strohs Plant in Service'!$G467-'[1]Strohs Plant in Service'!$H467)/12</f>
        <v>0.33333333333333331</v>
      </c>
      <c r="AC464" s="219">
        <f>'[1]Strohs Plant in Service'!$I467</f>
        <v>-0.38933333333333331</v>
      </c>
      <c r="AD464" s="219"/>
      <c r="AE464" s="220">
        <f>'[1]Strohs Plant in Service'!$J467</f>
        <v>-0.16</v>
      </c>
      <c r="AF464" s="221">
        <v>-11.52</v>
      </c>
      <c r="AG464" s="204"/>
      <c r="AH464" s="178"/>
      <c r="AI464" s="174"/>
      <c r="AJ464" s="179"/>
      <c r="AK464" s="247"/>
      <c r="AL464" s="248"/>
      <c r="AM464" s="294"/>
      <c r="AN464" s="219"/>
      <c r="AO464" s="219"/>
      <c r="AP464" s="219"/>
      <c r="AQ464" s="220"/>
      <c r="AR464" s="221"/>
      <c r="AY464" s="628"/>
      <c r="AZ464" s="470">
        <v>0.625</v>
      </c>
      <c r="BA464" s="466">
        <v>5367108134</v>
      </c>
      <c r="BB464" s="211" t="s">
        <v>655</v>
      </c>
      <c r="BC464" s="211">
        <v>25</v>
      </c>
      <c r="BD464" s="211" t="s">
        <v>655</v>
      </c>
      <c r="BE464" s="211" t="s">
        <v>655</v>
      </c>
      <c r="BF464" s="211" t="s">
        <v>655</v>
      </c>
      <c r="BG464" s="211">
        <v>108</v>
      </c>
      <c r="BH464" s="211" t="s">
        <v>655</v>
      </c>
      <c r="BI464" s="211" t="s">
        <v>655</v>
      </c>
      <c r="BJ464" s="211" t="s">
        <v>655</v>
      </c>
      <c r="BK464" s="211" t="s">
        <v>655</v>
      </c>
      <c r="BL464" s="211" t="s">
        <v>655</v>
      </c>
      <c r="BM464" s="211" t="s">
        <v>655</v>
      </c>
      <c r="BO464" s="28">
        <f t="shared" si="19"/>
        <v>66.5</v>
      </c>
      <c r="BP464" s="28">
        <f t="shared" si="20"/>
        <v>133</v>
      </c>
    </row>
    <row r="465" spans="22:68" x14ac:dyDescent="0.25">
      <c r="V465" s="449" t="str">
        <f>'[1]Strohs Plant in Service'!$C468</f>
        <v>Meters (20)</v>
      </c>
      <c r="W465" s="292" t="str">
        <f>'[1]Strohs Plant in Service'!$D468</f>
        <v>Meters - STROH</v>
      </c>
      <c r="X465" s="293">
        <f>'[1]Strohs Plant in Service'!$E468</f>
        <v>45292</v>
      </c>
      <c r="Y465" s="297">
        <f>'[1]Strohs Plant in Service'!$F468</f>
        <v>-457.82</v>
      </c>
      <c r="Z465" s="248"/>
      <c r="AA465" s="294">
        <f>'[1]Strohs Plant in Service'!$G$11/12</f>
        <v>6</v>
      </c>
      <c r="AB465" s="219">
        <f>('[1]Strohs Plant in Service'!$G468-'[1]Strohs Plant in Service'!$H468)/12</f>
        <v>0.91666666666666663</v>
      </c>
      <c r="AC465" s="219">
        <f>'[1]Strohs Plant in Service'!$I468</f>
        <v>-22.891000000000002</v>
      </c>
      <c r="AD465" s="219"/>
      <c r="AE465" s="220">
        <f>'[1]Strohs Plant in Service'!$J468</f>
        <v>-4.07</v>
      </c>
      <c r="AF465" s="221">
        <v>-453.75</v>
      </c>
      <c r="AG465" s="204"/>
      <c r="AH465" s="178"/>
      <c r="AI465" s="174"/>
      <c r="AJ465" s="179"/>
      <c r="AK465" s="247"/>
      <c r="AL465" s="248"/>
      <c r="AM465" s="294"/>
      <c r="AN465" s="219"/>
      <c r="AO465" s="219"/>
      <c r="AP465" s="219"/>
      <c r="AQ465" s="220"/>
      <c r="AR465" s="221"/>
      <c r="AY465" s="628"/>
      <c r="AZ465" s="470">
        <v>0.75</v>
      </c>
      <c r="BA465" s="466">
        <v>5385775168</v>
      </c>
      <c r="BB465" s="211">
        <v>310</v>
      </c>
      <c r="BC465" s="211">
        <v>266</v>
      </c>
      <c r="BD465" s="211">
        <v>349</v>
      </c>
      <c r="BE465" s="211">
        <v>283</v>
      </c>
      <c r="BF465" s="211">
        <v>320</v>
      </c>
      <c r="BG465" s="211">
        <v>361</v>
      </c>
      <c r="BH465" s="211">
        <v>366</v>
      </c>
      <c r="BI465" s="211">
        <v>318</v>
      </c>
      <c r="BJ465" s="211">
        <v>409</v>
      </c>
      <c r="BK465" s="211">
        <v>332</v>
      </c>
      <c r="BL465" s="211">
        <v>345</v>
      </c>
      <c r="BM465" s="211">
        <v>344</v>
      </c>
      <c r="BO465" s="28">
        <f t="shared" si="19"/>
        <v>333.58333333333331</v>
      </c>
      <c r="BP465" s="28">
        <f t="shared" si="20"/>
        <v>4003</v>
      </c>
    </row>
    <row r="466" spans="22:68" x14ac:dyDescent="0.25">
      <c r="V466" s="449" t="str">
        <f>'[1]Strohs Plant in Service'!$C469</f>
        <v>Pumping and Water Treatment (20)</v>
      </c>
      <c r="W466" s="292" t="str">
        <f>'[1]Strohs Plant in Service'!$D469</f>
        <v>30HP Pump -STROH- Well7/SO6</v>
      </c>
      <c r="X466" s="293">
        <f>'[1]Strohs Plant in Service'!$E469</f>
        <v>45352</v>
      </c>
      <c r="Y466" s="297">
        <f>'[1]Strohs Plant in Service'!$F469</f>
        <v>-2185.7199999999998</v>
      </c>
      <c r="Z466" s="248"/>
      <c r="AA466" s="294">
        <f>'[1]Strohs Plant in Service'!$G$11/12</f>
        <v>6</v>
      </c>
      <c r="AB466" s="219">
        <f>('[1]Strohs Plant in Service'!$G469-'[1]Strohs Plant in Service'!$H469)/12</f>
        <v>0.75</v>
      </c>
      <c r="AC466" s="219">
        <f>'[1]Strohs Plant in Service'!$I469</f>
        <v>-109.286</v>
      </c>
      <c r="AD466" s="219"/>
      <c r="AE466" s="220">
        <f>'[1]Strohs Plant in Service'!$J469</f>
        <v>-91.1</v>
      </c>
      <c r="AF466" s="221">
        <v>-2094.62</v>
      </c>
      <c r="AG466" s="204"/>
      <c r="AH466" s="178"/>
      <c r="AI466" s="174"/>
      <c r="AJ466" s="179"/>
      <c r="AK466" s="247"/>
      <c r="AL466" s="248"/>
      <c r="AM466" s="294"/>
      <c r="AN466" s="219"/>
      <c r="AO466" s="219"/>
      <c r="AP466" s="219"/>
      <c r="AQ466" s="220"/>
      <c r="AR466" s="221"/>
      <c r="AY466" s="628"/>
      <c r="AZ466" s="470">
        <v>0.625</v>
      </c>
      <c r="BA466" s="466">
        <v>5394966571</v>
      </c>
      <c r="BB466" s="211">
        <v>286</v>
      </c>
      <c r="BC466" s="211" t="s">
        <v>655</v>
      </c>
      <c r="BD466" s="211" t="s">
        <v>655</v>
      </c>
      <c r="BE466" s="211" t="s">
        <v>655</v>
      </c>
      <c r="BF466" s="211">
        <v>178</v>
      </c>
      <c r="BG466" s="211">
        <v>284</v>
      </c>
      <c r="BH466" s="211">
        <v>3000</v>
      </c>
      <c r="BI466" s="211" t="s">
        <v>655</v>
      </c>
      <c r="BJ466" s="211">
        <v>3000</v>
      </c>
      <c r="BK466" s="211">
        <v>7351</v>
      </c>
      <c r="BL466" s="211">
        <v>3508</v>
      </c>
      <c r="BM466" s="211">
        <v>374</v>
      </c>
      <c r="BO466" s="28">
        <f t="shared" si="19"/>
        <v>2247.625</v>
      </c>
      <c r="BP466" s="28">
        <f t="shared" si="20"/>
        <v>17981</v>
      </c>
    </row>
    <row r="467" spans="22:68" x14ac:dyDescent="0.25">
      <c r="V467" s="449" t="str">
        <f>'[1]Strohs Plant in Service'!$C470</f>
        <v>Pumping and Water Treatment (20)</v>
      </c>
      <c r="W467" s="292" t="str">
        <f>'[1]Strohs Plant in Service'!$D470</f>
        <v>10HP pump,motor -STROH-</v>
      </c>
      <c r="X467" s="293">
        <f>'[1]Strohs Plant in Service'!$E470</f>
        <v>45352</v>
      </c>
      <c r="Y467" s="297">
        <f>'[1]Strohs Plant in Service'!$F470</f>
        <v>-132.87</v>
      </c>
      <c r="Z467" s="248"/>
      <c r="AA467" s="294">
        <f>'[1]Strohs Plant in Service'!$G$11/12</f>
        <v>6</v>
      </c>
      <c r="AB467" s="219">
        <f>('[1]Strohs Plant in Service'!$G470-'[1]Strohs Plant in Service'!$H470)/12</f>
        <v>0.75</v>
      </c>
      <c r="AC467" s="219">
        <f>'[1]Strohs Plant in Service'!$I470</f>
        <v>-6.6435000000000004</v>
      </c>
      <c r="AD467" s="219"/>
      <c r="AE467" s="220">
        <f>'[1]Strohs Plant in Service'!$J470</f>
        <v>-5.5</v>
      </c>
      <c r="AF467" s="221">
        <v>-127.37</v>
      </c>
      <c r="AG467" s="204"/>
      <c r="AH467" s="178"/>
      <c r="AI467" s="174"/>
      <c r="AJ467" s="179"/>
      <c r="AK467" s="247"/>
      <c r="AL467" s="248"/>
      <c r="AM467" s="294"/>
      <c r="AN467" s="219"/>
      <c r="AO467" s="219"/>
      <c r="AP467" s="219"/>
      <c r="AQ467" s="220"/>
      <c r="AR467" s="221"/>
      <c r="AY467" s="628"/>
      <c r="AZ467" s="470">
        <v>1</v>
      </c>
      <c r="BA467" s="466">
        <v>5413947747</v>
      </c>
      <c r="BB467" s="211">
        <v>145</v>
      </c>
      <c r="BC467" s="211">
        <v>731</v>
      </c>
      <c r="BD467" s="211">
        <v>370</v>
      </c>
      <c r="BE467" s="211">
        <v>438</v>
      </c>
      <c r="BF467" s="211">
        <v>452</v>
      </c>
      <c r="BG467" s="211">
        <v>877</v>
      </c>
      <c r="BH467" s="211">
        <v>3241</v>
      </c>
      <c r="BI467" s="211">
        <v>4064</v>
      </c>
      <c r="BJ467" s="211">
        <v>2794</v>
      </c>
      <c r="BK467" s="211">
        <v>384</v>
      </c>
      <c r="BL467" s="211">
        <v>306</v>
      </c>
      <c r="BM467" s="211">
        <v>455</v>
      </c>
      <c r="BO467" s="28">
        <f t="shared" si="19"/>
        <v>1188.0833333333333</v>
      </c>
      <c r="BP467" s="28">
        <f t="shared" si="20"/>
        <v>14257</v>
      </c>
    </row>
    <row r="468" spans="22:68" x14ac:dyDescent="0.25">
      <c r="V468" s="449" t="str">
        <f>'[1]Strohs Plant in Service'!$C471</f>
        <v>Service Connection (30)</v>
      </c>
      <c r="W468" s="292" t="str">
        <f>'[1]Strohs Plant in Service'!$D471</f>
        <v>3ft of 2in PVC -STROH-</v>
      </c>
      <c r="X468" s="293">
        <f>'[1]Strohs Plant in Service'!$E471</f>
        <v>45352</v>
      </c>
      <c r="Y468" s="297">
        <f>'[1]Strohs Plant in Service'!$F471</f>
        <v>-278.36</v>
      </c>
      <c r="Z468" s="248"/>
      <c r="AA468" s="294">
        <f>'[1]Strohs Plant in Service'!$G$11/12</f>
        <v>6</v>
      </c>
      <c r="AB468" s="219">
        <f>('[1]Strohs Plant in Service'!$G471-'[1]Strohs Plant in Service'!$H471)/12</f>
        <v>0.75</v>
      </c>
      <c r="AC468" s="219">
        <f>'[1]Strohs Plant in Service'!$I471</f>
        <v>-9.2786666666666662</v>
      </c>
      <c r="AD468" s="219"/>
      <c r="AE468" s="220">
        <f>'[1]Strohs Plant in Service'!$J471</f>
        <v>-7.7</v>
      </c>
      <c r="AF468" s="221">
        <v>-270.66000000000003</v>
      </c>
      <c r="AG468" s="204"/>
      <c r="AH468" s="178"/>
      <c r="AI468" s="174"/>
      <c r="AJ468" s="179"/>
      <c r="AK468" s="247"/>
      <c r="AL468" s="248"/>
      <c r="AM468" s="294"/>
      <c r="AN468" s="219"/>
      <c r="AO468" s="219"/>
      <c r="AP468" s="219"/>
      <c r="AQ468" s="220"/>
      <c r="AR468" s="221"/>
      <c r="AY468" s="628"/>
      <c r="AZ468" s="470">
        <v>0.625</v>
      </c>
      <c r="BA468" s="466">
        <v>5421463135</v>
      </c>
      <c r="BB468" s="211">
        <v>343</v>
      </c>
      <c r="BC468" s="211">
        <v>234</v>
      </c>
      <c r="BD468" s="211">
        <v>177</v>
      </c>
      <c r="BE468" s="211">
        <v>81</v>
      </c>
      <c r="BF468" s="211">
        <v>242</v>
      </c>
      <c r="BG468" s="211">
        <v>145</v>
      </c>
      <c r="BH468" s="211">
        <v>200</v>
      </c>
      <c r="BI468" s="211">
        <v>366</v>
      </c>
      <c r="BJ468" s="211">
        <v>323</v>
      </c>
      <c r="BK468" s="211">
        <v>221</v>
      </c>
      <c r="BL468" s="211">
        <v>100</v>
      </c>
      <c r="BM468" s="211" t="s">
        <v>655</v>
      </c>
      <c r="BO468" s="28">
        <f t="shared" si="19"/>
        <v>221.09090909090909</v>
      </c>
      <c r="BP468" s="28">
        <f t="shared" si="20"/>
        <v>2432</v>
      </c>
    </row>
    <row r="469" spans="22:68" x14ac:dyDescent="0.25">
      <c r="V469" s="449" t="str">
        <f>'[1]Strohs Plant in Service'!$C472</f>
        <v>Service Connection (30)</v>
      </c>
      <c r="W469" s="292" t="str">
        <f>'[1]Strohs Plant in Service'!$D472</f>
        <v>6ft on 2.5in PVC -STROH-</v>
      </c>
      <c r="X469" s="293">
        <f>'[1]Strohs Plant in Service'!$E472</f>
        <v>45352</v>
      </c>
      <c r="Y469" s="297">
        <f>'[1]Strohs Plant in Service'!$F472</f>
        <v>-261.61</v>
      </c>
      <c r="Z469" s="248"/>
      <c r="AA469" s="294">
        <f>'[1]Strohs Plant in Service'!$G$11/12</f>
        <v>6</v>
      </c>
      <c r="AB469" s="219">
        <f>('[1]Strohs Plant in Service'!$G472-'[1]Strohs Plant in Service'!$H472)/12</f>
        <v>0.75</v>
      </c>
      <c r="AC469" s="219">
        <f>'[1]Strohs Plant in Service'!$I472</f>
        <v>-6.5402500000000003</v>
      </c>
      <c r="AD469" s="219"/>
      <c r="AE469" s="220">
        <f>'[1]Strohs Plant in Service'!$J472</f>
        <v>-5.46</v>
      </c>
      <c r="AF469" s="221">
        <v>-256.15000000000003</v>
      </c>
      <c r="AG469" s="204"/>
      <c r="AH469" s="178"/>
      <c r="AI469" s="174"/>
      <c r="AJ469" s="179"/>
      <c r="AK469" s="247"/>
      <c r="AL469" s="248"/>
      <c r="AM469" s="294"/>
      <c r="AN469" s="219"/>
      <c r="AO469" s="219"/>
      <c r="AP469" s="219"/>
      <c r="AQ469" s="220"/>
      <c r="AR469" s="221"/>
      <c r="AY469" s="628"/>
      <c r="AZ469" s="470">
        <v>0.75</v>
      </c>
      <c r="BA469" s="466">
        <v>5424368877</v>
      </c>
      <c r="BB469" s="211">
        <v>254</v>
      </c>
      <c r="BC469" s="211">
        <v>288</v>
      </c>
      <c r="BD469" s="211">
        <v>385</v>
      </c>
      <c r="BE469" s="211">
        <v>486</v>
      </c>
      <c r="BF469" s="211">
        <v>620</v>
      </c>
      <c r="BG469" s="211">
        <v>887</v>
      </c>
      <c r="BH469" s="211">
        <v>860</v>
      </c>
      <c r="BI469" s="211">
        <v>1564</v>
      </c>
      <c r="BJ469" s="211">
        <v>812</v>
      </c>
      <c r="BK469" s="211">
        <v>343</v>
      </c>
      <c r="BL469" s="211">
        <v>200</v>
      </c>
      <c r="BM469" s="211">
        <v>322</v>
      </c>
      <c r="BO469" s="28">
        <f t="shared" si="19"/>
        <v>585.08333333333337</v>
      </c>
      <c r="BP469" s="28">
        <f t="shared" si="20"/>
        <v>7021</v>
      </c>
    </row>
    <row r="470" spans="22:68" x14ac:dyDescent="0.25">
      <c r="V470" s="449">
        <f>'[1]Strohs Plant in Service'!$C473</f>
        <v>0</v>
      </c>
      <c r="W470" s="292" t="str">
        <f>'[1]Strohs Plant in Service'!$D473</f>
        <v>Tank, Anchor points &amp; vent -STROH</v>
      </c>
      <c r="X470" s="293">
        <f>'[1]Strohs Plant in Service'!$E473</f>
        <v>45352</v>
      </c>
      <c r="Y470" s="297">
        <f>'[1]Strohs Plant in Service'!$F473</f>
        <v>-75.739999999999995</v>
      </c>
      <c r="Z470" s="248"/>
      <c r="AA470" s="294">
        <f>'[1]Strohs Plant in Service'!$G$11/12</f>
        <v>6</v>
      </c>
      <c r="AB470" s="219">
        <f>('[1]Strohs Plant in Service'!$G473-'[1]Strohs Plant in Service'!$H473)/12</f>
        <v>0.75</v>
      </c>
      <c r="AC470" s="219">
        <f>'[1]Strohs Plant in Service'!$I473</f>
        <v>-2.5246666666666666</v>
      </c>
      <c r="AD470" s="219"/>
      <c r="AE470" s="220">
        <f>'[1]Strohs Plant in Service'!$J473</f>
        <v>-2.1</v>
      </c>
      <c r="AF470" s="221">
        <v>-73.64</v>
      </c>
      <c r="AG470" s="204"/>
      <c r="AH470" s="178"/>
      <c r="AI470" s="174"/>
      <c r="AJ470" s="179"/>
      <c r="AK470" s="247"/>
      <c r="AL470" s="248"/>
      <c r="AM470" s="294"/>
      <c r="AN470" s="219"/>
      <c r="AO470" s="219"/>
      <c r="AP470" s="219"/>
      <c r="AQ470" s="220"/>
      <c r="AR470" s="221"/>
      <c r="AY470" s="628"/>
      <c r="AZ470" s="470">
        <v>0.75</v>
      </c>
      <c r="BA470" s="466">
        <v>5430388407</v>
      </c>
      <c r="BB470" s="211">
        <v>1153</v>
      </c>
      <c r="BC470" s="211">
        <v>1052</v>
      </c>
      <c r="BD470" s="211">
        <v>1033</v>
      </c>
      <c r="BE470" s="211">
        <v>1053</v>
      </c>
      <c r="BF470" s="211">
        <v>1365</v>
      </c>
      <c r="BG470" s="211">
        <v>4053</v>
      </c>
      <c r="BH470" s="211">
        <v>14404</v>
      </c>
      <c r="BI470" s="211">
        <v>1705</v>
      </c>
      <c r="BJ470" s="211">
        <v>20578</v>
      </c>
      <c r="BK470" s="211">
        <v>3555</v>
      </c>
      <c r="BL470" s="211">
        <v>145</v>
      </c>
      <c r="BM470" s="211">
        <v>292</v>
      </c>
      <c r="BO470" s="28">
        <f t="shared" si="19"/>
        <v>4199</v>
      </c>
      <c r="BP470" s="28">
        <f t="shared" si="20"/>
        <v>50388</v>
      </c>
    </row>
    <row r="471" spans="22:68" x14ac:dyDescent="0.25">
      <c r="V471" s="449" t="str">
        <f>'[1]Strohs Plant in Service'!$C474</f>
        <v>Service Connection (30)</v>
      </c>
      <c r="W471" s="292" t="str">
        <f>'[1]Strohs Plant in Service'!$D474</f>
        <v>2 Inch Blowoff -STROH-</v>
      </c>
      <c r="X471" s="293">
        <f>'[1]Strohs Plant in Service'!$E474</f>
        <v>45383</v>
      </c>
      <c r="Y471" s="297">
        <f>'[1]Strohs Plant in Service'!$F474</f>
        <v>-635.79999999999995</v>
      </c>
      <c r="Z471" s="248"/>
      <c r="AA471" s="294">
        <f>'[1]Strohs Plant in Service'!$G$11/12</f>
        <v>6</v>
      </c>
      <c r="AB471" s="219">
        <f>('[1]Strohs Plant in Service'!$G474-'[1]Strohs Plant in Service'!$H474)/12</f>
        <v>0.66666666666666663</v>
      </c>
      <c r="AC471" s="219">
        <f>'[1]Strohs Plant in Service'!$I474</f>
        <v>-15.895</v>
      </c>
      <c r="AD471" s="219"/>
      <c r="AE471" s="220">
        <f>'[1]Strohs Plant in Service'!$J474</f>
        <v>-11.88</v>
      </c>
      <c r="AF471" s="221">
        <v>-623.91999999999996</v>
      </c>
      <c r="AG471" s="204"/>
      <c r="AH471" s="178"/>
      <c r="AI471" s="174"/>
      <c r="AJ471" s="179"/>
      <c r="AK471" s="247"/>
      <c r="AL471" s="248"/>
      <c r="AM471" s="294"/>
      <c r="AN471" s="219"/>
      <c r="AO471" s="219"/>
      <c r="AP471" s="219"/>
      <c r="AQ471" s="220"/>
      <c r="AR471" s="221"/>
      <c r="AY471" s="628"/>
      <c r="AZ471" s="470">
        <v>0.75</v>
      </c>
      <c r="BA471" s="466">
        <v>5431329777</v>
      </c>
      <c r="BB471" s="211">
        <v>932</v>
      </c>
      <c r="BC471" s="211">
        <v>863</v>
      </c>
      <c r="BD471" s="211">
        <v>812</v>
      </c>
      <c r="BE471" s="211">
        <v>932</v>
      </c>
      <c r="BF471" s="211">
        <v>843</v>
      </c>
      <c r="BG471" s="211">
        <v>886</v>
      </c>
      <c r="BH471" s="211">
        <v>869</v>
      </c>
      <c r="BI471" s="211">
        <v>879</v>
      </c>
      <c r="BJ471" s="211">
        <v>1000</v>
      </c>
      <c r="BK471" s="211">
        <v>987</v>
      </c>
      <c r="BL471" s="211">
        <v>803</v>
      </c>
      <c r="BM471" s="211">
        <v>779</v>
      </c>
      <c r="BO471" s="28">
        <f t="shared" si="19"/>
        <v>882.08333333333337</v>
      </c>
      <c r="BP471" s="28">
        <f t="shared" si="20"/>
        <v>10585</v>
      </c>
    </row>
    <row r="472" spans="22:68" x14ac:dyDescent="0.25">
      <c r="V472" s="449" t="str">
        <f>'[1]Strohs Plant in Service'!$C475</f>
        <v>Mains, Tanks and Reservoirs (50)</v>
      </c>
      <c r="W472" s="292" t="str">
        <f>'[1]Strohs Plant in Service'!$D475</f>
        <v>4ft of 2in PVC Main -STROH-</v>
      </c>
      <c r="X472" s="293">
        <f>'[1]Strohs Plant in Service'!$E475</f>
        <v>45383</v>
      </c>
      <c r="Y472" s="297">
        <f>'[1]Strohs Plant in Service'!$F475</f>
        <v>-232.52</v>
      </c>
      <c r="Z472" s="248"/>
      <c r="AA472" s="294">
        <f>'[1]Strohs Plant in Service'!$G$11/12</f>
        <v>6</v>
      </c>
      <c r="AB472" s="219">
        <f>('[1]Strohs Plant in Service'!$G475-'[1]Strohs Plant in Service'!$H475)/12</f>
        <v>0.66666666666666663</v>
      </c>
      <c r="AC472" s="219">
        <f>'[1]Strohs Plant in Service'!$I475</f>
        <v>-5.8129999999999997</v>
      </c>
      <c r="AD472" s="219"/>
      <c r="AE472" s="220">
        <f>'[1]Strohs Plant in Service'!$J475</f>
        <v>-4.32</v>
      </c>
      <c r="AF472" s="221">
        <v>-228.20000000000002</v>
      </c>
      <c r="AG472" s="204"/>
      <c r="AH472" s="178"/>
      <c r="AI472" s="174"/>
      <c r="AJ472" s="179"/>
      <c r="AK472" s="247"/>
      <c r="AL472" s="248"/>
      <c r="AM472" s="294"/>
      <c r="AN472" s="219"/>
      <c r="AO472" s="219"/>
      <c r="AP472" s="219"/>
      <c r="AQ472" s="220"/>
      <c r="AR472" s="221"/>
      <c r="AY472" s="628"/>
      <c r="AZ472" s="470">
        <v>0.75</v>
      </c>
      <c r="BA472" s="466">
        <v>5500984137</v>
      </c>
      <c r="BB472" s="211">
        <v>695</v>
      </c>
      <c r="BC472" s="211">
        <v>1148</v>
      </c>
      <c r="BD472" s="211">
        <v>1318</v>
      </c>
      <c r="BE472" s="211">
        <v>1378</v>
      </c>
      <c r="BF472" s="211">
        <v>1759</v>
      </c>
      <c r="BG472" s="211">
        <v>2676</v>
      </c>
      <c r="BH472" s="211">
        <v>2017</v>
      </c>
      <c r="BI472" s="211">
        <v>1673</v>
      </c>
      <c r="BJ472" s="211">
        <v>2099</v>
      </c>
      <c r="BK472" s="211">
        <v>1929</v>
      </c>
      <c r="BL472" s="211">
        <v>700</v>
      </c>
      <c r="BM472" s="211">
        <v>1003</v>
      </c>
      <c r="BO472" s="28">
        <f t="shared" si="19"/>
        <v>1532.9166666666667</v>
      </c>
      <c r="BP472" s="28">
        <f t="shared" si="20"/>
        <v>18395</v>
      </c>
    </row>
    <row r="473" spans="22:68" x14ac:dyDescent="0.25">
      <c r="V473" s="449">
        <f>'[1]Strohs Plant in Service'!$C476</f>
        <v>0</v>
      </c>
      <c r="W473" s="292" t="str">
        <f>'[1]Strohs Plant in Service'!$D476</f>
        <v>Sampling Station -STROH-</v>
      </c>
      <c r="X473" s="293">
        <f>'[1]Strohs Plant in Service'!$E476</f>
        <v>45383</v>
      </c>
      <c r="Y473" s="297">
        <f>'[1]Strohs Plant in Service'!$F476</f>
        <v>-322.08999999999997</v>
      </c>
      <c r="Z473" s="248"/>
      <c r="AA473" s="294">
        <f>'[1]Strohs Plant in Service'!$G$11/12</f>
        <v>6</v>
      </c>
      <c r="AB473" s="219">
        <f>('[1]Strohs Plant in Service'!$G476-'[1]Strohs Plant in Service'!$H476)/12</f>
        <v>0.66666666666666663</v>
      </c>
      <c r="AC473" s="219">
        <f>'[1]Strohs Plant in Service'!$I476</f>
        <v>-16.104499999999998</v>
      </c>
      <c r="AD473" s="219"/>
      <c r="AE473" s="220">
        <f>'[1]Strohs Plant in Service'!$J476</f>
        <v>-12.06</v>
      </c>
      <c r="AF473" s="221">
        <v>-310.02999999999997</v>
      </c>
      <c r="AG473" s="204"/>
      <c r="AH473" s="178"/>
      <c r="AI473" s="174"/>
      <c r="AJ473" s="179"/>
      <c r="AK473" s="247"/>
      <c r="AL473" s="248"/>
      <c r="AM473" s="294"/>
      <c r="AN473" s="219"/>
      <c r="AO473" s="219"/>
      <c r="AP473" s="219"/>
      <c r="AQ473" s="220"/>
      <c r="AR473" s="221"/>
      <c r="AY473" s="628"/>
      <c r="AZ473" s="470">
        <v>0.75</v>
      </c>
      <c r="BA473" s="466">
        <v>5501983080</v>
      </c>
      <c r="BB473" s="211">
        <v>674</v>
      </c>
      <c r="BC473" s="211">
        <v>924</v>
      </c>
      <c r="BD473" s="211">
        <v>1046</v>
      </c>
      <c r="BE473" s="211">
        <v>1113</v>
      </c>
      <c r="BF473" s="211">
        <v>854</v>
      </c>
      <c r="BG473" s="211">
        <v>1080</v>
      </c>
      <c r="BH473" s="211">
        <v>1314</v>
      </c>
      <c r="BI473" s="211">
        <v>1042</v>
      </c>
      <c r="BJ473" s="211">
        <v>1086</v>
      </c>
      <c r="BK473" s="211">
        <v>1002</v>
      </c>
      <c r="BL473" s="211">
        <v>1088</v>
      </c>
      <c r="BM473" s="211">
        <v>200</v>
      </c>
      <c r="BO473" s="28">
        <f t="shared" si="19"/>
        <v>951.91666666666663</v>
      </c>
      <c r="BP473" s="28">
        <f t="shared" si="20"/>
        <v>11423</v>
      </c>
    </row>
    <row r="474" spans="22:68" x14ac:dyDescent="0.25">
      <c r="V474" s="449" t="str">
        <f>'[1]Strohs Plant in Service'!$C477</f>
        <v>Mains, Tanks and Reservoirs (50)</v>
      </c>
      <c r="W474" s="292" t="str">
        <f>'[1]Strohs Plant in Service'!$D477</f>
        <v>TapPush - STROH - Par#0221207010</v>
      </c>
      <c r="X474" s="293">
        <f>'[1]Strohs Plant in Service'!$E477</f>
        <v>45383</v>
      </c>
      <c r="Y474" s="297">
        <f>'[1]Strohs Plant in Service'!$F477</f>
        <v>-269.07</v>
      </c>
      <c r="Z474" s="248"/>
      <c r="AA474" s="294">
        <f>'[1]Strohs Plant in Service'!$G$11/12</f>
        <v>6</v>
      </c>
      <c r="AB474" s="219">
        <f>('[1]Strohs Plant in Service'!$G477-'[1]Strohs Plant in Service'!$H477)/12</f>
        <v>0.66666666666666663</v>
      </c>
      <c r="AC474" s="219">
        <f>'[1]Strohs Plant in Service'!$I477</f>
        <v>-8.9689999999999994</v>
      </c>
      <c r="AD474" s="219"/>
      <c r="AE474" s="220">
        <f>'[1]Strohs Plant in Service'!$J477</f>
        <v>-6.75</v>
      </c>
      <c r="AF474" s="221">
        <v>-262.32</v>
      </c>
      <c r="AG474" s="204"/>
      <c r="AH474" s="178"/>
      <c r="AI474" s="174"/>
      <c r="AJ474" s="179"/>
      <c r="AK474" s="247"/>
      <c r="AL474" s="248"/>
      <c r="AM474" s="294"/>
      <c r="AN474" s="219"/>
      <c r="AO474" s="219"/>
      <c r="AP474" s="219"/>
      <c r="AQ474" s="220"/>
      <c r="AR474" s="221"/>
      <c r="AY474" s="628"/>
      <c r="AZ474" s="470">
        <v>0.625</v>
      </c>
      <c r="BA474" s="466">
        <v>5508047785</v>
      </c>
      <c r="BB474" s="211">
        <v>219</v>
      </c>
      <c r="BC474" s="211">
        <v>1017</v>
      </c>
      <c r="BD474" s="211">
        <v>1012</v>
      </c>
      <c r="BE474" s="211">
        <v>1455</v>
      </c>
      <c r="BF474" s="211">
        <v>1125</v>
      </c>
      <c r="BG474" s="211">
        <v>1173</v>
      </c>
      <c r="BH474" s="211">
        <v>1190</v>
      </c>
      <c r="BI474" s="211">
        <v>5267</v>
      </c>
      <c r="BJ474" s="211">
        <v>1434</v>
      </c>
      <c r="BK474" s="211">
        <v>439</v>
      </c>
      <c r="BL474" s="211">
        <v>1237</v>
      </c>
      <c r="BM474" s="211">
        <v>1412</v>
      </c>
      <c r="BO474" s="28">
        <f t="shared" si="19"/>
        <v>1415</v>
      </c>
      <c r="BP474" s="28">
        <f t="shared" si="20"/>
        <v>16980</v>
      </c>
    </row>
    <row r="475" spans="22:68" x14ac:dyDescent="0.25">
      <c r="V475" s="449" t="str">
        <f>'[1]Strohs Plant in Service'!$C478</f>
        <v>Pumping and Water Treatment (20)</v>
      </c>
      <c r="W475" s="292" t="str">
        <f>'[1]Strohs Plant in Service'!$D478</f>
        <v>2HP pump -STROH-</v>
      </c>
      <c r="X475" s="293">
        <f>'[1]Strohs Plant in Service'!$E478</f>
        <v>45413</v>
      </c>
      <c r="Y475" s="297">
        <f>'[1]Strohs Plant in Service'!$F478</f>
        <v>-72.69</v>
      </c>
      <c r="Z475" s="248"/>
      <c r="AA475" s="294">
        <f>'[1]Strohs Plant in Service'!$G$11/12</f>
        <v>6</v>
      </c>
      <c r="AB475" s="219">
        <f>('[1]Strohs Plant in Service'!$G478-'[1]Strohs Plant in Service'!$H478)/12</f>
        <v>0.58333333333333337</v>
      </c>
      <c r="AC475" s="219">
        <f>'[1]Strohs Plant in Service'!$I478</f>
        <v>-3.6345000000000001</v>
      </c>
      <c r="AD475" s="219"/>
      <c r="AE475" s="220">
        <f>'[1]Strohs Plant in Service'!$J478</f>
        <v>-2.4</v>
      </c>
      <c r="AF475" s="221">
        <v>-70.289999999999992</v>
      </c>
      <c r="AG475" s="204"/>
      <c r="AH475" s="178"/>
      <c r="AI475" s="174"/>
      <c r="AJ475" s="179"/>
      <c r="AK475" s="247"/>
      <c r="AL475" s="248"/>
      <c r="AM475" s="294"/>
      <c r="AN475" s="219"/>
      <c r="AO475" s="219"/>
      <c r="AP475" s="219"/>
      <c r="AQ475" s="220"/>
      <c r="AR475" s="221"/>
      <c r="AY475" s="628"/>
      <c r="AZ475" s="470">
        <v>0.625</v>
      </c>
      <c r="BA475" s="466">
        <v>5535445545</v>
      </c>
      <c r="BB475" s="211">
        <v>287</v>
      </c>
      <c r="BC475" s="211">
        <v>255</v>
      </c>
      <c r="BD475" s="211">
        <v>213</v>
      </c>
      <c r="BE475" s="211">
        <v>342</v>
      </c>
      <c r="BF475" s="211">
        <v>272</v>
      </c>
      <c r="BG475" s="211">
        <v>304</v>
      </c>
      <c r="BH475" s="211">
        <v>668</v>
      </c>
      <c r="BI475" s="211">
        <v>759</v>
      </c>
      <c r="BJ475" s="211">
        <v>475</v>
      </c>
      <c r="BK475" s="211" t="s">
        <v>655</v>
      </c>
      <c r="BL475" s="211">
        <v>557</v>
      </c>
      <c r="BM475" s="211">
        <v>395</v>
      </c>
      <c r="BO475" s="28">
        <f t="shared" si="19"/>
        <v>411.54545454545456</v>
      </c>
      <c r="BP475" s="28">
        <f t="shared" si="20"/>
        <v>4527</v>
      </c>
    </row>
    <row r="476" spans="22:68" x14ac:dyDescent="0.25">
      <c r="V476" s="449" t="str">
        <f>'[1]Strohs Plant in Service'!$C479</f>
        <v>Plant, Other (40)</v>
      </c>
      <c r="W476" s="292" t="str">
        <f>'[1]Strohs Plant in Service'!$D479</f>
        <v>HYDRANT RING -STROH-</v>
      </c>
      <c r="X476" s="293">
        <f>'[1]Strohs Plant in Service'!$E479</f>
        <v>45444</v>
      </c>
      <c r="Y476" s="297">
        <f>'[1]Strohs Plant in Service'!$F479</f>
        <v>-403.99</v>
      </c>
      <c r="Z476" s="248"/>
      <c r="AA476" s="294">
        <f>'[1]Strohs Plant in Service'!$G$11/12</f>
        <v>6</v>
      </c>
      <c r="AB476" s="219">
        <f>('[1]Strohs Plant in Service'!$G479-'[1]Strohs Plant in Service'!$H479)/12</f>
        <v>0.5</v>
      </c>
      <c r="AC476" s="219">
        <f>'[1]Strohs Plant in Service'!$I479</f>
        <v>-10.09975</v>
      </c>
      <c r="AD476" s="219"/>
      <c r="AE476" s="220">
        <f>'[1]Strohs Plant in Service'!$J479</f>
        <v>-5.88</v>
      </c>
      <c r="AF476" s="221">
        <v>-398.11</v>
      </c>
      <c r="AG476" s="204"/>
      <c r="AH476" s="178"/>
      <c r="AI476" s="174"/>
      <c r="AJ476" s="179"/>
      <c r="AK476" s="247"/>
      <c r="AL476" s="248"/>
      <c r="AM476" s="294"/>
      <c r="AN476" s="219"/>
      <c r="AO476" s="219"/>
      <c r="AP476" s="219"/>
      <c r="AQ476" s="220"/>
      <c r="AR476" s="221"/>
      <c r="AY476" s="628"/>
      <c r="AZ476" s="470">
        <v>0.75</v>
      </c>
      <c r="BA476" s="466">
        <v>5536628516</v>
      </c>
      <c r="BB476" s="211">
        <v>290</v>
      </c>
      <c r="BC476" s="211">
        <v>267</v>
      </c>
      <c r="BD476" s="211">
        <v>297</v>
      </c>
      <c r="BE476" s="211">
        <v>402</v>
      </c>
      <c r="BF476" s="211">
        <v>489</v>
      </c>
      <c r="BG476" s="211">
        <v>697</v>
      </c>
      <c r="BH476" s="211">
        <v>2290</v>
      </c>
      <c r="BI476" s="211">
        <v>413</v>
      </c>
      <c r="BJ476" s="211">
        <v>425</v>
      </c>
      <c r="BK476" s="211">
        <v>370</v>
      </c>
      <c r="BL476" s="211">
        <v>127</v>
      </c>
      <c r="BM476" s="211">
        <v>263</v>
      </c>
      <c r="BO476" s="28">
        <f t="shared" si="19"/>
        <v>527.5</v>
      </c>
      <c r="BP476" s="28">
        <f t="shared" si="20"/>
        <v>6330</v>
      </c>
    </row>
    <row r="477" spans="22:68" x14ac:dyDescent="0.25">
      <c r="V477" s="449" t="str">
        <f>'[1]Strohs Plant in Service'!$C480</f>
        <v>Plant, Other (40)</v>
      </c>
      <c r="W477" s="292" t="str">
        <f>'[1]Strohs Plant in Service'!$D480</f>
        <v>Hydrant -STROH-</v>
      </c>
      <c r="X477" s="293">
        <f>'[1]Strohs Plant in Service'!$E480</f>
        <v>45474</v>
      </c>
      <c r="Y477" s="297">
        <f>'[1]Strohs Plant in Service'!$F480</f>
        <v>-924.53</v>
      </c>
      <c r="Z477" s="248"/>
      <c r="AA477" s="294">
        <f>'[1]Strohs Plant in Service'!$G$11/12</f>
        <v>6</v>
      </c>
      <c r="AB477" s="219">
        <f>('[1]Strohs Plant in Service'!$G480-'[1]Strohs Plant in Service'!$H480)/12</f>
        <v>0.41666666666666669</v>
      </c>
      <c r="AC477" s="219">
        <f>'[1]Strohs Plant in Service'!$I480</f>
        <v>-23.113249999999997</v>
      </c>
      <c r="AD477" s="219"/>
      <c r="AE477" s="220">
        <f>'[1]Strohs Plant in Service'!$J480</f>
        <v>-11.58</v>
      </c>
      <c r="AF477" s="221">
        <v>-912.94999999999993</v>
      </c>
      <c r="AG477" s="204"/>
      <c r="AH477" s="178"/>
      <c r="AI477" s="174"/>
      <c r="AJ477" s="179"/>
      <c r="AK477" s="247"/>
      <c r="AL477" s="248"/>
      <c r="AM477" s="294"/>
      <c r="AN477" s="219"/>
      <c r="AO477" s="219"/>
      <c r="AP477" s="219"/>
      <c r="AQ477" s="220"/>
      <c r="AR477" s="221"/>
      <c r="AY477" s="628"/>
      <c r="AZ477" s="470">
        <v>0.625</v>
      </c>
      <c r="BA477" s="466">
        <v>5585176164</v>
      </c>
      <c r="BB477" s="211">
        <v>393</v>
      </c>
      <c r="BC477" s="211">
        <v>297</v>
      </c>
      <c r="BD477" s="211">
        <v>331</v>
      </c>
      <c r="BE477" s="211">
        <v>238</v>
      </c>
      <c r="BF477" s="211">
        <v>234</v>
      </c>
      <c r="BG477" s="211">
        <v>130</v>
      </c>
      <c r="BH477" s="211" t="s">
        <v>655</v>
      </c>
      <c r="BI477" s="211">
        <v>8087</v>
      </c>
      <c r="BJ477" s="211">
        <v>2036</v>
      </c>
      <c r="BK477" s="211">
        <v>856</v>
      </c>
      <c r="BL477" s="211">
        <v>202</v>
      </c>
      <c r="BM477" s="211">
        <v>527</v>
      </c>
      <c r="BO477" s="28">
        <f t="shared" si="19"/>
        <v>1211.909090909091</v>
      </c>
      <c r="BP477" s="28">
        <f t="shared" si="20"/>
        <v>13331</v>
      </c>
    </row>
    <row r="478" spans="22:68" x14ac:dyDescent="0.25">
      <c r="V478" s="449" t="str">
        <f>'[1]Strohs Plant in Service'!$C481</f>
        <v>Meters (20)</v>
      </c>
      <c r="W478" s="292" t="str">
        <f>'[1]Strohs Plant in Service'!$D481</f>
        <v>Source Meter -STROH- (SO8)</v>
      </c>
      <c r="X478" s="293">
        <f>'[1]Strohs Plant in Service'!$E481</f>
        <v>45474</v>
      </c>
      <c r="Y478" s="297">
        <f>'[1]Strohs Plant in Service'!$F481</f>
        <v>-14.14</v>
      </c>
      <c r="Z478" s="248"/>
      <c r="AA478" s="294">
        <f>'[1]Strohs Plant in Service'!$G$11/12</f>
        <v>6</v>
      </c>
      <c r="AB478" s="219">
        <f>('[1]Strohs Plant in Service'!$G481-'[1]Strohs Plant in Service'!$H481)/12</f>
        <v>0.41666666666666669</v>
      </c>
      <c r="AC478" s="219">
        <f>'[1]Strohs Plant in Service'!$I481</f>
        <v>-0.70699999999999996</v>
      </c>
      <c r="AD478" s="219"/>
      <c r="AE478" s="220">
        <f>'[1]Strohs Plant in Service'!$J481</f>
        <v>-0.36</v>
      </c>
      <c r="AF478" s="221">
        <v>-13.780000000000001</v>
      </c>
      <c r="AG478" s="204"/>
      <c r="AH478" s="178"/>
      <c r="AI478" s="174"/>
      <c r="AJ478" s="179"/>
      <c r="AK478" s="247"/>
      <c r="AL478" s="248"/>
      <c r="AM478" s="294"/>
      <c r="AN478" s="219"/>
      <c r="AO478" s="219"/>
      <c r="AP478" s="219"/>
      <c r="AQ478" s="220"/>
      <c r="AR478" s="221"/>
      <c r="AY478" s="628"/>
      <c r="AZ478" s="470">
        <v>0.75</v>
      </c>
      <c r="BA478" s="466">
        <v>5602382917</v>
      </c>
      <c r="BB478" s="211">
        <v>565</v>
      </c>
      <c r="BC478" s="211">
        <v>563</v>
      </c>
      <c r="BD478" s="211">
        <v>278</v>
      </c>
      <c r="BE478" s="211">
        <v>923</v>
      </c>
      <c r="BF478" s="211">
        <v>614</v>
      </c>
      <c r="BG478" s="211">
        <v>679</v>
      </c>
      <c r="BH478" s="211">
        <v>1574</v>
      </c>
      <c r="BI478" s="211">
        <v>1212</v>
      </c>
      <c r="BJ478" s="211">
        <v>700</v>
      </c>
      <c r="BK478" s="211">
        <v>558</v>
      </c>
      <c r="BL478" s="211">
        <v>555</v>
      </c>
      <c r="BM478" s="211">
        <v>270</v>
      </c>
      <c r="BO478" s="28">
        <f t="shared" si="19"/>
        <v>707.58333333333337</v>
      </c>
      <c r="BP478" s="28">
        <f t="shared" si="20"/>
        <v>8491</v>
      </c>
    </row>
    <row r="479" spans="22:68" x14ac:dyDescent="0.25">
      <c r="V479" s="449" t="str">
        <f>'[1]Strohs Plant in Service'!$C482</f>
        <v>Meters (20)</v>
      </c>
      <c r="W479" s="292" t="str">
        <f>'[1]Strohs Plant in Service'!$D482</f>
        <v>Source meter - STROH- (SO5)</v>
      </c>
      <c r="X479" s="293">
        <f>'[1]Strohs Plant in Service'!$E482</f>
        <v>45474</v>
      </c>
      <c r="Y479" s="297">
        <f>'[1]Strohs Plant in Service'!$F482</f>
        <v>-22.29</v>
      </c>
      <c r="Z479" s="248"/>
      <c r="AA479" s="294">
        <f>'[1]Strohs Plant in Service'!$G$11/12</f>
        <v>6</v>
      </c>
      <c r="AB479" s="219">
        <f>('[1]Strohs Plant in Service'!$G482-'[1]Strohs Plant in Service'!$H482)/12</f>
        <v>0.41666666666666669</v>
      </c>
      <c r="AC479" s="219">
        <f>'[1]Strohs Plant in Service'!$I482</f>
        <v>-1.1145</v>
      </c>
      <c r="AD479" s="219"/>
      <c r="AE479" s="220">
        <f>'[1]Strohs Plant in Service'!$J482</f>
        <v>-0.54</v>
      </c>
      <c r="AF479" s="221">
        <v>-21.75</v>
      </c>
      <c r="AG479" s="204"/>
      <c r="AH479" s="178"/>
      <c r="AI479" s="174"/>
      <c r="AJ479" s="179"/>
      <c r="AK479" s="247"/>
      <c r="AL479" s="248"/>
      <c r="AM479" s="294"/>
      <c r="AN479" s="219"/>
      <c r="AO479" s="219"/>
      <c r="AP479" s="219"/>
      <c r="AQ479" s="220"/>
      <c r="AR479" s="221"/>
      <c r="AY479" s="628"/>
      <c r="AZ479" s="471">
        <v>2</v>
      </c>
      <c r="BA479" s="466">
        <v>5604313988</v>
      </c>
      <c r="BB479" s="211">
        <v>4317</v>
      </c>
      <c r="BC479" s="211">
        <v>4123</v>
      </c>
      <c r="BD479" s="211">
        <v>4617</v>
      </c>
      <c r="BE479" s="211">
        <v>5491</v>
      </c>
      <c r="BF479" s="211">
        <v>5115</v>
      </c>
      <c r="BG479" s="211">
        <v>4893</v>
      </c>
      <c r="BH479" s="211">
        <v>5409</v>
      </c>
      <c r="BI479" s="211">
        <v>4816</v>
      </c>
      <c r="BJ479" s="211" t="s">
        <v>655</v>
      </c>
      <c r="BK479" s="211">
        <v>9762</v>
      </c>
      <c r="BL479" s="211">
        <v>4829</v>
      </c>
      <c r="BM479" s="211">
        <v>5193</v>
      </c>
      <c r="BO479" s="28">
        <f t="shared" si="19"/>
        <v>5324.090909090909</v>
      </c>
      <c r="BP479" s="28">
        <f t="shared" si="20"/>
        <v>58565</v>
      </c>
    </row>
    <row r="480" spans="22:68" x14ac:dyDescent="0.25">
      <c r="V480" s="449" t="str">
        <f>'[1]Strohs Plant in Service'!$C483</f>
        <v>Mains, Tanks and Reservoirs (50)</v>
      </c>
      <c r="W480" s="292" t="str">
        <f>'[1]Strohs Plant in Service'!$D483</f>
        <v>Main Ex - Stroh - Par# 0221194053</v>
      </c>
      <c r="X480" s="293">
        <f>'[1]Strohs Plant in Service'!$E483</f>
        <v>45566</v>
      </c>
      <c r="Y480" s="297">
        <f>'[1]Strohs Plant in Service'!$F483</f>
        <v>-834.59</v>
      </c>
      <c r="Z480" s="248"/>
      <c r="AA480" s="294">
        <f>'[1]Strohs Plant in Service'!$G$11/12</f>
        <v>6</v>
      </c>
      <c r="AB480" s="219">
        <f>('[1]Strohs Plant in Service'!$G483-'[1]Strohs Plant in Service'!$H483)/12</f>
        <v>0.16666666666666666</v>
      </c>
      <c r="AC480" s="219">
        <f>'[1]Strohs Plant in Service'!$I483</f>
        <v>-27.81966666666667</v>
      </c>
      <c r="AD480" s="219"/>
      <c r="AE480" s="220">
        <f>'[1]Strohs Plant in Service'!$J483</f>
        <v>-6.96</v>
      </c>
      <c r="AF480" s="221">
        <v>-827.63</v>
      </c>
      <c r="AG480" s="204"/>
      <c r="AH480" s="178"/>
      <c r="AI480" s="174"/>
      <c r="AJ480" s="179"/>
      <c r="AK480" s="247"/>
      <c r="AL480" s="248"/>
      <c r="AM480" s="294"/>
      <c r="AN480" s="219"/>
      <c r="AO480" s="219"/>
      <c r="AP480" s="219"/>
      <c r="AQ480" s="220"/>
      <c r="AR480" s="221"/>
      <c r="AY480" s="628"/>
      <c r="AZ480" s="470">
        <v>0.75</v>
      </c>
      <c r="BA480" s="466">
        <v>5612174238</v>
      </c>
      <c r="BB480" s="211">
        <v>3</v>
      </c>
      <c r="BC480" s="211" t="s">
        <v>655</v>
      </c>
      <c r="BD480" s="211" t="s">
        <v>655</v>
      </c>
      <c r="BE480" s="211" t="s">
        <v>655</v>
      </c>
      <c r="BF480" s="211">
        <v>648</v>
      </c>
      <c r="BG480" s="211">
        <v>2134</v>
      </c>
      <c r="BH480" s="211">
        <v>1860</v>
      </c>
      <c r="BI480" s="211">
        <v>1588</v>
      </c>
      <c r="BJ480" s="211">
        <v>2127</v>
      </c>
      <c r="BK480" s="211">
        <v>1439</v>
      </c>
      <c r="BL480" s="211">
        <v>5</v>
      </c>
      <c r="BM480" s="211" t="s">
        <v>655</v>
      </c>
      <c r="BO480" s="28">
        <f t="shared" si="19"/>
        <v>1225.5</v>
      </c>
      <c r="BP480" s="28">
        <f t="shared" si="20"/>
        <v>9804</v>
      </c>
    </row>
    <row r="481" spans="22:68" x14ac:dyDescent="0.25">
      <c r="V481" s="449" t="str">
        <f>'[1]Strohs Plant in Service'!$C484</f>
        <v>Plant, Other (40)</v>
      </c>
      <c r="W481" s="292" t="str">
        <f>'[1]Strohs Plant in Service'!$D484</f>
        <v>Hydra - Stroh - Par# 0221194053</v>
      </c>
      <c r="X481" s="293">
        <f>'[1]Strohs Plant in Service'!$E484</f>
        <v>45566</v>
      </c>
      <c r="Y481" s="297">
        <f>'[1]Strohs Plant in Service'!$F484</f>
        <v>-39.78</v>
      </c>
      <c r="Z481" s="248"/>
      <c r="AA481" s="294">
        <f>'[1]Strohs Plant in Service'!$G$11/12</f>
        <v>6</v>
      </c>
      <c r="AB481" s="219">
        <f>('[1]Strohs Plant in Service'!$G484-'[1]Strohs Plant in Service'!$H484)/12</f>
        <v>0.16666666666666666</v>
      </c>
      <c r="AC481" s="219">
        <f>'[1]Strohs Plant in Service'!$I484</f>
        <v>-0.99450000000000005</v>
      </c>
      <c r="AD481" s="219"/>
      <c r="AE481" s="220">
        <f>'[1]Strohs Plant in Service'!$J484</f>
        <v>-0.24</v>
      </c>
      <c r="AF481" s="221">
        <v>-39.54</v>
      </c>
      <c r="AG481" s="204"/>
      <c r="AH481" s="178"/>
      <c r="AI481" s="174"/>
      <c r="AJ481" s="179"/>
      <c r="AK481" s="247"/>
      <c r="AL481" s="248"/>
      <c r="AM481" s="294"/>
      <c r="AN481" s="219"/>
      <c r="AO481" s="219"/>
      <c r="AP481" s="219"/>
      <c r="AQ481" s="220"/>
      <c r="AR481" s="221"/>
      <c r="AY481" s="628"/>
      <c r="AZ481" s="470">
        <v>0.625</v>
      </c>
      <c r="BA481" s="466">
        <v>5612815440</v>
      </c>
      <c r="BB481" s="211">
        <v>312</v>
      </c>
      <c r="BC481" s="211">
        <v>677</v>
      </c>
      <c r="BD481" s="211">
        <v>693</v>
      </c>
      <c r="BE481" s="211">
        <v>883</v>
      </c>
      <c r="BF481" s="211">
        <v>1071</v>
      </c>
      <c r="BG481" s="211">
        <v>620</v>
      </c>
      <c r="BH481" s="211">
        <v>2797</v>
      </c>
      <c r="BI481" s="211">
        <v>3243</v>
      </c>
      <c r="BJ481" s="211">
        <v>1570</v>
      </c>
      <c r="BK481" s="211">
        <v>682</v>
      </c>
      <c r="BL481" s="211">
        <v>508</v>
      </c>
      <c r="BM481" s="211">
        <v>623</v>
      </c>
      <c r="BO481" s="28">
        <f t="shared" si="19"/>
        <v>1139.9166666666667</v>
      </c>
      <c r="BP481" s="28">
        <f t="shared" si="20"/>
        <v>13679</v>
      </c>
    </row>
    <row r="482" spans="22:68" x14ac:dyDescent="0.25">
      <c r="V482" s="449" t="str">
        <f>'[1]Strohs Plant in Service'!$C485</f>
        <v>Service Connection (30)</v>
      </c>
      <c r="W482" s="292" t="str">
        <f>'[1]Strohs Plant in Service'!$D485</f>
        <v>Svc - Stroh - Par# 0221194053</v>
      </c>
      <c r="X482" s="293">
        <f>'[1]Strohs Plant in Service'!$E485</f>
        <v>45566</v>
      </c>
      <c r="Y482" s="297">
        <f>'[1]Strohs Plant in Service'!$F485</f>
        <v>-30.6</v>
      </c>
      <c r="Z482" s="248"/>
      <c r="AA482" s="294">
        <f>'[1]Strohs Plant in Service'!$G$11/12</f>
        <v>6</v>
      </c>
      <c r="AB482" s="219">
        <f>('[1]Strohs Plant in Service'!$G485-'[1]Strohs Plant in Service'!$H485)/12</f>
        <v>0.16666666666666666</v>
      </c>
      <c r="AC482" s="219">
        <f>'[1]Strohs Plant in Service'!$I485</f>
        <v>-1.02</v>
      </c>
      <c r="AD482" s="219"/>
      <c r="AE482" s="220">
        <f>'[1]Strohs Plant in Service'!$J485</f>
        <v>-0.26</v>
      </c>
      <c r="AF482" s="221">
        <v>-30.34</v>
      </c>
      <c r="AG482" s="204"/>
      <c r="AH482" s="178"/>
      <c r="AI482" s="174"/>
      <c r="AJ482" s="179"/>
      <c r="AK482" s="247"/>
      <c r="AL482" s="248"/>
      <c r="AM482" s="294"/>
      <c r="AN482" s="219"/>
      <c r="AO482" s="219"/>
      <c r="AP482" s="219"/>
      <c r="AQ482" s="220"/>
      <c r="AR482" s="221"/>
      <c r="AY482" s="628"/>
      <c r="AZ482" s="470">
        <v>0.625</v>
      </c>
      <c r="BA482" s="466">
        <v>5613585719</v>
      </c>
      <c r="BB482" s="211">
        <v>652</v>
      </c>
      <c r="BC482" s="211">
        <v>417</v>
      </c>
      <c r="BD482" s="211">
        <v>525</v>
      </c>
      <c r="BE482" s="211">
        <v>867</v>
      </c>
      <c r="BF482" s="211">
        <v>3210</v>
      </c>
      <c r="BG482" s="211">
        <v>4348</v>
      </c>
      <c r="BH482" s="211">
        <v>5460</v>
      </c>
      <c r="BI482" s="211">
        <v>4690</v>
      </c>
      <c r="BJ482" s="211">
        <v>5170</v>
      </c>
      <c r="BK482" s="211">
        <v>1456</v>
      </c>
      <c r="BL482" s="211">
        <v>836</v>
      </c>
      <c r="BM482" s="211">
        <v>930</v>
      </c>
      <c r="BO482" s="28">
        <f t="shared" si="19"/>
        <v>2380.0833333333335</v>
      </c>
      <c r="BP482" s="28">
        <f t="shared" si="20"/>
        <v>28561</v>
      </c>
    </row>
    <row r="483" spans="22:68" x14ac:dyDescent="0.25">
      <c r="V483" s="449" t="str">
        <f>'[1]Strohs Plant in Service'!$C486</f>
        <v>Service Connection (30)</v>
      </c>
      <c r="W483" s="292" t="str">
        <f>'[1]Strohs Plant in Service'!$D486</f>
        <v>Svc - Stroh - Par# 0221194053</v>
      </c>
      <c r="X483" s="293">
        <f>'[1]Strohs Plant in Service'!$E486</f>
        <v>45566</v>
      </c>
      <c r="Y483" s="297">
        <f>'[1]Strohs Plant in Service'!$F486</f>
        <v>-18.36</v>
      </c>
      <c r="Z483" s="248"/>
      <c r="AA483" s="294">
        <f>'[1]Strohs Plant in Service'!$G$11/12</f>
        <v>6</v>
      </c>
      <c r="AB483" s="219">
        <f>('[1]Strohs Plant in Service'!$G486-'[1]Strohs Plant in Service'!$H486)/12</f>
        <v>0.16666666666666666</v>
      </c>
      <c r="AC483" s="219">
        <f>'[1]Strohs Plant in Service'!$I486</f>
        <v>-0.61199999999999999</v>
      </c>
      <c r="AD483" s="219"/>
      <c r="AE483" s="220">
        <f>'[1]Strohs Plant in Service'!$J486</f>
        <v>-0.15</v>
      </c>
      <c r="AF483" s="221">
        <v>-18.21</v>
      </c>
      <c r="AG483" s="204"/>
      <c r="AH483" s="178"/>
      <c r="AI483" s="174"/>
      <c r="AJ483" s="179"/>
      <c r="AK483" s="247"/>
      <c r="AL483" s="248"/>
      <c r="AM483" s="294"/>
      <c r="AN483" s="219"/>
      <c r="AO483" s="219"/>
      <c r="AP483" s="219"/>
      <c r="AQ483" s="220"/>
      <c r="AR483" s="221"/>
      <c r="AY483" s="628"/>
      <c r="AZ483" s="470">
        <v>0.75</v>
      </c>
      <c r="BA483" s="466">
        <v>5629127997</v>
      </c>
      <c r="BB483" s="211">
        <v>411</v>
      </c>
      <c r="BC483" s="211">
        <v>467</v>
      </c>
      <c r="BD483" s="211">
        <v>455</v>
      </c>
      <c r="BE483" s="211">
        <v>612</v>
      </c>
      <c r="BF483" s="211">
        <v>717</v>
      </c>
      <c r="BG483" s="211">
        <v>375</v>
      </c>
      <c r="BH483" s="211">
        <v>3117</v>
      </c>
      <c r="BI483" s="211">
        <v>1500</v>
      </c>
      <c r="BJ483" s="211">
        <v>1976</v>
      </c>
      <c r="BK483" s="211">
        <v>612</v>
      </c>
      <c r="BL483" s="211" t="s">
        <v>655</v>
      </c>
      <c r="BM483" s="211">
        <v>1125</v>
      </c>
      <c r="BO483" s="28">
        <f t="shared" si="19"/>
        <v>1033.3636363636363</v>
      </c>
      <c r="BP483" s="28">
        <f t="shared" si="20"/>
        <v>11367</v>
      </c>
    </row>
    <row r="484" spans="22:68" x14ac:dyDescent="0.25">
      <c r="V484" s="449">
        <f>'[1]Strohs Plant in Service'!$C487</f>
        <v>0</v>
      </c>
      <c r="W484" s="292" t="str">
        <f>'[1]Strohs Plant in Service'!$D487</f>
        <v>2024 Sanitary Survey -STROH-</v>
      </c>
      <c r="X484" s="293">
        <f>'[1]Strohs Plant in Service'!$E487</f>
        <v>45566</v>
      </c>
      <c r="Y484" s="297">
        <f>'[1]Strohs Plant in Service'!$F487</f>
        <v>-70.3</v>
      </c>
      <c r="Z484" s="248"/>
      <c r="AA484" s="294">
        <f>'[1]Strohs Plant in Service'!$G$11/12</f>
        <v>6</v>
      </c>
      <c r="AB484" s="219">
        <f>('[1]Strohs Plant in Service'!$G487-'[1]Strohs Plant in Service'!$H487)/12</f>
        <v>0.16666666666666666</v>
      </c>
      <c r="AC484" s="219">
        <f>'[1]Strohs Plant in Service'!$I487</f>
        <v>-14.059999999999999</v>
      </c>
      <c r="AD484" s="219"/>
      <c r="AE484" s="220">
        <f>'[1]Strohs Plant in Service'!$J487</f>
        <v>-3.51</v>
      </c>
      <c r="AF484" s="221">
        <v>-66.789999999999992</v>
      </c>
      <c r="AG484" s="204"/>
      <c r="AH484" s="178"/>
      <c r="AI484" s="174"/>
      <c r="AJ484" s="179"/>
      <c r="AK484" s="247"/>
      <c r="AL484" s="248"/>
      <c r="AM484" s="294"/>
      <c r="AN484" s="219"/>
      <c r="AO484" s="219"/>
      <c r="AP484" s="219"/>
      <c r="AQ484" s="220"/>
      <c r="AR484" s="221"/>
      <c r="AY484" s="628"/>
      <c r="AZ484" s="470">
        <v>0.75</v>
      </c>
      <c r="BA484" s="466">
        <v>5704103759</v>
      </c>
      <c r="BB484" s="211">
        <v>445</v>
      </c>
      <c r="BC484" s="211">
        <v>363</v>
      </c>
      <c r="BD484" s="211">
        <v>402</v>
      </c>
      <c r="BE484" s="211">
        <v>504</v>
      </c>
      <c r="BF484" s="211">
        <v>423</v>
      </c>
      <c r="BG484" s="211">
        <v>456</v>
      </c>
      <c r="BH484" s="211">
        <v>1440</v>
      </c>
      <c r="BI484" s="211" t="s">
        <v>655</v>
      </c>
      <c r="BJ484" s="211">
        <v>3057</v>
      </c>
      <c r="BK484" s="211">
        <v>451</v>
      </c>
      <c r="BL484" s="211">
        <v>370</v>
      </c>
      <c r="BM484" s="211">
        <v>881</v>
      </c>
      <c r="BO484" s="28">
        <f t="shared" si="19"/>
        <v>799.27272727272725</v>
      </c>
      <c r="BP484" s="28">
        <f t="shared" si="20"/>
        <v>8792</v>
      </c>
    </row>
    <row r="485" spans="22:68" x14ac:dyDescent="0.25">
      <c r="V485" s="449" t="str">
        <f>'[1]Strohs Plant in Service'!$C488</f>
        <v>Service Connection (30)</v>
      </c>
      <c r="W485" s="292" t="str">
        <f>'[1]Strohs Plant in Service'!$D488</f>
        <v>2ft of 2in PVC -STROH-</v>
      </c>
      <c r="X485" s="293">
        <f>'[1]Strohs Plant in Service'!$E488</f>
        <v>45597</v>
      </c>
      <c r="Y485" s="297">
        <f>'[1]Strohs Plant in Service'!$F488</f>
        <v>-401.69</v>
      </c>
      <c r="Z485" s="248"/>
      <c r="AA485" s="294">
        <f>'[1]Strohs Plant in Service'!$G$11/12</f>
        <v>6</v>
      </c>
      <c r="AB485" s="219">
        <f>('[1]Strohs Plant in Service'!$G488-'[1]Strohs Plant in Service'!$H488)/12</f>
        <v>8.3333333333333329E-2</v>
      </c>
      <c r="AC485" s="219">
        <f>'[1]Strohs Plant in Service'!$I488</f>
        <v>-10.042249999999999</v>
      </c>
      <c r="AD485" s="219"/>
      <c r="AE485" s="220">
        <f>'[1]Strohs Plant in Service'!$J488</f>
        <v>-1.68</v>
      </c>
      <c r="AF485" s="221">
        <v>-400.01</v>
      </c>
      <c r="AG485" s="204"/>
      <c r="AH485" s="178"/>
      <c r="AI485" s="174"/>
      <c r="AJ485" s="179"/>
      <c r="AK485" s="247"/>
      <c r="AL485" s="248"/>
      <c r="AM485" s="294"/>
      <c r="AN485" s="219"/>
      <c r="AO485" s="219"/>
      <c r="AP485" s="219"/>
      <c r="AQ485" s="220"/>
      <c r="AR485" s="221"/>
      <c r="AY485" s="628"/>
      <c r="AZ485" s="470">
        <v>0.75</v>
      </c>
      <c r="BA485" s="466">
        <v>5722650584</v>
      </c>
      <c r="BB485" s="211">
        <v>613</v>
      </c>
      <c r="BC485" s="211">
        <v>525</v>
      </c>
      <c r="BD485" s="211">
        <v>516</v>
      </c>
      <c r="BE485" s="211">
        <v>622</v>
      </c>
      <c r="BF485" s="211">
        <v>815</v>
      </c>
      <c r="BG485" s="211">
        <v>553</v>
      </c>
      <c r="BH485" s="211">
        <v>3055</v>
      </c>
      <c r="BI485" s="211">
        <v>3432</v>
      </c>
      <c r="BJ485" s="211">
        <v>890</v>
      </c>
      <c r="BK485" s="211">
        <v>3258</v>
      </c>
      <c r="BL485" s="211">
        <v>241</v>
      </c>
      <c r="BM485" s="211">
        <v>404</v>
      </c>
      <c r="BO485" s="28">
        <f t="shared" si="19"/>
        <v>1243.6666666666667</v>
      </c>
      <c r="BP485" s="28">
        <f t="shared" si="20"/>
        <v>14924</v>
      </c>
    </row>
    <row r="486" spans="22:68" x14ac:dyDescent="0.25">
      <c r="V486" s="449" t="str">
        <f>'[1]Strohs Plant in Service'!$C489</f>
        <v>Land, Water Rights, and Organization (0)</v>
      </c>
      <c r="W486" s="292" t="str">
        <f>'[1]Strohs Plant in Service'!$D489</f>
        <v>Strohs water system</v>
      </c>
      <c r="X486" s="293">
        <f>'[1]Strohs Plant in Service'!$E489</f>
        <v>45292</v>
      </c>
      <c r="Y486" s="297">
        <f>'[1]Strohs Plant in Service'!$F489</f>
        <v>0</v>
      </c>
      <c r="Z486" s="248"/>
      <c r="AA486" s="294">
        <f>'[1]Strohs Plant in Service'!$G$11/12</f>
        <v>6</v>
      </c>
      <c r="AB486" s="219">
        <f>('[1]Strohs Plant in Service'!$G489-'[1]Strohs Plant in Service'!$H489)/12</f>
        <v>0.91666666666666663</v>
      </c>
      <c r="AC486" s="219">
        <f>'[1]Strohs Plant in Service'!$I489</f>
        <v>0</v>
      </c>
      <c r="AD486" s="219"/>
      <c r="AE486" s="220">
        <f>'[1]Strohs Plant in Service'!$J489</f>
        <v>0</v>
      </c>
      <c r="AF486" s="221">
        <v>0</v>
      </c>
      <c r="AG486" s="204"/>
      <c r="AH486" s="178"/>
      <c r="AI486" s="174"/>
      <c r="AJ486" s="179"/>
      <c r="AK486" s="247"/>
      <c r="AL486" s="248"/>
      <c r="AM486" s="294"/>
      <c r="AN486" s="219"/>
      <c r="AO486" s="219"/>
      <c r="AP486" s="219"/>
      <c r="AQ486" s="220"/>
      <c r="AR486" s="221"/>
      <c r="AY486" s="628"/>
      <c r="AZ486" s="470">
        <v>0.75</v>
      </c>
      <c r="BA486" s="466">
        <v>5723922017</v>
      </c>
      <c r="BB486" s="211">
        <v>217</v>
      </c>
      <c r="BC486" s="211">
        <v>12</v>
      </c>
      <c r="BD486" s="211">
        <v>4</v>
      </c>
      <c r="BE486" s="211">
        <v>141</v>
      </c>
      <c r="BF486" s="211">
        <v>118</v>
      </c>
      <c r="BG486" s="211">
        <v>111</v>
      </c>
      <c r="BH486" s="211">
        <v>220</v>
      </c>
      <c r="BI486" s="211">
        <v>146</v>
      </c>
      <c r="BJ486" s="211">
        <v>164</v>
      </c>
      <c r="BK486" s="211">
        <v>24</v>
      </c>
      <c r="BL486" s="211" t="s">
        <v>655</v>
      </c>
      <c r="BM486" s="211" t="s">
        <v>655</v>
      </c>
      <c r="BO486" s="28">
        <f t="shared" si="19"/>
        <v>115.7</v>
      </c>
      <c r="BP486" s="28">
        <f t="shared" si="20"/>
        <v>1157</v>
      </c>
    </row>
    <row r="487" spans="22:68" x14ac:dyDescent="0.25">
      <c r="V487" s="449" t="str">
        <f>'[1]Strohs Plant in Service'!$C490</f>
        <v>Mains, Tanks and Reservoirs (50)</v>
      </c>
      <c r="W487" s="292" t="str">
        <f>'[1]Strohs Plant in Service'!$D490</f>
        <v>TapPush - STROH - Par#0221207010</v>
      </c>
      <c r="X487" s="293">
        <f>'[1]Strohs Plant in Service'!$E490</f>
        <v>45383</v>
      </c>
      <c r="Y487" s="297">
        <f>'[1]Strohs Plant in Service'!$F490</f>
        <v>269.07</v>
      </c>
      <c r="Z487" s="248"/>
      <c r="AA487" s="294">
        <f>'[1]Strohs Plant in Service'!$G$11/12</f>
        <v>6</v>
      </c>
      <c r="AB487" s="219">
        <f>('[1]Strohs Plant in Service'!$G490-'[1]Strohs Plant in Service'!$H490)/12</f>
        <v>0.66666666666666663</v>
      </c>
      <c r="AC487" s="219">
        <f>'[1]Strohs Plant in Service'!$I490</f>
        <v>8.9689999999999994</v>
      </c>
      <c r="AD487" s="219"/>
      <c r="AE487" s="220">
        <f>'[1]Strohs Plant in Service'!$J490</f>
        <v>6.75</v>
      </c>
      <c r="AF487" s="221">
        <v>262.32</v>
      </c>
      <c r="AG487" s="204"/>
      <c r="AH487" s="178"/>
      <c r="AI487" s="174"/>
      <c r="AJ487" s="179"/>
      <c r="AK487" s="247"/>
      <c r="AL487" s="248"/>
      <c r="AM487" s="294"/>
      <c r="AN487" s="219"/>
      <c r="AO487" s="219"/>
      <c r="AP487" s="219"/>
      <c r="AQ487" s="220"/>
      <c r="AR487" s="221"/>
      <c r="AY487" s="628"/>
      <c r="AZ487" s="470">
        <v>0.75</v>
      </c>
      <c r="BA487" s="466">
        <v>5728429886</v>
      </c>
      <c r="BB487" s="211">
        <v>217</v>
      </c>
      <c r="BC487" s="211">
        <v>250</v>
      </c>
      <c r="BD487" s="211">
        <v>353</v>
      </c>
      <c r="BE487" s="211">
        <v>268</v>
      </c>
      <c r="BF487" s="211">
        <v>251</v>
      </c>
      <c r="BG487" s="211">
        <v>237</v>
      </c>
      <c r="BH487" s="211">
        <v>193</v>
      </c>
      <c r="BI487" s="211">
        <v>228</v>
      </c>
      <c r="BJ487" s="211">
        <v>257</v>
      </c>
      <c r="BK487" s="211">
        <v>193</v>
      </c>
      <c r="BL487" s="211">
        <v>207</v>
      </c>
      <c r="BM487" s="211">
        <v>199</v>
      </c>
      <c r="BO487" s="28">
        <f t="shared" si="19"/>
        <v>237.75</v>
      </c>
      <c r="BP487" s="28">
        <f t="shared" si="20"/>
        <v>2853</v>
      </c>
    </row>
    <row r="488" spans="22:68" x14ac:dyDescent="0.25">
      <c r="V488" s="449" t="str">
        <f>'[1]Strohs Plant in Service'!$C491</f>
        <v>Mains, Tanks and Reservoirs (50)</v>
      </c>
      <c r="W488" s="292" t="str">
        <f>'[1]Strohs Plant in Service'!$D491</f>
        <v>Main Ex - Stroh - Par# 0221194053</v>
      </c>
      <c r="X488" s="293">
        <f>'[1]Strohs Plant in Service'!$E491</f>
        <v>45566</v>
      </c>
      <c r="Y488" s="297">
        <f>'[1]Strohs Plant in Service'!$F491</f>
        <v>923.33</v>
      </c>
      <c r="Z488" s="248"/>
      <c r="AA488" s="294">
        <f>'[1]Strohs Plant in Service'!$G$11/12</f>
        <v>6</v>
      </c>
      <c r="AB488" s="219">
        <f>('[1]Strohs Plant in Service'!$G491-'[1]Strohs Plant in Service'!$H491)/12</f>
        <v>0.16666666666666666</v>
      </c>
      <c r="AC488" s="219">
        <f>'[1]Strohs Plant in Service'!$I491</f>
        <v>30.777666666666669</v>
      </c>
      <c r="AD488" s="219"/>
      <c r="AE488" s="220">
        <f>'[1]Strohs Plant in Service'!$J491</f>
        <v>7.68</v>
      </c>
      <c r="AF488" s="221">
        <v>915.65000000000009</v>
      </c>
      <c r="AG488" s="204"/>
      <c r="AH488" s="178"/>
      <c r="AI488" s="174"/>
      <c r="AJ488" s="179"/>
      <c r="AK488" s="247"/>
      <c r="AL488" s="248"/>
      <c r="AM488" s="294"/>
      <c r="AN488" s="219"/>
      <c r="AO488" s="219"/>
      <c r="AP488" s="219"/>
      <c r="AQ488" s="220"/>
      <c r="AR488" s="221"/>
      <c r="AY488" s="628"/>
      <c r="AZ488" s="470">
        <v>0.75</v>
      </c>
      <c r="BA488" s="466">
        <v>5754528004</v>
      </c>
      <c r="BB488" s="211">
        <v>1095</v>
      </c>
      <c r="BC488" s="211">
        <v>1066</v>
      </c>
      <c r="BD488" s="211">
        <v>1134</v>
      </c>
      <c r="BE488" s="211">
        <v>1411</v>
      </c>
      <c r="BF488" s="211">
        <v>1817</v>
      </c>
      <c r="BG488" s="211">
        <v>2130</v>
      </c>
      <c r="BH488" s="211">
        <v>5659</v>
      </c>
      <c r="BI488" s="211">
        <v>8494</v>
      </c>
      <c r="BJ488" s="211">
        <v>9</v>
      </c>
      <c r="BK488" s="211">
        <v>862</v>
      </c>
      <c r="BL488" s="211">
        <v>219</v>
      </c>
      <c r="BM488" s="211">
        <v>1999</v>
      </c>
      <c r="BO488" s="28">
        <f t="shared" si="19"/>
        <v>2157.9166666666665</v>
      </c>
      <c r="BP488" s="28">
        <f t="shared" si="20"/>
        <v>25895</v>
      </c>
    </row>
    <row r="489" spans="22:68" x14ac:dyDescent="0.25">
      <c r="V489" s="448"/>
      <c r="W489" s="292"/>
      <c r="X489" s="293"/>
      <c r="Y489" s="297"/>
      <c r="Z489" s="248"/>
      <c r="AA489" s="294"/>
      <c r="AB489" s="219"/>
      <c r="AC489" s="219"/>
      <c r="AD489" s="219"/>
      <c r="AE489" s="220"/>
      <c r="AF489" s="221"/>
      <c r="AG489" s="204"/>
      <c r="AH489" s="178"/>
      <c r="AI489" s="174"/>
      <c r="AJ489" s="179"/>
      <c r="AK489" s="247"/>
      <c r="AL489" s="248"/>
      <c r="AM489" s="294"/>
      <c r="AN489" s="219"/>
      <c r="AO489" s="219"/>
      <c r="AP489" s="219"/>
      <c r="AQ489" s="220"/>
      <c r="AR489" s="221"/>
      <c r="AY489" s="628"/>
      <c r="AZ489" s="470">
        <v>1</v>
      </c>
      <c r="BA489" s="466">
        <v>5811603754</v>
      </c>
      <c r="BB489" s="211">
        <v>114</v>
      </c>
      <c r="BC489" s="211">
        <v>110</v>
      </c>
      <c r="BD489" s="211">
        <v>118</v>
      </c>
      <c r="BE489" s="211">
        <v>141</v>
      </c>
      <c r="BF489" s="211">
        <v>141</v>
      </c>
      <c r="BG489" s="211">
        <v>147</v>
      </c>
      <c r="BH489" s="211">
        <v>109</v>
      </c>
      <c r="BI489" s="211">
        <v>123</v>
      </c>
      <c r="BJ489" s="211">
        <v>136</v>
      </c>
      <c r="BK489" s="211">
        <v>127</v>
      </c>
      <c r="BL489" s="211">
        <v>105</v>
      </c>
      <c r="BM489" s="211">
        <v>132</v>
      </c>
      <c r="BO489" s="28">
        <f t="shared" si="19"/>
        <v>125.25</v>
      </c>
      <c r="BP489" s="28">
        <f t="shared" si="20"/>
        <v>1503</v>
      </c>
    </row>
    <row r="490" spans="22:68" x14ac:dyDescent="0.25">
      <c r="V490" s="178"/>
      <c r="W490" s="174"/>
      <c r="X490" s="179"/>
      <c r="Y490" s="247"/>
      <c r="Z490" s="248"/>
      <c r="AA490" s="294" t="str">
        <f t="shared" ref="AA490:AA520" si="21">IFERROR(INDEX($AU$8:$AU$23,MATCH(V490,$AT$8:$AT$23,0)),"")</f>
        <v/>
      </c>
      <c r="AB490" s="219" t="str">
        <f t="shared" ref="AB490:AB519" si="22">IF(Y490&gt;1,IF((TestEOY-X490)/365&gt;AA490,AA490,ROUNDUP(((TestEOY-X490)/365),0)),"")</f>
        <v/>
      </c>
      <c r="AC490" s="219">
        <f t="shared" ref="AC490:AC520" si="23">IFERROR(IF(AB490&gt;=AA490,0,IF(AA490&gt;AB490,SLN(Y490,Z490,AA490),0)),"")</f>
        <v>0</v>
      </c>
      <c r="AD490" s="219">
        <f t="shared" ref="AD490:AD520" si="24">AE490-AC490</f>
        <v>0</v>
      </c>
      <c r="AE490" s="220">
        <f t="shared" ref="AE490:AE520" si="25">IFERROR(IF(OR(AA490=0,AA490=""),
     0,
     IF(AB490&gt;=AA490,
          +Y490,
          (+AC490*AB490))),
"")</f>
        <v>0</v>
      </c>
      <c r="AF490" s="221">
        <f t="shared" ref="AF490:AF520" si="26">IFERROR(IF(AE490&gt;Y490,0,(+Y490-AE490))-Z490,"")</f>
        <v>0</v>
      </c>
      <c r="AG490" s="204"/>
      <c r="AH490" s="178"/>
      <c r="AI490" s="174"/>
      <c r="AJ490" s="179"/>
      <c r="AK490" s="247"/>
      <c r="AL490" s="248"/>
      <c r="AM490" s="294"/>
      <c r="AN490" s="219"/>
      <c r="AO490" s="219"/>
      <c r="AP490" s="219"/>
      <c r="AQ490" s="220"/>
      <c r="AR490" s="221"/>
      <c r="AY490" s="628"/>
      <c r="AZ490" s="470">
        <v>0.75</v>
      </c>
      <c r="BA490" s="466">
        <v>5847542675</v>
      </c>
      <c r="BB490" s="211">
        <v>438</v>
      </c>
      <c r="BC490" s="211">
        <v>366</v>
      </c>
      <c r="BD490" s="211">
        <v>138</v>
      </c>
      <c r="BE490" s="211">
        <v>467</v>
      </c>
      <c r="BF490" s="211">
        <v>467</v>
      </c>
      <c r="BG490" s="211">
        <v>456</v>
      </c>
      <c r="BH490" s="211">
        <v>607</v>
      </c>
      <c r="BI490" s="211">
        <v>389</v>
      </c>
      <c r="BJ490" s="211">
        <v>503</v>
      </c>
      <c r="BK490" s="211">
        <v>523</v>
      </c>
      <c r="BL490" s="211">
        <v>367</v>
      </c>
      <c r="BM490" s="211">
        <v>500</v>
      </c>
      <c r="BO490" s="28">
        <f t="shared" si="19"/>
        <v>435.08333333333331</v>
      </c>
      <c r="BP490" s="28">
        <f t="shared" si="20"/>
        <v>5221</v>
      </c>
    </row>
    <row r="491" spans="22:68" x14ac:dyDescent="0.25">
      <c r="V491" s="178"/>
      <c r="W491" s="174"/>
      <c r="X491" s="179"/>
      <c r="Y491" s="247"/>
      <c r="Z491" s="248"/>
      <c r="AA491" s="294" t="str">
        <f t="shared" si="21"/>
        <v/>
      </c>
      <c r="AB491" s="219" t="str">
        <f t="shared" si="22"/>
        <v/>
      </c>
      <c r="AC491" s="219">
        <f t="shared" si="23"/>
        <v>0</v>
      </c>
      <c r="AD491" s="219">
        <f t="shared" si="24"/>
        <v>0</v>
      </c>
      <c r="AE491" s="220">
        <f t="shared" si="25"/>
        <v>0</v>
      </c>
      <c r="AF491" s="221">
        <f t="shared" si="26"/>
        <v>0</v>
      </c>
      <c r="AG491" s="204"/>
      <c r="AH491" s="178"/>
      <c r="AI491" s="174"/>
      <c r="AJ491" s="179"/>
      <c r="AK491" s="247"/>
      <c r="AL491" s="248"/>
      <c r="AM491" s="294"/>
      <c r="AN491" s="219"/>
      <c r="AO491" s="219"/>
      <c r="AP491" s="219"/>
      <c r="AQ491" s="220"/>
      <c r="AR491" s="221"/>
      <c r="AY491" s="628"/>
      <c r="AZ491" s="470">
        <v>0.75</v>
      </c>
      <c r="BA491" s="466">
        <v>5859894908</v>
      </c>
      <c r="BB491" s="211">
        <v>287</v>
      </c>
      <c r="BC491" s="211">
        <v>285</v>
      </c>
      <c r="BD491" s="211">
        <v>308</v>
      </c>
      <c r="BE491" s="211">
        <v>268</v>
      </c>
      <c r="BF491" s="211">
        <v>313</v>
      </c>
      <c r="BG491" s="211">
        <v>459</v>
      </c>
      <c r="BH491" s="211">
        <v>3898</v>
      </c>
      <c r="BI491" s="211">
        <v>2649</v>
      </c>
      <c r="BJ491" s="211">
        <v>1010</v>
      </c>
      <c r="BK491" s="211">
        <v>872</v>
      </c>
      <c r="BL491" s="211">
        <v>200</v>
      </c>
      <c r="BM491" s="211">
        <v>233</v>
      </c>
      <c r="BO491" s="28">
        <f t="shared" si="19"/>
        <v>898.5</v>
      </c>
      <c r="BP491" s="28">
        <f t="shared" si="20"/>
        <v>10782</v>
      </c>
    </row>
    <row r="492" spans="22:68" x14ac:dyDescent="0.25">
      <c r="V492" s="178"/>
      <c r="W492" s="174"/>
      <c r="X492" s="179"/>
      <c r="Y492" s="247"/>
      <c r="Z492" s="248"/>
      <c r="AA492" s="294" t="str">
        <f t="shared" si="21"/>
        <v/>
      </c>
      <c r="AB492" s="219" t="str">
        <f t="shared" si="22"/>
        <v/>
      </c>
      <c r="AC492" s="219">
        <f t="shared" si="23"/>
        <v>0</v>
      </c>
      <c r="AD492" s="219">
        <f t="shared" si="24"/>
        <v>0</v>
      </c>
      <c r="AE492" s="220">
        <f t="shared" si="25"/>
        <v>0</v>
      </c>
      <c r="AF492" s="221">
        <f t="shared" si="26"/>
        <v>0</v>
      </c>
      <c r="AG492" s="204"/>
      <c r="AH492" s="178"/>
      <c r="AI492" s="174"/>
      <c r="AJ492" s="179"/>
      <c r="AK492" s="247"/>
      <c r="AL492" s="248"/>
      <c r="AM492" s="294"/>
      <c r="AN492" s="219"/>
      <c r="AO492" s="219"/>
      <c r="AP492" s="219"/>
      <c r="AQ492" s="220"/>
      <c r="AR492" s="221"/>
      <c r="AY492" s="628"/>
      <c r="AZ492" s="470">
        <v>0.75</v>
      </c>
      <c r="BA492" s="466">
        <v>5872635267</v>
      </c>
      <c r="BB492" s="211">
        <v>1183</v>
      </c>
      <c r="BC492" s="211">
        <v>653</v>
      </c>
      <c r="BD492" s="211">
        <v>598</v>
      </c>
      <c r="BE492" s="211">
        <v>739</v>
      </c>
      <c r="BF492" s="211">
        <v>4992</v>
      </c>
      <c r="BG492" s="211">
        <v>5115</v>
      </c>
      <c r="BH492" s="211">
        <v>5784</v>
      </c>
      <c r="BI492" s="211">
        <v>4955</v>
      </c>
      <c r="BJ492" s="211">
        <v>5341</v>
      </c>
      <c r="BK492" s="211">
        <v>4430</v>
      </c>
      <c r="BL492" s="211">
        <v>1057</v>
      </c>
      <c r="BM492" s="211">
        <v>819</v>
      </c>
      <c r="BO492" s="28">
        <f t="shared" si="19"/>
        <v>2972.1666666666665</v>
      </c>
      <c r="BP492" s="28">
        <f t="shared" si="20"/>
        <v>35666</v>
      </c>
    </row>
    <row r="493" spans="22:68" x14ac:dyDescent="0.25">
      <c r="V493" s="178"/>
      <c r="W493" s="174"/>
      <c r="X493" s="179"/>
      <c r="Y493" s="247"/>
      <c r="Z493" s="248"/>
      <c r="AA493" s="294" t="str">
        <f t="shared" si="21"/>
        <v/>
      </c>
      <c r="AB493" s="219" t="str">
        <f t="shared" si="22"/>
        <v/>
      </c>
      <c r="AC493" s="219">
        <f t="shared" si="23"/>
        <v>0</v>
      </c>
      <c r="AD493" s="219">
        <f t="shared" si="24"/>
        <v>0</v>
      </c>
      <c r="AE493" s="220">
        <f t="shared" si="25"/>
        <v>0</v>
      </c>
      <c r="AF493" s="221">
        <f t="shared" si="26"/>
        <v>0</v>
      </c>
      <c r="AG493" s="204"/>
      <c r="AH493" s="178"/>
      <c r="AI493" s="174"/>
      <c r="AJ493" s="179"/>
      <c r="AK493" s="247"/>
      <c r="AL493" s="248"/>
      <c r="AM493" s="294"/>
      <c r="AN493" s="219"/>
      <c r="AO493" s="219"/>
      <c r="AP493" s="219"/>
      <c r="AQ493" s="220"/>
      <c r="AR493" s="221"/>
      <c r="AY493" s="628"/>
      <c r="AZ493" s="470">
        <v>0.75</v>
      </c>
      <c r="BA493" s="466">
        <v>5951379144</v>
      </c>
      <c r="BB493" s="211">
        <v>440</v>
      </c>
      <c r="BC493" s="211">
        <v>475</v>
      </c>
      <c r="BD493" s="211">
        <v>511</v>
      </c>
      <c r="BE493" s="211">
        <v>600</v>
      </c>
      <c r="BF493" s="211">
        <v>864</v>
      </c>
      <c r="BG493" s="211">
        <v>668</v>
      </c>
      <c r="BH493" s="211">
        <v>3495</v>
      </c>
      <c r="BI493" s="211">
        <v>1977</v>
      </c>
      <c r="BJ493" s="211">
        <v>1895</v>
      </c>
      <c r="BK493" s="211">
        <v>1016</v>
      </c>
      <c r="BL493" s="211" t="s">
        <v>655</v>
      </c>
      <c r="BM493" s="211">
        <v>104</v>
      </c>
      <c r="BO493" s="28">
        <f t="shared" si="19"/>
        <v>1095</v>
      </c>
      <c r="BP493" s="28">
        <f t="shared" si="20"/>
        <v>12045</v>
      </c>
    </row>
    <row r="494" spans="22:68" x14ac:dyDescent="0.25">
      <c r="V494" s="178"/>
      <c r="W494" s="174"/>
      <c r="X494" s="179"/>
      <c r="Y494" s="247"/>
      <c r="Z494" s="248"/>
      <c r="AA494" s="294" t="str">
        <f t="shared" si="21"/>
        <v/>
      </c>
      <c r="AB494" s="219" t="str">
        <f t="shared" si="22"/>
        <v/>
      </c>
      <c r="AC494" s="219">
        <f t="shared" si="23"/>
        <v>0</v>
      </c>
      <c r="AD494" s="219">
        <f t="shared" si="24"/>
        <v>0</v>
      </c>
      <c r="AE494" s="220">
        <f t="shared" si="25"/>
        <v>0</v>
      </c>
      <c r="AF494" s="221">
        <f t="shared" si="26"/>
        <v>0</v>
      </c>
      <c r="AG494" s="204"/>
      <c r="AH494" s="178"/>
      <c r="AI494" s="174"/>
      <c r="AJ494" s="179"/>
      <c r="AK494" s="247"/>
      <c r="AL494" s="248"/>
      <c r="AM494" s="294"/>
      <c r="AN494" s="219"/>
      <c r="AO494" s="219"/>
      <c r="AP494" s="219"/>
      <c r="AQ494" s="220"/>
      <c r="AR494" s="221"/>
      <c r="AY494" s="628"/>
      <c r="AZ494" s="470">
        <v>0.75</v>
      </c>
      <c r="BA494" s="466">
        <v>5951983765</v>
      </c>
      <c r="BB494" s="211">
        <v>692</v>
      </c>
      <c r="BC494" s="211">
        <v>624</v>
      </c>
      <c r="BD494" s="211">
        <v>683</v>
      </c>
      <c r="BE494" s="211">
        <v>902</v>
      </c>
      <c r="BF494" s="211">
        <v>1466</v>
      </c>
      <c r="BG494" s="211">
        <v>2056</v>
      </c>
      <c r="BH494" s="211">
        <v>3680</v>
      </c>
      <c r="BI494" s="211">
        <v>3669</v>
      </c>
      <c r="BJ494" s="211">
        <v>3109</v>
      </c>
      <c r="BK494" s="211">
        <v>610</v>
      </c>
      <c r="BL494" s="211">
        <v>400</v>
      </c>
      <c r="BM494" s="211">
        <v>1001</v>
      </c>
      <c r="BO494" s="28">
        <f t="shared" si="19"/>
        <v>1574.3333333333333</v>
      </c>
      <c r="BP494" s="28">
        <f t="shared" si="20"/>
        <v>18892</v>
      </c>
    </row>
    <row r="495" spans="22:68" x14ac:dyDescent="0.25">
      <c r="V495" s="178"/>
      <c r="W495" s="174"/>
      <c r="X495" s="179"/>
      <c r="Y495" s="247"/>
      <c r="Z495" s="248"/>
      <c r="AA495" s="294" t="str">
        <f t="shared" si="21"/>
        <v/>
      </c>
      <c r="AB495" s="219" t="str">
        <f t="shared" si="22"/>
        <v/>
      </c>
      <c r="AC495" s="219">
        <f t="shared" si="23"/>
        <v>0</v>
      </c>
      <c r="AD495" s="219">
        <f t="shared" si="24"/>
        <v>0</v>
      </c>
      <c r="AE495" s="220">
        <f t="shared" si="25"/>
        <v>0</v>
      </c>
      <c r="AF495" s="221">
        <f t="shared" si="26"/>
        <v>0</v>
      </c>
      <c r="AG495" s="204"/>
      <c r="AH495" s="178"/>
      <c r="AI495" s="174"/>
      <c r="AJ495" s="179"/>
      <c r="AK495" s="247"/>
      <c r="AL495" s="248"/>
      <c r="AM495" s="294"/>
      <c r="AN495" s="219"/>
      <c r="AO495" s="219"/>
      <c r="AP495" s="219"/>
      <c r="AQ495" s="220"/>
      <c r="AR495" s="221"/>
      <c r="AY495" s="628"/>
      <c r="AZ495" s="470">
        <v>0.75</v>
      </c>
      <c r="BA495" s="466">
        <v>5955373008</v>
      </c>
      <c r="BB495" s="211">
        <v>346</v>
      </c>
      <c r="BC495" s="211">
        <v>115</v>
      </c>
      <c r="BD495" s="211">
        <v>536</v>
      </c>
      <c r="BE495" s="211">
        <v>349</v>
      </c>
      <c r="BF495" s="211">
        <v>424</v>
      </c>
      <c r="BG495" s="211">
        <v>301</v>
      </c>
      <c r="BH495" s="211">
        <v>493</v>
      </c>
      <c r="BI495" s="211">
        <v>546</v>
      </c>
      <c r="BJ495" s="211">
        <v>354</v>
      </c>
      <c r="BK495" s="211">
        <v>245</v>
      </c>
      <c r="BL495" s="211">
        <v>250</v>
      </c>
      <c r="BM495" s="211">
        <v>251</v>
      </c>
      <c r="BO495" s="28">
        <f t="shared" si="19"/>
        <v>350.83333333333331</v>
      </c>
      <c r="BP495" s="28">
        <f t="shared" si="20"/>
        <v>4210</v>
      </c>
    </row>
    <row r="496" spans="22:68" x14ac:dyDescent="0.25">
      <c r="V496" s="178"/>
      <c r="W496" s="174"/>
      <c r="X496" s="179"/>
      <c r="Y496" s="247"/>
      <c r="Z496" s="248"/>
      <c r="AA496" s="294" t="str">
        <f t="shared" si="21"/>
        <v/>
      </c>
      <c r="AB496" s="219" t="str">
        <f t="shared" si="22"/>
        <v/>
      </c>
      <c r="AC496" s="219">
        <f t="shared" si="23"/>
        <v>0</v>
      </c>
      <c r="AD496" s="219">
        <f t="shared" si="24"/>
        <v>0</v>
      </c>
      <c r="AE496" s="220">
        <f t="shared" si="25"/>
        <v>0</v>
      </c>
      <c r="AF496" s="221">
        <f t="shared" si="26"/>
        <v>0</v>
      </c>
      <c r="AG496" s="204"/>
      <c r="AH496" s="178"/>
      <c r="AI496" s="174"/>
      <c r="AJ496" s="179"/>
      <c r="AK496" s="247"/>
      <c r="AL496" s="248"/>
      <c r="AM496" s="294"/>
      <c r="AN496" s="219"/>
      <c r="AO496" s="219"/>
      <c r="AP496" s="219"/>
      <c r="AQ496" s="220"/>
      <c r="AR496" s="221"/>
      <c r="AY496" s="628"/>
      <c r="AZ496" s="470">
        <v>0.75</v>
      </c>
      <c r="BA496" s="466">
        <v>5955881478</v>
      </c>
      <c r="BB496" s="211">
        <v>269</v>
      </c>
      <c r="BC496" s="211">
        <v>275</v>
      </c>
      <c r="BD496" s="211">
        <v>168</v>
      </c>
      <c r="BE496" s="211">
        <v>295</v>
      </c>
      <c r="BF496" s="211">
        <v>195</v>
      </c>
      <c r="BG496" s="211">
        <v>1000</v>
      </c>
      <c r="BH496" s="211">
        <v>2411</v>
      </c>
      <c r="BI496" s="211">
        <v>2154</v>
      </c>
      <c r="BJ496" s="211">
        <v>384</v>
      </c>
      <c r="BK496" s="211">
        <v>161</v>
      </c>
      <c r="BL496" s="211">
        <v>280</v>
      </c>
      <c r="BM496" s="211">
        <v>658</v>
      </c>
      <c r="BO496" s="28">
        <f t="shared" si="19"/>
        <v>687.5</v>
      </c>
      <c r="BP496" s="28">
        <f t="shared" si="20"/>
        <v>8250</v>
      </c>
    </row>
    <row r="497" spans="22:68" x14ac:dyDescent="0.25">
      <c r="V497" s="178"/>
      <c r="W497" s="174"/>
      <c r="X497" s="179"/>
      <c r="Y497" s="247"/>
      <c r="Z497" s="248"/>
      <c r="AA497" s="294" t="str">
        <f t="shared" si="21"/>
        <v/>
      </c>
      <c r="AB497" s="219" t="str">
        <f t="shared" si="22"/>
        <v/>
      </c>
      <c r="AC497" s="219">
        <f t="shared" si="23"/>
        <v>0</v>
      </c>
      <c r="AD497" s="219">
        <f t="shared" si="24"/>
        <v>0</v>
      </c>
      <c r="AE497" s="220">
        <f t="shared" si="25"/>
        <v>0</v>
      </c>
      <c r="AF497" s="221">
        <f t="shared" si="26"/>
        <v>0</v>
      </c>
      <c r="AG497" s="204"/>
      <c r="AH497" s="178"/>
      <c r="AI497" s="174"/>
      <c r="AJ497" s="179"/>
      <c r="AK497" s="247"/>
      <c r="AL497" s="248"/>
      <c r="AM497" s="294"/>
      <c r="AN497" s="219"/>
      <c r="AO497" s="219"/>
      <c r="AP497" s="219"/>
      <c r="AQ497" s="220"/>
      <c r="AR497" s="221"/>
      <c r="AY497" s="628"/>
      <c r="AZ497" s="470">
        <v>0.625</v>
      </c>
      <c r="BA497" s="466">
        <v>5956150750</v>
      </c>
      <c r="BB497" s="211">
        <v>227</v>
      </c>
      <c r="BC497" s="211">
        <v>528</v>
      </c>
      <c r="BD497" s="211">
        <v>900</v>
      </c>
      <c r="BE497" s="211">
        <v>741</v>
      </c>
      <c r="BF497" s="211">
        <v>646</v>
      </c>
      <c r="BG497" s="211">
        <v>3079</v>
      </c>
      <c r="BH497" s="211">
        <v>3708</v>
      </c>
      <c r="BI497" s="211">
        <v>3188</v>
      </c>
      <c r="BJ497" s="211">
        <v>4060</v>
      </c>
      <c r="BK497" s="211">
        <v>1637</v>
      </c>
      <c r="BL497" s="211">
        <v>216</v>
      </c>
      <c r="BM497" s="211">
        <v>52</v>
      </c>
      <c r="BO497" s="28">
        <f t="shared" si="19"/>
        <v>1581.8333333333333</v>
      </c>
      <c r="BP497" s="28">
        <f t="shared" si="20"/>
        <v>18982</v>
      </c>
    </row>
    <row r="498" spans="22:68" x14ac:dyDescent="0.25">
      <c r="V498" s="178"/>
      <c r="W498" s="174"/>
      <c r="X498" s="179"/>
      <c r="Y498" s="247"/>
      <c r="Z498" s="248"/>
      <c r="AA498" s="294" t="str">
        <f t="shared" si="21"/>
        <v/>
      </c>
      <c r="AB498" s="219" t="str">
        <f t="shared" si="22"/>
        <v/>
      </c>
      <c r="AC498" s="219">
        <f t="shared" si="23"/>
        <v>0</v>
      </c>
      <c r="AD498" s="219">
        <f t="shared" si="24"/>
        <v>0</v>
      </c>
      <c r="AE498" s="220">
        <f t="shared" si="25"/>
        <v>0</v>
      </c>
      <c r="AF498" s="221">
        <f t="shared" si="26"/>
        <v>0</v>
      </c>
      <c r="AG498" s="204"/>
      <c r="AH498" s="178"/>
      <c r="AI498" s="174"/>
      <c r="AJ498" s="179"/>
      <c r="AK498" s="247"/>
      <c r="AL498" s="248"/>
      <c r="AM498" s="294"/>
      <c r="AN498" s="219"/>
      <c r="AO498" s="219"/>
      <c r="AP498" s="219"/>
      <c r="AQ498" s="220"/>
      <c r="AR498" s="221"/>
      <c r="AY498" s="628"/>
      <c r="AZ498" s="470">
        <v>0.75</v>
      </c>
      <c r="BA498" s="466">
        <v>5965175744</v>
      </c>
      <c r="BB498" s="211">
        <v>466</v>
      </c>
      <c r="BC498" s="211">
        <v>515</v>
      </c>
      <c r="BD498" s="211">
        <v>748</v>
      </c>
      <c r="BE498" s="211">
        <v>678</v>
      </c>
      <c r="BF498" s="211">
        <v>730</v>
      </c>
      <c r="BG498" s="211">
        <v>692</v>
      </c>
      <c r="BH498" s="211">
        <v>990</v>
      </c>
      <c r="BI498" s="211">
        <v>661</v>
      </c>
      <c r="BJ498" s="211">
        <v>863</v>
      </c>
      <c r="BK498" s="211">
        <v>677</v>
      </c>
      <c r="BL498" s="211">
        <v>700</v>
      </c>
      <c r="BM498" s="211">
        <v>700</v>
      </c>
      <c r="BO498" s="28">
        <f t="shared" si="19"/>
        <v>701.66666666666663</v>
      </c>
      <c r="BP498" s="28">
        <f t="shared" si="20"/>
        <v>8420</v>
      </c>
    </row>
    <row r="499" spans="22:68" x14ac:dyDescent="0.25">
      <c r="V499" s="178"/>
      <c r="W499" s="174"/>
      <c r="X499" s="179"/>
      <c r="Y499" s="247"/>
      <c r="Z499" s="248"/>
      <c r="AA499" s="294" t="str">
        <f t="shared" si="21"/>
        <v/>
      </c>
      <c r="AB499" s="219" t="str">
        <f t="shared" si="22"/>
        <v/>
      </c>
      <c r="AC499" s="219">
        <f t="shared" si="23"/>
        <v>0</v>
      </c>
      <c r="AD499" s="219">
        <f t="shared" si="24"/>
        <v>0</v>
      </c>
      <c r="AE499" s="220">
        <f t="shared" si="25"/>
        <v>0</v>
      </c>
      <c r="AF499" s="221">
        <f t="shared" si="26"/>
        <v>0</v>
      </c>
      <c r="AG499" s="204"/>
      <c r="AH499" s="178"/>
      <c r="AI499" s="174"/>
      <c r="AJ499" s="179"/>
      <c r="AK499" s="247"/>
      <c r="AL499" s="248"/>
      <c r="AM499" s="294"/>
      <c r="AN499" s="219"/>
      <c r="AO499" s="219"/>
      <c r="AP499" s="219"/>
      <c r="AQ499" s="220"/>
      <c r="AR499" s="221"/>
      <c r="AY499" s="628"/>
      <c r="AZ499" s="470">
        <v>1.5</v>
      </c>
      <c r="BA499" s="466">
        <v>5981421406</v>
      </c>
      <c r="BB499" s="211">
        <v>1130</v>
      </c>
      <c r="BC499" s="211">
        <v>1380</v>
      </c>
      <c r="BD499" s="211">
        <v>1660</v>
      </c>
      <c r="BE499" s="211">
        <v>1740</v>
      </c>
      <c r="BF499" s="211">
        <v>1640</v>
      </c>
      <c r="BG499" s="211">
        <v>4890</v>
      </c>
      <c r="BH499" s="211">
        <v>10740</v>
      </c>
      <c r="BI499" s="211">
        <v>9170</v>
      </c>
      <c r="BJ499" s="211">
        <v>11420</v>
      </c>
      <c r="BK499" s="211">
        <v>9560</v>
      </c>
      <c r="BL499" s="211">
        <v>4150</v>
      </c>
      <c r="BM499" s="211">
        <v>2230</v>
      </c>
      <c r="BO499" s="28">
        <f t="shared" si="19"/>
        <v>4975.833333333333</v>
      </c>
      <c r="BP499" s="28">
        <f t="shared" si="20"/>
        <v>59710</v>
      </c>
    </row>
    <row r="500" spans="22:68" x14ac:dyDescent="0.25">
      <c r="V500" s="178"/>
      <c r="W500" s="174"/>
      <c r="X500" s="179"/>
      <c r="Y500" s="247"/>
      <c r="Z500" s="248"/>
      <c r="AA500" s="294" t="str">
        <f t="shared" si="21"/>
        <v/>
      </c>
      <c r="AB500" s="219" t="str">
        <f t="shared" si="22"/>
        <v/>
      </c>
      <c r="AC500" s="219">
        <f t="shared" si="23"/>
        <v>0</v>
      </c>
      <c r="AD500" s="219">
        <f t="shared" si="24"/>
        <v>0</v>
      </c>
      <c r="AE500" s="220">
        <f t="shared" si="25"/>
        <v>0</v>
      </c>
      <c r="AF500" s="221">
        <f t="shared" si="26"/>
        <v>0</v>
      </c>
      <c r="AG500" s="204"/>
      <c r="AH500" s="178"/>
      <c r="AI500" s="174"/>
      <c r="AJ500" s="179"/>
      <c r="AK500" s="247"/>
      <c r="AL500" s="248"/>
      <c r="AM500" s="294"/>
      <c r="AN500" s="219"/>
      <c r="AO500" s="219"/>
      <c r="AP500" s="219"/>
      <c r="AQ500" s="220"/>
      <c r="AR500" s="221"/>
      <c r="AY500" s="628"/>
      <c r="AZ500" s="470">
        <v>1</v>
      </c>
      <c r="BA500" s="466">
        <v>5993372741</v>
      </c>
      <c r="BB500" s="211">
        <v>1342</v>
      </c>
      <c r="BC500" s="211">
        <v>1368</v>
      </c>
      <c r="BD500" s="211">
        <v>1484</v>
      </c>
      <c r="BE500" s="211">
        <v>1950</v>
      </c>
      <c r="BF500" s="211">
        <v>4677</v>
      </c>
      <c r="BG500" s="211">
        <v>5747</v>
      </c>
      <c r="BH500" s="211">
        <v>11196</v>
      </c>
      <c r="BI500" s="211">
        <v>11673</v>
      </c>
      <c r="BJ500" s="211">
        <v>8247</v>
      </c>
      <c r="BK500" s="211">
        <v>4611</v>
      </c>
      <c r="BL500" s="211">
        <v>4058</v>
      </c>
      <c r="BM500" s="211">
        <v>1759</v>
      </c>
      <c r="BO500" s="28">
        <f t="shared" si="19"/>
        <v>4842.666666666667</v>
      </c>
      <c r="BP500" s="28">
        <f t="shared" si="20"/>
        <v>58112</v>
      </c>
    </row>
    <row r="501" spans="22:68" x14ac:dyDescent="0.25">
      <c r="V501" s="178"/>
      <c r="W501" s="174"/>
      <c r="X501" s="179"/>
      <c r="Y501" s="247"/>
      <c r="Z501" s="248"/>
      <c r="AA501" s="294" t="str">
        <f t="shared" si="21"/>
        <v/>
      </c>
      <c r="AB501" s="219" t="str">
        <f t="shared" si="22"/>
        <v/>
      </c>
      <c r="AC501" s="219">
        <f t="shared" si="23"/>
        <v>0</v>
      </c>
      <c r="AD501" s="219">
        <f t="shared" si="24"/>
        <v>0</v>
      </c>
      <c r="AE501" s="220">
        <f t="shared" si="25"/>
        <v>0</v>
      </c>
      <c r="AF501" s="221">
        <f t="shared" si="26"/>
        <v>0</v>
      </c>
      <c r="AG501" s="204"/>
      <c r="AH501" s="178"/>
      <c r="AI501" s="174"/>
      <c r="AJ501" s="179"/>
      <c r="AK501" s="247"/>
      <c r="AL501" s="248"/>
      <c r="AM501" s="294"/>
      <c r="AN501" s="219"/>
      <c r="AO501" s="219"/>
      <c r="AP501" s="219"/>
      <c r="AQ501" s="220"/>
      <c r="AR501" s="221"/>
      <c r="AY501" s="628"/>
      <c r="AZ501" s="470">
        <v>0.75</v>
      </c>
      <c r="BA501" s="466">
        <v>6036433594</v>
      </c>
      <c r="BB501" s="211">
        <v>296</v>
      </c>
      <c r="BC501" s="211">
        <v>325</v>
      </c>
      <c r="BD501" s="211">
        <v>336</v>
      </c>
      <c r="BE501" s="211">
        <v>399</v>
      </c>
      <c r="BF501" s="211">
        <v>366</v>
      </c>
      <c r="BG501" s="211">
        <v>456</v>
      </c>
      <c r="BH501" s="211">
        <v>674</v>
      </c>
      <c r="BI501" s="211">
        <v>553</v>
      </c>
      <c r="BJ501" s="211">
        <v>471</v>
      </c>
      <c r="BK501" s="211">
        <v>301</v>
      </c>
      <c r="BL501" s="211">
        <v>265</v>
      </c>
      <c r="BM501" s="211">
        <v>336</v>
      </c>
      <c r="BO501" s="28">
        <f t="shared" si="19"/>
        <v>398.16666666666669</v>
      </c>
      <c r="BP501" s="28">
        <f t="shared" si="20"/>
        <v>4778</v>
      </c>
    </row>
    <row r="502" spans="22:68" x14ac:dyDescent="0.25">
      <c r="V502" s="178"/>
      <c r="W502" s="174"/>
      <c r="X502" s="179"/>
      <c r="Y502" s="247"/>
      <c r="Z502" s="248"/>
      <c r="AA502" s="294" t="str">
        <f t="shared" si="21"/>
        <v/>
      </c>
      <c r="AB502" s="219" t="str">
        <f t="shared" si="22"/>
        <v/>
      </c>
      <c r="AC502" s="219">
        <f t="shared" si="23"/>
        <v>0</v>
      </c>
      <c r="AD502" s="219">
        <f t="shared" si="24"/>
        <v>0</v>
      </c>
      <c r="AE502" s="220">
        <f t="shared" si="25"/>
        <v>0</v>
      </c>
      <c r="AF502" s="221">
        <f t="shared" si="26"/>
        <v>0</v>
      </c>
      <c r="AG502" s="204"/>
      <c r="AH502" s="178"/>
      <c r="AI502" s="174"/>
      <c r="AJ502" s="179"/>
      <c r="AK502" s="247"/>
      <c r="AL502" s="248"/>
      <c r="AM502" s="294"/>
      <c r="AN502" s="219"/>
      <c r="AO502" s="219"/>
      <c r="AP502" s="219"/>
      <c r="AQ502" s="220"/>
      <c r="AR502" s="221"/>
      <c r="AY502" s="628"/>
      <c r="AZ502" s="470">
        <v>0.625</v>
      </c>
      <c r="BA502" s="466">
        <v>6051416037</v>
      </c>
      <c r="BB502" s="211" t="s">
        <v>655</v>
      </c>
      <c r="BC502" s="211">
        <v>1678</v>
      </c>
      <c r="BD502" s="211">
        <v>375</v>
      </c>
      <c r="BE502" s="211">
        <v>661</v>
      </c>
      <c r="BF502" s="211">
        <v>3136</v>
      </c>
      <c r="BG502" s="211">
        <v>3323</v>
      </c>
      <c r="BH502" s="211">
        <v>9361</v>
      </c>
      <c r="BI502" s="211">
        <v>13256</v>
      </c>
      <c r="BJ502" s="211">
        <v>6747</v>
      </c>
      <c r="BK502" s="211">
        <v>1318</v>
      </c>
      <c r="BL502" s="211">
        <v>170</v>
      </c>
      <c r="BM502" s="211">
        <v>303</v>
      </c>
      <c r="BO502" s="28">
        <f t="shared" si="19"/>
        <v>3666.181818181818</v>
      </c>
      <c r="BP502" s="28">
        <f t="shared" si="20"/>
        <v>40328</v>
      </c>
    </row>
    <row r="503" spans="22:68" x14ac:dyDescent="0.25">
      <c r="V503" s="178"/>
      <c r="W503" s="174"/>
      <c r="X503" s="179"/>
      <c r="Y503" s="247"/>
      <c r="Z503" s="248"/>
      <c r="AA503" s="294" t="str">
        <f t="shared" si="21"/>
        <v/>
      </c>
      <c r="AB503" s="219" t="str">
        <f t="shared" si="22"/>
        <v/>
      </c>
      <c r="AC503" s="219">
        <f t="shared" si="23"/>
        <v>0</v>
      </c>
      <c r="AD503" s="219">
        <f t="shared" si="24"/>
        <v>0</v>
      </c>
      <c r="AE503" s="220">
        <f t="shared" si="25"/>
        <v>0</v>
      </c>
      <c r="AF503" s="221">
        <f t="shared" si="26"/>
        <v>0</v>
      </c>
      <c r="AG503" s="204"/>
      <c r="AH503" s="178"/>
      <c r="AI503" s="174"/>
      <c r="AJ503" s="179"/>
      <c r="AK503" s="247"/>
      <c r="AL503" s="248"/>
      <c r="AM503" s="294"/>
      <c r="AN503" s="219"/>
      <c r="AO503" s="219"/>
      <c r="AP503" s="219"/>
      <c r="AQ503" s="220"/>
      <c r="AR503" s="221"/>
      <c r="AY503" s="628"/>
      <c r="AZ503" s="470">
        <v>0.75</v>
      </c>
      <c r="BA503" s="466">
        <v>6061119127</v>
      </c>
      <c r="BB503" s="211">
        <v>636</v>
      </c>
      <c r="BC503" s="211">
        <v>623</v>
      </c>
      <c r="BD503" s="211">
        <v>711</v>
      </c>
      <c r="BE503" s="211">
        <v>725</v>
      </c>
      <c r="BF503" s="211">
        <v>1599</v>
      </c>
      <c r="BG503" s="211">
        <v>1999</v>
      </c>
      <c r="BH503" s="211">
        <v>5451</v>
      </c>
      <c r="BI503" s="211">
        <v>6415</v>
      </c>
      <c r="BJ503" s="211">
        <v>2629</v>
      </c>
      <c r="BK503" s="211">
        <v>800</v>
      </c>
      <c r="BL503" s="211">
        <v>300</v>
      </c>
      <c r="BM503" s="211">
        <v>425</v>
      </c>
      <c r="BO503" s="28">
        <f t="shared" si="19"/>
        <v>1859.4166666666667</v>
      </c>
      <c r="BP503" s="28">
        <f t="shared" si="20"/>
        <v>22313</v>
      </c>
    </row>
    <row r="504" spans="22:68" x14ac:dyDescent="0.25">
      <c r="V504" s="178"/>
      <c r="W504" s="174"/>
      <c r="X504" s="179"/>
      <c r="Y504" s="247"/>
      <c r="Z504" s="248"/>
      <c r="AA504" s="294" t="str">
        <f t="shared" si="21"/>
        <v/>
      </c>
      <c r="AB504" s="219" t="str">
        <f t="shared" si="22"/>
        <v/>
      </c>
      <c r="AC504" s="219">
        <f t="shared" si="23"/>
        <v>0</v>
      </c>
      <c r="AD504" s="219">
        <f t="shared" si="24"/>
        <v>0</v>
      </c>
      <c r="AE504" s="220">
        <f t="shared" si="25"/>
        <v>0</v>
      </c>
      <c r="AF504" s="221">
        <f t="shared" si="26"/>
        <v>0</v>
      </c>
      <c r="AG504" s="204"/>
      <c r="AH504" s="178"/>
      <c r="AI504" s="174"/>
      <c r="AJ504" s="179"/>
      <c r="AK504" s="247"/>
      <c r="AL504" s="248"/>
      <c r="AM504" s="294"/>
      <c r="AN504" s="219"/>
      <c r="AO504" s="219"/>
      <c r="AP504" s="219"/>
      <c r="AQ504" s="220"/>
      <c r="AR504" s="221"/>
      <c r="AY504" s="628"/>
      <c r="AZ504" s="470">
        <v>0.75</v>
      </c>
      <c r="BA504" s="466">
        <v>6075863328</v>
      </c>
      <c r="BB504" s="211">
        <v>429</v>
      </c>
      <c r="BC504" s="211">
        <v>424</v>
      </c>
      <c r="BD504" s="211">
        <v>496</v>
      </c>
      <c r="BE504" s="211">
        <v>584</v>
      </c>
      <c r="BF504" s="211">
        <v>501</v>
      </c>
      <c r="BG504" s="211">
        <v>911</v>
      </c>
      <c r="BH504" s="211">
        <v>1336</v>
      </c>
      <c r="BI504" s="211">
        <v>1313</v>
      </c>
      <c r="BJ504" s="211">
        <v>1255</v>
      </c>
      <c r="BK504" s="211">
        <v>654</v>
      </c>
      <c r="BL504" s="211">
        <v>453</v>
      </c>
      <c r="BM504" s="211">
        <v>202</v>
      </c>
      <c r="BO504" s="28">
        <f t="shared" si="19"/>
        <v>713.16666666666663</v>
      </c>
      <c r="BP504" s="28">
        <f t="shared" si="20"/>
        <v>8558</v>
      </c>
    </row>
    <row r="505" spans="22:68" x14ac:dyDescent="0.25">
      <c r="V505" s="178"/>
      <c r="W505" s="174"/>
      <c r="X505" s="179"/>
      <c r="Y505" s="247"/>
      <c r="Z505" s="248"/>
      <c r="AA505" s="294" t="str">
        <f t="shared" si="21"/>
        <v/>
      </c>
      <c r="AB505" s="219" t="str">
        <f t="shared" si="22"/>
        <v/>
      </c>
      <c r="AC505" s="219">
        <f t="shared" si="23"/>
        <v>0</v>
      </c>
      <c r="AD505" s="219">
        <f t="shared" si="24"/>
        <v>0</v>
      </c>
      <c r="AE505" s="220">
        <f t="shared" si="25"/>
        <v>0</v>
      </c>
      <c r="AF505" s="221">
        <f t="shared" si="26"/>
        <v>0</v>
      </c>
      <c r="AG505" s="204"/>
      <c r="AH505" s="178"/>
      <c r="AI505" s="174"/>
      <c r="AJ505" s="179"/>
      <c r="AK505" s="247"/>
      <c r="AL505" s="248"/>
      <c r="AM505" s="294"/>
      <c r="AN505" s="219"/>
      <c r="AO505" s="219"/>
      <c r="AP505" s="219"/>
      <c r="AQ505" s="220"/>
      <c r="AR505" s="221"/>
      <c r="AY505" s="628"/>
      <c r="AZ505" s="470">
        <v>0.75</v>
      </c>
      <c r="BA505" s="466">
        <v>6077095214</v>
      </c>
      <c r="BB505" s="211">
        <v>806</v>
      </c>
      <c r="BC505" s="211">
        <v>929</v>
      </c>
      <c r="BD505" s="211">
        <v>702</v>
      </c>
      <c r="BE505" s="211">
        <v>748</v>
      </c>
      <c r="BF505" s="211">
        <v>568</v>
      </c>
      <c r="BG505" s="211">
        <v>1686</v>
      </c>
      <c r="BH505" s="211">
        <v>4431</v>
      </c>
      <c r="BI505" s="211">
        <v>3660</v>
      </c>
      <c r="BJ505" s="211">
        <v>2245</v>
      </c>
      <c r="BK505" s="211">
        <v>1184</v>
      </c>
      <c r="BL505" s="211">
        <v>578</v>
      </c>
      <c r="BM505" s="211">
        <v>745</v>
      </c>
      <c r="BO505" s="28">
        <f t="shared" si="19"/>
        <v>1523.5</v>
      </c>
      <c r="BP505" s="28">
        <f t="shared" si="20"/>
        <v>18282</v>
      </c>
    </row>
    <row r="506" spans="22:68" x14ac:dyDescent="0.25">
      <c r="V506" s="178"/>
      <c r="W506" s="174"/>
      <c r="X506" s="179"/>
      <c r="Y506" s="247"/>
      <c r="Z506" s="248"/>
      <c r="AA506" s="294" t="str">
        <f t="shared" si="21"/>
        <v/>
      </c>
      <c r="AB506" s="219" t="str">
        <f t="shared" si="22"/>
        <v/>
      </c>
      <c r="AC506" s="219">
        <f t="shared" si="23"/>
        <v>0</v>
      </c>
      <c r="AD506" s="219">
        <f t="shared" si="24"/>
        <v>0</v>
      </c>
      <c r="AE506" s="220">
        <f t="shared" si="25"/>
        <v>0</v>
      </c>
      <c r="AF506" s="221">
        <f t="shared" si="26"/>
        <v>0</v>
      </c>
      <c r="AG506" s="204"/>
      <c r="AH506" s="178"/>
      <c r="AI506" s="174"/>
      <c r="AJ506" s="179"/>
      <c r="AK506" s="247"/>
      <c r="AL506" s="248"/>
      <c r="AM506" s="294"/>
      <c r="AN506" s="219"/>
      <c r="AO506" s="219"/>
      <c r="AP506" s="219"/>
      <c r="AQ506" s="220"/>
      <c r="AR506" s="221"/>
      <c r="AY506" s="628"/>
      <c r="AZ506" s="470">
        <v>1</v>
      </c>
      <c r="BA506" s="466">
        <v>6085611296</v>
      </c>
      <c r="BB506" s="211">
        <v>850</v>
      </c>
      <c r="BC506" s="211">
        <v>779</v>
      </c>
      <c r="BD506" s="211">
        <v>868</v>
      </c>
      <c r="BE506" s="211">
        <v>1815</v>
      </c>
      <c r="BF506" s="211">
        <v>5413</v>
      </c>
      <c r="BG506" s="211">
        <v>4759</v>
      </c>
      <c r="BH506" s="211">
        <v>9777</v>
      </c>
      <c r="BI506" s="211">
        <v>10692</v>
      </c>
      <c r="BJ506" s="211">
        <v>3397</v>
      </c>
      <c r="BK506" s="211">
        <v>1101</v>
      </c>
      <c r="BL506" s="211">
        <v>884</v>
      </c>
      <c r="BM506" s="211">
        <v>951</v>
      </c>
      <c r="BO506" s="28">
        <f t="shared" si="19"/>
        <v>3440.5</v>
      </c>
      <c r="BP506" s="28">
        <f t="shared" si="20"/>
        <v>41286</v>
      </c>
    </row>
    <row r="507" spans="22:68" x14ac:dyDescent="0.25">
      <c r="V507" s="178"/>
      <c r="W507" s="174"/>
      <c r="X507" s="179"/>
      <c r="Y507" s="247"/>
      <c r="Z507" s="248"/>
      <c r="AA507" s="294" t="str">
        <f t="shared" si="21"/>
        <v/>
      </c>
      <c r="AB507" s="219" t="str">
        <f t="shared" si="22"/>
        <v/>
      </c>
      <c r="AC507" s="219">
        <f t="shared" si="23"/>
        <v>0</v>
      </c>
      <c r="AD507" s="219">
        <f t="shared" si="24"/>
        <v>0</v>
      </c>
      <c r="AE507" s="220">
        <f t="shared" si="25"/>
        <v>0</v>
      </c>
      <c r="AF507" s="221">
        <f t="shared" si="26"/>
        <v>0</v>
      </c>
      <c r="AG507" s="204"/>
      <c r="AH507" s="178"/>
      <c r="AI507" s="174"/>
      <c r="AJ507" s="179"/>
      <c r="AK507" s="247"/>
      <c r="AL507" s="248"/>
      <c r="AM507" s="294"/>
      <c r="AN507" s="219"/>
      <c r="AO507" s="219"/>
      <c r="AP507" s="219"/>
      <c r="AQ507" s="220"/>
      <c r="AR507" s="221"/>
      <c r="AY507" s="628"/>
      <c r="AZ507" s="470">
        <v>0.75</v>
      </c>
      <c r="BA507" s="466">
        <v>6089213441</v>
      </c>
      <c r="BB507" s="211">
        <v>212</v>
      </c>
      <c r="BC507" s="211">
        <v>217</v>
      </c>
      <c r="BD507" s="211">
        <v>214</v>
      </c>
      <c r="BE507" s="211">
        <v>210</v>
      </c>
      <c r="BF507" s="211">
        <v>212</v>
      </c>
      <c r="BG507" s="211">
        <v>218</v>
      </c>
      <c r="BH507" s="211">
        <v>273</v>
      </c>
      <c r="BI507" s="211">
        <v>601</v>
      </c>
      <c r="BJ507" s="211">
        <v>255</v>
      </c>
      <c r="BK507" s="211">
        <v>211</v>
      </c>
      <c r="BL507" s="211">
        <v>170</v>
      </c>
      <c r="BM507" s="211">
        <v>148</v>
      </c>
      <c r="BO507" s="28">
        <f t="shared" si="19"/>
        <v>245.08333333333334</v>
      </c>
      <c r="BP507" s="28">
        <f t="shared" si="20"/>
        <v>2941</v>
      </c>
    </row>
    <row r="508" spans="22:68" x14ac:dyDescent="0.25">
      <c r="V508" s="178"/>
      <c r="W508" s="174"/>
      <c r="X508" s="179"/>
      <c r="Y508" s="247"/>
      <c r="Z508" s="248"/>
      <c r="AA508" s="294" t="str">
        <f t="shared" si="21"/>
        <v/>
      </c>
      <c r="AB508" s="219" t="str">
        <f t="shared" si="22"/>
        <v/>
      </c>
      <c r="AC508" s="219">
        <f t="shared" si="23"/>
        <v>0</v>
      </c>
      <c r="AD508" s="219">
        <f t="shared" si="24"/>
        <v>0</v>
      </c>
      <c r="AE508" s="220">
        <f t="shared" si="25"/>
        <v>0</v>
      </c>
      <c r="AF508" s="221">
        <f t="shared" si="26"/>
        <v>0</v>
      </c>
      <c r="AG508" s="204"/>
      <c r="AH508" s="178"/>
      <c r="AI508" s="174"/>
      <c r="AJ508" s="179"/>
      <c r="AK508" s="247"/>
      <c r="AL508" s="248"/>
      <c r="AM508" s="294"/>
      <c r="AN508" s="219"/>
      <c r="AO508" s="219"/>
      <c r="AP508" s="219"/>
      <c r="AQ508" s="220"/>
      <c r="AR508" s="221"/>
      <c r="AY508" s="628"/>
      <c r="AZ508" s="470">
        <v>1.5</v>
      </c>
      <c r="BA508" s="466">
        <v>6107626944</v>
      </c>
      <c r="BB508" s="211">
        <v>1020</v>
      </c>
      <c r="BC508" s="211">
        <v>1170</v>
      </c>
      <c r="BD508" s="211">
        <v>1320</v>
      </c>
      <c r="BE508" s="211">
        <v>1380</v>
      </c>
      <c r="BF508" s="211">
        <v>548</v>
      </c>
      <c r="BG508" s="211">
        <v>1732</v>
      </c>
      <c r="BH508" s="211">
        <v>1160</v>
      </c>
      <c r="BI508" s="211">
        <v>1250</v>
      </c>
      <c r="BJ508" s="211">
        <v>1340</v>
      </c>
      <c r="BK508" s="211">
        <v>1340</v>
      </c>
      <c r="BL508" s="211">
        <v>1100</v>
      </c>
      <c r="BM508" s="211">
        <v>1189</v>
      </c>
      <c r="BO508" s="28">
        <f t="shared" si="19"/>
        <v>1212.4166666666667</v>
      </c>
      <c r="BP508" s="28">
        <f t="shared" si="20"/>
        <v>14549</v>
      </c>
    </row>
    <row r="509" spans="22:68" x14ac:dyDescent="0.25">
      <c r="V509" s="178"/>
      <c r="W509" s="174"/>
      <c r="X509" s="179"/>
      <c r="Y509" s="247"/>
      <c r="Z509" s="248"/>
      <c r="AA509" s="294" t="str">
        <f t="shared" si="21"/>
        <v/>
      </c>
      <c r="AB509" s="219" t="str">
        <f t="shared" si="22"/>
        <v/>
      </c>
      <c r="AC509" s="219">
        <f t="shared" si="23"/>
        <v>0</v>
      </c>
      <c r="AD509" s="219">
        <f t="shared" si="24"/>
        <v>0</v>
      </c>
      <c r="AE509" s="220">
        <f t="shared" si="25"/>
        <v>0</v>
      </c>
      <c r="AF509" s="221">
        <f t="shared" si="26"/>
        <v>0</v>
      </c>
      <c r="AG509" s="204"/>
      <c r="AH509" s="178"/>
      <c r="AI509" s="174"/>
      <c r="AJ509" s="179"/>
      <c r="AK509" s="247"/>
      <c r="AL509" s="248"/>
      <c r="AM509" s="294"/>
      <c r="AN509" s="219"/>
      <c r="AO509" s="219"/>
      <c r="AP509" s="219"/>
      <c r="AQ509" s="220"/>
      <c r="AR509" s="221"/>
      <c r="AY509" s="628"/>
      <c r="AZ509" s="470">
        <v>0.75</v>
      </c>
      <c r="BA509" s="466">
        <v>6117445368</v>
      </c>
      <c r="BB509" s="211">
        <v>408</v>
      </c>
      <c r="BC509" s="211">
        <v>446</v>
      </c>
      <c r="BD509" s="211">
        <v>491</v>
      </c>
      <c r="BE509" s="211">
        <v>562</v>
      </c>
      <c r="BF509" s="211">
        <v>542</v>
      </c>
      <c r="BG509" s="211">
        <v>650</v>
      </c>
      <c r="BH509" s="211">
        <v>982</v>
      </c>
      <c r="BI509" s="211">
        <v>520</v>
      </c>
      <c r="BJ509" s="211">
        <v>667</v>
      </c>
      <c r="BK509" s="211">
        <v>230</v>
      </c>
      <c r="BL509" s="211">
        <v>280</v>
      </c>
      <c r="BM509" s="211">
        <v>421</v>
      </c>
      <c r="BO509" s="28">
        <f t="shared" si="19"/>
        <v>516.58333333333337</v>
      </c>
      <c r="BP509" s="28">
        <f t="shared" si="20"/>
        <v>6199</v>
      </c>
    </row>
    <row r="510" spans="22:68" x14ac:dyDescent="0.25">
      <c r="V510" s="178"/>
      <c r="W510" s="174"/>
      <c r="X510" s="179"/>
      <c r="Y510" s="247"/>
      <c r="Z510" s="248"/>
      <c r="AA510" s="294" t="str">
        <f t="shared" si="21"/>
        <v/>
      </c>
      <c r="AB510" s="219" t="str">
        <f t="shared" si="22"/>
        <v/>
      </c>
      <c r="AC510" s="219">
        <f t="shared" si="23"/>
        <v>0</v>
      </c>
      <c r="AD510" s="219">
        <f t="shared" si="24"/>
        <v>0</v>
      </c>
      <c r="AE510" s="220">
        <f t="shared" si="25"/>
        <v>0</v>
      </c>
      <c r="AF510" s="221">
        <f t="shared" si="26"/>
        <v>0</v>
      </c>
      <c r="AG510" s="204"/>
      <c r="AH510" s="178"/>
      <c r="AI510" s="174"/>
      <c r="AJ510" s="179"/>
      <c r="AK510" s="247"/>
      <c r="AL510" s="248"/>
      <c r="AM510" s="294"/>
      <c r="AN510" s="219"/>
      <c r="AO510" s="219"/>
      <c r="AP510" s="219"/>
      <c r="AQ510" s="220"/>
      <c r="AR510" s="221"/>
      <c r="AY510" s="628"/>
      <c r="AZ510" s="470">
        <v>0.75</v>
      </c>
      <c r="BA510" s="466">
        <v>6123862945</v>
      </c>
      <c r="BB510" s="211">
        <v>877</v>
      </c>
      <c r="BC510" s="211">
        <v>803</v>
      </c>
      <c r="BD510" s="211">
        <v>985</v>
      </c>
      <c r="BE510" s="211">
        <v>2009</v>
      </c>
      <c r="BF510" s="211">
        <v>2275</v>
      </c>
      <c r="BG510" s="211">
        <v>2852</v>
      </c>
      <c r="BH510" s="211">
        <v>6108</v>
      </c>
      <c r="BI510" s="211">
        <v>5087</v>
      </c>
      <c r="BJ510" s="211">
        <v>2967</v>
      </c>
      <c r="BK510" s="211">
        <v>2480</v>
      </c>
      <c r="BL510" s="211">
        <v>600</v>
      </c>
      <c r="BM510" s="211">
        <v>800</v>
      </c>
      <c r="BO510" s="28">
        <f t="shared" si="19"/>
        <v>2320.25</v>
      </c>
      <c r="BP510" s="28">
        <f t="shared" si="20"/>
        <v>27843</v>
      </c>
    </row>
    <row r="511" spans="22:68" x14ac:dyDescent="0.25">
      <c r="V511" s="178"/>
      <c r="W511" s="174"/>
      <c r="X511" s="179"/>
      <c r="Y511" s="247"/>
      <c r="Z511" s="248"/>
      <c r="AA511" s="294" t="str">
        <f t="shared" si="21"/>
        <v/>
      </c>
      <c r="AB511" s="219" t="str">
        <f t="shared" si="22"/>
        <v/>
      </c>
      <c r="AC511" s="219">
        <f t="shared" si="23"/>
        <v>0</v>
      </c>
      <c r="AD511" s="219">
        <f t="shared" si="24"/>
        <v>0</v>
      </c>
      <c r="AE511" s="220">
        <f t="shared" si="25"/>
        <v>0</v>
      </c>
      <c r="AF511" s="221">
        <f t="shared" si="26"/>
        <v>0</v>
      </c>
      <c r="AG511" s="204"/>
      <c r="AH511" s="178"/>
      <c r="AI511" s="174"/>
      <c r="AJ511" s="179"/>
      <c r="AK511" s="247"/>
      <c r="AL511" s="248"/>
      <c r="AM511" s="294"/>
      <c r="AN511" s="219"/>
      <c r="AO511" s="219"/>
      <c r="AP511" s="219"/>
      <c r="AQ511" s="220"/>
      <c r="AR511" s="221"/>
      <c r="AY511" s="628"/>
      <c r="AZ511" s="470">
        <v>0.75</v>
      </c>
      <c r="BA511" s="466">
        <v>6124342419</v>
      </c>
      <c r="BB511" s="211">
        <v>495</v>
      </c>
      <c r="BC511" s="211">
        <v>438</v>
      </c>
      <c r="BD511" s="211">
        <v>560</v>
      </c>
      <c r="BE511" s="211">
        <v>447</v>
      </c>
      <c r="BF511" s="211">
        <v>515</v>
      </c>
      <c r="BG511" s="211">
        <v>493</v>
      </c>
      <c r="BH511" s="211">
        <v>1233</v>
      </c>
      <c r="BI511" s="211">
        <v>1763</v>
      </c>
      <c r="BJ511" s="211">
        <v>1987</v>
      </c>
      <c r="BK511" s="211">
        <v>1021</v>
      </c>
      <c r="BL511" s="211">
        <v>304</v>
      </c>
      <c r="BM511" s="211">
        <v>423</v>
      </c>
      <c r="BO511" s="28">
        <f t="shared" si="19"/>
        <v>806.58333333333337</v>
      </c>
      <c r="BP511" s="28">
        <f t="shared" si="20"/>
        <v>9679</v>
      </c>
    </row>
    <row r="512" spans="22:68" x14ac:dyDescent="0.25">
      <c r="V512" s="178"/>
      <c r="W512" s="174"/>
      <c r="X512" s="179"/>
      <c r="Y512" s="247"/>
      <c r="Z512" s="248"/>
      <c r="AA512" s="294" t="str">
        <f t="shared" si="21"/>
        <v/>
      </c>
      <c r="AB512" s="219" t="str">
        <f t="shared" si="22"/>
        <v/>
      </c>
      <c r="AC512" s="219">
        <f t="shared" si="23"/>
        <v>0</v>
      </c>
      <c r="AD512" s="219">
        <f t="shared" si="24"/>
        <v>0</v>
      </c>
      <c r="AE512" s="220">
        <f t="shared" si="25"/>
        <v>0</v>
      </c>
      <c r="AF512" s="221">
        <f t="shared" si="26"/>
        <v>0</v>
      </c>
      <c r="AG512" s="204"/>
      <c r="AH512" s="178"/>
      <c r="AI512" s="174"/>
      <c r="AJ512" s="179"/>
      <c r="AK512" s="247"/>
      <c r="AL512" s="248"/>
      <c r="AM512" s="294"/>
      <c r="AN512" s="219"/>
      <c r="AO512" s="219"/>
      <c r="AP512" s="219"/>
      <c r="AQ512" s="220"/>
      <c r="AR512" s="221"/>
      <c r="AY512" s="628"/>
      <c r="AZ512" s="470">
        <v>1.5</v>
      </c>
      <c r="BA512" s="466">
        <v>6135889442</v>
      </c>
      <c r="BB512" s="211">
        <v>29500</v>
      </c>
      <c r="BC512" s="211">
        <v>14400</v>
      </c>
      <c r="BD512" s="211">
        <v>22900</v>
      </c>
      <c r="BE512" s="211">
        <v>18500</v>
      </c>
      <c r="BF512" s="211">
        <v>16300</v>
      </c>
      <c r="BG512" s="211">
        <v>19300</v>
      </c>
      <c r="BH512" s="211">
        <v>18100</v>
      </c>
      <c r="BI512" s="211">
        <v>12700</v>
      </c>
      <c r="BJ512" s="211">
        <v>16600</v>
      </c>
      <c r="BK512" s="211">
        <v>14300</v>
      </c>
      <c r="BL512" s="211">
        <v>19300</v>
      </c>
      <c r="BM512" s="211">
        <v>27000</v>
      </c>
      <c r="BO512" s="28">
        <f t="shared" si="19"/>
        <v>19075</v>
      </c>
      <c r="BP512" s="28">
        <f t="shared" si="20"/>
        <v>228900</v>
      </c>
    </row>
    <row r="513" spans="22:68" x14ac:dyDescent="0.25">
      <c r="V513" s="178"/>
      <c r="W513" s="174"/>
      <c r="X513" s="179"/>
      <c r="Y513" s="247"/>
      <c r="Z513" s="248"/>
      <c r="AA513" s="294" t="str">
        <f t="shared" si="21"/>
        <v/>
      </c>
      <c r="AB513" s="219" t="str">
        <f t="shared" si="22"/>
        <v/>
      </c>
      <c r="AC513" s="219">
        <f t="shared" si="23"/>
        <v>0</v>
      </c>
      <c r="AD513" s="219">
        <f t="shared" si="24"/>
        <v>0</v>
      </c>
      <c r="AE513" s="220">
        <f t="shared" si="25"/>
        <v>0</v>
      </c>
      <c r="AF513" s="221">
        <f t="shared" si="26"/>
        <v>0</v>
      </c>
      <c r="AG513" s="204"/>
      <c r="AH513" s="178"/>
      <c r="AI513" s="174"/>
      <c r="AJ513" s="179"/>
      <c r="AK513" s="247"/>
      <c r="AL513" s="248"/>
      <c r="AM513" s="294"/>
      <c r="AN513" s="219"/>
      <c r="AO513" s="219"/>
      <c r="AP513" s="219"/>
      <c r="AQ513" s="220"/>
      <c r="AR513" s="221"/>
      <c r="AY513" s="628"/>
      <c r="AZ513" s="470">
        <v>0.75</v>
      </c>
      <c r="BA513" s="466">
        <v>6136945649</v>
      </c>
      <c r="BB513" s="211">
        <v>437</v>
      </c>
      <c r="BC513" s="211">
        <v>415</v>
      </c>
      <c r="BD513" s="211">
        <v>453</v>
      </c>
      <c r="BE513" s="211">
        <v>489</v>
      </c>
      <c r="BF513" s="211">
        <v>417</v>
      </c>
      <c r="BG513" s="211">
        <v>333</v>
      </c>
      <c r="BH513" s="211">
        <v>3764</v>
      </c>
      <c r="BI513" s="211">
        <v>3525</v>
      </c>
      <c r="BJ513" s="211">
        <v>3603</v>
      </c>
      <c r="BK513" s="211">
        <v>3187</v>
      </c>
      <c r="BL513" s="211">
        <v>2447</v>
      </c>
      <c r="BM513" s="211" t="s">
        <v>655</v>
      </c>
      <c r="BO513" s="28">
        <f t="shared" si="19"/>
        <v>1733.6363636363637</v>
      </c>
      <c r="BP513" s="28">
        <f t="shared" si="20"/>
        <v>19070</v>
      </c>
    </row>
    <row r="514" spans="22:68" x14ac:dyDescent="0.25">
      <c r="V514" s="178"/>
      <c r="W514" s="174"/>
      <c r="X514" s="179"/>
      <c r="Y514" s="247"/>
      <c r="Z514" s="248"/>
      <c r="AA514" s="294" t="str">
        <f t="shared" si="21"/>
        <v/>
      </c>
      <c r="AB514" s="219" t="str">
        <f t="shared" si="22"/>
        <v/>
      </c>
      <c r="AC514" s="219">
        <f t="shared" si="23"/>
        <v>0</v>
      </c>
      <c r="AD514" s="219">
        <f t="shared" si="24"/>
        <v>0</v>
      </c>
      <c r="AE514" s="220">
        <f t="shared" si="25"/>
        <v>0</v>
      </c>
      <c r="AF514" s="221">
        <f t="shared" si="26"/>
        <v>0</v>
      </c>
      <c r="AG514" s="204"/>
      <c r="AH514" s="178"/>
      <c r="AI514" s="174"/>
      <c r="AJ514" s="179"/>
      <c r="AK514" s="247"/>
      <c r="AL514" s="248"/>
      <c r="AM514" s="294"/>
      <c r="AN514" s="219"/>
      <c r="AO514" s="219"/>
      <c r="AP514" s="219"/>
      <c r="AQ514" s="220"/>
      <c r="AR514" s="221"/>
      <c r="AY514" s="628"/>
      <c r="AZ514" s="470">
        <v>0.75</v>
      </c>
      <c r="BA514" s="466">
        <v>6145306414</v>
      </c>
      <c r="BB514" s="211">
        <v>544</v>
      </c>
      <c r="BC514" s="211">
        <v>356</v>
      </c>
      <c r="BD514" s="211">
        <v>378</v>
      </c>
      <c r="BE514" s="211">
        <v>971</v>
      </c>
      <c r="BF514" s="211">
        <v>1541</v>
      </c>
      <c r="BG514" s="211">
        <v>2753</v>
      </c>
      <c r="BH514" s="211">
        <v>5206</v>
      </c>
      <c r="BI514" s="211">
        <v>4962</v>
      </c>
      <c r="BJ514" s="211">
        <v>3152</v>
      </c>
      <c r="BK514" s="211">
        <v>928</v>
      </c>
      <c r="BL514" s="211">
        <v>362</v>
      </c>
      <c r="BM514" s="211">
        <v>410</v>
      </c>
      <c r="BO514" s="28">
        <f t="shared" si="19"/>
        <v>1796.9166666666667</v>
      </c>
      <c r="BP514" s="28">
        <f t="shared" si="20"/>
        <v>21563</v>
      </c>
    </row>
    <row r="515" spans="22:68" x14ac:dyDescent="0.25">
      <c r="V515" s="178"/>
      <c r="W515" s="174"/>
      <c r="X515" s="179"/>
      <c r="Y515" s="247"/>
      <c r="Z515" s="248"/>
      <c r="AA515" s="294" t="str">
        <f t="shared" si="21"/>
        <v/>
      </c>
      <c r="AB515" s="219" t="str">
        <f t="shared" si="22"/>
        <v/>
      </c>
      <c r="AC515" s="219">
        <f t="shared" si="23"/>
        <v>0</v>
      </c>
      <c r="AD515" s="219">
        <f t="shared" si="24"/>
        <v>0</v>
      </c>
      <c r="AE515" s="220">
        <f t="shared" si="25"/>
        <v>0</v>
      </c>
      <c r="AF515" s="221">
        <f t="shared" si="26"/>
        <v>0</v>
      </c>
      <c r="AG515" s="204"/>
      <c r="AH515" s="178"/>
      <c r="AI515" s="174"/>
      <c r="AJ515" s="179"/>
      <c r="AK515" s="247"/>
      <c r="AL515" s="248"/>
      <c r="AM515" s="294"/>
      <c r="AN515" s="219"/>
      <c r="AO515" s="219"/>
      <c r="AP515" s="219"/>
      <c r="AQ515" s="220"/>
      <c r="AR515" s="221"/>
      <c r="AY515" s="628"/>
      <c r="AZ515" s="470">
        <v>0.625</v>
      </c>
      <c r="BA515" s="466">
        <v>6170149044</v>
      </c>
      <c r="BB515" s="211">
        <v>321</v>
      </c>
      <c r="BC515" s="211">
        <v>158</v>
      </c>
      <c r="BD515" s="211" t="s">
        <v>655</v>
      </c>
      <c r="BE515" s="211" t="s">
        <v>655</v>
      </c>
      <c r="BF515" s="211" t="s">
        <v>655</v>
      </c>
      <c r="BG515" s="211" t="s">
        <v>655</v>
      </c>
      <c r="BH515" s="211" t="s">
        <v>655</v>
      </c>
      <c r="BI515" s="211" t="s">
        <v>655</v>
      </c>
      <c r="BJ515" s="211" t="s">
        <v>655</v>
      </c>
      <c r="BK515" s="211" t="s">
        <v>655</v>
      </c>
      <c r="BL515" s="211" t="s">
        <v>655</v>
      </c>
      <c r="BM515" s="211" t="s">
        <v>655</v>
      </c>
      <c r="BO515" s="28">
        <f t="shared" si="19"/>
        <v>239.5</v>
      </c>
      <c r="BP515" s="28">
        <f t="shared" si="20"/>
        <v>479</v>
      </c>
    </row>
    <row r="516" spans="22:68" x14ac:dyDescent="0.25">
      <c r="V516" s="178"/>
      <c r="W516" s="174"/>
      <c r="X516" s="179"/>
      <c r="Y516" s="247"/>
      <c r="Z516" s="248"/>
      <c r="AA516" s="294" t="str">
        <f t="shared" si="21"/>
        <v/>
      </c>
      <c r="AB516" s="219" t="str">
        <f t="shared" si="22"/>
        <v/>
      </c>
      <c r="AC516" s="219">
        <f t="shared" si="23"/>
        <v>0</v>
      </c>
      <c r="AD516" s="219">
        <f t="shared" si="24"/>
        <v>0</v>
      </c>
      <c r="AE516" s="220">
        <f t="shared" si="25"/>
        <v>0</v>
      </c>
      <c r="AF516" s="221">
        <f t="shared" si="26"/>
        <v>0</v>
      </c>
      <c r="AG516" s="204"/>
      <c r="AH516" s="178"/>
      <c r="AI516" s="174"/>
      <c r="AJ516" s="179"/>
      <c r="AK516" s="247"/>
      <c r="AL516" s="248"/>
      <c r="AM516" s="294"/>
      <c r="AN516" s="219"/>
      <c r="AO516" s="219"/>
      <c r="AP516" s="219"/>
      <c r="AQ516" s="220"/>
      <c r="AR516" s="221"/>
      <c r="AY516" s="628"/>
      <c r="AZ516" s="470">
        <v>1</v>
      </c>
      <c r="BA516" s="466">
        <v>6180682658</v>
      </c>
      <c r="BB516" s="211">
        <v>701</v>
      </c>
      <c r="BC516" s="211">
        <v>660</v>
      </c>
      <c r="BD516" s="211">
        <v>759</v>
      </c>
      <c r="BE516" s="211">
        <v>934</v>
      </c>
      <c r="BF516" s="211">
        <v>958</v>
      </c>
      <c r="BG516" s="211">
        <v>949</v>
      </c>
      <c r="BH516" s="211">
        <v>3766</v>
      </c>
      <c r="BI516" s="211">
        <v>3247</v>
      </c>
      <c r="BJ516" s="211">
        <v>2860</v>
      </c>
      <c r="BK516" s="211">
        <v>1051</v>
      </c>
      <c r="BL516" s="211">
        <v>756</v>
      </c>
      <c r="BM516" s="211">
        <v>765</v>
      </c>
      <c r="BO516" s="28">
        <f t="shared" si="19"/>
        <v>1450.5</v>
      </c>
      <c r="BP516" s="28">
        <f t="shared" si="20"/>
        <v>17406</v>
      </c>
    </row>
    <row r="517" spans="22:68" x14ac:dyDescent="0.25">
      <c r="V517" s="178"/>
      <c r="W517" s="174"/>
      <c r="X517" s="179"/>
      <c r="Y517" s="247"/>
      <c r="Z517" s="248"/>
      <c r="AA517" s="294" t="str">
        <f t="shared" si="21"/>
        <v/>
      </c>
      <c r="AB517" s="219" t="str">
        <f t="shared" si="22"/>
        <v/>
      </c>
      <c r="AC517" s="219">
        <f t="shared" si="23"/>
        <v>0</v>
      </c>
      <c r="AD517" s="219">
        <f t="shared" si="24"/>
        <v>0</v>
      </c>
      <c r="AE517" s="220">
        <f t="shared" si="25"/>
        <v>0</v>
      </c>
      <c r="AF517" s="221">
        <f t="shared" si="26"/>
        <v>0</v>
      </c>
      <c r="AG517" s="204"/>
      <c r="AH517" s="178"/>
      <c r="AI517" s="174"/>
      <c r="AJ517" s="179"/>
      <c r="AK517" s="247"/>
      <c r="AL517" s="248"/>
      <c r="AM517" s="294"/>
      <c r="AN517" s="219"/>
      <c r="AO517" s="219"/>
      <c r="AP517" s="219"/>
      <c r="AQ517" s="220"/>
      <c r="AR517" s="221"/>
      <c r="AY517" s="628"/>
      <c r="AZ517" s="470">
        <v>0.75</v>
      </c>
      <c r="BA517" s="466">
        <v>6189934866</v>
      </c>
      <c r="BB517" s="211">
        <v>1106</v>
      </c>
      <c r="BC517" s="211">
        <v>1311</v>
      </c>
      <c r="BD517" s="211">
        <v>429</v>
      </c>
      <c r="BE517" s="211">
        <v>1854</v>
      </c>
      <c r="BF517" s="211">
        <v>1631</v>
      </c>
      <c r="BG517" s="211">
        <v>2436</v>
      </c>
      <c r="BH517" s="211">
        <v>5984</v>
      </c>
      <c r="BI517" s="211">
        <v>4830</v>
      </c>
      <c r="BJ517" s="211">
        <v>3031</v>
      </c>
      <c r="BK517" s="211">
        <v>1103</v>
      </c>
      <c r="BL517" s="211">
        <v>930</v>
      </c>
      <c r="BM517" s="211">
        <v>300</v>
      </c>
      <c r="BO517" s="28">
        <f t="shared" si="19"/>
        <v>2078.75</v>
      </c>
      <c r="BP517" s="28">
        <f t="shared" si="20"/>
        <v>24945</v>
      </c>
    </row>
    <row r="518" spans="22:68" x14ac:dyDescent="0.25">
      <c r="V518" s="178"/>
      <c r="W518" s="174"/>
      <c r="X518" s="179"/>
      <c r="Y518" s="247"/>
      <c r="Z518" s="248"/>
      <c r="AA518" s="294" t="str">
        <f t="shared" si="21"/>
        <v/>
      </c>
      <c r="AB518" s="219" t="str">
        <f t="shared" si="22"/>
        <v/>
      </c>
      <c r="AC518" s="219">
        <f t="shared" si="23"/>
        <v>0</v>
      </c>
      <c r="AD518" s="219">
        <f t="shared" si="24"/>
        <v>0</v>
      </c>
      <c r="AE518" s="220">
        <f t="shared" si="25"/>
        <v>0</v>
      </c>
      <c r="AF518" s="221">
        <f t="shared" si="26"/>
        <v>0</v>
      </c>
      <c r="AG518" s="204"/>
      <c r="AH518" s="178"/>
      <c r="AI518" s="174"/>
      <c r="AJ518" s="179"/>
      <c r="AK518" s="247"/>
      <c r="AL518" s="248"/>
      <c r="AM518" s="294"/>
      <c r="AN518" s="219"/>
      <c r="AO518" s="219"/>
      <c r="AP518" s="219"/>
      <c r="AQ518" s="220"/>
      <c r="AR518" s="221"/>
      <c r="AY518" s="628"/>
      <c r="AZ518" s="470">
        <v>0.75</v>
      </c>
      <c r="BA518" s="466">
        <v>6199508998</v>
      </c>
      <c r="BB518" s="211">
        <v>490</v>
      </c>
      <c r="BC518" s="211">
        <v>402</v>
      </c>
      <c r="BD518" s="211">
        <v>278</v>
      </c>
      <c r="BE518" s="211">
        <v>507</v>
      </c>
      <c r="BF518" s="211">
        <v>304</v>
      </c>
      <c r="BG518" s="211">
        <v>511</v>
      </c>
      <c r="BH518" s="211">
        <v>1175</v>
      </c>
      <c r="BI518" s="211">
        <v>811</v>
      </c>
      <c r="BJ518" s="211">
        <v>489</v>
      </c>
      <c r="BK518" s="211">
        <v>400</v>
      </c>
      <c r="BL518" s="211">
        <v>200</v>
      </c>
      <c r="BM518" s="211">
        <v>641</v>
      </c>
      <c r="BO518" s="28">
        <f t="shared" si="19"/>
        <v>517.33333333333337</v>
      </c>
      <c r="BP518" s="28">
        <f t="shared" si="20"/>
        <v>6208</v>
      </c>
    </row>
    <row r="519" spans="22:68" x14ac:dyDescent="0.25">
      <c r="V519" s="178"/>
      <c r="W519" s="174"/>
      <c r="X519" s="179"/>
      <c r="Y519" s="247"/>
      <c r="Z519" s="248"/>
      <c r="AA519" s="294" t="str">
        <f t="shared" si="21"/>
        <v/>
      </c>
      <c r="AB519" s="219" t="str">
        <f t="shared" si="22"/>
        <v/>
      </c>
      <c r="AC519" s="219">
        <f t="shared" si="23"/>
        <v>0</v>
      </c>
      <c r="AD519" s="219">
        <f t="shared" si="24"/>
        <v>0</v>
      </c>
      <c r="AE519" s="220">
        <f t="shared" si="25"/>
        <v>0</v>
      </c>
      <c r="AF519" s="221">
        <f t="shared" si="26"/>
        <v>0</v>
      </c>
      <c r="AG519" s="204"/>
      <c r="AH519" s="178"/>
      <c r="AI519" s="174"/>
      <c r="AJ519" s="179"/>
      <c r="AK519" s="247"/>
      <c r="AL519" s="248"/>
      <c r="AM519" s="294"/>
      <c r="AN519" s="219"/>
      <c r="AO519" s="219"/>
      <c r="AP519" s="219"/>
      <c r="AQ519" s="220"/>
      <c r="AR519" s="221"/>
      <c r="AY519" s="628"/>
      <c r="AZ519" s="470">
        <v>0.75</v>
      </c>
      <c r="BA519" s="466">
        <v>6214336828</v>
      </c>
      <c r="BB519" s="211">
        <v>900</v>
      </c>
      <c r="BC519" s="211">
        <v>741</v>
      </c>
      <c r="BD519" s="211">
        <v>873</v>
      </c>
      <c r="BE519" s="211">
        <v>867</v>
      </c>
      <c r="BF519" s="211">
        <v>797</v>
      </c>
      <c r="BG519" s="211">
        <v>770</v>
      </c>
      <c r="BH519" s="211">
        <v>1885</v>
      </c>
      <c r="BI519" s="211">
        <v>934</v>
      </c>
      <c r="BJ519" s="211">
        <v>1062</v>
      </c>
      <c r="BK519" s="211">
        <v>894</v>
      </c>
      <c r="BL519" s="211">
        <v>678</v>
      </c>
      <c r="BM519" s="211">
        <v>874</v>
      </c>
      <c r="BO519" s="28">
        <f t="shared" si="19"/>
        <v>939.58333333333337</v>
      </c>
      <c r="BP519" s="28">
        <f t="shared" si="20"/>
        <v>11275</v>
      </c>
    </row>
    <row r="520" spans="22:68" x14ac:dyDescent="0.25">
      <c r="V520" s="178"/>
      <c r="W520" s="174"/>
      <c r="X520" s="179"/>
      <c r="Y520" s="247"/>
      <c r="Z520" s="248"/>
      <c r="AA520" s="294" t="str">
        <f t="shared" si="21"/>
        <v/>
      </c>
      <c r="AB520" s="219" t="str">
        <f t="shared" ref="AB520:AB583" si="27">IF(Y520&gt;1,IF((TestEOY-X520)/365&gt;AA520,AA520,ROUNDUP(((TestEOY-X520)/365),0)),"")</f>
        <v/>
      </c>
      <c r="AC520" s="219">
        <f t="shared" si="23"/>
        <v>0</v>
      </c>
      <c r="AD520" s="219">
        <f t="shared" si="24"/>
        <v>0</v>
      </c>
      <c r="AE520" s="220">
        <f t="shared" si="25"/>
        <v>0</v>
      </c>
      <c r="AF520" s="221">
        <f t="shared" si="26"/>
        <v>0</v>
      </c>
      <c r="AG520" s="204"/>
      <c r="AH520" s="178"/>
      <c r="AI520" s="174"/>
      <c r="AJ520" s="179"/>
      <c r="AK520" s="247"/>
      <c r="AL520" s="248"/>
      <c r="AM520" s="294"/>
      <c r="AN520" s="219"/>
      <c r="AO520" s="219"/>
      <c r="AP520" s="219"/>
      <c r="AQ520" s="220"/>
      <c r="AR520" s="221"/>
      <c r="AY520" s="628"/>
      <c r="AZ520" s="470">
        <v>0.75</v>
      </c>
      <c r="BA520" s="466">
        <v>6221148470</v>
      </c>
      <c r="BB520" s="211">
        <v>615</v>
      </c>
      <c r="BC520" s="211">
        <v>389</v>
      </c>
      <c r="BD520" s="211">
        <v>889</v>
      </c>
      <c r="BE520" s="211">
        <v>444</v>
      </c>
      <c r="BF520" s="211">
        <v>343</v>
      </c>
      <c r="BG520" s="211">
        <v>1854</v>
      </c>
      <c r="BH520" s="211">
        <v>1064</v>
      </c>
      <c r="BI520" s="211">
        <v>835</v>
      </c>
      <c r="BJ520" s="211">
        <v>860</v>
      </c>
      <c r="BK520" s="211">
        <v>566</v>
      </c>
      <c r="BL520" s="211">
        <v>1034</v>
      </c>
      <c r="BM520" s="211">
        <v>250</v>
      </c>
      <c r="BO520" s="28">
        <f t="shared" si="19"/>
        <v>761.91666666666663</v>
      </c>
      <c r="BP520" s="28">
        <f t="shared" si="20"/>
        <v>9143</v>
      </c>
    </row>
    <row r="521" spans="22:68" x14ac:dyDescent="0.25">
      <c r="V521" s="178"/>
      <c r="W521" s="174"/>
      <c r="X521" s="179"/>
      <c r="Y521" s="247"/>
      <c r="Z521" s="248"/>
      <c r="AA521" s="294" t="str">
        <f t="shared" ref="AA521:AA584" si="28">IFERROR(INDEX($AU$8:$AU$23,MATCH(V521,$AT$8:$AT$23,0)),"")</f>
        <v/>
      </c>
      <c r="AB521" s="219" t="str">
        <f t="shared" si="27"/>
        <v/>
      </c>
      <c r="AC521" s="219">
        <f t="shared" ref="AC521:AC584" si="29">IFERROR(IF(AB521&gt;=AA521,0,IF(AA521&gt;AB521,SLN(Y521,Z521,AA521),0)),"")</f>
        <v>0</v>
      </c>
      <c r="AD521" s="219">
        <f t="shared" ref="AD521:AD584" si="30">AE521-AC521</f>
        <v>0</v>
      </c>
      <c r="AE521" s="220">
        <f t="shared" ref="AE521:AE584" si="31">IFERROR(IF(OR(AA521=0,AA521=""),
     0,
     IF(AB521&gt;=AA521,
          +Y521,
          (+AC521*AB521))),
"")</f>
        <v>0</v>
      </c>
      <c r="AF521" s="221">
        <f t="shared" ref="AF521:AF584" si="32">IFERROR(IF(AE521&gt;Y521,0,(+Y521-AE521))-Z521,"")</f>
        <v>0</v>
      </c>
      <c r="AG521" s="204"/>
      <c r="AH521" s="178"/>
      <c r="AI521" s="174"/>
      <c r="AJ521" s="179"/>
      <c r="AK521" s="247"/>
      <c r="AL521" s="248"/>
      <c r="AM521" s="294"/>
      <c r="AN521" s="219"/>
      <c r="AO521" s="219"/>
      <c r="AP521" s="219"/>
      <c r="AQ521" s="220"/>
      <c r="AR521" s="221"/>
      <c r="AY521" s="628"/>
      <c r="AZ521" s="470">
        <v>0.75</v>
      </c>
      <c r="BA521" s="466">
        <v>6239120591</v>
      </c>
      <c r="BB521" s="211">
        <v>433</v>
      </c>
      <c r="BC521" s="211">
        <v>353</v>
      </c>
      <c r="BD521" s="211" t="s">
        <v>655</v>
      </c>
      <c r="BE521" s="211">
        <v>174</v>
      </c>
      <c r="BF521" s="211">
        <v>856</v>
      </c>
      <c r="BG521" s="211">
        <v>448</v>
      </c>
      <c r="BH521" s="211">
        <v>1400</v>
      </c>
      <c r="BI521" s="211">
        <v>1366</v>
      </c>
      <c r="BJ521" s="211">
        <v>686</v>
      </c>
      <c r="BK521" s="211">
        <v>210</v>
      </c>
      <c r="BL521" s="211">
        <v>315</v>
      </c>
      <c r="BM521" s="211">
        <v>275</v>
      </c>
      <c r="BO521" s="28">
        <f t="shared" ref="BO521:BO584" si="33">AVERAGE(BB521:BM521)</f>
        <v>592.36363636363637</v>
      </c>
      <c r="BP521" s="28">
        <f t="shared" ref="BP521:BP584" si="34">SUM(BB521:BM521)</f>
        <v>6516</v>
      </c>
    </row>
    <row r="522" spans="22:68" x14ac:dyDescent="0.25">
      <c r="V522" s="178"/>
      <c r="W522" s="174"/>
      <c r="X522" s="179"/>
      <c r="Y522" s="247"/>
      <c r="Z522" s="248"/>
      <c r="AA522" s="294" t="str">
        <f t="shared" si="28"/>
        <v/>
      </c>
      <c r="AB522" s="219" t="str">
        <f t="shared" si="27"/>
        <v/>
      </c>
      <c r="AC522" s="219">
        <f t="shared" si="29"/>
        <v>0</v>
      </c>
      <c r="AD522" s="219">
        <f t="shared" si="30"/>
        <v>0</v>
      </c>
      <c r="AE522" s="220">
        <f t="shared" si="31"/>
        <v>0</v>
      </c>
      <c r="AF522" s="221">
        <f t="shared" si="32"/>
        <v>0</v>
      </c>
      <c r="AG522" s="204"/>
      <c r="AH522" s="178"/>
      <c r="AI522" s="174"/>
      <c r="AJ522" s="179"/>
      <c r="AK522" s="247"/>
      <c r="AL522" s="248"/>
      <c r="AM522" s="294"/>
      <c r="AN522" s="219"/>
      <c r="AO522" s="219"/>
      <c r="AP522" s="219"/>
      <c r="AQ522" s="220"/>
      <c r="AR522" s="221"/>
      <c r="AY522" s="628"/>
      <c r="AZ522" s="470">
        <v>0.75</v>
      </c>
      <c r="BA522" s="466">
        <v>6249368641</v>
      </c>
      <c r="BB522" s="211">
        <v>454</v>
      </c>
      <c r="BC522" s="211">
        <v>358</v>
      </c>
      <c r="BD522" s="211">
        <v>267</v>
      </c>
      <c r="BE522" s="211">
        <v>400</v>
      </c>
      <c r="BF522" s="211">
        <v>3747</v>
      </c>
      <c r="BG522" s="211">
        <v>210</v>
      </c>
      <c r="BH522" s="211">
        <v>8763</v>
      </c>
      <c r="BI522" s="211">
        <v>7384</v>
      </c>
      <c r="BJ522" s="211">
        <v>633</v>
      </c>
      <c r="BK522" s="211">
        <v>11363</v>
      </c>
      <c r="BL522" s="211">
        <v>1000</v>
      </c>
      <c r="BM522" s="211">
        <v>500</v>
      </c>
      <c r="BO522" s="28">
        <f t="shared" si="33"/>
        <v>2923.25</v>
      </c>
      <c r="BP522" s="28">
        <f t="shared" si="34"/>
        <v>35079</v>
      </c>
    </row>
    <row r="523" spans="22:68" x14ac:dyDescent="0.25">
      <c r="V523" s="178"/>
      <c r="W523" s="174"/>
      <c r="X523" s="179"/>
      <c r="Y523" s="247"/>
      <c r="Z523" s="248"/>
      <c r="AA523" s="294" t="str">
        <f t="shared" si="28"/>
        <v/>
      </c>
      <c r="AB523" s="219" t="str">
        <f t="shared" si="27"/>
        <v/>
      </c>
      <c r="AC523" s="219">
        <f t="shared" si="29"/>
        <v>0</v>
      </c>
      <c r="AD523" s="219">
        <f t="shared" si="30"/>
        <v>0</v>
      </c>
      <c r="AE523" s="220">
        <f t="shared" si="31"/>
        <v>0</v>
      </c>
      <c r="AF523" s="221">
        <f t="shared" si="32"/>
        <v>0</v>
      </c>
      <c r="AG523" s="204"/>
      <c r="AH523" s="178"/>
      <c r="AI523" s="174"/>
      <c r="AJ523" s="179"/>
      <c r="AK523" s="247"/>
      <c r="AL523" s="248"/>
      <c r="AM523" s="294"/>
      <c r="AN523" s="219"/>
      <c r="AO523" s="219"/>
      <c r="AP523" s="219"/>
      <c r="AQ523" s="220"/>
      <c r="AR523" s="221"/>
      <c r="AY523" s="628"/>
      <c r="AZ523" s="470">
        <v>0.625</v>
      </c>
      <c r="BA523" s="466">
        <v>6250174738</v>
      </c>
      <c r="BB523" s="211">
        <v>262</v>
      </c>
      <c r="BC523" s="211">
        <v>193</v>
      </c>
      <c r="BD523" s="211">
        <v>182</v>
      </c>
      <c r="BE523" s="211">
        <v>210</v>
      </c>
      <c r="BF523" s="211">
        <v>324</v>
      </c>
      <c r="BG523" s="211">
        <v>360</v>
      </c>
      <c r="BH523" s="211">
        <v>1278</v>
      </c>
      <c r="BI523" s="211">
        <v>1031</v>
      </c>
      <c r="BJ523" s="211">
        <v>853</v>
      </c>
      <c r="BK523" s="211">
        <v>265</v>
      </c>
      <c r="BL523" s="211">
        <v>170</v>
      </c>
      <c r="BM523" s="211">
        <v>207</v>
      </c>
      <c r="BO523" s="28">
        <f t="shared" si="33"/>
        <v>444.58333333333331</v>
      </c>
      <c r="BP523" s="28">
        <f t="shared" si="34"/>
        <v>5335</v>
      </c>
    </row>
    <row r="524" spans="22:68" x14ac:dyDescent="0.25">
      <c r="V524" s="178"/>
      <c r="W524" s="174"/>
      <c r="X524" s="179"/>
      <c r="Y524" s="247"/>
      <c r="Z524" s="248"/>
      <c r="AA524" s="294" t="str">
        <f t="shared" si="28"/>
        <v/>
      </c>
      <c r="AB524" s="219" t="str">
        <f t="shared" si="27"/>
        <v/>
      </c>
      <c r="AC524" s="219">
        <f t="shared" si="29"/>
        <v>0</v>
      </c>
      <c r="AD524" s="219">
        <f t="shared" si="30"/>
        <v>0</v>
      </c>
      <c r="AE524" s="220">
        <f t="shared" si="31"/>
        <v>0</v>
      </c>
      <c r="AF524" s="221">
        <f t="shared" si="32"/>
        <v>0</v>
      </c>
      <c r="AG524" s="204"/>
      <c r="AH524" s="178"/>
      <c r="AI524" s="174"/>
      <c r="AJ524" s="179"/>
      <c r="AK524" s="247"/>
      <c r="AL524" s="248"/>
      <c r="AM524" s="294"/>
      <c r="AN524" s="219"/>
      <c r="AO524" s="219"/>
      <c r="AP524" s="219"/>
      <c r="AQ524" s="220"/>
      <c r="AR524" s="221"/>
      <c r="AY524" s="628"/>
      <c r="AZ524" s="470">
        <v>0.625</v>
      </c>
      <c r="BA524" s="466">
        <v>6286200687</v>
      </c>
      <c r="BB524" s="211" t="s">
        <v>655</v>
      </c>
      <c r="BC524" s="211" t="s">
        <v>655</v>
      </c>
      <c r="BD524" s="211" t="s">
        <v>655</v>
      </c>
      <c r="BE524" s="211" t="s">
        <v>655</v>
      </c>
      <c r="BF524" s="211" t="s">
        <v>655</v>
      </c>
      <c r="BG524" s="211" t="s">
        <v>655</v>
      </c>
      <c r="BH524" s="211" t="s">
        <v>655</v>
      </c>
      <c r="BI524" s="211" t="s">
        <v>655</v>
      </c>
      <c r="BJ524" s="211">
        <v>942</v>
      </c>
      <c r="BK524" s="211" t="s">
        <v>655</v>
      </c>
      <c r="BL524" s="211" t="s">
        <v>655</v>
      </c>
      <c r="BM524" s="211" t="s">
        <v>655</v>
      </c>
      <c r="BO524" s="28">
        <f t="shared" si="33"/>
        <v>942</v>
      </c>
      <c r="BP524" s="28">
        <f t="shared" si="34"/>
        <v>942</v>
      </c>
    </row>
    <row r="525" spans="22:68" x14ac:dyDescent="0.25">
      <c r="V525" s="178"/>
      <c r="W525" s="174"/>
      <c r="X525" s="179"/>
      <c r="Y525" s="247"/>
      <c r="Z525" s="248"/>
      <c r="AA525" s="294" t="str">
        <f t="shared" si="28"/>
        <v/>
      </c>
      <c r="AB525" s="219" t="str">
        <f t="shared" si="27"/>
        <v/>
      </c>
      <c r="AC525" s="219">
        <f t="shared" si="29"/>
        <v>0</v>
      </c>
      <c r="AD525" s="219">
        <f t="shared" si="30"/>
        <v>0</v>
      </c>
      <c r="AE525" s="220">
        <f t="shared" si="31"/>
        <v>0</v>
      </c>
      <c r="AF525" s="221">
        <f t="shared" si="32"/>
        <v>0</v>
      </c>
      <c r="AG525" s="204"/>
      <c r="AH525" s="178"/>
      <c r="AI525" s="174"/>
      <c r="AJ525" s="179"/>
      <c r="AK525" s="247"/>
      <c r="AL525" s="248"/>
      <c r="AM525" s="294"/>
      <c r="AN525" s="219"/>
      <c r="AO525" s="219"/>
      <c r="AP525" s="219"/>
      <c r="AQ525" s="220"/>
      <c r="AR525" s="221"/>
      <c r="AY525" s="628"/>
      <c r="AZ525" s="470">
        <v>0.625</v>
      </c>
      <c r="BA525" s="466">
        <v>6314781217</v>
      </c>
      <c r="BB525" s="211">
        <v>209</v>
      </c>
      <c r="BC525" s="211">
        <v>201</v>
      </c>
      <c r="BD525" s="211">
        <v>207</v>
      </c>
      <c r="BE525" s="211">
        <v>252</v>
      </c>
      <c r="BF525" s="211">
        <v>306</v>
      </c>
      <c r="BG525" s="211">
        <v>1301</v>
      </c>
      <c r="BH525" s="211">
        <v>3590</v>
      </c>
      <c r="BI525" s="211">
        <v>2516</v>
      </c>
      <c r="BJ525" s="211">
        <v>2016</v>
      </c>
      <c r="BK525" s="211">
        <v>606</v>
      </c>
      <c r="BL525" s="211">
        <v>581</v>
      </c>
      <c r="BM525" s="211">
        <v>190</v>
      </c>
      <c r="BO525" s="28">
        <f t="shared" si="33"/>
        <v>997.91666666666663</v>
      </c>
      <c r="BP525" s="28">
        <f t="shared" si="34"/>
        <v>11975</v>
      </c>
    </row>
    <row r="526" spans="22:68" x14ac:dyDescent="0.25">
      <c r="V526" s="178"/>
      <c r="W526" s="174"/>
      <c r="X526" s="179"/>
      <c r="Y526" s="247"/>
      <c r="Z526" s="248"/>
      <c r="AA526" s="294" t="str">
        <f t="shared" si="28"/>
        <v/>
      </c>
      <c r="AB526" s="219" t="str">
        <f t="shared" si="27"/>
        <v/>
      </c>
      <c r="AC526" s="219">
        <f t="shared" si="29"/>
        <v>0</v>
      </c>
      <c r="AD526" s="219">
        <f t="shared" si="30"/>
        <v>0</v>
      </c>
      <c r="AE526" s="220">
        <f t="shared" si="31"/>
        <v>0</v>
      </c>
      <c r="AF526" s="221">
        <f t="shared" si="32"/>
        <v>0</v>
      </c>
      <c r="AG526" s="204"/>
      <c r="AH526" s="178"/>
      <c r="AI526" s="174"/>
      <c r="AJ526" s="179"/>
      <c r="AK526" s="247"/>
      <c r="AL526" s="248"/>
      <c r="AM526" s="294"/>
      <c r="AN526" s="219"/>
      <c r="AO526" s="219"/>
      <c r="AP526" s="219"/>
      <c r="AQ526" s="220"/>
      <c r="AR526" s="221"/>
      <c r="AY526" s="628"/>
      <c r="AZ526" s="470">
        <v>0.75</v>
      </c>
      <c r="BA526" s="466">
        <v>6321031710</v>
      </c>
      <c r="BB526" s="211">
        <v>157</v>
      </c>
      <c r="BC526" s="211">
        <v>236</v>
      </c>
      <c r="BD526" s="211">
        <v>135</v>
      </c>
      <c r="BE526" s="211">
        <v>123</v>
      </c>
      <c r="BF526" s="211">
        <v>91</v>
      </c>
      <c r="BG526" s="211">
        <v>109</v>
      </c>
      <c r="BH526" s="211">
        <v>130</v>
      </c>
      <c r="BI526" s="211">
        <v>150</v>
      </c>
      <c r="BJ526" s="211">
        <v>123</v>
      </c>
      <c r="BK526" s="211">
        <v>77</v>
      </c>
      <c r="BL526" s="211">
        <v>116</v>
      </c>
      <c r="BM526" s="211">
        <v>74</v>
      </c>
      <c r="BO526" s="28">
        <f t="shared" si="33"/>
        <v>126.75</v>
      </c>
      <c r="BP526" s="28">
        <f t="shared" si="34"/>
        <v>1521</v>
      </c>
    </row>
    <row r="527" spans="22:68" x14ac:dyDescent="0.25">
      <c r="V527" s="178"/>
      <c r="W527" s="174"/>
      <c r="X527" s="179"/>
      <c r="Y527" s="247"/>
      <c r="Z527" s="248"/>
      <c r="AA527" s="294" t="str">
        <f t="shared" si="28"/>
        <v/>
      </c>
      <c r="AB527" s="219" t="str">
        <f t="shared" si="27"/>
        <v/>
      </c>
      <c r="AC527" s="219">
        <f t="shared" si="29"/>
        <v>0</v>
      </c>
      <c r="AD527" s="219">
        <f t="shared" si="30"/>
        <v>0</v>
      </c>
      <c r="AE527" s="220">
        <f t="shared" si="31"/>
        <v>0</v>
      </c>
      <c r="AF527" s="221">
        <f t="shared" si="32"/>
        <v>0</v>
      </c>
      <c r="AG527" s="204"/>
      <c r="AH527" s="178"/>
      <c r="AI527" s="174"/>
      <c r="AJ527" s="179"/>
      <c r="AK527" s="247"/>
      <c r="AL527" s="248"/>
      <c r="AM527" s="294"/>
      <c r="AN527" s="219"/>
      <c r="AO527" s="219"/>
      <c r="AP527" s="219"/>
      <c r="AQ527" s="220"/>
      <c r="AR527" s="221"/>
      <c r="AY527" s="628"/>
      <c r="AZ527" s="470">
        <v>0.75</v>
      </c>
      <c r="BA527" s="466">
        <v>6321287216</v>
      </c>
      <c r="BB527" s="211">
        <v>430</v>
      </c>
      <c r="BC527" s="211">
        <v>463</v>
      </c>
      <c r="BD527" s="211">
        <v>350</v>
      </c>
      <c r="BE527" s="211">
        <v>478</v>
      </c>
      <c r="BF527" s="211">
        <v>1600</v>
      </c>
      <c r="BG527" s="211">
        <v>712</v>
      </c>
      <c r="BH527" s="211">
        <v>6690</v>
      </c>
      <c r="BI527" s="211">
        <v>4298</v>
      </c>
      <c r="BJ527" s="211">
        <v>900</v>
      </c>
      <c r="BK527" s="211">
        <v>7120</v>
      </c>
      <c r="BL527" s="211">
        <v>280</v>
      </c>
      <c r="BM527" s="211">
        <v>200</v>
      </c>
      <c r="BO527" s="28">
        <f t="shared" si="33"/>
        <v>1960.0833333333333</v>
      </c>
      <c r="BP527" s="28">
        <f t="shared" si="34"/>
        <v>23521</v>
      </c>
    </row>
    <row r="528" spans="22:68" x14ac:dyDescent="0.25">
      <c r="V528" s="178"/>
      <c r="W528" s="174"/>
      <c r="X528" s="179"/>
      <c r="Y528" s="247"/>
      <c r="Z528" s="248"/>
      <c r="AA528" s="294" t="str">
        <f t="shared" si="28"/>
        <v/>
      </c>
      <c r="AB528" s="219" t="str">
        <f t="shared" si="27"/>
        <v/>
      </c>
      <c r="AC528" s="219">
        <f t="shared" si="29"/>
        <v>0</v>
      </c>
      <c r="AD528" s="219">
        <f t="shared" si="30"/>
        <v>0</v>
      </c>
      <c r="AE528" s="220">
        <f t="shared" si="31"/>
        <v>0</v>
      </c>
      <c r="AF528" s="221">
        <f t="shared" si="32"/>
        <v>0</v>
      </c>
      <c r="AG528" s="204"/>
      <c r="AH528" s="178"/>
      <c r="AI528" s="174"/>
      <c r="AJ528" s="179"/>
      <c r="AK528" s="247"/>
      <c r="AL528" s="248"/>
      <c r="AM528" s="294"/>
      <c r="AN528" s="219"/>
      <c r="AO528" s="219"/>
      <c r="AP528" s="219"/>
      <c r="AQ528" s="220"/>
      <c r="AR528" s="221"/>
      <c r="AY528" s="628"/>
      <c r="AZ528" s="470">
        <v>0.75</v>
      </c>
      <c r="BA528" s="466">
        <v>6325586949</v>
      </c>
      <c r="BB528" s="211">
        <v>262</v>
      </c>
      <c r="BC528" s="211">
        <v>200</v>
      </c>
      <c r="BD528" s="211">
        <v>199</v>
      </c>
      <c r="BE528" s="211">
        <v>262</v>
      </c>
      <c r="BF528" s="211">
        <v>229</v>
      </c>
      <c r="BG528" s="211">
        <v>210</v>
      </c>
      <c r="BH528" s="211">
        <v>534</v>
      </c>
      <c r="BI528" s="211">
        <v>637</v>
      </c>
      <c r="BJ528" s="211">
        <v>350</v>
      </c>
      <c r="BK528" s="211">
        <v>240</v>
      </c>
      <c r="BL528" s="211">
        <v>70</v>
      </c>
      <c r="BM528" s="211">
        <v>281</v>
      </c>
      <c r="BO528" s="28">
        <f t="shared" si="33"/>
        <v>289.5</v>
      </c>
      <c r="BP528" s="28">
        <f t="shared" si="34"/>
        <v>3474</v>
      </c>
    </row>
    <row r="529" spans="22:68" x14ac:dyDescent="0.25">
      <c r="V529" s="178"/>
      <c r="W529" s="174"/>
      <c r="X529" s="179"/>
      <c r="Y529" s="247"/>
      <c r="Z529" s="248"/>
      <c r="AA529" s="294" t="str">
        <f t="shared" si="28"/>
        <v/>
      </c>
      <c r="AB529" s="219" t="str">
        <f t="shared" si="27"/>
        <v/>
      </c>
      <c r="AC529" s="219">
        <f t="shared" si="29"/>
        <v>0</v>
      </c>
      <c r="AD529" s="219">
        <f t="shared" si="30"/>
        <v>0</v>
      </c>
      <c r="AE529" s="220">
        <f t="shared" si="31"/>
        <v>0</v>
      </c>
      <c r="AF529" s="221">
        <f t="shared" si="32"/>
        <v>0</v>
      </c>
      <c r="AG529" s="204"/>
      <c r="AH529" s="178"/>
      <c r="AI529" s="174"/>
      <c r="AJ529" s="179"/>
      <c r="AK529" s="247"/>
      <c r="AL529" s="248"/>
      <c r="AM529" s="294"/>
      <c r="AN529" s="219"/>
      <c r="AO529" s="219"/>
      <c r="AP529" s="219"/>
      <c r="AQ529" s="220"/>
      <c r="AR529" s="221"/>
      <c r="AY529" s="628"/>
      <c r="AZ529" s="470">
        <v>0.75</v>
      </c>
      <c r="BA529" s="466">
        <v>6344430168</v>
      </c>
      <c r="BB529" s="211">
        <v>190</v>
      </c>
      <c r="BC529" s="211">
        <v>206</v>
      </c>
      <c r="BD529" s="211">
        <v>289</v>
      </c>
      <c r="BE529" s="211" t="s">
        <v>655</v>
      </c>
      <c r="BF529" s="211">
        <v>1259</v>
      </c>
      <c r="BG529" s="211">
        <v>856</v>
      </c>
      <c r="BH529" s="211">
        <v>988</v>
      </c>
      <c r="BI529" s="211">
        <v>1176</v>
      </c>
      <c r="BJ529" s="211">
        <v>1793</v>
      </c>
      <c r="BK529" s="211">
        <v>1523</v>
      </c>
      <c r="BL529" s="211">
        <v>1935</v>
      </c>
      <c r="BM529" s="211">
        <v>1973</v>
      </c>
      <c r="BO529" s="28">
        <f t="shared" si="33"/>
        <v>1108</v>
      </c>
      <c r="BP529" s="28">
        <f t="shared" si="34"/>
        <v>12188</v>
      </c>
    </row>
    <row r="530" spans="22:68" x14ac:dyDescent="0.25">
      <c r="V530" s="178"/>
      <c r="W530" s="174"/>
      <c r="X530" s="179"/>
      <c r="Y530" s="247"/>
      <c r="Z530" s="248"/>
      <c r="AA530" s="294" t="str">
        <f t="shared" si="28"/>
        <v/>
      </c>
      <c r="AB530" s="219" t="str">
        <f t="shared" si="27"/>
        <v/>
      </c>
      <c r="AC530" s="219">
        <f t="shared" si="29"/>
        <v>0</v>
      </c>
      <c r="AD530" s="219">
        <f t="shared" si="30"/>
        <v>0</v>
      </c>
      <c r="AE530" s="220">
        <f t="shared" si="31"/>
        <v>0</v>
      </c>
      <c r="AF530" s="221">
        <f t="shared" si="32"/>
        <v>0</v>
      </c>
      <c r="AG530" s="204"/>
      <c r="AH530" s="178"/>
      <c r="AI530" s="174"/>
      <c r="AJ530" s="179"/>
      <c r="AK530" s="247"/>
      <c r="AL530" s="248"/>
      <c r="AM530" s="294"/>
      <c r="AN530" s="219"/>
      <c r="AO530" s="219"/>
      <c r="AP530" s="219"/>
      <c r="AQ530" s="220"/>
      <c r="AR530" s="221"/>
      <c r="AY530" s="628"/>
      <c r="AZ530" s="470">
        <v>0.75</v>
      </c>
      <c r="BA530" s="466">
        <v>6369316219</v>
      </c>
      <c r="BB530" s="211">
        <v>365</v>
      </c>
      <c r="BC530" s="211">
        <v>374</v>
      </c>
      <c r="BD530" s="211">
        <v>407</v>
      </c>
      <c r="BE530" s="211">
        <v>300</v>
      </c>
      <c r="BF530" s="211">
        <v>301</v>
      </c>
      <c r="BG530" s="211">
        <v>581</v>
      </c>
      <c r="BH530" s="211">
        <v>362</v>
      </c>
      <c r="BI530" s="211">
        <v>1016</v>
      </c>
      <c r="BJ530" s="211">
        <v>650</v>
      </c>
      <c r="BK530" s="211">
        <v>790</v>
      </c>
      <c r="BL530" s="211">
        <v>500</v>
      </c>
      <c r="BM530" s="211">
        <v>150</v>
      </c>
      <c r="BO530" s="28">
        <f t="shared" si="33"/>
        <v>483</v>
      </c>
      <c r="BP530" s="28">
        <f t="shared" si="34"/>
        <v>5796</v>
      </c>
    </row>
    <row r="531" spans="22:68" x14ac:dyDescent="0.25">
      <c r="V531" s="178"/>
      <c r="W531" s="174"/>
      <c r="X531" s="179"/>
      <c r="Y531" s="247"/>
      <c r="Z531" s="248"/>
      <c r="AA531" s="294" t="str">
        <f t="shared" si="28"/>
        <v/>
      </c>
      <c r="AB531" s="219" t="str">
        <f t="shared" si="27"/>
        <v/>
      </c>
      <c r="AC531" s="219">
        <f t="shared" si="29"/>
        <v>0</v>
      </c>
      <c r="AD531" s="219">
        <f t="shared" si="30"/>
        <v>0</v>
      </c>
      <c r="AE531" s="220">
        <f t="shared" si="31"/>
        <v>0</v>
      </c>
      <c r="AF531" s="221">
        <f t="shared" si="32"/>
        <v>0</v>
      </c>
      <c r="AG531" s="204"/>
      <c r="AH531" s="178"/>
      <c r="AI531" s="174"/>
      <c r="AJ531" s="179"/>
      <c r="AK531" s="247"/>
      <c r="AL531" s="248"/>
      <c r="AM531" s="294"/>
      <c r="AN531" s="219"/>
      <c r="AO531" s="219"/>
      <c r="AP531" s="219"/>
      <c r="AQ531" s="220"/>
      <c r="AR531" s="221"/>
      <c r="AY531" s="628"/>
      <c r="AZ531" s="470">
        <v>1</v>
      </c>
      <c r="BA531" s="466">
        <v>6415317907</v>
      </c>
      <c r="BB531" s="211">
        <v>313</v>
      </c>
      <c r="BC531" s="211">
        <v>1</v>
      </c>
      <c r="BD531" s="211">
        <v>715</v>
      </c>
      <c r="BE531" s="211" t="s">
        <v>655</v>
      </c>
      <c r="BF531" s="211" t="s">
        <v>655</v>
      </c>
      <c r="BG531" s="211" t="s">
        <v>655</v>
      </c>
      <c r="BH531" s="211" t="s">
        <v>655</v>
      </c>
      <c r="BI531" s="211" t="s">
        <v>655</v>
      </c>
      <c r="BJ531" s="211" t="s">
        <v>655</v>
      </c>
      <c r="BK531" s="211">
        <v>4521</v>
      </c>
      <c r="BL531" s="211">
        <v>696</v>
      </c>
      <c r="BM531" s="211">
        <v>761</v>
      </c>
      <c r="BO531" s="28">
        <f t="shared" si="33"/>
        <v>1167.8333333333333</v>
      </c>
      <c r="BP531" s="28">
        <f t="shared" si="34"/>
        <v>7007</v>
      </c>
    </row>
    <row r="532" spans="22:68" x14ac:dyDescent="0.25">
      <c r="V532" s="178"/>
      <c r="W532" s="174"/>
      <c r="X532" s="179"/>
      <c r="Y532" s="247"/>
      <c r="Z532" s="248"/>
      <c r="AA532" s="294" t="str">
        <f t="shared" si="28"/>
        <v/>
      </c>
      <c r="AB532" s="219" t="str">
        <f t="shared" si="27"/>
        <v/>
      </c>
      <c r="AC532" s="219">
        <f t="shared" si="29"/>
        <v>0</v>
      </c>
      <c r="AD532" s="219">
        <f t="shared" si="30"/>
        <v>0</v>
      </c>
      <c r="AE532" s="220">
        <f t="shared" si="31"/>
        <v>0</v>
      </c>
      <c r="AF532" s="221">
        <f t="shared" si="32"/>
        <v>0</v>
      </c>
      <c r="AG532" s="204"/>
      <c r="AH532" s="178"/>
      <c r="AI532" s="174"/>
      <c r="AJ532" s="179"/>
      <c r="AK532" s="247"/>
      <c r="AL532" s="248"/>
      <c r="AM532" s="294"/>
      <c r="AN532" s="219"/>
      <c r="AO532" s="219"/>
      <c r="AP532" s="219"/>
      <c r="AQ532" s="220"/>
      <c r="AR532" s="221"/>
      <c r="AY532" s="628"/>
      <c r="AZ532" s="470">
        <v>0.75</v>
      </c>
      <c r="BA532" s="466">
        <v>6422650642</v>
      </c>
      <c r="BB532" s="211">
        <v>127</v>
      </c>
      <c r="BC532" s="211">
        <v>56</v>
      </c>
      <c r="BD532" s="211">
        <v>79</v>
      </c>
      <c r="BE532" s="211">
        <v>133</v>
      </c>
      <c r="BF532" s="211">
        <v>85</v>
      </c>
      <c r="BG532" s="211">
        <v>49</v>
      </c>
      <c r="BH532" s="211">
        <v>182</v>
      </c>
      <c r="BI532" s="211">
        <v>635</v>
      </c>
      <c r="BJ532" s="211">
        <v>61</v>
      </c>
      <c r="BK532" s="211">
        <v>175</v>
      </c>
      <c r="BL532" s="211">
        <v>117</v>
      </c>
      <c r="BM532" s="211">
        <v>18</v>
      </c>
      <c r="BO532" s="28">
        <f t="shared" si="33"/>
        <v>143.08333333333334</v>
      </c>
      <c r="BP532" s="28">
        <f t="shared" si="34"/>
        <v>1717</v>
      </c>
    </row>
    <row r="533" spans="22:68" x14ac:dyDescent="0.25">
      <c r="V533" s="178"/>
      <c r="W533" s="174"/>
      <c r="X533" s="179"/>
      <c r="Y533" s="247"/>
      <c r="Z533" s="248"/>
      <c r="AA533" s="294" t="str">
        <f t="shared" si="28"/>
        <v/>
      </c>
      <c r="AB533" s="219" t="str">
        <f t="shared" si="27"/>
        <v/>
      </c>
      <c r="AC533" s="219">
        <f t="shared" si="29"/>
        <v>0</v>
      </c>
      <c r="AD533" s="219">
        <f t="shared" si="30"/>
        <v>0</v>
      </c>
      <c r="AE533" s="220">
        <f t="shared" si="31"/>
        <v>0</v>
      </c>
      <c r="AF533" s="221">
        <f t="shared" si="32"/>
        <v>0</v>
      </c>
      <c r="AG533" s="204"/>
      <c r="AH533" s="178"/>
      <c r="AI533" s="174"/>
      <c r="AJ533" s="179"/>
      <c r="AK533" s="247"/>
      <c r="AL533" s="248"/>
      <c r="AM533" s="294"/>
      <c r="AN533" s="219"/>
      <c r="AO533" s="219"/>
      <c r="AP533" s="219"/>
      <c r="AQ533" s="220"/>
      <c r="AR533" s="221"/>
      <c r="AY533" s="628"/>
      <c r="AZ533" s="470">
        <v>0.75</v>
      </c>
      <c r="BA533" s="466">
        <v>6427036683</v>
      </c>
      <c r="BB533" s="211">
        <v>1265</v>
      </c>
      <c r="BC533" s="211">
        <v>261</v>
      </c>
      <c r="BD533" s="211" t="s">
        <v>655</v>
      </c>
      <c r="BE533" s="211">
        <v>1976</v>
      </c>
      <c r="BF533" s="211">
        <v>911</v>
      </c>
      <c r="BG533" s="211">
        <v>2463</v>
      </c>
      <c r="BH533" s="211">
        <v>5171</v>
      </c>
      <c r="BI533" s="211">
        <v>4212</v>
      </c>
      <c r="BJ533" s="211">
        <v>1466</v>
      </c>
      <c r="BK533" s="211">
        <v>600</v>
      </c>
      <c r="BL533" s="211">
        <v>1000</v>
      </c>
      <c r="BM533" s="211">
        <v>867</v>
      </c>
      <c r="BO533" s="28">
        <f t="shared" si="33"/>
        <v>1835.6363636363637</v>
      </c>
      <c r="BP533" s="28">
        <f t="shared" si="34"/>
        <v>20192</v>
      </c>
    </row>
    <row r="534" spans="22:68" x14ac:dyDescent="0.25">
      <c r="V534" s="178"/>
      <c r="W534" s="174"/>
      <c r="X534" s="179"/>
      <c r="Y534" s="247"/>
      <c r="Z534" s="248"/>
      <c r="AA534" s="294" t="str">
        <f t="shared" si="28"/>
        <v/>
      </c>
      <c r="AB534" s="219" t="str">
        <f t="shared" si="27"/>
        <v/>
      </c>
      <c r="AC534" s="219">
        <f t="shared" si="29"/>
        <v>0</v>
      </c>
      <c r="AD534" s="219">
        <f t="shared" si="30"/>
        <v>0</v>
      </c>
      <c r="AE534" s="220">
        <f t="shared" si="31"/>
        <v>0</v>
      </c>
      <c r="AF534" s="221">
        <f t="shared" si="32"/>
        <v>0</v>
      </c>
      <c r="AG534" s="204"/>
      <c r="AH534" s="178"/>
      <c r="AI534" s="174"/>
      <c r="AJ534" s="179"/>
      <c r="AK534" s="247"/>
      <c r="AL534" s="248"/>
      <c r="AM534" s="294"/>
      <c r="AN534" s="219"/>
      <c r="AO534" s="219"/>
      <c r="AP534" s="219"/>
      <c r="AQ534" s="220"/>
      <c r="AR534" s="221"/>
      <c r="AY534" s="628"/>
      <c r="AZ534" s="470">
        <v>0.75</v>
      </c>
      <c r="BA534" s="466">
        <v>6431206464</v>
      </c>
      <c r="BB534" s="211">
        <v>327</v>
      </c>
      <c r="BC534" s="211">
        <v>339</v>
      </c>
      <c r="BD534" s="211">
        <v>357</v>
      </c>
      <c r="BE534" s="211">
        <v>379</v>
      </c>
      <c r="BF534" s="211">
        <v>300</v>
      </c>
      <c r="BG534" s="211">
        <v>368</v>
      </c>
      <c r="BH534" s="211">
        <v>515</v>
      </c>
      <c r="BI534" s="211">
        <v>1045</v>
      </c>
      <c r="BJ534" s="211">
        <v>1028</v>
      </c>
      <c r="BK534" s="211">
        <v>345</v>
      </c>
      <c r="BL534" s="211">
        <v>299</v>
      </c>
      <c r="BM534" s="211">
        <v>300</v>
      </c>
      <c r="BO534" s="28">
        <f t="shared" si="33"/>
        <v>466.83333333333331</v>
      </c>
      <c r="BP534" s="28">
        <f t="shared" si="34"/>
        <v>5602</v>
      </c>
    </row>
    <row r="535" spans="22:68" x14ac:dyDescent="0.25">
      <c r="V535" s="178"/>
      <c r="W535" s="174"/>
      <c r="X535" s="179"/>
      <c r="Y535" s="247"/>
      <c r="Z535" s="248"/>
      <c r="AA535" s="294" t="str">
        <f t="shared" si="28"/>
        <v/>
      </c>
      <c r="AB535" s="219" t="str">
        <f t="shared" si="27"/>
        <v/>
      </c>
      <c r="AC535" s="219">
        <f t="shared" si="29"/>
        <v>0</v>
      </c>
      <c r="AD535" s="219">
        <f t="shared" si="30"/>
        <v>0</v>
      </c>
      <c r="AE535" s="220">
        <f t="shared" si="31"/>
        <v>0</v>
      </c>
      <c r="AF535" s="221">
        <f t="shared" si="32"/>
        <v>0</v>
      </c>
      <c r="AG535" s="204"/>
      <c r="AH535" s="178"/>
      <c r="AI535" s="174"/>
      <c r="AJ535" s="179"/>
      <c r="AK535" s="247"/>
      <c r="AL535" s="248"/>
      <c r="AM535" s="294"/>
      <c r="AN535" s="219"/>
      <c r="AO535" s="219"/>
      <c r="AP535" s="219"/>
      <c r="AQ535" s="220"/>
      <c r="AR535" s="221"/>
      <c r="AY535" s="628"/>
      <c r="AZ535" s="470">
        <v>0.75</v>
      </c>
      <c r="BA535" s="466">
        <v>6432200135</v>
      </c>
      <c r="BB535" s="211">
        <v>1062</v>
      </c>
      <c r="BC535" s="211">
        <v>1065</v>
      </c>
      <c r="BD535" s="211">
        <v>1116</v>
      </c>
      <c r="BE535" s="211">
        <v>1169</v>
      </c>
      <c r="BF535" s="211">
        <v>755</v>
      </c>
      <c r="BG535" s="211">
        <v>1377</v>
      </c>
      <c r="BH535" s="211">
        <v>5397</v>
      </c>
      <c r="BI535" s="211">
        <v>5723</v>
      </c>
      <c r="BJ535" s="211">
        <v>3626</v>
      </c>
      <c r="BK535" s="211">
        <v>892</v>
      </c>
      <c r="BL535" s="211">
        <v>495</v>
      </c>
      <c r="BM535" s="211">
        <v>675</v>
      </c>
      <c r="BO535" s="28">
        <f t="shared" si="33"/>
        <v>1946</v>
      </c>
      <c r="BP535" s="28">
        <f t="shared" si="34"/>
        <v>23352</v>
      </c>
    </row>
    <row r="536" spans="22:68" x14ac:dyDescent="0.25">
      <c r="V536" s="178"/>
      <c r="W536" s="174"/>
      <c r="X536" s="179"/>
      <c r="Y536" s="247"/>
      <c r="Z536" s="248"/>
      <c r="AA536" s="294" t="str">
        <f t="shared" si="28"/>
        <v/>
      </c>
      <c r="AB536" s="219" t="str">
        <f t="shared" si="27"/>
        <v/>
      </c>
      <c r="AC536" s="219">
        <f t="shared" si="29"/>
        <v>0</v>
      </c>
      <c r="AD536" s="219">
        <f t="shared" si="30"/>
        <v>0</v>
      </c>
      <c r="AE536" s="220">
        <f t="shared" si="31"/>
        <v>0</v>
      </c>
      <c r="AF536" s="221">
        <f t="shared" si="32"/>
        <v>0</v>
      </c>
      <c r="AG536" s="204"/>
      <c r="AH536" s="178"/>
      <c r="AI536" s="174"/>
      <c r="AJ536" s="179"/>
      <c r="AK536" s="247"/>
      <c r="AL536" s="248"/>
      <c r="AM536" s="294"/>
      <c r="AN536" s="219"/>
      <c r="AO536" s="219"/>
      <c r="AP536" s="219"/>
      <c r="AQ536" s="220"/>
      <c r="AR536" s="221"/>
      <c r="AY536" s="628"/>
      <c r="AZ536" s="470">
        <v>0.75</v>
      </c>
      <c r="BA536" s="466">
        <v>6435621360</v>
      </c>
      <c r="BB536" s="211">
        <v>33</v>
      </c>
      <c r="BC536" s="211">
        <v>46</v>
      </c>
      <c r="BD536" s="211">
        <v>48</v>
      </c>
      <c r="BE536" s="211">
        <v>41</v>
      </c>
      <c r="BF536" s="211">
        <v>43</v>
      </c>
      <c r="BG536" s="211">
        <v>41</v>
      </c>
      <c r="BH536" s="211">
        <v>27</v>
      </c>
      <c r="BI536" s="211">
        <v>27</v>
      </c>
      <c r="BJ536" s="211">
        <v>99</v>
      </c>
      <c r="BK536" s="211">
        <v>44</v>
      </c>
      <c r="BL536" s="211">
        <v>31</v>
      </c>
      <c r="BM536" s="211">
        <v>70</v>
      </c>
      <c r="BO536" s="28">
        <f t="shared" si="33"/>
        <v>45.833333333333336</v>
      </c>
      <c r="BP536" s="28">
        <f t="shared" si="34"/>
        <v>550</v>
      </c>
    </row>
    <row r="537" spans="22:68" x14ac:dyDescent="0.25">
      <c r="V537" s="178"/>
      <c r="W537" s="174"/>
      <c r="X537" s="179"/>
      <c r="Y537" s="247"/>
      <c r="Z537" s="248"/>
      <c r="AA537" s="294" t="str">
        <f t="shared" si="28"/>
        <v/>
      </c>
      <c r="AB537" s="219" t="str">
        <f t="shared" si="27"/>
        <v/>
      </c>
      <c r="AC537" s="219">
        <f t="shared" si="29"/>
        <v>0</v>
      </c>
      <c r="AD537" s="219">
        <f t="shared" si="30"/>
        <v>0</v>
      </c>
      <c r="AE537" s="220">
        <f t="shared" si="31"/>
        <v>0</v>
      </c>
      <c r="AF537" s="221">
        <f t="shared" si="32"/>
        <v>0</v>
      </c>
      <c r="AG537" s="204"/>
      <c r="AH537" s="178"/>
      <c r="AI537" s="174"/>
      <c r="AJ537" s="179"/>
      <c r="AK537" s="247"/>
      <c r="AL537" s="248"/>
      <c r="AM537" s="294"/>
      <c r="AN537" s="219"/>
      <c r="AO537" s="219"/>
      <c r="AP537" s="219"/>
      <c r="AQ537" s="220"/>
      <c r="AR537" s="221"/>
      <c r="AY537" s="628"/>
      <c r="AZ537" s="470">
        <v>0.75</v>
      </c>
      <c r="BA537" s="466">
        <v>6468651978</v>
      </c>
      <c r="BB537" s="211">
        <v>149</v>
      </c>
      <c r="BC537" s="211">
        <v>112</v>
      </c>
      <c r="BD537" s="211">
        <v>88</v>
      </c>
      <c r="BE537" s="211">
        <v>263</v>
      </c>
      <c r="BF537" s="211">
        <v>114</v>
      </c>
      <c r="BG537" s="211">
        <v>128</v>
      </c>
      <c r="BH537" s="211">
        <v>120</v>
      </c>
      <c r="BI537" s="211">
        <v>134</v>
      </c>
      <c r="BJ537" s="211">
        <v>88</v>
      </c>
      <c r="BK537" s="211">
        <v>114</v>
      </c>
      <c r="BL537" s="211">
        <v>102</v>
      </c>
      <c r="BM537" s="211">
        <v>83</v>
      </c>
      <c r="BO537" s="28">
        <f t="shared" si="33"/>
        <v>124.58333333333333</v>
      </c>
      <c r="BP537" s="28">
        <f t="shared" si="34"/>
        <v>1495</v>
      </c>
    </row>
    <row r="538" spans="22:68" x14ac:dyDescent="0.25">
      <c r="V538" s="178"/>
      <c r="W538" s="174"/>
      <c r="X538" s="179"/>
      <c r="Y538" s="247"/>
      <c r="Z538" s="248"/>
      <c r="AA538" s="294" t="str">
        <f t="shared" si="28"/>
        <v/>
      </c>
      <c r="AB538" s="219" t="str">
        <f t="shared" si="27"/>
        <v/>
      </c>
      <c r="AC538" s="219">
        <f t="shared" si="29"/>
        <v>0</v>
      </c>
      <c r="AD538" s="219">
        <f t="shared" si="30"/>
        <v>0</v>
      </c>
      <c r="AE538" s="220">
        <f t="shared" si="31"/>
        <v>0</v>
      </c>
      <c r="AF538" s="221">
        <f t="shared" si="32"/>
        <v>0</v>
      </c>
      <c r="AG538" s="204"/>
      <c r="AH538" s="178"/>
      <c r="AI538" s="174"/>
      <c r="AJ538" s="179"/>
      <c r="AK538" s="247"/>
      <c r="AL538" s="248"/>
      <c r="AM538" s="294"/>
      <c r="AN538" s="219"/>
      <c r="AO538" s="219"/>
      <c r="AP538" s="219"/>
      <c r="AQ538" s="220"/>
      <c r="AR538" s="221"/>
      <c r="AY538" s="628"/>
      <c r="AZ538" s="470">
        <v>0.75</v>
      </c>
      <c r="BA538" s="466">
        <v>6475028841</v>
      </c>
      <c r="BB538" s="211">
        <v>381</v>
      </c>
      <c r="BC538" s="211">
        <v>314</v>
      </c>
      <c r="BD538" s="211">
        <v>497</v>
      </c>
      <c r="BE538" s="211">
        <v>282</v>
      </c>
      <c r="BF538" s="211">
        <v>310</v>
      </c>
      <c r="BG538" s="211">
        <v>1351</v>
      </c>
      <c r="BH538" s="211">
        <v>1386</v>
      </c>
      <c r="BI538" s="211">
        <v>1469</v>
      </c>
      <c r="BJ538" s="211">
        <v>588</v>
      </c>
      <c r="BK538" s="211">
        <v>1400</v>
      </c>
      <c r="BL538" s="211">
        <v>353</v>
      </c>
      <c r="BM538" s="211">
        <v>167</v>
      </c>
      <c r="BO538" s="28">
        <f t="shared" si="33"/>
        <v>708.16666666666663</v>
      </c>
      <c r="BP538" s="28">
        <f t="shared" si="34"/>
        <v>8498</v>
      </c>
    </row>
    <row r="539" spans="22:68" x14ac:dyDescent="0.25">
      <c r="V539" s="178"/>
      <c r="W539" s="174"/>
      <c r="X539" s="179"/>
      <c r="Y539" s="247"/>
      <c r="Z539" s="248"/>
      <c r="AA539" s="294" t="str">
        <f t="shared" si="28"/>
        <v/>
      </c>
      <c r="AB539" s="219" t="str">
        <f t="shared" si="27"/>
        <v/>
      </c>
      <c r="AC539" s="219">
        <f t="shared" si="29"/>
        <v>0</v>
      </c>
      <c r="AD539" s="219">
        <f t="shared" si="30"/>
        <v>0</v>
      </c>
      <c r="AE539" s="220">
        <f t="shared" si="31"/>
        <v>0</v>
      </c>
      <c r="AF539" s="221">
        <f t="shared" si="32"/>
        <v>0</v>
      </c>
      <c r="AG539" s="204"/>
      <c r="AH539" s="178"/>
      <c r="AI539" s="174"/>
      <c r="AJ539" s="179"/>
      <c r="AK539" s="247"/>
      <c r="AL539" s="248"/>
      <c r="AM539" s="294"/>
      <c r="AN539" s="219"/>
      <c r="AO539" s="219"/>
      <c r="AP539" s="219"/>
      <c r="AQ539" s="220"/>
      <c r="AR539" s="221"/>
      <c r="AY539" s="628"/>
      <c r="AZ539" s="470">
        <v>0.75</v>
      </c>
      <c r="BA539" s="466">
        <v>6509114627</v>
      </c>
      <c r="BB539" s="211">
        <v>774</v>
      </c>
      <c r="BC539" s="211">
        <v>580</v>
      </c>
      <c r="BD539" s="211">
        <v>742</v>
      </c>
      <c r="BE539" s="211">
        <v>922</v>
      </c>
      <c r="BF539" s="211">
        <v>1476</v>
      </c>
      <c r="BG539" s="211">
        <v>2029</v>
      </c>
      <c r="BH539" s="211">
        <v>3528</v>
      </c>
      <c r="BI539" s="211">
        <v>4068</v>
      </c>
      <c r="BJ539" s="211">
        <v>4298</v>
      </c>
      <c r="BK539" s="211">
        <v>1230</v>
      </c>
      <c r="BL539" s="211">
        <v>872</v>
      </c>
      <c r="BM539" s="211">
        <v>1209</v>
      </c>
      <c r="BO539" s="28">
        <f t="shared" si="33"/>
        <v>1810.6666666666667</v>
      </c>
      <c r="BP539" s="28">
        <f t="shared" si="34"/>
        <v>21728</v>
      </c>
    </row>
    <row r="540" spans="22:68" x14ac:dyDescent="0.25">
      <c r="V540" s="178"/>
      <c r="W540" s="174"/>
      <c r="X540" s="179"/>
      <c r="Y540" s="247"/>
      <c r="Z540" s="248"/>
      <c r="AA540" s="294" t="str">
        <f t="shared" si="28"/>
        <v/>
      </c>
      <c r="AB540" s="219" t="str">
        <f t="shared" si="27"/>
        <v/>
      </c>
      <c r="AC540" s="219">
        <f t="shared" si="29"/>
        <v>0</v>
      </c>
      <c r="AD540" s="219">
        <f t="shared" si="30"/>
        <v>0</v>
      </c>
      <c r="AE540" s="220">
        <f t="shared" si="31"/>
        <v>0</v>
      </c>
      <c r="AF540" s="221">
        <f t="shared" si="32"/>
        <v>0</v>
      </c>
      <c r="AG540" s="204"/>
      <c r="AH540" s="178"/>
      <c r="AI540" s="174"/>
      <c r="AJ540" s="179"/>
      <c r="AK540" s="247"/>
      <c r="AL540" s="248"/>
      <c r="AM540" s="294"/>
      <c r="AN540" s="219"/>
      <c r="AO540" s="219"/>
      <c r="AP540" s="219"/>
      <c r="AQ540" s="220"/>
      <c r="AR540" s="221"/>
      <c r="AY540" s="628"/>
      <c r="AZ540" s="470">
        <v>0.75</v>
      </c>
      <c r="BA540" s="466">
        <v>6527857337</v>
      </c>
      <c r="BB540" s="211">
        <v>541</v>
      </c>
      <c r="BC540" s="211">
        <v>512</v>
      </c>
      <c r="BD540" s="211">
        <v>684</v>
      </c>
      <c r="BE540" s="211">
        <v>694</v>
      </c>
      <c r="BF540" s="211">
        <v>1192</v>
      </c>
      <c r="BG540" s="211">
        <v>1309</v>
      </c>
      <c r="BH540" s="211">
        <v>4559</v>
      </c>
      <c r="BI540" s="211">
        <v>3707</v>
      </c>
      <c r="BJ540" s="211">
        <v>3747</v>
      </c>
      <c r="BK540" s="211">
        <v>1622</v>
      </c>
      <c r="BL540" s="211">
        <v>1364</v>
      </c>
      <c r="BM540" s="211">
        <v>3005</v>
      </c>
      <c r="BO540" s="28">
        <f t="shared" si="33"/>
        <v>1911.3333333333333</v>
      </c>
      <c r="BP540" s="28">
        <f t="shared" si="34"/>
        <v>22936</v>
      </c>
    </row>
    <row r="541" spans="22:68" x14ac:dyDescent="0.25">
      <c r="V541" s="178"/>
      <c r="W541" s="174"/>
      <c r="X541" s="179"/>
      <c r="Y541" s="247"/>
      <c r="Z541" s="248"/>
      <c r="AA541" s="294" t="str">
        <f t="shared" si="28"/>
        <v/>
      </c>
      <c r="AB541" s="219" t="str">
        <f t="shared" si="27"/>
        <v/>
      </c>
      <c r="AC541" s="219">
        <f t="shared" si="29"/>
        <v>0</v>
      </c>
      <c r="AD541" s="219">
        <f t="shared" si="30"/>
        <v>0</v>
      </c>
      <c r="AE541" s="220">
        <f t="shared" si="31"/>
        <v>0</v>
      </c>
      <c r="AF541" s="221">
        <f t="shared" si="32"/>
        <v>0</v>
      </c>
      <c r="AG541" s="204"/>
      <c r="AH541" s="178"/>
      <c r="AI541" s="174"/>
      <c r="AJ541" s="179"/>
      <c r="AK541" s="247"/>
      <c r="AL541" s="248"/>
      <c r="AM541" s="294"/>
      <c r="AN541" s="219"/>
      <c r="AO541" s="219"/>
      <c r="AP541" s="219"/>
      <c r="AQ541" s="220"/>
      <c r="AR541" s="221"/>
      <c r="AY541" s="628"/>
      <c r="AZ541" s="470">
        <v>0.75</v>
      </c>
      <c r="BA541" s="466">
        <v>6551613312</v>
      </c>
      <c r="BB541" s="211">
        <v>109</v>
      </c>
      <c r="BC541" s="211">
        <v>112</v>
      </c>
      <c r="BD541" s="211">
        <v>243</v>
      </c>
      <c r="BE541" s="211" t="s">
        <v>655</v>
      </c>
      <c r="BF541" s="211">
        <v>222</v>
      </c>
      <c r="BG541" s="211">
        <v>69</v>
      </c>
      <c r="BH541" s="211">
        <v>15</v>
      </c>
      <c r="BI541" s="211">
        <v>87</v>
      </c>
      <c r="BJ541" s="211">
        <v>381</v>
      </c>
      <c r="BK541" s="211">
        <v>258</v>
      </c>
      <c r="BL541" s="211">
        <v>147</v>
      </c>
      <c r="BM541" s="211">
        <v>52</v>
      </c>
      <c r="BO541" s="28">
        <f t="shared" si="33"/>
        <v>154.09090909090909</v>
      </c>
      <c r="BP541" s="28">
        <f t="shared" si="34"/>
        <v>1695</v>
      </c>
    </row>
    <row r="542" spans="22:68" x14ac:dyDescent="0.25">
      <c r="V542" s="178"/>
      <c r="W542" s="174"/>
      <c r="X542" s="179"/>
      <c r="Y542" s="247"/>
      <c r="Z542" s="248"/>
      <c r="AA542" s="294" t="str">
        <f t="shared" si="28"/>
        <v/>
      </c>
      <c r="AB542" s="219" t="str">
        <f t="shared" si="27"/>
        <v/>
      </c>
      <c r="AC542" s="219">
        <f t="shared" si="29"/>
        <v>0</v>
      </c>
      <c r="AD542" s="219">
        <f t="shared" si="30"/>
        <v>0</v>
      </c>
      <c r="AE542" s="220">
        <f t="shared" si="31"/>
        <v>0</v>
      </c>
      <c r="AF542" s="221">
        <f t="shared" si="32"/>
        <v>0</v>
      </c>
      <c r="AG542" s="204"/>
      <c r="AH542" s="178"/>
      <c r="AI542" s="174"/>
      <c r="AJ542" s="179"/>
      <c r="AK542" s="247"/>
      <c r="AL542" s="248"/>
      <c r="AM542" s="294"/>
      <c r="AN542" s="219"/>
      <c r="AO542" s="219"/>
      <c r="AP542" s="219"/>
      <c r="AQ542" s="220"/>
      <c r="AR542" s="221"/>
      <c r="AY542" s="628"/>
      <c r="AZ542" s="470">
        <v>0.75</v>
      </c>
      <c r="BA542" s="466">
        <v>6562504437</v>
      </c>
      <c r="BB542" s="211">
        <v>137</v>
      </c>
      <c r="BC542" s="211">
        <v>451</v>
      </c>
      <c r="BD542" s="211">
        <v>418</v>
      </c>
      <c r="BE542" s="211">
        <v>1209</v>
      </c>
      <c r="BF542" s="211">
        <v>4658</v>
      </c>
      <c r="BG542" s="211">
        <v>11968</v>
      </c>
      <c r="BH542" s="211">
        <v>9087</v>
      </c>
      <c r="BI542" s="211">
        <v>10666</v>
      </c>
      <c r="BJ542" s="211">
        <v>12047</v>
      </c>
      <c r="BK542" s="211">
        <v>6521</v>
      </c>
      <c r="BL542" s="211">
        <v>162</v>
      </c>
      <c r="BM542" s="211">
        <v>4</v>
      </c>
      <c r="BO542" s="28">
        <f t="shared" si="33"/>
        <v>4777.333333333333</v>
      </c>
      <c r="BP542" s="28">
        <f t="shared" si="34"/>
        <v>57328</v>
      </c>
    </row>
    <row r="543" spans="22:68" x14ac:dyDescent="0.25">
      <c r="V543" s="178"/>
      <c r="W543" s="174"/>
      <c r="X543" s="179"/>
      <c r="Y543" s="247"/>
      <c r="Z543" s="248"/>
      <c r="AA543" s="294" t="str">
        <f t="shared" si="28"/>
        <v/>
      </c>
      <c r="AB543" s="219" t="str">
        <f t="shared" si="27"/>
        <v/>
      </c>
      <c r="AC543" s="219">
        <f t="shared" si="29"/>
        <v>0</v>
      </c>
      <c r="AD543" s="219">
        <f t="shared" si="30"/>
        <v>0</v>
      </c>
      <c r="AE543" s="220">
        <f t="shared" si="31"/>
        <v>0</v>
      </c>
      <c r="AF543" s="221">
        <f t="shared" si="32"/>
        <v>0</v>
      </c>
      <c r="AG543" s="204"/>
      <c r="AH543" s="178"/>
      <c r="AI543" s="174"/>
      <c r="AJ543" s="179"/>
      <c r="AK543" s="247"/>
      <c r="AL543" s="248"/>
      <c r="AM543" s="294"/>
      <c r="AN543" s="219"/>
      <c r="AO543" s="219"/>
      <c r="AP543" s="219"/>
      <c r="AQ543" s="220"/>
      <c r="AR543" s="221"/>
      <c r="AY543" s="628"/>
      <c r="AZ543" s="470">
        <v>0.625</v>
      </c>
      <c r="BA543" s="466">
        <v>6569101678</v>
      </c>
      <c r="BB543" s="211">
        <v>239</v>
      </c>
      <c r="BC543" s="211">
        <v>185</v>
      </c>
      <c r="BD543" s="211">
        <v>273</v>
      </c>
      <c r="BE543" s="211">
        <v>279</v>
      </c>
      <c r="BF543" s="211">
        <v>770</v>
      </c>
      <c r="BG543" s="211">
        <v>490</v>
      </c>
      <c r="BH543" s="211">
        <v>271</v>
      </c>
      <c r="BI543" s="211">
        <v>106</v>
      </c>
      <c r="BJ543" s="211">
        <v>254</v>
      </c>
      <c r="BK543" s="211">
        <v>145</v>
      </c>
      <c r="BL543" s="211">
        <v>204</v>
      </c>
      <c r="BM543" s="211" t="s">
        <v>655</v>
      </c>
      <c r="BO543" s="28">
        <f t="shared" si="33"/>
        <v>292.36363636363637</v>
      </c>
      <c r="BP543" s="28">
        <f t="shared" si="34"/>
        <v>3216</v>
      </c>
    </row>
    <row r="544" spans="22:68" x14ac:dyDescent="0.25">
      <c r="V544" s="178"/>
      <c r="W544" s="174"/>
      <c r="X544" s="179"/>
      <c r="Y544" s="247"/>
      <c r="Z544" s="248"/>
      <c r="AA544" s="294" t="str">
        <f t="shared" si="28"/>
        <v/>
      </c>
      <c r="AB544" s="219" t="str">
        <f t="shared" si="27"/>
        <v/>
      </c>
      <c r="AC544" s="219">
        <f t="shared" si="29"/>
        <v>0</v>
      </c>
      <c r="AD544" s="219">
        <f t="shared" si="30"/>
        <v>0</v>
      </c>
      <c r="AE544" s="220">
        <f t="shared" si="31"/>
        <v>0</v>
      </c>
      <c r="AF544" s="221">
        <f t="shared" si="32"/>
        <v>0</v>
      </c>
      <c r="AG544" s="204"/>
      <c r="AH544" s="178"/>
      <c r="AI544" s="174"/>
      <c r="AJ544" s="179"/>
      <c r="AK544" s="247"/>
      <c r="AL544" s="248"/>
      <c r="AM544" s="294"/>
      <c r="AN544" s="219"/>
      <c r="AO544" s="219"/>
      <c r="AP544" s="219"/>
      <c r="AQ544" s="220"/>
      <c r="AR544" s="221"/>
      <c r="AY544" s="628"/>
      <c r="AZ544" s="470">
        <v>0.75</v>
      </c>
      <c r="BA544" s="466">
        <v>6590525295</v>
      </c>
      <c r="BB544" s="211">
        <v>426</v>
      </c>
      <c r="BC544" s="211">
        <v>266</v>
      </c>
      <c r="BD544" s="211">
        <v>98</v>
      </c>
      <c r="BE544" s="211">
        <v>565</v>
      </c>
      <c r="BF544" s="211">
        <v>1061</v>
      </c>
      <c r="BG544" s="211">
        <v>1346</v>
      </c>
      <c r="BH544" s="211">
        <v>5688</v>
      </c>
      <c r="BI544" s="211">
        <v>4532</v>
      </c>
      <c r="BJ544" s="211">
        <v>2319</v>
      </c>
      <c r="BK544" s="211">
        <v>1096</v>
      </c>
      <c r="BL544" s="211">
        <v>360</v>
      </c>
      <c r="BM544" s="211">
        <v>445</v>
      </c>
      <c r="BO544" s="28">
        <f t="shared" si="33"/>
        <v>1516.8333333333333</v>
      </c>
      <c r="BP544" s="28">
        <f t="shared" si="34"/>
        <v>18202</v>
      </c>
    </row>
    <row r="545" spans="22:68" x14ac:dyDescent="0.25">
      <c r="V545" s="178"/>
      <c r="W545" s="174"/>
      <c r="X545" s="179"/>
      <c r="Y545" s="247"/>
      <c r="Z545" s="248"/>
      <c r="AA545" s="294" t="str">
        <f t="shared" si="28"/>
        <v/>
      </c>
      <c r="AB545" s="219" t="str">
        <f t="shared" si="27"/>
        <v/>
      </c>
      <c r="AC545" s="219">
        <f t="shared" si="29"/>
        <v>0</v>
      </c>
      <c r="AD545" s="219">
        <f t="shared" si="30"/>
        <v>0</v>
      </c>
      <c r="AE545" s="220">
        <f t="shared" si="31"/>
        <v>0</v>
      </c>
      <c r="AF545" s="221">
        <f t="shared" si="32"/>
        <v>0</v>
      </c>
      <c r="AG545" s="204"/>
      <c r="AH545" s="178"/>
      <c r="AI545" s="174"/>
      <c r="AJ545" s="179"/>
      <c r="AK545" s="247"/>
      <c r="AL545" s="248"/>
      <c r="AM545" s="294"/>
      <c r="AN545" s="219"/>
      <c r="AO545" s="219"/>
      <c r="AP545" s="219"/>
      <c r="AQ545" s="220"/>
      <c r="AR545" s="221"/>
      <c r="AY545" s="628"/>
      <c r="AZ545" s="470">
        <v>0.75</v>
      </c>
      <c r="BA545" s="466">
        <v>6647047502</v>
      </c>
      <c r="BB545" s="211">
        <v>675</v>
      </c>
      <c r="BC545" s="211">
        <v>662</v>
      </c>
      <c r="BD545" s="211">
        <v>657</v>
      </c>
      <c r="BE545" s="211">
        <v>855</v>
      </c>
      <c r="BF545" s="211">
        <v>662</v>
      </c>
      <c r="BG545" s="211">
        <v>556</v>
      </c>
      <c r="BH545" s="211">
        <v>1362</v>
      </c>
      <c r="BI545" s="211">
        <v>1186</v>
      </c>
      <c r="BJ545" s="211">
        <v>840</v>
      </c>
      <c r="BK545" s="211">
        <v>708</v>
      </c>
      <c r="BL545" s="211">
        <v>633</v>
      </c>
      <c r="BM545" s="211">
        <v>711</v>
      </c>
      <c r="BO545" s="28">
        <f t="shared" si="33"/>
        <v>792.25</v>
      </c>
      <c r="BP545" s="28">
        <f t="shared" si="34"/>
        <v>9507</v>
      </c>
    </row>
    <row r="546" spans="22:68" x14ac:dyDescent="0.25">
      <c r="V546" s="178"/>
      <c r="W546" s="174"/>
      <c r="X546" s="179"/>
      <c r="Y546" s="247"/>
      <c r="Z546" s="248"/>
      <c r="AA546" s="294" t="str">
        <f t="shared" si="28"/>
        <v/>
      </c>
      <c r="AB546" s="219" t="str">
        <f t="shared" si="27"/>
        <v/>
      </c>
      <c r="AC546" s="219">
        <f t="shared" si="29"/>
        <v>0</v>
      </c>
      <c r="AD546" s="219">
        <f t="shared" si="30"/>
        <v>0</v>
      </c>
      <c r="AE546" s="220">
        <f t="shared" si="31"/>
        <v>0</v>
      </c>
      <c r="AF546" s="221">
        <f t="shared" si="32"/>
        <v>0</v>
      </c>
      <c r="AG546" s="204"/>
      <c r="AH546" s="178"/>
      <c r="AI546" s="174"/>
      <c r="AJ546" s="179"/>
      <c r="AK546" s="247"/>
      <c r="AL546" s="248"/>
      <c r="AM546" s="294"/>
      <c r="AN546" s="219"/>
      <c r="AO546" s="219"/>
      <c r="AP546" s="219"/>
      <c r="AQ546" s="220"/>
      <c r="AR546" s="221"/>
      <c r="AY546" s="628"/>
      <c r="AZ546" s="470">
        <v>1</v>
      </c>
      <c r="BA546" s="466">
        <v>6681025204</v>
      </c>
      <c r="BB546" s="211">
        <v>587</v>
      </c>
      <c r="BC546" s="211">
        <v>547</v>
      </c>
      <c r="BD546" s="211">
        <v>513</v>
      </c>
      <c r="BE546" s="211">
        <v>725</v>
      </c>
      <c r="BF546" s="211">
        <v>774</v>
      </c>
      <c r="BG546" s="211">
        <v>1261</v>
      </c>
      <c r="BH546" s="211">
        <v>1901</v>
      </c>
      <c r="BI546" s="211">
        <v>1655</v>
      </c>
      <c r="BJ546" s="211">
        <v>1315</v>
      </c>
      <c r="BK546" s="211">
        <v>896</v>
      </c>
      <c r="BL546" s="211">
        <v>462</v>
      </c>
      <c r="BM546" s="211">
        <v>645</v>
      </c>
      <c r="BO546" s="28">
        <f t="shared" si="33"/>
        <v>940.08333333333337</v>
      </c>
      <c r="BP546" s="28">
        <f t="shared" si="34"/>
        <v>11281</v>
      </c>
    </row>
    <row r="547" spans="22:68" x14ac:dyDescent="0.25">
      <c r="V547" s="178"/>
      <c r="W547" s="174"/>
      <c r="X547" s="179"/>
      <c r="Y547" s="247"/>
      <c r="Z547" s="248"/>
      <c r="AA547" s="294" t="str">
        <f t="shared" si="28"/>
        <v/>
      </c>
      <c r="AB547" s="219" t="str">
        <f t="shared" si="27"/>
        <v/>
      </c>
      <c r="AC547" s="219">
        <f t="shared" si="29"/>
        <v>0</v>
      </c>
      <c r="AD547" s="219">
        <f t="shared" si="30"/>
        <v>0</v>
      </c>
      <c r="AE547" s="220">
        <f t="shared" si="31"/>
        <v>0</v>
      </c>
      <c r="AF547" s="221">
        <f t="shared" si="32"/>
        <v>0</v>
      </c>
      <c r="AG547" s="204"/>
      <c r="AH547" s="178"/>
      <c r="AI547" s="174"/>
      <c r="AJ547" s="179"/>
      <c r="AK547" s="247"/>
      <c r="AL547" s="248"/>
      <c r="AM547" s="294"/>
      <c r="AN547" s="219"/>
      <c r="AO547" s="219"/>
      <c r="AP547" s="219"/>
      <c r="AQ547" s="220"/>
      <c r="AR547" s="221"/>
      <c r="AY547" s="628"/>
      <c r="AZ547" s="470">
        <v>0.75</v>
      </c>
      <c r="BA547" s="466">
        <v>6687807514</v>
      </c>
      <c r="BB547" s="211">
        <v>696</v>
      </c>
      <c r="BC547" s="211">
        <v>1088</v>
      </c>
      <c r="BD547" s="211">
        <v>780</v>
      </c>
      <c r="BE547" s="211">
        <v>966</v>
      </c>
      <c r="BF547" s="211">
        <v>935</v>
      </c>
      <c r="BG547" s="211" t="s">
        <v>655</v>
      </c>
      <c r="BH547" s="211" t="s">
        <v>655</v>
      </c>
      <c r="BI547" s="211" t="s">
        <v>655</v>
      </c>
      <c r="BJ547" s="211" t="s">
        <v>655</v>
      </c>
      <c r="BK547" s="211" t="s">
        <v>655</v>
      </c>
      <c r="BL547" s="211" t="s">
        <v>655</v>
      </c>
      <c r="BM547" s="211" t="s">
        <v>655</v>
      </c>
      <c r="BO547" s="28">
        <f t="shared" si="33"/>
        <v>893</v>
      </c>
      <c r="BP547" s="28">
        <f t="shared" si="34"/>
        <v>4465</v>
      </c>
    </row>
    <row r="548" spans="22:68" x14ac:dyDescent="0.25">
      <c r="V548" s="178"/>
      <c r="W548" s="174"/>
      <c r="X548" s="179"/>
      <c r="Y548" s="247"/>
      <c r="Z548" s="248"/>
      <c r="AA548" s="294" t="str">
        <f t="shared" si="28"/>
        <v/>
      </c>
      <c r="AB548" s="219" t="str">
        <f t="shared" si="27"/>
        <v/>
      </c>
      <c r="AC548" s="219">
        <f t="shared" si="29"/>
        <v>0</v>
      </c>
      <c r="AD548" s="219">
        <f t="shared" si="30"/>
        <v>0</v>
      </c>
      <c r="AE548" s="220">
        <f t="shared" si="31"/>
        <v>0</v>
      </c>
      <c r="AF548" s="221">
        <f t="shared" si="32"/>
        <v>0</v>
      </c>
      <c r="AG548" s="204"/>
      <c r="AH548" s="178"/>
      <c r="AI548" s="174"/>
      <c r="AJ548" s="179"/>
      <c r="AK548" s="247"/>
      <c r="AL548" s="248"/>
      <c r="AM548" s="294"/>
      <c r="AN548" s="219"/>
      <c r="AO548" s="219"/>
      <c r="AP548" s="219"/>
      <c r="AQ548" s="220"/>
      <c r="AR548" s="221"/>
      <c r="AY548" s="628"/>
      <c r="AZ548" s="470">
        <v>0.75</v>
      </c>
      <c r="BA548" s="466">
        <v>6689863050</v>
      </c>
      <c r="BB548" s="211">
        <v>629</v>
      </c>
      <c r="BC548" s="211">
        <v>506</v>
      </c>
      <c r="BD548" s="211">
        <v>255</v>
      </c>
      <c r="BE548" s="211">
        <v>1048</v>
      </c>
      <c r="BF548" s="211">
        <v>2489</v>
      </c>
      <c r="BG548" s="211">
        <v>3187</v>
      </c>
      <c r="BH548" s="211">
        <v>4175</v>
      </c>
      <c r="BI548" s="211">
        <v>3672</v>
      </c>
      <c r="BJ548" s="211">
        <v>3766</v>
      </c>
      <c r="BK548" s="211">
        <v>2600</v>
      </c>
      <c r="BL548" s="211">
        <v>200</v>
      </c>
      <c r="BM548" s="211">
        <v>250</v>
      </c>
      <c r="BO548" s="28">
        <f t="shared" si="33"/>
        <v>1898.0833333333333</v>
      </c>
      <c r="BP548" s="28">
        <f t="shared" si="34"/>
        <v>22777</v>
      </c>
    </row>
    <row r="549" spans="22:68" x14ac:dyDescent="0.25">
      <c r="V549" s="178"/>
      <c r="W549" s="174"/>
      <c r="X549" s="179"/>
      <c r="Y549" s="247"/>
      <c r="Z549" s="248"/>
      <c r="AA549" s="294" t="str">
        <f t="shared" si="28"/>
        <v/>
      </c>
      <c r="AB549" s="219" t="str">
        <f t="shared" si="27"/>
        <v/>
      </c>
      <c r="AC549" s="219">
        <f t="shared" si="29"/>
        <v>0</v>
      </c>
      <c r="AD549" s="219">
        <f t="shared" si="30"/>
        <v>0</v>
      </c>
      <c r="AE549" s="220">
        <f t="shared" si="31"/>
        <v>0</v>
      </c>
      <c r="AF549" s="221">
        <f t="shared" si="32"/>
        <v>0</v>
      </c>
      <c r="AG549" s="204"/>
      <c r="AH549" s="178"/>
      <c r="AI549" s="174"/>
      <c r="AJ549" s="179"/>
      <c r="AK549" s="247"/>
      <c r="AL549" s="248"/>
      <c r="AM549" s="294"/>
      <c r="AN549" s="219"/>
      <c r="AO549" s="219"/>
      <c r="AP549" s="219"/>
      <c r="AQ549" s="220"/>
      <c r="AR549" s="221"/>
      <c r="AY549" s="628"/>
      <c r="AZ549" s="470">
        <v>0.75</v>
      </c>
      <c r="BA549" s="466">
        <v>6689975014</v>
      </c>
      <c r="BB549" s="211">
        <v>1499</v>
      </c>
      <c r="BC549" s="211">
        <v>490</v>
      </c>
      <c r="BD549" s="211">
        <v>2304</v>
      </c>
      <c r="BE549" s="211">
        <v>1490</v>
      </c>
      <c r="BF549" s="211">
        <v>1186</v>
      </c>
      <c r="BG549" s="211">
        <v>1490</v>
      </c>
      <c r="BH549" s="211">
        <v>1770</v>
      </c>
      <c r="BI549" s="211">
        <v>414</v>
      </c>
      <c r="BJ549" s="211">
        <v>4790</v>
      </c>
      <c r="BK549" s="211">
        <v>1183</v>
      </c>
      <c r="BL549" s="211">
        <v>372</v>
      </c>
      <c r="BM549" s="211">
        <v>862</v>
      </c>
      <c r="BO549" s="28">
        <f t="shared" si="33"/>
        <v>1487.5</v>
      </c>
      <c r="BP549" s="28">
        <f t="shared" si="34"/>
        <v>17850</v>
      </c>
    </row>
    <row r="550" spans="22:68" x14ac:dyDescent="0.25">
      <c r="V550" s="178"/>
      <c r="W550" s="174"/>
      <c r="X550" s="179"/>
      <c r="Y550" s="247"/>
      <c r="Z550" s="248"/>
      <c r="AA550" s="294" t="str">
        <f t="shared" si="28"/>
        <v/>
      </c>
      <c r="AB550" s="219" t="str">
        <f t="shared" si="27"/>
        <v/>
      </c>
      <c r="AC550" s="219">
        <f t="shared" si="29"/>
        <v>0</v>
      </c>
      <c r="AD550" s="219">
        <f t="shared" si="30"/>
        <v>0</v>
      </c>
      <c r="AE550" s="220">
        <f t="shared" si="31"/>
        <v>0</v>
      </c>
      <c r="AF550" s="221">
        <f t="shared" si="32"/>
        <v>0</v>
      </c>
      <c r="AG550" s="204"/>
      <c r="AH550" s="178"/>
      <c r="AI550" s="174"/>
      <c r="AJ550" s="179"/>
      <c r="AK550" s="247"/>
      <c r="AL550" s="248"/>
      <c r="AM550" s="294"/>
      <c r="AN550" s="219"/>
      <c r="AO550" s="219"/>
      <c r="AP550" s="219"/>
      <c r="AQ550" s="220"/>
      <c r="AR550" s="221"/>
      <c r="AY550" s="628"/>
      <c r="AZ550" s="471">
        <v>2</v>
      </c>
      <c r="BA550" s="466">
        <v>6697375356</v>
      </c>
      <c r="BB550" s="211">
        <v>680</v>
      </c>
      <c r="BC550" s="211">
        <v>200</v>
      </c>
      <c r="BD550" s="211">
        <v>190</v>
      </c>
      <c r="BE550" s="211">
        <v>291</v>
      </c>
      <c r="BF550" s="211">
        <v>239</v>
      </c>
      <c r="BG550" s="211">
        <v>240</v>
      </c>
      <c r="BH550" s="211">
        <v>360</v>
      </c>
      <c r="BI550" s="211">
        <v>230</v>
      </c>
      <c r="BJ550" s="211">
        <v>190</v>
      </c>
      <c r="BK550" s="211">
        <v>190</v>
      </c>
      <c r="BL550" s="211">
        <v>310</v>
      </c>
      <c r="BM550" s="211">
        <v>285</v>
      </c>
      <c r="BO550" s="28">
        <f t="shared" si="33"/>
        <v>283.75</v>
      </c>
      <c r="BP550" s="28">
        <f t="shared" si="34"/>
        <v>3405</v>
      </c>
    </row>
    <row r="551" spans="22:68" x14ac:dyDescent="0.25">
      <c r="V551" s="178"/>
      <c r="W551" s="174"/>
      <c r="X551" s="179"/>
      <c r="Y551" s="247"/>
      <c r="Z551" s="248"/>
      <c r="AA551" s="294" t="str">
        <f t="shared" si="28"/>
        <v/>
      </c>
      <c r="AB551" s="219" t="str">
        <f t="shared" si="27"/>
        <v/>
      </c>
      <c r="AC551" s="219">
        <f t="shared" si="29"/>
        <v>0</v>
      </c>
      <c r="AD551" s="219">
        <f t="shared" si="30"/>
        <v>0</v>
      </c>
      <c r="AE551" s="220">
        <f t="shared" si="31"/>
        <v>0</v>
      </c>
      <c r="AF551" s="221">
        <f t="shared" si="32"/>
        <v>0</v>
      </c>
      <c r="AG551" s="204"/>
      <c r="AH551" s="178"/>
      <c r="AI551" s="174"/>
      <c r="AJ551" s="179"/>
      <c r="AK551" s="247"/>
      <c r="AL551" s="248"/>
      <c r="AM551" s="294"/>
      <c r="AN551" s="219"/>
      <c r="AO551" s="219"/>
      <c r="AP551" s="219"/>
      <c r="AQ551" s="220"/>
      <c r="AR551" s="221"/>
      <c r="AY551" s="628"/>
      <c r="AZ551" s="470">
        <v>0.75</v>
      </c>
      <c r="BA551" s="466">
        <v>6701493824</v>
      </c>
      <c r="BB551" s="211">
        <v>385</v>
      </c>
      <c r="BC551" s="211">
        <v>293</v>
      </c>
      <c r="BD551" s="211">
        <v>350</v>
      </c>
      <c r="BE551" s="211" t="s">
        <v>655</v>
      </c>
      <c r="BF551" s="211">
        <v>365</v>
      </c>
      <c r="BG551" s="211">
        <v>600</v>
      </c>
      <c r="BH551" s="211">
        <v>419</v>
      </c>
      <c r="BI551" s="211">
        <v>326</v>
      </c>
      <c r="BJ551" s="211">
        <v>324</v>
      </c>
      <c r="BK551" s="211">
        <v>366</v>
      </c>
      <c r="BL551" s="211">
        <v>412</v>
      </c>
      <c r="BM551" s="211">
        <v>433</v>
      </c>
      <c r="BO551" s="28">
        <f t="shared" si="33"/>
        <v>388.45454545454544</v>
      </c>
      <c r="BP551" s="28">
        <f t="shared" si="34"/>
        <v>4273</v>
      </c>
    </row>
    <row r="552" spans="22:68" x14ac:dyDescent="0.25">
      <c r="V552" s="178"/>
      <c r="W552" s="174"/>
      <c r="X552" s="179"/>
      <c r="Y552" s="247"/>
      <c r="Z552" s="248"/>
      <c r="AA552" s="294" t="str">
        <f t="shared" si="28"/>
        <v/>
      </c>
      <c r="AB552" s="219" t="str">
        <f t="shared" si="27"/>
        <v/>
      </c>
      <c r="AC552" s="219">
        <f t="shared" si="29"/>
        <v>0</v>
      </c>
      <c r="AD552" s="219">
        <f t="shared" si="30"/>
        <v>0</v>
      </c>
      <c r="AE552" s="220">
        <f t="shared" si="31"/>
        <v>0</v>
      </c>
      <c r="AF552" s="221">
        <f t="shared" si="32"/>
        <v>0</v>
      </c>
      <c r="AG552" s="204"/>
      <c r="AH552" s="178"/>
      <c r="AI552" s="174"/>
      <c r="AJ552" s="179"/>
      <c r="AK552" s="247"/>
      <c r="AL552" s="248"/>
      <c r="AM552" s="294" t="str">
        <f t="shared" ref="AM552:AM587" si="35">IFERROR(INDEX($AU$8:$AU$23,MATCH(AH552,$AT$8:$AT$23,0)),"")</f>
        <v/>
      </c>
      <c r="AN552" s="219" t="str">
        <f t="shared" ref="AN552:AN583" si="36">IF(AK552&lt;&gt;"",IF((TestEOY-AJ552)/365&gt;AM552,AM552,ROUNDUP(((TestEOY-AJ552)/365),0)),"")</f>
        <v/>
      </c>
      <c r="AO552" s="219">
        <f t="shared" ref="AO552:AO587" si="37">IFERROR(IF(AN552&gt;=AM552,0,IF(AM552&gt;AN552,SLN(AK552,AL552,AM552),0)),"")</f>
        <v>0</v>
      </c>
      <c r="AP552" s="219">
        <f t="shared" ref="AP552:AP584" si="38">AQ552-AO552</f>
        <v>0</v>
      </c>
      <c r="AQ552" s="220">
        <f t="shared" ref="AQ552:AQ587" si="39">IFERROR(IF(OR(AM552=0,AM552=""),
     0,
     IF(AN552&gt;=AM552,
          +AK552,
          (+AO552*AN552))),
"")</f>
        <v>0</v>
      </c>
      <c r="AR552" s="221">
        <f t="shared" ref="AR552:AR587" si="40">IFERROR(IF(AQ552&gt;AK552,0,(+AK552-AQ552))-AL552,"")</f>
        <v>0</v>
      </c>
      <c r="AY552" s="628"/>
      <c r="AZ552" s="470">
        <v>0.75</v>
      </c>
      <c r="BA552" s="466">
        <v>6710420242</v>
      </c>
      <c r="BB552" s="211">
        <v>335</v>
      </c>
      <c r="BC552" s="211">
        <v>260</v>
      </c>
      <c r="BD552" s="211">
        <v>391</v>
      </c>
      <c r="BE552" s="211">
        <v>252</v>
      </c>
      <c r="BF552" s="211">
        <v>1225</v>
      </c>
      <c r="BG552" s="211">
        <v>1422</v>
      </c>
      <c r="BH552" s="211">
        <v>1881</v>
      </c>
      <c r="BI552" s="211">
        <v>3156</v>
      </c>
      <c r="BJ552" s="211">
        <v>1890</v>
      </c>
      <c r="BK552" s="211">
        <v>77</v>
      </c>
      <c r="BL552" s="211">
        <v>61</v>
      </c>
      <c r="BM552" s="211">
        <v>553</v>
      </c>
      <c r="BO552" s="28">
        <f t="shared" si="33"/>
        <v>958.58333333333337</v>
      </c>
      <c r="BP552" s="28">
        <f t="shared" si="34"/>
        <v>11503</v>
      </c>
    </row>
    <row r="553" spans="22:68" x14ac:dyDescent="0.25">
      <c r="V553" s="178"/>
      <c r="W553" s="174"/>
      <c r="X553" s="179"/>
      <c r="Y553" s="247"/>
      <c r="Z553" s="248"/>
      <c r="AA553" s="294" t="str">
        <f t="shared" si="28"/>
        <v/>
      </c>
      <c r="AB553" s="219" t="str">
        <f t="shared" si="27"/>
        <v/>
      </c>
      <c r="AC553" s="219">
        <f t="shared" si="29"/>
        <v>0</v>
      </c>
      <c r="AD553" s="219">
        <f t="shared" si="30"/>
        <v>0</v>
      </c>
      <c r="AE553" s="220">
        <f t="shared" si="31"/>
        <v>0</v>
      </c>
      <c r="AF553" s="221">
        <f t="shared" si="32"/>
        <v>0</v>
      </c>
      <c r="AG553" s="204"/>
      <c r="AH553" s="178"/>
      <c r="AI553" s="174"/>
      <c r="AJ553" s="179"/>
      <c r="AK553" s="247"/>
      <c r="AL553" s="248"/>
      <c r="AM553" s="294" t="str">
        <f t="shared" si="35"/>
        <v/>
      </c>
      <c r="AN553" s="219" t="str">
        <f t="shared" si="36"/>
        <v/>
      </c>
      <c r="AO553" s="219">
        <f t="shared" si="37"/>
        <v>0</v>
      </c>
      <c r="AP553" s="219">
        <f t="shared" si="38"/>
        <v>0</v>
      </c>
      <c r="AQ553" s="220">
        <f t="shared" si="39"/>
        <v>0</v>
      </c>
      <c r="AR553" s="221">
        <f t="shared" si="40"/>
        <v>0</v>
      </c>
      <c r="AY553" s="628"/>
      <c r="AZ553" s="470">
        <v>0.75</v>
      </c>
      <c r="BA553" s="466">
        <v>6715358455</v>
      </c>
      <c r="BB553" s="211">
        <v>507</v>
      </c>
      <c r="BC553" s="211">
        <v>213</v>
      </c>
      <c r="BD553" s="211">
        <v>322</v>
      </c>
      <c r="BE553" s="211">
        <v>569</v>
      </c>
      <c r="BF553" s="211">
        <v>206</v>
      </c>
      <c r="BG553" s="211">
        <v>293</v>
      </c>
      <c r="BH553" s="211">
        <v>313</v>
      </c>
      <c r="BI553" s="211">
        <v>308</v>
      </c>
      <c r="BJ553" s="211">
        <v>213</v>
      </c>
      <c r="BK553" s="211">
        <v>55</v>
      </c>
      <c r="BL553" s="211">
        <v>805</v>
      </c>
      <c r="BM553" s="211">
        <v>240</v>
      </c>
      <c r="BO553" s="28">
        <f t="shared" si="33"/>
        <v>337</v>
      </c>
      <c r="BP553" s="28">
        <f t="shared" si="34"/>
        <v>4044</v>
      </c>
    </row>
    <row r="554" spans="22:68" x14ac:dyDescent="0.25">
      <c r="V554" s="178"/>
      <c r="W554" s="174"/>
      <c r="X554" s="179"/>
      <c r="Y554" s="247"/>
      <c r="Z554" s="248"/>
      <c r="AA554" s="294" t="str">
        <f t="shared" si="28"/>
        <v/>
      </c>
      <c r="AB554" s="219" t="str">
        <f t="shared" si="27"/>
        <v/>
      </c>
      <c r="AC554" s="219">
        <f t="shared" si="29"/>
        <v>0</v>
      </c>
      <c r="AD554" s="219">
        <f t="shared" si="30"/>
        <v>0</v>
      </c>
      <c r="AE554" s="220">
        <f t="shared" si="31"/>
        <v>0</v>
      </c>
      <c r="AF554" s="221">
        <f t="shared" si="32"/>
        <v>0</v>
      </c>
      <c r="AG554" s="204"/>
      <c r="AH554" s="178"/>
      <c r="AI554" s="174"/>
      <c r="AJ554" s="179"/>
      <c r="AK554" s="247"/>
      <c r="AL554" s="248"/>
      <c r="AM554" s="294" t="str">
        <f t="shared" si="35"/>
        <v/>
      </c>
      <c r="AN554" s="219" t="str">
        <f t="shared" si="36"/>
        <v/>
      </c>
      <c r="AO554" s="219">
        <f t="shared" si="37"/>
        <v>0</v>
      </c>
      <c r="AP554" s="219">
        <f t="shared" si="38"/>
        <v>0</v>
      </c>
      <c r="AQ554" s="220">
        <f t="shared" si="39"/>
        <v>0</v>
      </c>
      <c r="AR554" s="221">
        <f t="shared" si="40"/>
        <v>0</v>
      </c>
      <c r="AY554" s="628"/>
      <c r="AZ554" s="470">
        <v>0.75</v>
      </c>
      <c r="BA554" s="466">
        <v>6741840903</v>
      </c>
      <c r="BB554" s="211">
        <v>54</v>
      </c>
      <c r="BC554" s="211">
        <v>42</v>
      </c>
      <c r="BD554" s="211">
        <v>51</v>
      </c>
      <c r="BE554" s="211">
        <v>164</v>
      </c>
      <c r="BF554" s="211">
        <v>144</v>
      </c>
      <c r="BG554" s="211">
        <v>134</v>
      </c>
      <c r="BH554" s="211">
        <v>249</v>
      </c>
      <c r="BI554" s="211">
        <v>317</v>
      </c>
      <c r="BJ554" s="211">
        <v>194</v>
      </c>
      <c r="BK554" s="211">
        <v>79</v>
      </c>
      <c r="BL554" s="211">
        <v>41</v>
      </c>
      <c r="BM554" s="211">
        <v>175</v>
      </c>
      <c r="BO554" s="28">
        <f t="shared" si="33"/>
        <v>137</v>
      </c>
      <c r="BP554" s="28">
        <f t="shared" si="34"/>
        <v>1644</v>
      </c>
    </row>
    <row r="555" spans="22:68" x14ac:dyDescent="0.25">
      <c r="V555" s="178"/>
      <c r="W555" s="174"/>
      <c r="X555" s="179"/>
      <c r="Y555" s="247"/>
      <c r="Z555" s="248"/>
      <c r="AA555" s="294" t="str">
        <f t="shared" si="28"/>
        <v/>
      </c>
      <c r="AB555" s="219" t="str">
        <f t="shared" si="27"/>
        <v/>
      </c>
      <c r="AC555" s="219">
        <f t="shared" si="29"/>
        <v>0</v>
      </c>
      <c r="AD555" s="219">
        <f t="shared" si="30"/>
        <v>0</v>
      </c>
      <c r="AE555" s="220">
        <f t="shared" si="31"/>
        <v>0</v>
      </c>
      <c r="AF555" s="221">
        <f t="shared" si="32"/>
        <v>0</v>
      </c>
      <c r="AG555" s="204"/>
      <c r="AH555" s="178"/>
      <c r="AI555" s="174"/>
      <c r="AJ555" s="179"/>
      <c r="AK555" s="247"/>
      <c r="AL555" s="248"/>
      <c r="AM555" s="294" t="str">
        <f t="shared" si="35"/>
        <v/>
      </c>
      <c r="AN555" s="219" t="str">
        <f t="shared" si="36"/>
        <v/>
      </c>
      <c r="AO555" s="219">
        <f t="shared" si="37"/>
        <v>0</v>
      </c>
      <c r="AP555" s="219">
        <f t="shared" si="38"/>
        <v>0</v>
      </c>
      <c r="AQ555" s="220">
        <f t="shared" si="39"/>
        <v>0</v>
      </c>
      <c r="AR555" s="221">
        <f t="shared" si="40"/>
        <v>0</v>
      </c>
      <c r="AY555" s="628"/>
      <c r="AZ555" s="470">
        <v>0.75</v>
      </c>
      <c r="BA555" s="466">
        <v>6744499974</v>
      </c>
      <c r="BB555" s="211">
        <v>364</v>
      </c>
      <c r="BC555" s="211">
        <v>298</v>
      </c>
      <c r="BD555" s="211">
        <v>279</v>
      </c>
      <c r="BE555" s="211">
        <v>310</v>
      </c>
      <c r="BF555" s="211">
        <v>500</v>
      </c>
      <c r="BG555" s="211">
        <v>468</v>
      </c>
      <c r="BH555" s="211">
        <v>1090</v>
      </c>
      <c r="BI555" s="211">
        <v>501</v>
      </c>
      <c r="BJ555" s="211">
        <v>1230</v>
      </c>
      <c r="BK555" s="211">
        <v>11</v>
      </c>
      <c r="BL555" s="211">
        <v>209</v>
      </c>
      <c r="BM555" s="211">
        <v>165</v>
      </c>
      <c r="BO555" s="28">
        <f t="shared" si="33"/>
        <v>452.08333333333331</v>
      </c>
      <c r="BP555" s="28">
        <f t="shared" si="34"/>
        <v>5425</v>
      </c>
    </row>
    <row r="556" spans="22:68" x14ac:dyDescent="0.25">
      <c r="V556" s="178"/>
      <c r="W556" s="174"/>
      <c r="X556" s="179"/>
      <c r="Y556" s="247"/>
      <c r="Z556" s="248"/>
      <c r="AA556" s="294" t="str">
        <f t="shared" si="28"/>
        <v/>
      </c>
      <c r="AB556" s="219" t="str">
        <f t="shared" si="27"/>
        <v/>
      </c>
      <c r="AC556" s="219">
        <f t="shared" si="29"/>
        <v>0</v>
      </c>
      <c r="AD556" s="219">
        <f t="shared" si="30"/>
        <v>0</v>
      </c>
      <c r="AE556" s="220">
        <f t="shared" si="31"/>
        <v>0</v>
      </c>
      <c r="AF556" s="221">
        <f t="shared" si="32"/>
        <v>0</v>
      </c>
      <c r="AG556" s="204"/>
      <c r="AH556" s="178"/>
      <c r="AI556" s="174"/>
      <c r="AJ556" s="179"/>
      <c r="AK556" s="247"/>
      <c r="AL556" s="248"/>
      <c r="AM556" s="294" t="str">
        <f t="shared" si="35"/>
        <v/>
      </c>
      <c r="AN556" s="219" t="str">
        <f t="shared" si="36"/>
        <v/>
      </c>
      <c r="AO556" s="219">
        <f t="shared" si="37"/>
        <v>0</v>
      </c>
      <c r="AP556" s="219">
        <f t="shared" si="38"/>
        <v>0</v>
      </c>
      <c r="AQ556" s="220">
        <f t="shared" si="39"/>
        <v>0</v>
      </c>
      <c r="AR556" s="221">
        <f t="shared" si="40"/>
        <v>0</v>
      </c>
      <c r="AY556" s="628"/>
      <c r="AZ556" s="470">
        <v>0.75</v>
      </c>
      <c r="BA556" s="466">
        <v>6768583872</v>
      </c>
      <c r="BB556" s="211">
        <v>480</v>
      </c>
      <c r="BC556" s="211">
        <v>402</v>
      </c>
      <c r="BD556" s="211">
        <v>452</v>
      </c>
      <c r="BE556" s="211">
        <v>907</v>
      </c>
      <c r="BF556" s="211">
        <v>848</v>
      </c>
      <c r="BG556" s="211">
        <v>216</v>
      </c>
      <c r="BH556" s="211">
        <v>2088</v>
      </c>
      <c r="BI556" s="211">
        <v>1199</v>
      </c>
      <c r="BJ556" s="211">
        <v>749</v>
      </c>
      <c r="BK556" s="211">
        <v>700</v>
      </c>
      <c r="BL556" s="211">
        <v>864</v>
      </c>
      <c r="BM556" s="211">
        <v>475</v>
      </c>
      <c r="BO556" s="28">
        <f t="shared" si="33"/>
        <v>781.66666666666663</v>
      </c>
      <c r="BP556" s="28">
        <f t="shared" si="34"/>
        <v>9380</v>
      </c>
    </row>
    <row r="557" spans="22:68" x14ac:dyDescent="0.25">
      <c r="V557" s="178"/>
      <c r="W557" s="174"/>
      <c r="X557" s="179"/>
      <c r="Y557" s="247"/>
      <c r="Z557" s="248"/>
      <c r="AA557" s="294" t="str">
        <f t="shared" si="28"/>
        <v/>
      </c>
      <c r="AB557" s="219" t="str">
        <f t="shared" si="27"/>
        <v/>
      </c>
      <c r="AC557" s="219">
        <f t="shared" si="29"/>
        <v>0</v>
      </c>
      <c r="AD557" s="219">
        <f t="shared" si="30"/>
        <v>0</v>
      </c>
      <c r="AE557" s="220">
        <f t="shared" si="31"/>
        <v>0</v>
      </c>
      <c r="AF557" s="221">
        <f t="shared" si="32"/>
        <v>0</v>
      </c>
      <c r="AG557" s="204"/>
      <c r="AH557" s="178"/>
      <c r="AI557" s="174"/>
      <c r="AJ557" s="179"/>
      <c r="AK557" s="247"/>
      <c r="AL557" s="248"/>
      <c r="AM557" s="294" t="str">
        <f t="shared" si="35"/>
        <v/>
      </c>
      <c r="AN557" s="219" t="str">
        <f t="shared" si="36"/>
        <v/>
      </c>
      <c r="AO557" s="219">
        <f t="shared" si="37"/>
        <v>0</v>
      </c>
      <c r="AP557" s="219">
        <f t="shared" si="38"/>
        <v>0</v>
      </c>
      <c r="AQ557" s="220">
        <f t="shared" si="39"/>
        <v>0</v>
      </c>
      <c r="AR557" s="221">
        <f t="shared" si="40"/>
        <v>0</v>
      </c>
      <c r="AY557" s="628"/>
      <c r="AZ557" s="470">
        <v>0.75</v>
      </c>
      <c r="BA557" s="466">
        <v>6788071293</v>
      </c>
      <c r="BB557" s="211">
        <v>458</v>
      </c>
      <c r="BC557" s="211">
        <v>358</v>
      </c>
      <c r="BD557" s="211">
        <v>420</v>
      </c>
      <c r="BE557" s="211">
        <v>1256</v>
      </c>
      <c r="BF557" s="211">
        <v>1924</v>
      </c>
      <c r="BG557" s="211">
        <v>1785</v>
      </c>
      <c r="BH557" s="211">
        <v>5718</v>
      </c>
      <c r="BI557" s="211">
        <v>4879</v>
      </c>
      <c r="BJ557" s="211">
        <v>3317</v>
      </c>
      <c r="BK557" s="211">
        <v>1303</v>
      </c>
      <c r="BL557" s="211">
        <v>341</v>
      </c>
      <c r="BM557" s="211">
        <v>600</v>
      </c>
      <c r="BO557" s="28">
        <f t="shared" si="33"/>
        <v>1863.25</v>
      </c>
      <c r="BP557" s="28">
        <f t="shared" si="34"/>
        <v>22359</v>
      </c>
    </row>
    <row r="558" spans="22:68" x14ac:dyDescent="0.25">
      <c r="V558" s="178"/>
      <c r="W558" s="174"/>
      <c r="X558" s="179"/>
      <c r="Y558" s="247"/>
      <c r="Z558" s="248"/>
      <c r="AA558" s="294" t="str">
        <f t="shared" si="28"/>
        <v/>
      </c>
      <c r="AB558" s="219" t="str">
        <f t="shared" si="27"/>
        <v/>
      </c>
      <c r="AC558" s="219">
        <f t="shared" si="29"/>
        <v>0</v>
      </c>
      <c r="AD558" s="219">
        <f t="shared" si="30"/>
        <v>0</v>
      </c>
      <c r="AE558" s="220">
        <f t="shared" si="31"/>
        <v>0</v>
      </c>
      <c r="AF558" s="221">
        <f t="shared" si="32"/>
        <v>0</v>
      </c>
      <c r="AG558" s="204"/>
      <c r="AH558" s="178"/>
      <c r="AI558" s="174"/>
      <c r="AJ558" s="179"/>
      <c r="AK558" s="247"/>
      <c r="AL558" s="248"/>
      <c r="AM558" s="294" t="str">
        <f t="shared" si="35"/>
        <v/>
      </c>
      <c r="AN558" s="219" t="str">
        <f t="shared" si="36"/>
        <v/>
      </c>
      <c r="AO558" s="219">
        <f t="shared" si="37"/>
        <v>0</v>
      </c>
      <c r="AP558" s="219">
        <f t="shared" si="38"/>
        <v>0</v>
      </c>
      <c r="AQ558" s="220">
        <f t="shared" si="39"/>
        <v>0</v>
      </c>
      <c r="AR558" s="221">
        <f t="shared" si="40"/>
        <v>0</v>
      </c>
      <c r="AY558" s="628"/>
      <c r="AZ558" s="470">
        <v>0.625</v>
      </c>
      <c r="BA558" s="466">
        <v>6793680521</v>
      </c>
      <c r="BB558" s="211">
        <v>2240</v>
      </c>
      <c r="BC558" s="211">
        <v>363</v>
      </c>
      <c r="BD558" s="211">
        <v>476</v>
      </c>
      <c r="BE558" s="211">
        <v>457</v>
      </c>
      <c r="BF558" s="211">
        <v>3947</v>
      </c>
      <c r="BG558" s="211">
        <v>3819</v>
      </c>
      <c r="BH558" s="211">
        <v>3901</v>
      </c>
      <c r="BI558" s="211">
        <v>3696</v>
      </c>
      <c r="BJ558" s="211">
        <v>2125</v>
      </c>
      <c r="BK558" s="211">
        <v>560</v>
      </c>
      <c r="BL558" s="211">
        <v>320</v>
      </c>
      <c r="BM558" s="211">
        <v>472</v>
      </c>
      <c r="BO558" s="28">
        <f t="shared" si="33"/>
        <v>1864.6666666666667</v>
      </c>
      <c r="BP558" s="28">
        <f t="shared" si="34"/>
        <v>22376</v>
      </c>
    </row>
    <row r="559" spans="22:68" x14ac:dyDescent="0.25">
      <c r="V559" s="178"/>
      <c r="W559" s="174"/>
      <c r="X559" s="179"/>
      <c r="Y559" s="247"/>
      <c r="Z559" s="248"/>
      <c r="AA559" s="294" t="str">
        <f t="shared" si="28"/>
        <v/>
      </c>
      <c r="AB559" s="219" t="str">
        <f t="shared" si="27"/>
        <v/>
      </c>
      <c r="AC559" s="219">
        <f t="shared" si="29"/>
        <v>0</v>
      </c>
      <c r="AD559" s="219">
        <f t="shared" si="30"/>
        <v>0</v>
      </c>
      <c r="AE559" s="220">
        <f t="shared" si="31"/>
        <v>0</v>
      </c>
      <c r="AF559" s="221">
        <f t="shared" si="32"/>
        <v>0</v>
      </c>
      <c r="AG559" s="204"/>
      <c r="AH559" s="178"/>
      <c r="AI559" s="174"/>
      <c r="AJ559" s="179"/>
      <c r="AK559" s="247"/>
      <c r="AL559" s="248"/>
      <c r="AM559" s="294" t="str">
        <f t="shared" si="35"/>
        <v/>
      </c>
      <c r="AN559" s="219" t="str">
        <f t="shared" si="36"/>
        <v/>
      </c>
      <c r="AO559" s="219">
        <f t="shared" si="37"/>
        <v>0</v>
      </c>
      <c r="AP559" s="219">
        <f t="shared" si="38"/>
        <v>0</v>
      </c>
      <c r="AQ559" s="220">
        <f t="shared" si="39"/>
        <v>0</v>
      </c>
      <c r="AR559" s="221">
        <f t="shared" si="40"/>
        <v>0</v>
      </c>
      <c r="AY559" s="628"/>
      <c r="AZ559" s="470">
        <v>0.75</v>
      </c>
      <c r="BA559" s="466">
        <v>6855764610</v>
      </c>
      <c r="BB559" s="211">
        <v>4113</v>
      </c>
      <c r="BC559" s="211">
        <v>748</v>
      </c>
      <c r="BD559" s="211">
        <v>698</v>
      </c>
      <c r="BE559" s="211">
        <v>861</v>
      </c>
      <c r="BF559" s="211">
        <v>567</v>
      </c>
      <c r="BG559" s="211">
        <v>535</v>
      </c>
      <c r="BH559" s="211">
        <v>539</v>
      </c>
      <c r="BI559" s="211">
        <v>1795</v>
      </c>
      <c r="BJ559" s="211">
        <v>254</v>
      </c>
      <c r="BK559" s="211">
        <v>1020</v>
      </c>
      <c r="BL559" s="211">
        <v>596</v>
      </c>
      <c r="BM559" s="211">
        <v>520</v>
      </c>
      <c r="BO559" s="28">
        <f t="shared" si="33"/>
        <v>1020.5</v>
      </c>
      <c r="BP559" s="28">
        <f t="shared" si="34"/>
        <v>12246</v>
      </c>
    </row>
    <row r="560" spans="22:68" x14ac:dyDescent="0.25">
      <c r="V560" s="178"/>
      <c r="W560" s="174"/>
      <c r="X560" s="179"/>
      <c r="Y560" s="247"/>
      <c r="Z560" s="248"/>
      <c r="AA560" s="294" t="str">
        <f t="shared" si="28"/>
        <v/>
      </c>
      <c r="AB560" s="219" t="str">
        <f t="shared" si="27"/>
        <v/>
      </c>
      <c r="AC560" s="219">
        <f t="shared" si="29"/>
        <v>0</v>
      </c>
      <c r="AD560" s="219">
        <f t="shared" si="30"/>
        <v>0</v>
      </c>
      <c r="AE560" s="220">
        <f t="shared" si="31"/>
        <v>0</v>
      </c>
      <c r="AF560" s="221">
        <f t="shared" si="32"/>
        <v>0</v>
      </c>
      <c r="AG560" s="204"/>
      <c r="AH560" s="178"/>
      <c r="AI560" s="174"/>
      <c r="AJ560" s="179"/>
      <c r="AK560" s="247"/>
      <c r="AL560" s="248"/>
      <c r="AM560" s="294" t="str">
        <f t="shared" si="35"/>
        <v/>
      </c>
      <c r="AN560" s="219" t="str">
        <f t="shared" si="36"/>
        <v/>
      </c>
      <c r="AO560" s="219">
        <f t="shared" si="37"/>
        <v>0</v>
      </c>
      <c r="AP560" s="219">
        <f t="shared" si="38"/>
        <v>0</v>
      </c>
      <c r="AQ560" s="220">
        <f t="shared" si="39"/>
        <v>0</v>
      </c>
      <c r="AR560" s="221">
        <f t="shared" si="40"/>
        <v>0</v>
      </c>
      <c r="AY560" s="628"/>
      <c r="AZ560" s="470">
        <v>0.75</v>
      </c>
      <c r="BA560" s="466">
        <v>6866193770</v>
      </c>
      <c r="BB560" s="211">
        <v>339</v>
      </c>
      <c r="BC560" s="211">
        <v>239</v>
      </c>
      <c r="BD560" s="211">
        <v>209</v>
      </c>
      <c r="BE560" s="211">
        <v>255</v>
      </c>
      <c r="BF560" s="211">
        <v>189</v>
      </c>
      <c r="BG560" s="211">
        <v>210</v>
      </c>
      <c r="BH560" s="211">
        <v>476</v>
      </c>
      <c r="BI560" s="211">
        <v>447</v>
      </c>
      <c r="BJ560" s="211" t="s">
        <v>655</v>
      </c>
      <c r="BK560" s="211">
        <v>411</v>
      </c>
      <c r="BL560" s="211">
        <v>287</v>
      </c>
      <c r="BM560" s="211">
        <v>192</v>
      </c>
      <c r="BO560" s="28">
        <f t="shared" si="33"/>
        <v>295.81818181818181</v>
      </c>
      <c r="BP560" s="28">
        <f t="shared" si="34"/>
        <v>3254</v>
      </c>
    </row>
    <row r="561" spans="22:68" x14ac:dyDescent="0.25">
      <c r="V561" s="178"/>
      <c r="W561" s="174"/>
      <c r="X561" s="179"/>
      <c r="Y561" s="247"/>
      <c r="Z561" s="248"/>
      <c r="AA561" s="294" t="str">
        <f t="shared" si="28"/>
        <v/>
      </c>
      <c r="AB561" s="219" t="str">
        <f t="shared" si="27"/>
        <v/>
      </c>
      <c r="AC561" s="219">
        <f t="shared" si="29"/>
        <v>0</v>
      </c>
      <c r="AD561" s="219">
        <f t="shared" si="30"/>
        <v>0</v>
      </c>
      <c r="AE561" s="220">
        <f t="shared" si="31"/>
        <v>0</v>
      </c>
      <c r="AF561" s="221">
        <f t="shared" si="32"/>
        <v>0</v>
      </c>
      <c r="AG561" s="204"/>
      <c r="AH561" s="178"/>
      <c r="AI561" s="174"/>
      <c r="AJ561" s="179"/>
      <c r="AK561" s="247"/>
      <c r="AL561" s="248"/>
      <c r="AM561" s="294" t="str">
        <f t="shared" si="35"/>
        <v/>
      </c>
      <c r="AN561" s="219" t="str">
        <f t="shared" si="36"/>
        <v/>
      </c>
      <c r="AO561" s="219">
        <f t="shared" si="37"/>
        <v>0</v>
      </c>
      <c r="AP561" s="219">
        <f t="shared" si="38"/>
        <v>0</v>
      </c>
      <c r="AQ561" s="220">
        <f t="shared" si="39"/>
        <v>0</v>
      </c>
      <c r="AR561" s="221">
        <f t="shared" si="40"/>
        <v>0</v>
      </c>
      <c r="AY561" s="628"/>
      <c r="AZ561" s="471">
        <v>2</v>
      </c>
      <c r="BA561" s="466">
        <v>6867837012</v>
      </c>
      <c r="BB561" s="211">
        <v>776</v>
      </c>
      <c r="BC561" s="211">
        <v>965</v>
      </c>
      <c r="BD561" s="211">
        <v>1116</v>
      </c>
      <c r="BE561" s="211">
        <v>1028</v>
      </c>
      <c r="BF561" s="211">
        <v>982</v>
      </c>
      <c r="BG561" s="211">
        <v>908</v>
      </c>
      <c r="BH561" s="211">
        <v>771</v>
      </c>
      <c r="BI561" s="211">
        <v>838</v>
      </c>
      <c r="BJ561" s="211">
        <v>964</v>
      </c>
      <c r="BK561" s="211">
        <v>910</v>
      </c>
      <c r="BL561" s="211">
        <v>797</v>
      </c>
      <c r="BM561" s="211">
        <v>728</v>
      </c>
      <c r="BO561" s="28">
        <f t="shared" si="33"/>
        <v>898.58333333333337</v>
      </c>
      <c r="BP561" s="28">
        <f t="shared" si="34"/>
        <v>10783</v>
      </c>
    </row>
    <row r="562" spans="22:68" x14ac:dyDescent="0.25">
      <c r="V562" s="178"/>
      <c r="W562" s="174"/>
      <c r="X562" s="179"/>
      <c r="Y562" s="247"/>
      <c r="Z562" s="248"/>
      <c r="AA562" s="294" t="str">
        <f t="shared" si="28"/>
        <v/>
      </c>
      <c r="AB562" s="219" t="str">
        <f t="shared" si="27"/>
        <v/>
      </c>
      <c r="AC562" s="219">
        <f t="shared" si="29"/>
        <v>0</v>
      </c>
      <c r="AD562" s="219">
        <f t="shared" si="30"/>
        <v>0</v>
      </c>
      <c r="AE562" s="220">
        <f t="shared" si="31"/>
        <v>0</v>
      </c>
      <c r="AF562" s="221">
        <f t="shared" si="32"/>
        <v>0</v>
      </c>
      <c r="AG562" s="204"/>
      <c r="AH562" s="178"/>
      <c r="AI562" s="174"/>
      <c r="AJ562" s="179"/>
      <c r="AK562" s="247"/>
      <c r="AL562" s="248"/>
      <c r="AM562" s="294" t="str">
        <f t="shared" si="35"/>
        <v/>
      </c>
      <c r="AN562" s="219" t="str">
        <f t="shared" si="36"/>
        <v/>
      </c>
      <c r="AO562" s="219">
        <f t="shared" si="37"/>
        <v>0</v>
      </c>
      <c r="AP562" s="219">
        <f t="shared" si="38"/>
        <v>0</v>
      </c>
      <c r="AQ562" s="220">
        <f t="shared" si="39"/>
        <v>0</v>
      </c>
      <c r="AR562" s="221">
        <f t="shared" si="40"/>
        <v>0</v>
      </c>
      <c r="AY562" s="628"/>
      <c r="AZ562" s="470">
        <v>0.75</v>
      </c>
      <c r="BA562" s="466">
        <v>6871912999</v>
      </c>
      <c r="BB562" s="211">
        <v>262</v>
      </c>
      <c r="BC562" s="211">
        <v>237</v>
      </c>
      <c r="BD562" s="211">
        <v>273</v>
      </c>
      <c r="BE562" s="211">
        <v>274</v>
      </c>
      <c r="BF562" s="211">
        <v>298</v>
      </c>
      <c r="BG562" s="211">
        <v>214</v>
      </c>
      <c r="BH562" s="211">
        <v>422</v>
      </c>
      <c r="BI562" s="211">
        <v>468</v>
      </c>
      <c r="BJ562" s="211">
        <v>235</v>
      </c>
      <c r="BK562" s="211">
        <v>330</v>
      </c>
      <c r="BL562" s="211">
        <v>492</v>
      </c>
      <c r="BM562" s="211">
        <v>299</v>
      </c>
      <c r="BO562" s="28">
        <f t="shared" si="33"/>
        <v>317</v>
      </c>
      <c r="BP562" s="28">
        <f t="shared" si="34"/>
        <v>3804</v>
      </c>
    </row>
    <row r="563" spans="22:68" x14ac:dyDescent="0.25">
      <c r="V563" s="178"/>
      <c r="W563" s="174"/>
      <c r="X563" s="179"/>
      <c r="Y563" s="247"/>
      <c r="Z563" s="248"/>
      <c r="AA563" s="294" t="str">
        <f t="shared" si="28"/>
        <v/>
      </c>
      <c r="AB563" s="219" t="str">
        <f t="shared" si="27"/>
        <v/>
      </c>
      <c r="AC563" s="219">
        <f t="shared" si="29"/>
        <v>0</v>
      </c>
      <c r="AD563" s="219">
        <f t="shared" si="30"/>
        <v>0</v>
      </c>
      <c r="AE563" s="220">
        <f t="shared" si="31"/>
        <v>0</v>
      </c>
      <c r="AF563" s="221">
        <f t="shared" si="32"/>
        <v>0</v>
      </c>
      <c r="AG563" s="204"/>
      <c r="AH563" s="178"/>
      <c r="AI563" s="174"/>
      <c r="AJ563" s="179"/>
      <c r="AK563" s="247"/>
      <c r="AL563" s="248"/>
      <c r="AM563" s="294" t="str">
        <f t="shared" si="35"/>
        <v/>
      </c>
      <c r="AN563" s="219" t="str">
        <f t="shared" si="36"/>
        <v/>
      </c>
      <c r="AO563" s="219">
        <f t="shared" si="37"/>
        <v>0</v>
      </c>
      <c r="AP563" s="219">
        <f t="shared" si="38"/>
        <v>0</v>
      </c>
      <c r="AQ563" s="220">
        <f t="shared" si="39"/>
        <v>0</v>
      </c>
      <c r="AR563" s="221">
        <f t="shared" si="40"/>
        <v>0</v>
      </c>
      <c r="AY563" s="628"/>
      <c r="AZ563" s="470">
        <v>0.625</v>
      </c>
      <c r="BA563" s="466">
        <v>6891221893</v>
      </c>
      <c r="BB563" s="211">
        <v>119</v>
      </c>
      <c r="BC563" s="211">
        <v>329</v>
      </c>
      <c r="BD563" s="211">
        <v>366</v>
      </c>
      <c r="BE563" s="211">
        <v>647</v>
      </c>
      <c r="BF563" s="211">
        <v>1973</v>
      </c>
      <c r="BG563" s="211">
        <v>3010</v>
      </c>
      <c r="BH563" s="211">
        <v>5534</v>
      </c>
      <c r="BI563" s="211">
        <v>4705</v>
      </c>
      <c r="BJ563" s="211">
        <v>4380</v>
      </c>
      <c r="BK563" s="211">
        <v>675</v>
      </c>
      <c r="BL563" s="211">
        <v>324</v>
      </c>
      <c r="BM563" s="211">
        <v>198</v>
      </c>
      <c r="BO563" s="28">
        <f t="shared" si="33"/>
        <v>1855</v>
      </c>
      <c r="BP563" s="28">
        <f t="shared" si="34"/>
        <v>22260</v>
      </c>
    </row>
    <row r="564" spans="22:68" x14ac:dyDescent="0.25">
      <c r="V564" s="178"/>
      <c r="W564" s="174"/>
      <c r="X564" s="179"/>
      <c r="Y564" s="247"/>
      <c r="Z564" s="248"/>
      <c r="AA564" s="294" t="str">
        <f t="shared" si="28"/>
        <v/>
      </c>
      <c r="AB564" s="219" t="str">
        <f t="shared" si="27"/>
        <v/>
      </c>
      <c r="AC564" s="219">
        <f t="shared" si="29"/>
        <v>0</v>
      </c>
      <c r="AD564" s="219">
        <f t="shared" si="30"/>
        <v>0</v>
      </c>
      <c r="AE564" s="220">
        <f t="shared" si="31"/>
        <v>0</v>
      </c>
      <c r="AF564" s="221">
        <f t="shared" si="32"/>
        <v>0</v>
      </c>
      <c r="AG564" s="204"/>
      <c r="AH564" s="178"/>
      <c r="AI564" s="174"/>
      <c r="AJ564" s="179"/>
      <c r="AK564" s="247"/>
      <c r="AL564" s="248"/>
      <c r="AM564" s="294" t="str">
        <f t="shared" si="35"/>
        <v/>
      </c>
      <c r="AN564" s="219" t="str">
        <f t="shared" si="36"/>
        <v/>
      </c>
      <c r="AO564" s="219">
        <f t="shared" si="37"/>
        <v>0</v>
      </c>
      <c r="AP564" s="219">
        <f t="shared" si="38"/>
        <v>0</v>
      </c>
      <c r="AQ564" s="220">
        <f t="shared" si="39"/>
        <v>0</v>
      </c>
      <c r="AR564" s="221">
        <f t="shared" si="40"/>
        <v>0</v>
      </c>
      <c r="AY564" s="628"/>
      <c r="AZ564" s="470">
        <v>1</v>
      </c>
      <c r="BA564" s="466">
        <v>6892628943</v>
      </c>
      <c r="BB564" s="211">
        <v>911</v>
      </c>
      <c r="BC564" s="211">
        <v>916</v>
      </c>
      <c r="BD564" s="211">
        <v>1061</v>
      </c>
      <c r="BE564" s="211">
        <v>1165</v>
      </c>
      <c r="BF564" s="211">
        <v>1042</v>
      </c>
      <c r="BG564" s="211">
        <v>1048</v>
      </c>
      <c r="BH564" s="211">
        <v>1446</v>
      </c>
      <c r="BI564" s="211">
        <v>821</v>
      </c>
      <c r="BJ564" s="211">
        <v>802</v>
      </c>
      <c r="BK564" s="211">
        <v>1056</v>
      </c>
      <c r="BL564" s="211">
        <v>900</v>
      </c>
      <c r="BM564" s="211">
        <v>970</v>
      </c>
      <c r="BO564" s="28">
        <f t="shared" si="33"/>
        <v>1011.5</v>
      </c>
      <c r="BP564" s="28">
        <f t="shared" si="34"/>
        <v>12138</v>
      </c>
    </row>
    <row r="565" spans="22:68" x14ac:dyDescent="0.25">
      <c r="V565" s="178"/>
      <c r="W565" s="174"/>
      <c r="X565" s="179"/>
      <c r="Y565" s="247"/>
      <c r="Z565" s="248"/>
      <c r="AA565" s="294" t="str">
        <f t="shared" si="28"/>
        <v/>
      </c>
      <c r="AB565" s="219" t="str">
        <f t="shared" si="27"/>
        <v/>
      </c>
      <c r="AC565" s="219">
        <f t="shared" si="29"/>
        <v>0</v>
      </c>
      <c r="AD565" s="219">
        <f t="shared" si="30"/>
        <v>0</v>
      </c>
      <c r="AE565" s="220">
        <f t="shared" si="31"/>
        <v>0</v>
      </c>
      <c r="AF565" s="221">
        <f t="shared" si="32"/>
        <v>0</v>
      </c>
      <c r="AG565" s="204"/>
      <c r="AH565" s="178"/>
      <c r="AI565" s="174"/>
      <c r="AJ565" s="179"/>
      <c r="AK565" s="247"/>
      <c r="AL565" s="248"/>
      <c r="AM565" s="294" t="str">
        <f t="shared" si="35"/>
        <v/>
      </c>
      <c r="AN565" s="219" t="str">
        <f t="shared" si="36"/>
        <v/>
      </c>
      <c r="AO565" s="219">
        <f t="shared" si="37"/>
        <v>0</v>
      </c>
      <c r="AP565" s="219">
        <f t="shared" si="38"/>
        <v>0</v>
      </c>
      <c r="AQ565" s="220">
        <f t="shared" si="39"/>
        <v>0</v>
      </c>
      <c r="AR565" s="221">
        <f t="shared" si="40"/>
        <v>0</v>
      </c>
      <c r="AY565" s="628"/>
      <c r="AZ565" s="470">
        <v>0.75</v>
      </c>
      <c r="BA565" s="466">
        <v>6898810398</v>
      </c>
      <c r="BB565" s="211">
        <v>766</v>
      </c>
      <c r="BC565" s="211">
        <v>728</v>
      </c>
      <c r="BD565" s="211">
        <v>487</v>
      </c>
      <c r="BE565" s="211">
        <v>823</v>
      </c>
      <c r="BF565" s="211">
        <v>782</v>
      </c>
      <c r="BG565" s="211">
        <v>1364</v>
      </c>
      <c r="BH565" s="211">
        <v>2956</v>
      </c>
      <c r="BI565" s="211">
        <v>5378</v>
      </c>
      <c r="BJ565" s="211">
        <v>2465</v>
      </c>
      <c r="BK565" s="211">
        <v>708</v>
      </c>
      <c r="BL565" s="211">
        <v>353</v>
      </c>
      <c r="BM565" s="211">
        <v>389</v>
      </c>
      <c r="BO565" s="28">
        <f t="shared" si="33"/>
        <v>1433.25</v>
      </c>
      <c r="BP565" s="28">
        <f t="shared" si="34"/>
        <v>17199</v>
      </c>
    </row>
    <row r="566" spans="22:68" x14ac:dyDescent="0.25">
      <c r="V566" s="178"/>
      <c r="W566" s="174"/>
      <c r="X566" s="179"/>
      <c r="Y566" s="247"/>
      <c r="Z566" s="248"/>
      <c r="AA566" s="294" t="str">
        <f t="shared" si="28"/>
        <v/>
      </c>
      <c r="AB566" s="219" t="str">
        <f t="shared" si="27"/>
        <v/>
      </c>
      <c r="AC566" s="219">
        <f t="shared" si="29"/>
        <v>0</v>
      </c>
      <c r="AD566" s="219">
        <f t="shared" si="30"/>
        <v>0</v>
      </c>
      <c r="AE566" s="220">
        <f t="shared" si="31"/>
        <v>0</v>
      </c>
      <c r="AF566" s="221">
        <f t="shared" si="32"/>
        <v>0</v>
      </c>
      <c r="AG566" s="204"/>
      <c r="AH566" s="178"/>
      <c r="AI566" s="174"/>
      <c r="AJ566" s="179"/>
      <c r="AK566" s="247"/>
      <c r="AL566" s="248"/>
      <c r="AM566" s="294" t="str">
        <f t="shared" si="35"/>
        <v/>
      </c>
      <c r="AN566" s="219" t="str">
        <f t="shared" si="36"/>
        <v/>
      </c>
      <c r="AO566" s="219">
        <f t="shared" si="37"/>
        <v>0</v>
      </c>
      <c r="AP566" s="219">
        <f t="shared" si="38"/>
        <v>0</v>
      </c>
      <c r="AQ566" s="220">
        <f t="shared" si="39"/>
        <v>0</v>
      </c>
      <c r="AR566" s="221">
        <f t="shared" si="40"/>
        <v>0</v>
      </c>
      <c r="AY566" s="628"/>
      <c r="AZ566" s="471">
        <v>3</v>
      </c>
      <c r="BA566" s="466">
        <v>6902763924</v>
      </c>
      <c r="BB566" s="211">
        <v>23790</v>
      </c>
      <c r="BC566" s="211">
        <v>18210</v>
      </c>
      <c r="BD566" s="211">
        <v>20990</v>
      </c>
      <c r="BE566" s="211">
        <v>20700</v>
      </c>
      <c r="BF566" s="211">
        <v>18560</v>
      </c>
      <c r="BG566" s="211">
        <v>20180</v>
      </c>
      <c r="BH566" s="211">
        <v>28981</v>
      </c>
      <c r="BI566" s="211">
        <v>28629</v>
      </c>
      <c r="BJ566" s="211">
        <v>31760</v>
      </c>
      <c r="BK566" s="211">
        <v>21700</v>
      </c>
      <c r="BL566" s="211">
        <v>17500</v>
      </c>
      <c r="BM566" s="211">
        <v>20870</v>
      </c>
      <c r="BO566" s="28">
        <f t="shared" si="33"/>
        <v>22655.833333333332</v>
      </c>
      <c r="BP566" s="28">
        <f t="shared" si="34"/>
        <v>271870</v>
      </c>
    </row>
    <row r="567" spans="22:68" x14ac:dyDescent="0.25">
      <c r="V567" s="178"/>
      <c r="W567" s="174"/>
      <c r="X567" s="179"/>
      <c r="Y567" s="247"/>
      <c r="Z567" s="248"/>
      <c r="AA567" s="294" t="str">
        <f t="shared" si="28"/>
        <v/>
      </c>
      <c r="AB567" s="219" t="str">
        <f t="shared" si="27"/>
        <v/>
      </c>
      <c r="AC567" s="219">
        <f t="shared" si="29"/>
        <v>0</v>
      </c>
      <c r="AD567" s="219">
        <f t="shared" si="30"/>
        <v>0</v>
      </c>
      <c r="AE567" s="220">
        <f t="shared" si="31"/>
        <v>0</v>
      </c>
      <c r="AF567" s="221">
        <f t="shared" si="32"/>
        <v>0</v>
      </c>
      <c r="AG567" s="204"/>
      <c r="AH567" s="178"/>
      <c r="AI567" s="174"/>
      <c r="AJ567" s="179"/>
      <c r="AK567" s="247"/>
      <c r="AL567" s="248"/>
      <c r="AM567" s="294" t="str">
        <f t="shared" si="35"/>
        <v/>
      </c>
      <c r="AN567" s="219" t="str">
        <f t="shared" si="36"/>
        <v/>
      </c>
      <c r="AO567" s="219">
        <f t="shared" si="37"/>
        <v>0</v>
      </c>
      <c r="AP567" s="219">
        <f t="shared" si="38"/>
        <v>0</v>
      </c>
      <c r="AQ567" s="220">
        <f t="shared" si="39"/>
        <v>0</v>
      </c>
      <c r="AR567" s="221">
        <f t="shared" si="40"/>
        <v>0</v>
      </c>
      <c r="AY567" s="628"/>
      <c r="AZ567" s="470">
        <v>0.75</v>
      </c>
      <c r="BA567" s="466">
        <v>6921070163</v>
      </c>
      <c r="BB567" s="211">
        <v>1448</v>
      </c>
      <c r="BC567" s="211">
        <v>1462</v>
      </c>
      <c r="BD567" s="211">
        <v>1712</v>
      </c>
      <c r="BE567" s="211">
        <v>1579</v>
      </c>
      <c r="BF567" s="211">
        <v>1292</v>
      </c>
      <c r="BG567" s="211">
        <v>1073</v>
      </c>
      <c r="BH567" s="211">
        <v>1902</v>
      </c>
      <c r="BI567" s="211">
        <v>538</v>
      </c>
      <c r="BJ567" s="211">
        <v>629</v>
      </c>
      <c r="BK567" s="211">
        <v>521</v>
      </c>
      <c r="BL567" s="211">
        <v>232</v>
      </c>
      <c r="BM567" s="211">
        <v>256</v>
      </c>
      <c r="BO567" s="28">
        <f t="shared" si="33"/>
        <v>1053.6666666666667</v>
      </c>
      <c r="BP567" s="28">
        <f t="shared" si="34"/>
        <v>12644</v>
      </c>
    </row>
    <row r="568" spans="22:68" x14ac:dyDescent="0.25">
      <c r="V568" s="178"/>
      <c r="W568" s="174"/>
      <c r="X568" s="179"/>
      <c r="Y568" s="247"/>
      <c r="Z568" s="248"/>
      <c r="AA568" s="294" t="str">
        <f t="shared" si="28"/>
        <v/>
      </c>
      <c r="AB568" s="219" t="str">
        <f t="shared" si="27"/>
        <v/>
      </c>
      <c r="AC568" s="219">
        <f t="shared" si="29"/>
        <v>0</v>
      </c>
      <c r="AD568" s="219">
        <f t="shared" si="30"/>
        <v>0</v>
      </c>
      <c r="AE568" s="220">
        <f t="shared" si="31"/>
        <v>0</v>
      </c>
      <c r="AF568" s="221">
        <f t="shared" si="32"/>
        <v>0</v>
      </c>
      <c r="AG568" s="204"/>
      <c r="AH568" s="178"/>
      <c r="AI568" s="174"/>
      <c r="AJ568" s="179"/>
      <c r="AK568" s="247"/>
      <c r="AL568" s="248"/>
      <c r="AM568" s="294" t="str">
        <f t="shared" si="35"/>
        <v/>
      </c>
      <c r="AN568" s="219" t="str">
        <f t="shared" si="36"/>
        <v/>
      </c>
      <c r="AO568" s="219">
        <f t="shared" si="37"/>
        <v>0</v>
      </c>
      <c r="AP568" s="219">
        <f t="shared" si="38"/>
        <v>0</v>
      </c>
      <c r="AQ568" s="220">
        <f t="shared" si="39"/>
        <v>0</v>
      </c>
      <c r="AR568" s="221">
        <f t="shared" si="40"/>
        <v>0</v>
      </c>
      <c r="AY568" s="628"/>
      <c r="AZ568" s="470">
        <v>0.75</v>
      </c>
      <c r="BA568" s="466">
        <v>6946034639</v>
      </c>
      <c r="BB568" s="211">
        <v>893</v>
      </c>
      <c r="BC568" s="211">
        <v>894</v>
      </c>
      <c r="BD568" s="211">
        <v>883</v>
      </c>
      <c r="BE568" s="211">
        <v>1310</v>
      </c>
      <c r="BF568" s="211">
        <v>1169</v>
      </c>
      <c r="BG568" s="211">
        <v>1530</v>
      </c>
      <c r="BH568" s="211">
        <v>2165</v>
      </c>
      <c r="BI568" s="211">
        <v>2350</v>
      </c>
      <c r="BJ568" s="211">
        <v>1909</v>
      </c>
      <c r="BK568" s="211">
        <v>1236</v>
      </c>
      <c r="BL568" s="211">
        <v>1101</v>
      </c>
      <c r="BM568" s="211">
        <v>1211</v>
      </c>
      <c r="BO568" s="28">
        <f t="shared" si="33"/>
        <v>1387.5833333333333</v>
      </c>
      <c r="BP568" s="28">
        <f t="shared" si="34"/>
        <v>16651</v>
      </c>
    </row>
    <row r="569" spans="22:68" x14ac:dyDescent="0.25">
      <c r="V569" s="178"/>
      <c r="W569" s="174"/>
      <c r="X569" s="179"/>
      <c r="Y569" s="247"/>
      <c r="Z569" s="248"/>
      <c r="AA569" s="294" t="str">
        <f t="shared" si="28"/>
        <v/>
      </c>
      <c r="AB569" s="219" t="str">
        <f t="shared" si="27"/>
        <v/>
      </c>
      <c r="AC569" s="219">
        <f t="shared" si="29"/>
        <v>0</v>
      </c>
      <c r="AD569" s="219">
        <f t="shared" si="30"/>
        <v>0</v>
      </c>
      <c r="AE569" s="220">
        <f t="shared" si="31"/>
        <v>0</v>
      </c>
      <c r="AF569" s="221">
        <f t="shared" si="32"/>
        <v>0</v>
      </c>
      <c r="AG569" s="204"/>
      <c r="AH569" s="178"/>
      <c r="AI569" s="174"/>
      <c r="AJ569" s="179"/>
      <c r="AK569" s="247"/>
      <c r="AL569" s="248"/>
      <c r="AM569" s="294" t="str">
        <f t="shared" si="35"/>
        <v/>
      </c>
      <c r="AN569" s="219" t="str">
        <f t="shared" si="36"/>
        <v/>
      </c>
      <c r="AO569" s="219">
        <f t="shared" si="37"/>
        <v>0</v>
      </c>
      <c r="AP569" s="219">
        <f t="shared" si="38"/>
        <v>0</v>
      </c>
      <c r="AQ569" s="220">
        <f t="shared" si="39"/>
        <v>0</v>
      </c>
      <c r="AR569" s="221">
        <f t="shared" si="40"/>
        <v>0</v>
      </c>
      <c r="AY569" s="628"/>
      <c r="AZ569" s="470">
        <v>0.75</v>
      </c>
      <c r="BA569" s="466">
        <v>6962393648</v>
      </c>
      <c r="BB569" s="211">
        <v>102</v>
      </c>
      <c r="BC569" s="211">
        <v>488</v>
      </c>
      <c r="BD569" s="211">
        <v>558</v>
      </c>
      <c r="BE569" s="211">
        <v>522</v>
      </c>
      <c r="BF569" s="211">
        <v>547</v>
      </c>
      <c r="BG569" s="211">
        <v>2167</v>
      </c>
      <c r="BH569" s="211">
        <v>6102</v>
      </c>
      <c r="BI569" s="211">
        <v>7837</v>
      </c>
      <c r="BJ569" s="211">
        <v>2559</v>
      </c>
      <c r="BK569" s="211">
        <v>288</v>
      </c>
      <c r="BL569" s="211">
        <v>118</v>
      </c>
      <c r="BM569" s="211">
        <v>30</v>
      </c>
      <c r="BO569" s="28">
        <f t="shared" si="33"/>
        <v>1776.5</v>
      </c>
      <c r="BP569" s="28">
        <f t="shared" si="34"/>
        <v>21318</v>
      </c>
    </row>
    <row r="570" spans="22:68" x14ac:dyDescent="0.25">
      <c r="V570" s="178"/>
      <c r="W570" s="174"/>
      <c r="X570" s="179"/>
      <c r="Y570" s="247"/>
      <c r="Z570" s="248"/>
      <c r="AA570" s="294" t="str">
        <f t="shared" si="28"/>
        <v/>
      </c>
      <c r="AB570" s="219" t="str">
        <f t="shared" si="27"/>
        <v/>
      </c>
      <c r="AC570" s="219">
        <f t="shared" si="29"/>
        <v>0</v>
      </c>
      <c r="AD570" s="219">
        <f t="shared" si="30"/>
        <v>0</v>
      </c>
      <c r="AE570" s="220">
        <f t="shared" si="31"/>
        <v>0</v>
      </c>
      <c r="AF570" s="221">
        <f t="shared" si="32"/>
        <v>0</v>
      </c>
      <c r="AG570" s="204"/>
      <c r="AH570" s="178"/>
      <c r="AI570" s="174"/>
      <c r="AJ570" s="179"/>
      <c r="AK570" s="247"/>
      <c r="AL570" s="248"/>
      <c r="AM570" s="294" t="str">
        <f t="shared" si="35"/>
        <v/>
      </c>
      <c r="AN570" s="219" t="str">
        <f t="shared" si="36"/>
        <v/>
      </c>
      <c r="AO570" s="219">
        <f t="shared" si="37"/>
        <v>0</v>
      </c>
      <c r="AP570" s="219">
        <f t="shared" si="38"/>
        <v>0</v>
      </c>
      <c r="AQ570" s="220">
        <f t="shared" si="39"/>
        <v>0</v>
      </c>
      <c r="AR570" s="221">
        <f t="shared" si="40"/>
        <v>0</v>
      </c>
      <c r="AY570" s="628"/>
      <c r="AZ570" s="470">
        <v>0.75</v>
      </c>
      <c r="BA570" s="466">
        <v>6964601667</v>
      </c>
      <c r="BB570" s="211">
        <v>477</v>
      </c>
      <c r="BC570" s="211">
        <v>484</v>
      </c>
      <c r="BD570" s="211">
        <v>484</v>
      </c>
      <c r="BE570" s="211">
        <v>655</v>
      </c>
      <c r="BF570" s="211">
        <v>499</v>
      </c>
      <c r="BG570" s="211">
        <v>750</v>
      </c>
      <c r="BH570" s="211">
        <v>673</v>
      </c>
      <c r="BI570" s="211">
        <v>446</v>
      </c>
      <c r="BJ570" s="211">
        <v>543</v>
      </c>
      <c r="BK570" s="211">
        <v>513</v>
      </c>
      <c r="BL570" s="211">
        <v>503</v>
      </c>
      <c r="BM570" s="211">
        <v>830</v>
      </c>
      <c r="BO570" s="28">
        <f t="shared" si="33"/>
        <v>571.41666666666663</v>
      </c>
      <c r="BP570" s="28">
        <f t="shared" si="34"/>
        <v>6857</v>
      </c>
    </row>
    <row r="571" spans="22:68" x14ac:dyDescent="0.25">
      <c r="V571" s="178"/>
      <c r="W571" s="174"/>
      <c r="X571" s="179"/>
      <c r="Y571" s="247"/>
      <c r="Z571" s="248"/>
      <c r="AA571" s="294" t="str">
        <f t="shared" si="28"/>
        <v/>
      </c>
      <c r="AB571" s="219" t="str">
        <f t="shared" si="27"/>
        <v/>
      </c>
      <c r="AC571" s="219">
        <f t="shared" si="29"/>
        <v>0</v>
      </c>
      <c r="AD571" s="219">
        <f t="shared" si="30"/>
        <v>0</v>
      </c>
      <c r="AE571" s="220">
        <f t="shared" si="31"/>
        <v>0</v>
      </c>
      <c r="AF571" s="221">
        <f t="shared" si="32"/>
        <v>0</v>
      </c>
      <c r="AG571" s="204"/>
      <c r="AH571" s="178"/>
      <c r="AI571" s="174"/>
      <c r="AJ571" s="179"/>
      <c r="AK571" s="247"/>
      <c r="AL571" s="248"/>
      <c r="AM571" s="294" t="str">
        <f t="shared" si="35"/>
        <v/>
      </c>
      <c r="AN571" s="219" t="str">
        <f t="shared" si="36"/>
        <v/>
      </c>
      <c r="AO571" s="219">
        <f t="shared" si="37"/>
        <v>0</v>
      </c>
      <c r="AP571" s="219">
        <f t="shared" si="38"/>
        <v>0</v>
      </c>
      <c r="AQ571" s="220">
        <f t="shared" si="39"/>
        <v>0</v>
      </c>
      <c r="AR571" s="221">
        <f t="shared" si="40"/>
        <v>0</v>
      </c>
      <c r="AY571" s="628"/>
      <c r="AZ571" s="470">
        <v>0.75</v>
      </c>
      <c r="BA571" s="466">
        <v>6969760349</v>
      </c>
      <c r="BB571" s="211">
        <v>633</v>
      </c>
      <c r="BC571" s="211">
        <v>431</v>
      </c>
      <c r="BD571" s="211">
        <v>369</v>
      </c>
      <c r="BE571" s="211">
        <v>532</v>
      </c>
      <c r="BF571" s="211">
        <v>503</v>
      </c>
      <c r="BG571" s="211">
        <v>659</v>
      </c>
      <c r="BH571" s="211">
        <v>2023</v>
      </c>
      <c r="BI571" s="211">
        <v>1648</v>
      </c>
      <c r="BJ571" s="211">
        <v>1148</v>
      </c>
      <c r="BK571" s="211">
        <v>474</v>
      </c>
      <c r="BL571" s="211">
        <v>381</v>
      </c>
      <c r="BM571" s="211">
        <v>644</v>
      </c>
      <c r="BO571" s="28">
        <f t="shared" si="33"/>
        <v>787.08333333333337</v>
      </c>
      <c r="BP571" s="28">
        <f t="shared" si="34"/>
        <v>9445</v>
      </c>
    </row>
    <row r="572" spans="22:68" x14ac:dyDescent="0.25">
      <c r="V572" s="178"/>
      <c r="W572" s="174"/>
      <c r="X572" s="179"/>
      <c r="Y572" s="247"/>
      <c r="Z572" s="248"/>
      <c r="AA572" s="294" t="str">
        <f t="shared" si="28"/>
        <v/>
      </c>
      <c r="AB572" s="219" t="str">
        <f t="shared" si="27"/>
        <v/>
      </c>
      <c r="AC572" s="219">
        <f t="shared" si="29"/>
        <v>0</v>
      </c>
      <c r="AD572" s="219">
        <f t="shared" si="30"/>
        <v>0</v>
      </c>
      <c r="AE572" s="220">
        <f t="shared" si="31"/>
        <v>0</v>
      </c>
      <c r="AF572" s="221">
        <f t="shared" si="32"/>
        <v>0</v>
      </c>
      <c r="AG572" s="204"/>
      <c r="AH572" s="178"/>
      <c r="AI572" s="174"/>
      <c r="AJ572" s="179"/>
      <c r="AK572" s="247"/>
      <c r="AL572" s="248"/>
      <c r="AM572" s="294" t="str">
        <f t="shared" si="35"/>
        <v/>
      </c>
      <c r="AN572" s="219" t="str">
        <f t="shared" si="36"/>
        <v/>
      </c>
      <c r="AO572" s="219">
        <f t="shared" si="37"/>
        <v>0</v>
      </c>
      <c r="AP572" s="219">
        <f t="shared" si="38"/>
        <v>0</v>
      </c>
      <c r="AQ572" s="220">
        <f t="shared" si="39"/>
        <v>0</v>
      </c>
      <c r="AR572" s="221">
        <f t="shared" si="40"/>
        <v>0</v>
      </c>
      <c r="AY572" s="628"/>
      <c r="AZ572" s="470">
        <v>0.75</v>
      </c>
      <c r="BA572" s="466">
        <v>6973130297</v>
      </c>
      <c r="BB572" s="211">
        <v>1621</v>
      </c>
      <c r="BC572" s="211">
        <v>1464</v>
      </c>
      <c r="BD572" s="211">
        <v>1605</v>
      </c>
      <c r="BE572" s="211">
        <v>1745</v>
      </c>
      <c r="BF572" s="211">
        <v>1419</v>
      </c>
      <c r="BG572" s="211">
        <v>1453</v>
      </c>
      <c r="BH572" s="211">
        <v>2273</v>
      </c>
      <c r="BI572" s="211">
        <v>2261</v>
      </c>
      <c r="BJ572" s="211">
        <v>2413</v>
      </c>
      <c r="BK572" s="211">
        <v>1874</v>
      </c>
      <c r="BL572" s="211">
        <v>1687</v>
      </c>
      <c r="BM572" s="211">
        <v>1941</v>
      </c>
      <c r="BO572" s="28">
        <f t="shared" si="33"/>
        <v>1813</v>
      </c>
      <c r="BP572" s="28">
        <f t="shared" si="34"/>
        <v>21756</v>
      </c>
    </row>
    <row r="573" spans="22:68" x14ac:dyDescent="0.25">
      <c r="V573" s="178"/>
      <c r="W573" s="174"/>
      <c r="X573" s="179"/>
      <c r="Y573" s="247"/>
      <c r="Z573" s="248"/>
      <c r="AA573" s="294" t="str">
        <f t="shared" si="28"/>
        <v/>
      </c>
      <c r="AB573" s="219" t="str">
        <f t="shared" si="27"/>
        <v/>
      </c>
      <c r="AC573" s="219">
        <f t="shared" si="29"/>
        <v>0</v>
      </c>
      <c r="AD573" s="219">
        <f t="shared" si="30"/>
        <v>0</v>
      </c>
      <c r="AE573" s="220">
        <f t="shared" si="31"/>
        <v>0</v>
      </c>
      <c r="AF573" s="221">
        <f t="shared" si="32"/>
        <v>0</v>
      </c>
      <c r="AG573" s="204"/>
      <c r="AH573" s="178"/>
      <c r="AI573" s="174"/>
      <c r="AJ573" s="179"/>
      <c r="AK573" s="247"/>
      <c r="AL573" s="248"/>
      <c r="AM573" s="294" t="str">
        <f t="shared" si="35"/>
        <v/>
      </c>
      <c r="AN573" s="219" t="str">
        <f t="shared" si="36"/>
        <v/>
      </c>
      <c r="AO573" s="219">
        <f t="shared" si="37"/>
        <v>0</v>
      </c>
      <c r="AP573" s="219">
        <f t="shared" si="38"/>
        <v>0</v>
      </c>
      <c r="AQ573" s="220">
        <f t="shared" si="39"/>
        <v>0</v>
      </c>
      <c r="AR573" s="221">
        <f t="shared" si="40"/>
        <v>0</v>
      </c>
      <c r="AY573" s="628"/>
      <c r="AZ573" s="470">
        <v>1.5</v>
      </c>
      <c r="BA573" s="466">
        <v>6974179458</v>
      </c>
      <c r="BB573" s="211">
        <v>1940</v>
      </c>
      <c r="BC573" s="211">
        <v>2460</v>
      </c>
      <c r="BD573" s="211">
        <v>2550</v>
      </c>
      <c r="BE573" s="211">
        <v>4620</v>
      </c>
      <c r="BF573" s="211">
        <v>6500</v>
      </c>
      <c r="BG573" s="211">
        <v>7100</v>
      </c>
      <c r="BH573" s="211">
        <v>10740</v>
      </c>
      <c r="BI573" s="211">
        <v>9110</v>
      </c>
      <c r="BJ573" s="211">
        <v>6000</v>
      </c>
      <c r="BK573" s="211">
        <v>2940</v>
      </c>
      <c r="BL573" s="211">
        <v>2030</v>
      </c>
      <c r="BM573" s="211">
        <v>2180</v>
      </c>
      <c r="BO573" s="28">
        <f t="shared" si="33"/>
        <v>4847.5</v>
      </c>
      <c r="BP573" s="28">
        <f t="shared" si="34"/>
        <v>58170</v>
      </c>
    </row>
    <row r="574" spans="22:68" x14ac:dyDescent="0.25">
      <c r="V574" s="178"/>
      <c r="W574" s="174"/>
      <c r="X574" s="179"/>
      <c r="Y574" s="247"/>
      <c r="Z574" s="248"/>
      <c r="AA574" s="294" t="str">
        <f t="shared" si="28"/>
        <v/>
      </c>
      <c r="AB574" s="219" t="str">
        <f t="shared" si="27"/>
        <v/>
      </c>
      <c r="AC574" s="219">
        <f t="shared" si="29"/>
        <v>0</v>
      </c>
      <c r="AD574" s="219">
        <f t="shared" si="30"/>
        <v>0</v>
      </c>
      <c r="AE574" s="220">
        <f t="shared" si="31"/>
        <v>0</v>
      </c>
      <c r="AF574" s="221">
        <f t="shared" si="32"/>
        <v>0</v>
      </c>
      <c r="AG574" s="204"/>
      <c r="AH574" s="178"/>
      <c r="AI574" s="174"/>
      <c r="AJ574" s="179"/>
      <c r="AK574" s="247"/>
      <c r="AL574" s="248"/>
      <c r="AM574" s="294" t="str">
        <f t="shared" si="35"/>
        <v/>
      </c>
      <c r="AN574" s="219" t="str">
        <f t="shared" si="36"/>
        <v/>
      </c>
      <c r="AO574" s="219">
        <f t="shared" si="37"/>
        <v>0</v>
      </c>
      <c r="AP574" s="219">
        <f t="shared" si="38"/>
        <v>0</v>
      </c>
      <c r="AQ574" s="220">
        <f t="shared" si="39"/>
        <v>0</v>
      </c>
      <c r="AR574" s="221">
        <f t="shared" si="40"/>
        <v>0</v>
      </c>
      <c r="AY574" s="628"/>
      <c r="AZ574" s="470">
        <v>0.75</v>
      </c>
      <c r="BA574" s="466">
        <v>6986934021</v>
      </c>
      <c r="BB574" s="211">
        <v>796</v>
      </c>
      <c r="BC574" s="211">
        <v>582</v>
      </c>
      <c r="BD574" s="211">
        <v>1004</v>
      </c>
      <c r="BE574" s="211">
        <v>1318</v>
      </c>
      <c r="BF574" s="211">
        <v>366</v>
      </c>
      <c r="BG574" s="211">
        <v>2679</v>
      </c>
      <c r="BH574" s="211">
        <v>3539</v>
      </c>
      <c r="BI574" s="211">
        <v>2940</v>
      </c>
      <c r="BJ574" s="211">
        <v>1927</v>
      </c>
      <c r="BK574" s="211">
        <v>397</v>
      </c>
      <c r="BL574" s="211">
        <v>1530</v>
      </c>
      <c r="BM574" s="211">
        <v>700</v>
      </c>
      <c r="BO574" s="28">
        <f t="shared" si="33"/>
        <v>1481.5</v>
      </c>
      <c r="BP574" s="28">
        <f t="shared" si="34"/>
        <v>17778</v>
      </c>
    </row>
    <row r="575" spans="22:68" x14ac:dyDescent="0.25">
      <c r="V575" s="178"/>
      <c r="W575" s="174"/>
      <c r="X575" s="179"/>
      <c r="Y575" s="247"/>
      <c r="Z575" s="248"/>
      <c r="AA575" s="294" t="str">
        <f t="shared" si="28"/>
        <v/>
      </c>
      <c r="AB575" s="219" t="str">
        <f t="shared" si="27"/>
        <v/>
      </c>
      <c r="AC575" s="219">
        <f t="shared" si="29"/>
        <v>0</v>
      </c>
      <c r="AD575" s="219">
        <f t="shared" si="30"/>
        <v>0</v>
      </c>
      <c r="AE575" s="220">
        <f t="shared" si="31"/>
        <v>0</v>
      </c>
      <c r="AF575" s="221">
        <f t="shared" si="32"/>
        <v>0</v>
      </c>
      <c r="AG575" s="204"/>
      <c r="AH575" s="178"/>
      <c r="AI575" s="174"/>
      <c r="AJ575" s="179"/>
      <c r="AK575" s="247"/>
      <c r="AL575" s="248"/>
      <c r="AM575" s="294" t="str">
        <f t="shared" si="35"/>
        <v/>
      </c>
      <c r="AN575" s="219" t="str">
        <f t="shared" si="36"/>
        <v/>
      </c>
      <c r="AO575" s="219">
        <f t="shared" si="37"/>
        <v>0</v>
      </c>
      <c r="AP575" s="219">
        <f t="shared" si="38"/>
        <v>0</v>
      </c>
      <c r="AQ575" s="220">
        <f t="shared" si="39"/>
        <v>0</v>
      </c>
      <c r="AR575" s="221">
        <f t="shared" si="40"/>
        <v>0</v>
      </c>
      <c r="AY575" s="628"/>
      <c r="AZ575" s="470">
        <v>0.75</v>
      </c>
      <c r="BA575" s="466">
        <v>6987397490</v>
      </c>
      <c r="BB575" s="211">
        <v>819</v>
      </c>
      <c r="BC575" s="211">
        <v>450</v>
      </c>
      <c r="BD575" s="211">
        <v>390</v>
      </c>
      <c r="BE575" s="211">
        <v>531</v>
      </c>
      <c r="BF575" s="211">
        <v>511</v>
      </c>
      <c r="BG575" s="211">
        <v>979</v>
      </c>
      <c r="BH575" s="211">
        <v>2033</v>
      </c>
      <c r="BI575" s="211">
        <v>2760</v>
      </c>
      <c r="BJ575" s="211">
        <v>1214</v>
      </c>
      <c r="BK575" s="211">
        <v>526</v>
      </c>
      <c r="BL575" s="211">
        <v>320</v>
      </c>
      <c r="BM575" s="211">
        <v>377</v>
      </c>
      <c r="BO575" s="28">
        <f t="shared" si="33"/>
        <v>909.16666666666663</v>
      </c>
      <c r="BP575" s="28">
        <f t="shared" si="34"/>
        <v>10910</v>
      </c>
    </row>
    <row r="576" spans="22:68" x14ac:dyDescent="0.25">
      <c r="V576" s="178"/>
      <c r="W576" s="174"/>
      <c r="X576" s="179"/>
      <c r="Y576" s="247"/>
      <c r="Z576" s="248"/>
      <c r="AA576" s="294" t="str">
        <f t="shared" si="28"/>
        <v/>
      </c>
      <c r="AB576" s="219" t="str">
        <f t="shared" si="27"/>
        <v/>
      </c>
      <c r="AC576" s="219">
        <f t="shared" si="29"/>
        <v>0</v>
      </c>
      <c r="AD576" s="219">
        <f t="shared" si="30"/>
        <v>0</v>
      </c>
      <c r="AE576" s="220">
        <f t="shared" si="31"/>
        <v>0</v>
      </c>
      <c r="AF576" s="221">
        <f t="shared" si="32"/>
        <v>0</v>
      </c>
      <c r="AG576" s="204"/>
      <c r="AH576" s="178"/>
      <c r="AI576" s="174"/>
      <c r="AJ576" s="179"/>
      <c r="AK576" s="247"/>
      <c r="AL576" s="248"/>
      <c r="AM576" s="294" t="str">
        <f t="shared" si="35"/>
        <v/>
      </c>
      <c r="AN576" s="219" t="str">
        <f t="shared" si="36"/>
        <v/>
      </c>
      <c r="AO576" s="219">
        <f t="shared" si="37"/>
        <v>0</v>
      </c>
      <c r="AP576" s="219">
        <f t="shared" si="38"/>
        <v>0</v>
      </c>
      <c r="AQ576" s="220">
        <f t="shared" si="39"/>
        <v>0</v>
      </c>
      <c r="AR576" s="221">
        <f t="shared" si="40"/>
        <v>0</v>
      </c>
      <c r="AY576" s="628"/>
      <c r="AZ576" s="470">
        <v>0.75</v>
      </c>
      <c r="BA576" s="466">
        <v>7045048117</v>
      </c>
      <c r="BB576" s="211">
        <v>495</v>
      </c>
      <c r="BC576" s="211">
        <v>425</v>
      </c>
      <c r="BD576" s="211">
        <v>450</v>
      </c>
      <c r="BE576" s="211">
        <v>583</v>
      </c>
      <c r="BF576" s="211">
        <v>160</v>
      </c>
      <c r="BG576" s="211">
        <v>835</v>
      </c>
      <c r="BH576" s="211">
        <v>552</v>
      </c>
      <c r="BI576" s="211">
        <v>539</v>
      </c>
      <c r="BJ576" s="211">
        <v>426</v>
      </c>
      <c r="BK576" s="211">
        <v>540</v>
      </c>
      <c r="BL576" s="211">
        <v>210</v>
      </c>
      <c r="BM576" s="211">
        <v>750</v>
      </c>
      <c r="BO576" s="28">
        <f t="shared" si="33"/>
        <v>497.08333333333331</v>
      </c>
      <c r="BP576" s="28">
        <f t="shared" si="34"/>
        <v>5965</v>
      </c>
    </row>
    <row r="577" spans="22:68" x14ac:dyDescent="0.25">
      <c r="V577" s="178"/>
      <c r="W577" s="174"/>
      <c r="X577" s="179"/>
      <c r="Y577" s="247"/>
      <c r="Z577" s="248"/>
      <c r="AA577" s="294" t="str">
        <f t="shared" si="28"/>
        <v/>
      </c>
      <c r="AB577" s="219" t="str">
        <f t="shared" si="27"/>
        <v/>
      </c>
      <c r="AC577" s="219">
        <f t="shared" si="29"/>
        <v>0</v>
      </c>
      <c r="AD577" s="219">
        <f t="shared" si="30"/>
        <v>0</v>
      </c>
      <c r="AE577" s="220">
        <f t="shared" si="31"/>
        <v>0</v>
      </c>
      <c r="AF577" s="221">
        <f t="shared" si="32"/>
        <v>0</v>
      </c>
      <c r="AG577" s="204"/>
      <c r="AH577" s="178"/>
      <c r="AI577" s="174"/>
      <c r="AJ577" s="179"/>
      <c r="AK577" s="247"/>
      <c r="AL577" s="248"/>
      <c r="AM577" s="294" t="str">
        <f t="shared" si="35"/>
        <v/>
      </c>
      <c r="AN577" s="219" t="str">
        <f t="shared" si="36"/>
        <v/>
      </c>
      <c r="AO577" s="219">
        <f t="shared" si="37"/>
        <v>0</v>
      </c>
      <c r="AP577" s="219">
        <f t="shared" si="38"/>
        <v>0</v>
      </c>
      <c r="AQ577" s="220">
        <f t="shared" si="39"/>
        <v>0</v>
      </c>
      <c r="AR577" s="221">
        <f t="shared" si="40"/>
        <v>0</v>
      </c>
      <c r="AY577" s="628"/>
      <c r="AZ577" s="470">
        <v>1</v>
      </c>
      <c r="BA577" s="466">
        <v>7048010736</v>
      </c>
      <c r="BB577" s="211">
        <v>611</v>
      </c>
      <c r="BC577" s="211">
        <v>680</v>
      </c>
      <c r="BD577" s="211">
        <v>793</v>
      </c>
      <c r="BE577" s="211">
        <v>1207</v>
      </c>
      <c r="BF577" s="211">
        <v>1209</v>
      </c>
      <c r="BG577" s="211">
        <v>1002</v>
      </c>
      <c r="BH577" s="211">
        <v>1059</v>
      </c>
      <c r="BI577" s="211">
        <v>2319</v>
      </c>
      <c r="BJ577" s="211">
        <v>1392</v>
      </c>
      <c r="BK577" s="211">
        <v>689</v>
      </c>
      <c r="BL577" s="211">
        <v>200</v>
      </c>
      <c r="BM577" s="211">
        <v>863</v>
      </c>
      <c r="BO577" s="28">
        <f t="shared" si="33"/>
        <v>1002</v>
      </c>
      <c r="BP577" s="28">
        <f t="shared" si="34"/>
        <v>12024</v>
      </c>
    </row>
    <row r="578" spans="22:68" x14ac:dyDescent="0.25">
      <c r="V578" s="178"/>
      <c r="W578" s="174"/>
      <c r="X578" s="179"/>
      <c r="Y578" s="247"/>
      <c r="Z578" s="248"/>
      <c r="AA578" s="294" t="str">
        <f t="shared" si="28"/>
        <v/>
      </c>
      <c r="AB578" s="219" t="str">
        <f t="shared" si="27"/>
        <v/>
      </c>
      <c r="AC578" s="219">
        <f t="shared" si="29"/>
        <v>0</v>
      </c>
      <c r="AD578" s="219">
        <f t="shared" si="30"/>
        <v>0</v>
      </c>
      <c r="AE578" s="220">
        <f t="shared" si="31"/>
        <v>0</v>
      </c>
      <c r="AF578" s="221">
        <f t="shared" si="32"/>
        <v>0</v>
      </c>
      <c r="AG578" s="204"/>
      <c r="AH578" s="178"/>
      <c r="AI578" s="174"/>
      <c r="AJ578" s="179"/>
      <c r="AK578" s="247"/>
      <c r="AL578" s="248"/>
      <c r="AM578" s="294" t="str">
        <f t="shared" si="35"/>
        <v/>
      </c>
      <c r="AN578" s="219" t="str">
        <f t="shared" si="36"/>
        <v/>
      </c>
      <c r="AO578" s="219">
        <f t="shared" si="37"/>
        <v>0</v>
      </c>
      <c r="AP578" s="219">
        <f t="shared" si="38"/>
        <v>0</v>
      </c>
      <c r="AQ578" s="220">
        <f t="shared" si="39"/>
        <v>0</v>
      </c>
      <c r="AR578" s="221">
        <f t="shared" si="40"/>
        <v>0</v>
      </c>
      <c r="AY578" s="628"/>
      <c r="AZ578" s="470">
        <v>0.75</v>
      </c>
      <c r="BA578" s="466">
        <v>7058283057</v>
      </c>
      <c r="BB578" s="211">
        <v>540</v>
      </c>
      <c r="BC578" s="211">
        <v>969</v>
      </c>
      <c r="BD578" s="211">
        <v>747</v>
      </c>
      <c r="BE578" s="211">
        <v>634</v>
      </c>
      <c r="BF578" s="211">
        <v>656</v>
      </c>
      <c r="BG578" s="211">
        <v>685</v>
      </c>
      <c r="BH578" s="211">
        <v>795</v>
      </c>
      <c r="BI578" s="211">
        <v>561</v>
      </c>
      <c r="BJ578" s="211">
        <v>863</v>
      </c>
      <c r="BK578" s="211">
        <v>858</v>
      </c>
      <c r="BL578" s="211">
        <v>482</v>
      </c>
      <c r="BM578" s="211">
        <v>700</v>
      </c>
      <c r="BO578" s="28">
        <f t="shared" si="33"/>
        <v>707.5</v>
      </c>
      <c r="BP578" s="28">
        <f t="shared" si="34"/>
        <v>8490</v>
      </c>
    </row>
    <row r="579" spans="22:68" x14ac:dyDescent="0.25">
      <c r="V579" s="178"/>
      <c r="W579" s="174"/>
      <c r="X579" s="179"/>
      <c r="Y579" s="247"/>
      <c r="Z579" s="248"/>
      <c r="AA579" s="294" t="str">
        <f t="shared" si="28"/>
        <v/>
      </c>
      <c r="AB579" s="219" t="str">
        <f t="shared" si="27"/>
        <v/>
      </c>
      <c r="AC579" s="219">
        <f t="shared" si="29"/>
        <v>0</v>
      </c>
      <c r="AD579" s="219">
        <f t="shared" si="30"/>
        <v>0</v>
      </c>
      <c r="AE579" s="220">
        <f t="shared" si="31"/>
        <v>0</v>
      </c>
      <c r="AF579" s="221">
        <f t="shared" si="32"/>
        <v>0</v>
      </c>
      <c r="AG579" s="204"/>
      <c r="AH579" s="178"/>
      <c r="AI579" s="174"/>
      <c r="AJ579" s="179"/>
      <c r="AK579" s="247"/>
      <c r="AL579" s="248"/>
      <c r="AM579" s="294" t="str">
        <f t="shared" si="35"/>
        <v/>
      </c>
      <c r="AN579" s="219" t="str">
        <f t="shared" si="36"/>
        <v/>
      </c>
      <c r="AO579" s="219">
        <f t="shared" si="37"/>
        <v>0</v>
      </c>
      <c r="AP579" s="219">
        <f t="shared" si="38"/>
        <v>0</v>
      </c>
      <c r="AQ579" s="220">
        <f t="shared" si="39"/>
        <v>0</v>
      </c>
      <c r="AR579" s="221">
        <f t="shared" si="40"/>
        <v>0</v>
      </c>
      <c r="AY579" s="628"/>
      <c r="AZ579" s="470">
        <v>0.75</v>
      </c>
      <c r="BA579" s="466">
        <v>7062411190</v>
      </c>
      <c r="BB579" s="211">
        <v>529</v>
      </c>
      <c r="BC579" s="211">
        <v>429</v>
      </c>
      <c r="BD579" s="211">
        <v>481</v>
      </c>
      <c r="BE579" s="211">
        <v>611</v>
      </c>
      <c r="BF579" s="211">
        <v>185</v>
      </c>
      <c r="BG579" s="211">
        <v>384</v>
      </c>
      <c r="BH579" s="211">
        <v>1939</v>
      </c>
      <c r="BI579" s="211">
        <v>1668</v>
      </c>
      <c r="BJ579" s="211">
        <v>768</v>
      </c>
      <c r="BK579" s="211">
        <v>370</v>
      </c>
      <c r="BL579" s="211">
        <v>250</v>
      </c>
      <c r="BM579" s="211">
        <v>325</v>
      </c>
      <c r="BO579" s="28">
        <f t="shared" si="33"/>
        <v>661.58333333333337</v>
      </c>
      <c r="BP579" s="28">
        <f t="shared" si="34"/>
        <v>7939</v>
      </c>
    </row>
    <row r="580" spans="22:68" x14ac:dyDescent="0.25">
      <c r="V580" s="178"/>
      <c r="W580" s="174"/>
      <c r="X580" s="179"/>
      <c r="Y580" s="247"/>
      <c r="Z580" s="248"/>
      <c r="AA580" s="294" t="str">
        <f t="shared" si="28"/>
        <v/>
      </c>
      <c r="AB580" s="219" t="str">
        <f t="shared" si="27"/>
        <v/>
      </c>
      <c r="AC580" s="219">
        <f t="shared" si="29"/>
        <v>0</v>
      </c>
      <c r="AD580" s="219">
        <f t="shared" si="30"/>
        <v>0</v>
      </c>
      <c r="AE580" s="220">
        <f t="shared" si="31"/>
        <v>0</v>
      </c>
      <c r="AF580" s="221">
        <f t="shared" si="32"/>
        <v>0</v>
      </c>
      <c r="AG580" s="204"/>
      <c r="AH580" s="178"/>
      <c r="AI580" s="174"/>
      <c r="AJ580" s="179"/>
      <c r="AK580" s="247"/>
      <c r="AL580" s="248"/>
      <c r="AM580" s="294" t="str">
        <f t="shared" si="35"/>
        <v/>
      </c>
      <c r="AN580" s="219" t="str">
        <f t="shared" si="36"/>
        <v/>
      </c>
      <c r="AO580" s="219">
        <f t="shared" si="37"/>
        <v>0</v>
      </c>
      <c r="AP580" s="219">
        <f t="shared" si="38"/>
        <v>0</v>
      </c>
      <c r="AQ580" s="220">
        <f t="shared" si="39"/>
        <v>0</v>
      </c>
      <c r="AR580" s="221">
        <f t="shared" si="40"/>
        <v>0</v>
      </c>
      <c r="AY580" s="628"/>
      <c r="AZ580" s="470">
        <v>0.625</v>
      </c>
      <c r="BA580" s="466">
        <v>7080879799</v>
      </c>
      <c r="BB580" s="211">
        <v>80</v>
      </c>
      <c r="BC580" s="211">
        <v>85</v>
      </c>
      <c r="BD580" s="211">
        <v>86</v>
      </c>
      <c r="BE580" s="211">
        <v>104</v>
      </c>
      <c r="BF580" s="211">
        <v>83</v>
      </c>
      <c r="BG580" s="211">
        <v>102</v>
      </c>
      <c r="BH580" s="211">
        <v>297</v>
      </c>
      <c r="BI580" s="211">
        <v>300</v>
      </c>
      <c r="BJ580" s="211">
        <v>905</v>
      </c>
      <c r="BK580" s="211">
        <v>195</v>
      </c>
      <c r="BL580" s="211">
        <v>171</v>
      </c>
      <c r="BM580" s="211">
        <v>94</v>
      </c>
      <c r="BO580" s="28">
        <f t="shared" si="33"/>
        <v>208.5</v>
      </c>
      <c r="BP580" s="28">
        <f t="shared" si="34"/>
        <v>2502</v>
      </c>
    </row>
    <row r="581" spans="22:68" x14ac:dyDescent="0.25">
      <c r="V581" s="178"/>
      <c r="W581" s="174"/>
      <c r="X581" s="179"/>
      <c r="Y581" s="247"/>
      <c r="Z581" s="248"/>
      <c r="AA581" s="294" t="str">
        <f t="shared" si="28"/>
        <v/>
      </c>
      <c r="AB581" s="219" t="str">
        <f t="shared" si="27"/>
        <v/>
      </c>
      <c r="AC581" s="219">
        <f t="shared" si="29"/>
        <v>0</v>
      </c>
      <c r="AD581" s="219">
        <f t="shared" si="30"/>
        <v>0</v>
      </c>
      <c r="AE581" s="220">
        <f t="shared" si="31"/>
        <v>0</v>
      </c>
      <c r="AF581" s="221">
        <f t="shared" si="32"/>
        <v>0</v>
      </c>
      <c r="AG581" s="204"/>
      <c r="AH581" s="178"/>
      <c r="AI581" s="174"/>
      <c r="AJ581" s="179"/>
      <c r="AK581" s="247"/>
      <c r="AL581" s="248"/>
      <c r="AM581" s="294" t="str">
        <f t="shared" si="35"/>
        <v/>
      </c>
      <c r="AN581" s="219" t="str">
        <f t="shared" si="36"/>
        <v/>
      </c>
      <c r="AO581" s="219">
        <f t="shared" si="37"/>
        <v>0</v>
      </c>
      <c r="AP581" s="219">
        <f t="shared" si="38"/>
        <v>0</v>
      </c>
      <c r="AQ581" s="220">
        <f t="shared" si="39"/>
        <v>0</v>
      </c>
      <c r="AR581" s="221">
        <f t="shared" si="40"/>
        <v>0</v>
      </c>
      <c r="AY581" s="628"/>
      <c r="AZ581" s="470">
        <v>0.75</v>
      </c>
      <c r="BA581" s="466">
        <v>7097178959</v>
      </c>
      <c r="BB581" s="211">
        <v>486</v>
      </c>
      <c r="BC581" s="211">
        <v>264</v>
      </c>
      <c r="BD581" s="211">
        <v>406</v>
      </c>
      <c r="BE581" s="211">
        <v>526</v>
      </c>
      <c r="BF581" s="211">
        <v>367</v>
      </c>
      <c r="BG581" s="211">
        <v>301</v>
      </c>
      <c r="BH581" s="211">
        <v>403</v>
      </c>
      <c r="BI581" s="211">
        <v>310</v>
      </c>
      <c r="BJ581" s="211">
        <v>768</v>
      </c>
      <c r="BK581" s="211">
        <v>247</v>
      </c>
      <c r="BL581" s="211">
        <v>153</v>
      </c>
      <c r="BM581" s="211">
        <v>220</v>
      </c>
      <c r="BO581" s="28">
        <f t="shared" si="33"/>
        <v>370.91666666666669</v>
      </c>
      <c r="BP581" s="28">
        <f t="shared" si="34"/>
        <v>4451</v>
      </c>
    </row>
    <row r="582" spans="22:68" x14ac:dyDescent="0.25">
      <c r="V582" s="178"/>
      <c r="W582" s="174"/>
      <c r="X582" s="179"/>
      <c r="Y582" s="247"/>
      <c r="Z582" s="248"/>
      <c r="AA582" s="294" t="str">
        <f t="shared" si="28"/>
        <v/>
      </c>
      <c r="AB582" s="219" t="str">
        <f t="shared" si="27"/>
        <v/>
      </c>
      <c r="AC582" s="219">
        <f t="shared" si="29"/>
        <v>0</v>
      </c>
      <c r="AD582" s="219">
        <f t="shared" si="30"/>
        <v>0</v>
      </c>
      <c r="AE582" s="220">
        <f t="shared" si="31"/>
        <v>0</v>
      </c>
      <c r="AF582" s="221">
        <f t="shared" si="32"/>
        <v>0</v>
      </c>
      <c r="AG582" s="204"/>
      <c r="AH582" s="178"/>
      <c r="AI582" s="174"/>
      <c r="AJ582" s="179"/>
      <c r="AK582" s="247"/>
      <c r="AL582" s="248"/>
      <c r="AM582" s="294" t="str">
        <f t="shared" si="35"/>
        <v/>
      </c>
      <c r="AN582" s="219" t="str">
        <f t="shared" si="36"/>
        <v/>
      </c>
      <c r="AO582" s="219">
        <f t="shared" si="37"/>
        <v>0</v>
      </c>
      <c r="AP582" s="219">
        <f t="shared" si="38"/>
        <v>0</v>
      </c>
      <c r="AQ582" s="220">
        <f t="shared" si="39"/>
        <v>0</v>
      </c>
      <c r="AR582" s="221">
        <f t="shared" si="40"/>
        <v>0</v>
      </c>
      <c r="AY582" s="628"/>
      <c r="AZ582" s="470">
        <v>0.75</v>
      </c>
      <c r="BA582" s="466">
        <v>7106936072</v>
      </c>
      <c r="BB582" s="211">
        <v>46</v>
      </c>
      <c r="BC582" s="211">
        <v>51</v>
      </c>
      <c r="BD582" s="211">
        <v>20</v>
      </c>
      <c r="BE582" s="211">
        <v>87</v>
      </c>
      <c r="BF582" s="211">
        <v>140</v>
      </c>
      <c r="BG582" s="211">
        <v>120</v>
      </c>
      <c r="BH582" s="211">
        <v>559</v>
      </c>
      <c r="BI582" s="211">
        <v>1123</v>
      </c>
      <c r="BJ582" s="211">
        <v>302</v>
      </c>
      <c r="BK582" s="211">
        <v>97</v>
      </c>
      <c r="BL582" s="211">
        <v>20</v>
      </c>
      <c r="BM582" s="211">
        <v>32</v>
      </c>
      <c r="BO582" s="28">
        <f t="shared" si="33"/>
        <v>216.41666666666666</v>
      </c>
      <c r="BP582" s="28">
        <f t="shared" si="34"/>
        <v>2597</v>
      </c>
    </row>
    <row r="583" spans="22:68" x14ac:dyDescent="0.25">
      <c r="V583" s="178"/>
      <c r="W583" s="174"/>
      <c r="X583" s="179"/>
      <c r="Y583" s="247"/>
      <c r="Z583" s="248"/>
      <c r="AA583" s="294" t="str">
        <f t="shared" si="28"/>
        <v/>
      </c>
      <c r="AB583" s="219" t="str">
        <f t="shared" si="27"/>
        <v/>
      </c>
      <c r="AC583" s="219">
        <f t="shared" si="29"/>
        <v>0</v>
      </c>
      <c r="AD583" s="219">
        <f t="shared" si="30"/>
        <v>0</v>
      </c>
      <c r="AE583" s="220">
        <f t="shared" si="31"/>
        <v>0</v>
      </c>
      <c r="AF583" s="221">
        <f t="shared" si="32"/>
        <v>0</v>
      </c>
      <c r="AG583" s="204"/>
      <c r="AH583" s="178"/>
      <c r="AI583" s="174"/>
      <c r="AJ583" s="179"/>
      <c r="AK583" s="247"/>
      <c r="AL583" s="248"/>
      <c r="AM583" s="294" t="str">
        <f t="shared" si="35"/>
        <v/>
      </c>
      <c r="AN583" s="219" t="str">
        <f t="shared" si="36"/>
        <v/>
      </c>
      <c r="AO583" s="219">
        <f t="shared" si="37"/>
        <v>0</v>
      </c>
      <c r="AP583" s="219">
        <f t="shared" si="38"/>
        <v>0</v>
      </c>
      <c r="AQ583" s="220">
        <f t="shared" si="39"/>
        <v>0</v>
      </c>
      <c r="AR583" s="221">
        <f t="shared" si="40"/>
        <v>0</v>
      </c>
      <c r="AY583" s="628"/>
      <c r="AZ583" s="470">
        <v>0.75</v>
      </c>
      <c r="BA583" s="466">
        <v>7112063636</v>
      </c>
      <c r="BB583" s="211">
        <v>469</v>
      </c>
      <c r="BC583" s="211">
        <v>426</v>
      </c>
      <c r="BD583" s="211">
        <v>457</v>
      </c>
      <c r="BE583" s="211">
        <v>578</v>
      </c>
      <c r="BF583" s="211">
        <v>431</v>
      </c>
      <c r="BG583" s="211">
        <v>193</v>
      </c>
      <c r="BH583" s="211">
        <v>2356</v>
      </c>
      <c r="BI583" s="211">
        <v>2931</v>
      </c>
      <c r="BJ583" s="211">
        <v>784</v>
      </c>
      <c r="BK583" s="211">
        <v>827</v>
      </c>
      <c r="BL583" s="211">
        <v>504</v>
      </c>
      <c r="BM583" s="211">
        <v>233</v>
      </c>
      <c r="BO583" s="28">
        <f t="shared" si="33"/>
        <v>849.08333333333337</v>
      </c>
      <c r="BP583" s="28">
        <f t="shared" si="34"/>
        <v>10189</v>
      </c>
    </row>
    <row r="584" spans="22:68" x14ac:dyDescent="0.25">
      <c r="V584" s="178"/>
      <c r="W584" s="174"/>
      <c r="X584" s="179"/>
      <c r="Y584" s="247"/>
      <c r="Z584" s="248"/>
      <c r="AA584" s="294" t="str">
        <f t="shared" si="28"/>
        <v/>
      </c>
      <c r="AB584" s="219" t="str">
        <f t="shared" ref="AB584:AB647" si="41">IF(Y584&gt;1,IF((TestEOY-X584)/365&gt;AA584,AA584,ROUNDUP(((TestEOY-X584)/365),0)),"")</f>
        <v/>
      </c>
      <c r="AC584" s="219">
        <f t="shared" si="29"/>
        <v>0</v>
      </c>
      <c r="AD584" s="219">
        <f t="shared" si="30"/>
        <v>0</v>
      </c>
      <c r="AE584" s="220">
        <f t="shared" si="31"/>
        <v>0</v>
      </c>
      <c r="AF584" s="221">
        <f t="shared" si="32"/>
        <v>0</v>
      </c>
      <c r="AG584" s="204"/>
      <c r="AH584" s="178"/>
      <c r="AI584" s="174"/>
      <c r="AJ584" s="179"/>
      <c r="AK584" s="247"/>
      <c r="AL584" s="248"/>
      <c r="AM584" s="294" t="str">
        <f t="shared" si="35"/>
        <v/>
      </c>
      <c r="AN584" s="219" t="str">
        <f t="shared" ref="AN584:AN647" si="42">IF(AK584&lt;&gt;"",IF((TestEOY-AJ584)/365&gt;AM584,AM584,ROUNDUP(((TestEOY-AJ584)/365),0)),"")</f>
        <v/>
      </c>
      <c r="AO584" s="219">
        <f t="shared" si="37"/>
        <v>0</v>
      </c>
      <c r="AP584" s="219">
        <f t="shared" si="38"/>
        <v>0</v>
      </c>
      <c r="AQ584" s="220">
        <f t="shared" si="39"/>
        <v>0</v>
      </c>
      <c r="AR584" s="221">
        <f t="shared" si="40"/>
        <v>0</v>
      </c>
      <c r="AY584" s="628"/>
      <c r="AZ584" s="470">
        <v>0.75</v>
      </c>
      <c r="BA584" s="466">
        <v>7128587743</v>
      </c>
      <c r="BB584" s="211">
        <v>221</v>
      </c>
      <c r="BC584" s="211">
        <v>174</v>
      </c>
      <c r="BD584" s="211">
        <v>260</v>
      </c>
      <c r="BE584" s="211">
        <v>192</v>
      </c>
      <c r="BF584" s="211">
        <v>157</v>
      </c>
      <c r="BG584" s="211">
        <v>166</v>
      </c>
      <c r="BH584" s="211">
        <v>975</v>
      </c>
      <c r="BI584" s="211">
        <v>1244</v>
      </c>
      <c r="BJ584" s="211">
        <v>653</v>
      </c>
      <c r="BK584" s="211">
        <v>238</v>
      </c>
      <c r="BL584" s="211">
        <v>143</v>
      </c>
      <c r="BM584" s="211">
        <v>265</v>
      </c>
      <c r="BO584" s="28">
        <f t="shared" si="33"/>
        <v>390.66666666666669</v>
      </c>
      <c r="BP584" s="28">
        <f t="shared" si="34"/>
        <v>4688</v>
      </c>
    </row>
    <row r="585" spans="22:68" x14ac:dyDescent="0.25">
      <c r="V585" s="178"/>
      <c r="W585" s="174"/>
      <c r="X585" s="179"/>
      <c r="Y585" s="247"/>
      <c r="Z585" s="248"/>
      <c r="AA585" s="294" t="str">
        <f t="shared" ref="AA585:AA648" si="43">IFERROR(INDEX($AU$8:$AU$23,MATCH(V585,$AT$8:$AT$23,0)),"")</f>
        <v/>
      </c>
      <c r="AB585" s="219" t="str">
        <f t="shared" si="41"/>
        <v/>
      </c>
      <c r="AC585" s="219">
        <f t="shared" ref="AC585:AC648" si="44">IFERROR(IF(AB585&gt;=AA585,0,IF(AA585&gt;AB585,SLN(Y585,Z585,AA585),0)),"")</f>
        <v>0</v>
      </c>
      <c r="AD585" s="219">
        <f t="shared" ref="AD585:AD648" si="45">AE585-AC585</f>
        <v>0</v>
      </c>
      <c r="AE585" s="220">
        <f t="shared" ref="AE585:AE648" si="46">IFERROR(IF(OR(AA585=0,AA585=""),
     0,
     IF(AB585&gt;=AA585,
          +Y585,
          (+AC585*AB585))),
"")</f>
        <v>0</v>
      </c>
      <c r="AF585" s="221">
        <f t="shared" ref="AF585:AF648" si="47">IFERROR(IF(AE585&gt;Y585,0,(+Y585-AE585))-Z585,"")</f>
        <v>0</v>
      </c>
      <c r="AG585" s="204"/>
      <c r="AH585" s="178"/>
      <c r="AI585" s="174"/>
      <c r="AJ585" s="179"/>
      <c r="AK585" s="247"/>
      <c r="AL585" s="248"/>
      <c r="AM585" s="294" t="str">
        <f t="shared" si="35"/>
        <v/>
      </c>
      <c r="AN585" s="219" t="str">
        <f t="shared" si="42"/>
        <v/>
      </c>
      <c r="AO585" s="219">
        <f t="shared" si="37"/>
        <v>0</v>
      </c>
      <c r="AP585" s="219">
        <f t="shared" ref="AP585:AP648" si="48">AQ585-AO585</f>
        <v>0</v>
      </c>
      <c r="AQ585" s="220">
        <f t="shared" si="39"/>
        <v>0</v>
      </c>
      <c r="AR585" s="221">
        <f t="shared" si="40"/>
        <v>0</v>
      </c>
      <c r="AY585" s="628"/>
      <c r="AZ585" s="470">
        <v>0.75</v>
      </c>
      <c r="BA585" s="466">
        <v>7161925013</v>
      </c>
      <c r="BB585" s="211" t="s">
        <v>655</v>
      </c>
      <c r="BC585" s="211" t="s">
        <v>655</v>
      </c>
      <c r="BD585" s="211" t="s">
        <v>655</v>
      </c>
      <c r="BE585" s="211" t="s">
        <v>655</v>
      </c>
      <c r="BF585" s="211" t="s">
        <v>655</v>
      </c>
      <c r="BG585" s="211" t="s">
        <v>655</v>
      </c>
      <c r="BH585" s="211" t="s">
        <v>655</v>
      </c>
      <c r="BI585" s="211" t="s">
        <v>655</v>
      </c>
      <c r="BJ585" s="211" t="s">
        <v>655</v>
      </c>
      <c r="BK585" s="211" t="s">
        <v>655</v>
      </c>
      <c r="BL585" s="211" t="s">
        <v>655</v>
      </c>
      <c r="BM585" s="211" t="s">
        <v>655</v>
      </c>
      <c r="BO585" s="28" t="e">
        <f t="shared" ref="BO585:BO648" si="49">AVERAGE(BB585:BM585)</f>
        <v>#DIV/0!</v>
      </c>
      <c r="BP585" s="28">
        <f t="shared" ref="BP585:BP648" si="50">SUM(BB585:BM585)</f>
        <v>0</v>
      </c>
    </row>
    <row r="586" spans="22:68" x14ac:dyDescent="0.25">
      <c r="V586" s="178"/>
      <c r="W586" s="174"/>
      <c r="X586" s="179"/>
      <c r="Y586" s="247"/>
      <c r="Z586" s="248"/>
      <c r="AA586" s="294" t="str">
        <f t="shared" si="43"/>
        <v/>
      </c>
      <c r="AB586" s="219" t="str">
        <f t="shared" si="41"/>
        <v/>
      </c>
      <c r="AC586" s="219">
        <f t="shared" si="44"/>
        <v>0</v>
      </c>
      <c r="AD586" s="219">
        <f t="shared" si="45"/>
        <v>0</v>
      </c>
      <c r="AE586" s="220">
        <f t="shared" si="46"/>
        <v>0</v>
      </c>
      <c r="AF586" s="221">
        <f t="shared" si="47"/>
        <v>0</v>
      </c>
      <c r="AG586" s="204"/>
      <c r="AH586" s="178"/>
      <c r="AI586" s="174"/>
      <c r="AJ586" s="179"/>
      <c r="AK586" s="247"/>
      <c r="AL586" s="248"/>
      <c r="AM586" s="294" t="str">
        <f t="shared" si="35"/>
        <v/>
      </c>
      <c r="AN586" s="219" t="str">
        <f t="shared" si="42"/>
        <v/>
      </c>
      <c r="AO586" s="219">
        <f t="shared" si="37"/>
        <v>0</v>
      </c>
      <c r="AP586" s="219">
        <f t="shared" si="48"/>
        <v>0</v>
      </c>
      <c r="AQ586" s="220">
        <f t="shared" si="39"/>
        <v>0</v>
      </c>
      <c r="AR586" s="221">
        <f t="shared" si="40"/>
        <v>0</v>
      </c>
      <c r="AY586" s="628"/>
      <c r="AZ586" s="470">
        <v>0.625</v>
      </c>
      <c r="BA586" s="466">
        <v>7163497675</v>
      </c>
      <c r="BB586" s="211" t="s">
        <v>655</v>
      </c>
      <c r="BC586" s="211" t="s">
        <v>655</v>
      </c>
      <c r="BD586" s="211" t="s">
        <v>655</v>
      </c>
      <c r="BE586" s="211" t="s">
        <v>655</v>
      </c>
      <c r="BF586" s="211" t="s">
        <v>655</v>
      </c>
      <c r="BG586" s="211" t="s">
        <v>655</v>
      </c>
      <c r="BH586" s="211">
        <v>8</v>
      </c>
      <c r="BI586" s="211">
        <v>10</v>
      </c>
      <c r="BJ586" s="211">
        <v>13</v>
      </c>
      <c r="BK586" s="211" t="s">
        <v>655</v>
      </c>
      <c r="BL586" s="211" t="s">
        <v>655</v>
      </c>
      <c r="BM586" s="211" t="s">
        <v>655</v>
      </c>
      <c r="BO586" s="28">
        <f t="shared" si="49"/>
        <v>10.333333333333334</v>
      </c>
      <c r="BP586" s="28">
        <f t="shared" si="50"/>
        <v>31</v>
      </c>
    </row>
    <row r="587" spans="22:68" x14ac:dyDescent="0.25">
      <c r="V587" s="178"/>
      <c r="W587" s="174"/>
      <c r="X587" s="179"/>
      <c r="Y587" s="247"/>
      <c r="Z587" s="248"/>
      <c r="AA587" s="294" t="str">
        <f t="shared" si="43"/>
        <v/>
      </c>
      <c r="AB587" s="219" t="str">
        <f t="shared" si="41"/>
        <v/>
      </c>
      <c r="AC587" s="219">
        <f t="shared" si="44"/>
        <v>0</v>
      </c>
      <c r="AD587" s="219">
        <f t="shared" si="45"/>
        <v>0</v>
      </c>
      <c r="AE587" s="220">
        <f t="shared" si="46"/>
        <v>0</v>
      </c>
      <c r="AF587" s="221">
        <f t="shared" si="47"/>
        <v>0</v>
      </c>
      <c r="AG587" s="204"/>
      <c r="AH587" s="178"/>
      <c r="AI587" s="174"/>
      <c r="AJ587" s="179"/>
      <c r="AK587" s="247"/>
      <c r="AL587" s="248"/>
      <c r="AM587" s="294" t="str">
        <f t="shared" si="35"/>
        <v/>
      </c>
      <c r="AN587" s="219" t="str">
        <f t="shared" si="42"/>
        <v/>
      </c>
      <c r="AO587" s="219">
        <f t="shared" si="37"/>
        <v>0</v>
      </c>
      <c r="AP587" s="219">
        <f t="shared" si="48"/>
        <v>0</v>
      </c>
      <c r="AQ587" s="220">
        <f t="shared" si="39"/>
        <v>0</v>
      </c>
      <c r="AR587" s="221">
        <f t="shared" si="40"/>
        <v>0</v>
      </c>
      <c r="AY587" s="628"/>
      <c r="AZ587" s="470">
        <v>0.75</v>
      </c>
      <c r="BA587" s="466">
        <v>7175038420</v>
      </c>
      <c r="BB587" s="211">
        <v>582</v>
      </c>
      <c r="BC587" s="211">
        <v>430</v>
      </c>
      <c r="BD587" s="211">
        <v>422</v>
      </c>
      <c r="BE587" s="211">
        <v>846</v>
      </c>
      <c r="BF587" s="211">
        <v>865</v>
      </c>
      <c r="BG587" s="211">
        <v>1212</v>
      </c>
      <c r="BH587" s="211">
        <v>2485</v>
      </c>
      <c r="BI587" s="211">
        <v>2839</v>
      </c>
      <c r="BJ587" s="211">
        <v>1940</v>
      </c>
      <c r="BK587" s="211">
        <v>528</v>
      </c>
      <c r="BL587" s="211">
        <v>468</v>
      </c>
      <c r="BM587" s="211">
        <v>549</v>
      </c>
      <c r="BO587" s="28">
        <f t="shared" si="49"/>
        <v>1097.1666666666667</v>
      </c>
      <c r="BP587" s="28">
        <f t="shared" si="50"/>
        <v>13166</v>
      </c>
    </row>
    <row r="588" spans="22:68" x14ac:dyDescent="0.25">
      <c r="V588" s="178"/>
      <c r="W588" s="174"/>
      <c r="X588" s="179"/>
      <c r="Y588" s="247"/>
      <c r="Z588" s="248"/>
      <c r="AA588" s="294" t="str">
        <f t="shared" si="43"/>
        <v/>
      </c>
      <c r="AB588" s="219" t="str">
        <f t="shared" si="41"/>
        <v/>
      </c>
      <c r="AC588" s="219">
        <f t="shared" si="44"/>
        <v>0</v>
      </c>
      <c r="AD588" s="219">
        <f t="shared" si="45"/>
        <v>0</v>
      </c>
      <c r="AE588" s="220">
        <f t="shared" si="46"/>
        <v>0</v>
      </c>
      <c r="AF588" s="221">
        <f t="shared" si="47"/>
        <v>0</v>
      </c>
      <c r="AG588" s="204"/>
      <c r="AH588" s="178"/>
      <c r="AI588" s="174"/>
      <c r="AJ588" s="179"/>
      <c r="AK588" s="247"/>
      <c r="AL588" s="248"/>
      <c r="AM588" s="294" t="str">
        <f t="shared" ref="AM588:AM651" si="51">IFERROR(INDEX($AU$8:$AU$23,MATCH(AH588,$AT$8:$AT$23,0)),"")</f>
        <v/>
      </c>
      <c r="AN588" s="219" t="str">
        <f t="shared" si="42"/>
        <v/>
      </c>
      <c r="AO588" s="219">
        <f t="shared" ref="AO588:AO651" si="52">IFERROR(IF(AN588&gt;=AM588,0,IF(AM588&gt;AN588,SLN(AK588,AL588,AM588),0)),"")</f>
        <v>0</v>
      </c>
      <c r="AP588" s="219">
        <f t="shared" si="48"/>
        <v>0</v>
      </c>
      <c r="AQ588" s="220">
        <f t="shared" ref="AQ588:AQ651" si="53">IFERROR(IF(OR(AM588=0,AM588=""),
     0,
     IF(AN588&gt;=AM588,
          +AK588,
          (+AO588*AN588))),
"")</f>
        <v>0</v>
      </c>
      <c r="AR588" s="221">
        <f t="shared" ref="AR588:AR651" si="54">IFERROR(IF(AQ588&gt;AK588,0,(+AK588-AQ588))-AL588,"")</f>
        <v>0</v>
      </c>
      <c r="AY588" s="628"/>
      <c r="AZ588" s="470">
        <v>1</v>
      </c>
      <c r="BA588" s="466">
        <v>7178793627</v>
      </c>
      <c r="BB588" s="211">
        <v>705</v>
      </c>
      <c r="BC588" s="211">
        <v>3652</v>
      </c>
      <c r="BD588" s="211">
        <v>582</v>
      </c>
      <c r="BE588" s="211">
        <v>1374</v>
      </c>
      <c r="BF588" s="211">
        <v>2427</v>
      </c>
      <c r="BG588" s="211">
        <v>2149</v>
      </c>
      <c r="BH588" s="211">
        <v>6704</v>
      </c>
      <c r="BI588" s="211">
        <v>7047</v>
      </c>
      <c r="BJ588" s="211">
        <v>4356</v>
      </c>
      <c r="BK588" s="211">
        <v>1999</v>
      </c>
      <c r="BL588" s="211">
        <v>707</v>
      </c>
      <c r="BM588" s="211">
        <v>599</v>
      </c>
      <c r="BO588" s="28">
        <f t="shared" si="49"/>
        <v>2691.75</v>
      </c>
      <c r="BP588" s="28">
        <f t="shared" si="50"/>
        <v>32301</v>
      </c>
    </row>
    <row r="589" spans="22:68" x14ac:dyDescent="0.25">
      <c r="V589" s="178"/>
      <c r="W589" s="174"/>
      <c r="X589" s="179"/>
      <c r="Y589" s="247"/>
      <c r="Z589" s="248"/>
      <c r="AA589" s="294" t="str">
        <f t="shared" si="43"/>
        <v/>
      </c>
      <c r="AB589" s="219" t="str">
        <f t="shared" si="41"/>
        <v/>
      </c>
      <c r="AC589" s="219">
        <f t="shared" si="44"/>
        <v>0</v>
      </c>
      <c r="AD589" s="219">
        <f t="shared" si="45"/>
        <v>0</v>
      </c>
      <c r="AE589" s="220">
        <f t="shared" si="46"/>
        <v>0</v>
      </c>
      <c r="AF589" s="221">
        <f t="shared" si="47"/>
        <v>0</v>
      </c>
      <c r="AG589" s="204"/>
      <c r="AH589" s="178"/>
      <c r="AI589" s="174"/>
      <c r="AJ589" s="179"/>
      <c r="AK589" s="247"/>
      <c r="AL589" s="248"/>
      <c r="AM589" s="294" t="str">
        <f t="shared" si="51"/>
        <v/>
      </c>
      <c r="AN589" s="219" t="str">
        <f t="shared" si="42"/>
        <v/>
      </c>
      <c r="AO589" s="219">
        <f t="shared" si="52"/>
        <v>0</v>
      </c>
      <c r="AP589" s="219">
        <f t="shared" si="48"/>
        <v>0</v>
      </c>
      <c r="AQ589" s="220">
        <f t="shared" si="53"/>
        <v>0</v>
      </c>
      <c r="AR589" s="221">
        <f t="shared" si="54"/>
        <v>0</v>
      </c>
      <c r="AY589" s="628"/>
      <c r="AZ589" s="470">
        <v>0.625</v>
      </c>
      <c r="BA589" s="466">
        <v>7186203557</v>
      </c>
      <c r="BB589" s="211">
        <v>528</v>
      </c>
      <c r="BC589" s="211">
        <v>562</v>
      </c>
      <c r="BD589" s="211">
        <v>688</v>
      </c>
      <c r="BE589" s="211">
        <v>1281</v>
      </c>
      <c r="BF589" s="211">
        <v>7343</v>
      </c>
      <c r="BG589" s="211">
        <v>7506</v>
      </c>
      <c r="BH589" s="211">
        <v>10550</v>
      </c>
      <c r="BI589" s="211">
        <v>8325</v>
      </c>
      <c r="BJ589" s="211">
        <v>9124</v>
      </c>
      <c r="BK589" s="211">
        <v>1424</v>
      </c>
      <c r="BL589" s="211">
        <v>15541</v>
      </c>
      <c r="BM589" s="211">
        <v>989</v>
      </c>
      <c r="BO589" s="28">
        <f t="shared" si="49"/>
        <v>5321.75</v>
      </c>
      <c r="BP589" s="28">
        <f t="shared" si="50"/>
        <v>63861</v>
      </c>
    </row>
    <row r="590" spans="22:68" x14ac:dyDescent="0.25">
      <c r="V590" s="178"/>
      <c r="W590" s="174"/>
      <c r="X590" s="179"/>
      <c r="Y590" s="247"/>
      <c r="Z590" s="248"/>
      <c r="AA590" s="294" t="str">
        <f t="shared" si="43"/>
        <v/>
      </c>
      <c r="AB590" s="219" t="str">
        <f t="shared" si="41"/>
        <v/>
      </c>
      <c r="AC590" s="219">
        <f t="shared" si="44"/>
        <v>0</v>
      </c>
      <c r="AD590" s="219">
        <f t="shared" si="45"/>
        <v>0</v>
      </c>
      <c r="AE590" s="220">
        <f t="shared" si="46"/>
        <v>0</v>
      </c>
      <c r="AF590" s="221">
        <f t="shared" si="47"/>
        <v>0</v>
      </c>
      <c r="AG590" s="204"/>
      <c r="AH590" s="178"/>
      <c r="AI590" s="174"/>
      <c r="AJ590" s="179"/>
      <c r="AK590" s="247"/>
      <c r="AL590" s="248"/>
      <c r="AM590" s="294" t="str">
        <f t="shared" si="51"/>
        <v/>
      </c>
      <c r="AN590" s="219" t="str">
        <f t="shared" si="42"/>
        <v/>
      </c>
      <c r="AO590" s="219">
        <f t="shared" si="52"/>
        <v>0</v>
      </c>
      <c r="AP590" s="219">
        <f t="shared" si="48"/>
        <v>0</v>
      </c>
      <c r="AQ590" s="220">
        <f t="shared" si="53"/>
        <v>0</v>
      </c>
      <c r="AR590" s="221">
        <f t="shared" si="54"/>
        <v>0</v>
      </c>
      <c r="AY590" s="628"/>
      <c r="AZ590" s="470">
        <v>0.75</v>
      </c>
      <c r="BA590" s="466">
        <v>7217572702</v>
      </c>
      <c r="BB590" s="211">
        <v>529</v>
      </c>
      <c r="BC590" s="211">
        <v>319</v>
      </c>
      <c r="BD590" s="211">
        <v>373</v>
      </c>
      <c r="BE590" s="211">
        <v>522</v>
      </c>
      <c r="BF590" s="211">
        <v>380</v>
      </c>
      <c r="BG590" s="211">
        <v>1037</v>
      </c>
      <c r="BH590" s="211">
        <v>4299</v>
      </c>
      <c r="BI590" s="211">
        <v>3528</v>
      </c>
      <c r="BJ590" s="211">
        <v>1764</v>
      </c>
      <c r="BK590" s="211">
        <v>316</v>
      </c>
      <c r="BL590" s="211">
        <v>271</v>
      </c>
      <c r="BM590" s="211">
        <v>250</v>
      </c>
      <c r="BO590" s="28">
        <f t="shared" si="49"/>
        <v>1132.3333333333333</v>
      </c>
      <c r="BP590" s="28">
        <f t="shared" si="50"/>
        <v>13588</v>
      </c>
    </row>
    <row r="591" spans="22:68" x14ac:dyDescent="0.25">
      <c r="V591" s="178"/>
      <c r="W591" s="174"/>
      <c r="X591" s="179"/>
      <c r="Y591" s="247"/>
      <c r="Z591" s="248"/>
      <c r="AA591" s="294" t="str">
        <f t="shared" si="43"/>
        <v/>
      </c>
      <c r="AB591" s="219" t="str">
        <f t="shared" si="41"/>
        <v/>
      </c>
      <c r="AC591" s="219">
        <f t="shared" si="44"/>
        <v>0</v>
      </c>
      <c r="AD591" s="219">
        <f t="shared" si="45"/>
        <v>0</v>
      </c>
      <c r="AE591" s="220">
        <f t="shared" si="46"/>
        <v>0</v>
      </c>
      <c r="AF591" s="221">
        <f t="shared" si="47"/>
        <v>0</v>
      </c>
      <c r="AG591" s="204"/>
      <c r="AH591" s="178"/>
      <c r="AI591" s="174"/>
      <c r="AJ591" s="179"/>
      <c r="AK591" s="247"/>
      <c r="AL591" s="248"/>
      <c r="AM591" s="294" t="str">
        <f t="shared" si="51"/>
        <v/>
      </c>
      <c r="AN591" s="219" t="str">
        <f t="shared" si="42"/>
        <v/>
      </c>
      <c r="AO591" s="219">
        <f t="shared" si="52"/>
        <v>0</v>
      </c>
      <c r="AP591" s="219">
        <f t="shared" si="48"/>
        <v>0</v>
      </c>
      <c r="AQ591" s="220">
        <f t="shared" si="53"/>
        <v>0</v>
      </c>
      <c r="AR591" s="221">
        <f t="shared" si="54"/>
        <v>0</v>
      </c>
      <c r="AY591" s="628"/>
      <c r="AZ591" s="470">
        <v>0.75</v>
      </c>
      <c r="BA591" s="466">
        <v>7218944973</v>
      </c>
      <c r="BB591" s="211">
        <v>112</v>
      </c>
      <c r="BC591" s="211">
        <v>417</v>
      </c>
      <c r="BD591" s="211">
        <v>1781</v>
      </c>
      <c r="BE591" s="211">
        <v>264</v>
      </c>
      <c r="BF591" s="211">
        <v>360</v>
      </c>
      <c r="BG591" s="211">
        <v>872</v>
      </c>
      <c r="BH591" s="211">
        <v>1070</v>
      </c>
      <c r="BI591" s="211">
        <v>1847</v>
      </c>
      <c r="BJ591" s="211">
        <v>1746</v>
      </c>
      <c r="BK591" s="211">
        <v>694</v>
      </c>
      <c r="BL591" s="211">
        <v>212</v>
      </c>
      <c r="BM591" s="211">
        <v>168</v>
      </c>
      <c r="BO591" s="28">
        <f t="shared" si="49"/>
        <v>795.25</v>
      </c>
      <c r="BP591" s="28">
        <f t="shared" si="50"/>
        <v>9543</v>
      </c>
    </row>
    <row r="592" spans="22:68" x14ac:dyDescent="0.25">
      <c r="V592" s="178"/>
      <c r="W592" s="174"/>
      <c r="X592" s="179"/>
      <c r="Y592" s="247"/>
      <c r="Z592" s="248"/>
      <c r="AA592" s="294" t="str">
        <f t="shared" si="43"/>
        <v/>
      </c>
      <c r="AB592" s="219" t="str">
        <f t="shared" si="41"/>
        <v/>
      </c>
      <c r="AC592" s="219">
        <f t="shared" si="44"/>
        <v>0</v>
      </c>
      <c r="AD592" s="219">
        <f t="shared" si="45"/>
        <v>0</v>
      </c>
      <c r="AE592" s="220">
        <f t="shared" si="46"/>
        <v>0</v>
      </c>
      <c r="AF592" s="221">
        <f t="shared" si="47"/>
        <v>0</v>
      </c>
      <c r="AG592" s="204"/>
      <c r="AH592" s="178"/>
      <c r="AI592" s="174"/>
      <c r="AJ592" s="179"/>
      <c r="AK592" s="247"/>
      <c r="AL592" s="248"/>
      <c r="AM592" s="294" t="str">
        <f t="shared" si="51"/>
        <v/>
      </c>
      <c r="AN592" s="219" t="str">
        <f t="shared" si="42"/>
        <v/>
      </c>
      <c r="AO592" s="219">
        <f t="shared" si="52"/>
        <v>0</v>
      </c>
      <c r="AP592" s="219">
        <f t="shared" si="48"/>
        <v>0</v>
      </c>
      <c r="AQ592" s="220">
        <f t="shared" si="53"/>
        <v>0</v>
      </c>
      <c r="AR592" s="221">
        <f t="shared" si="54"/>
        <v>0</v>
      </c>
      <c r="AY592" s="628"/>
      <c r="AZ592" s="470">
        <v>0.75</v>
      </c>
      <c r="BA592" s="466">
        <v>7221482599</v>
      </c>
      <c r="BB592" s="211">
        <v>99</v>
      </c>
      <c r="BC592" s="211" t="s">
        <v>655</v>
      </c>
      <c r="BD592" s="211" t="s">
        <v>655</v>
      </c>
      <c r="BE592" s="211" t="s">
        <v>655</v>
      </c>
      <c r="BF592" s="211" t="s">
        <v>655</v>
      </c>
      <c r="BG592" s="211" t="s">
        <v>655</v>
      </c>
      <c r="BH592" s="211" t="s">
        <v>655</v>
      </c>
      <c r="BI592" s="211" t="s">
        <v>655</v>
      </c>
      <c r="BJ592" s="211" t="s">
        <v>655</v>
      </c>
      <c r="BK592" s="211" t="s">
        <v>655</v>
      </c>
      <c r="BL592" s="211" t="s">
        <v>655</v>
      </c>
      <c r="BM592" s="211" t="s">
        <v>655</v>
      </c>
      <c r="BO592" s="28">
        <f t="shared" si="49"/>
        <v>99</v>
      </c>
      <c r="BP592" s="28">
        <f t="shared" si="50"/>
        <v>99</v>
      </c>
    </row>
    <row r="593" spans="22:68" x14ac:dyDescent="0.25">
      <c r="V593" s="178"/>
      <c r="W593" s="174"/>
      <c r="X593" s="179"/>
      <c r="Y593" s="247"/>
      <c r="Z593" s="248"/>
      <c r="AA593" s="294" t="str">
        <f t="shared" si="43"/>
        <v/>
      </c>
      <c r="AB593" s="219" t="str">
        <f t="shared" si="41"/>
        <v/>
      </c>
      <c r="AC593" s="219">
        <f t="shared" si="44"/>
        <v>0</v>
      </c>
      <c r="AD593" s="219">
        <f t="shared" si="45"/>
        <v>0</v>
      </c>
      <c r="AE593" s="220">
        <f t="shared" si="46"/>
        <v>0</v>
      </c>
      <c r="AF593" s="221">
        <f t="shared" si="47"/>
        <v>0</v>
      </c>
      <c r="AG593" s="204"/>
      <c r="AH593" s="178"/>
      <c r="AI593" s="174"/>
      <c r="AJ593" s="179"/>
      <c r="AK593" s="247"/>
      <c r="AL593" s="248"/>
      <c r="AM593" s="294" t="str">
        <f t="shared" si="51"/>
        <v/>
      </c>
      <c r="AN593" s="219" t="str">
        <f t="shared" si="42"/>
        <v/>
      </c>
      <c r="AO593" s="219">
        <f t="shared" si="52"/>
        <v>0</v>
      </c>
      <c r="AP593" s="219">
        <f t="shared" si="48"/>
        <v>0</v>
      </c>
      <c r="AQ593" s="220">
        <f t="shared" si="53"/>
        <v>0</v>
      </c>
      <c r="AR593" s="221">
        <f t="shared" si="54"/>
        <v>0</v>
      </c>
      <c r="AY593" s="628"/>
      <c r="AZ593" s="470">
        <v>0.75</v>
      </c>
      <c r="BA593" s="466">
        <v>7237429686</v>
      </c>
      <c r="BB593" s="211">
        <v>3541</v>
      </c>
      <c r="BC593" s="211">
        <v>4284</v>
      </c>
      <c r="BD593" s="211">
        <v>5857</v>
      </c>
      <c r="BE593" s="211">
        <v>4483</v>
      </c>
      <c r="BF593" s="211">
        <v>1737</v>
      </c>
      <c r="BG593" s="211">
        <v>3006</v>
      </c>
      <c r="BH593" s="211">
        <v>6371</v>
      </c>
      <c r="BI593" s="211">
        <v>5832</v>
      </c>
      <c r="BJ593" s="211">
        <v>6134</v>
      </c>
      <c r="BK593" s="211">
        <v>6057</v>
      </c>
      <c r="BL593" s="211">
        <v>6442</v>
      </c>
      <c r="BM593" s="211">
        <v>1147</v>
      </c>
      <c r="BO593" s="28">
        <f t="shared" si="49"/>
        <v>4574.25</v>
      </c>
      <c r="BP593" s="28">
        <f t="shared" si="50"/>
        <v>54891</v>
      </c>
    </row>
    <row r="594" spans="22:68" x14ac:dyDescent="0.25">
      <c r="V594" s="178"/>
      <c r="W594" s="174"/>
      <c r="X594" s="179"/>
      <c r="Y594" s="247"/>
      <c r="Z594" s="248"/>
      <c r="AA594" s="294" t="str">
        <f t="shared" si="43"/>
        <v/>
      </c>
      <c r="AB594" s="219" t="str">
        <f t="shared" si="41"/>
        <v/>
      </c>
      <c r="AC594" s="219">
        <f t="shared" si="44"/>
        <v>0</v>
      </c>
      <c r="AD594" s="219">
        <f t="shared" si="45"/>
        <v>0</v>
      </c>
      <c r="AE594" s="220">
        <f t="shared" si="46"/>
        <v>0</v>
      </c>
      <c r="AF594" s="221">
        <f t="shared" si="47"/>
        <v>0</v>
      </c>
      <c r="AG594" s="204"/>
      <c r="AH594" s="178"/>
      <c r="AI594" s="174"/>
      <c r="AJ594" s="179"/>
      <c r="AK594" s="247"/>
      <c r="AL594" s="248"/>
      <c r="AM594" s="294" t="str">
        <f t="shared" si="51"/>
        <v/>
      </c>
      <c r="AN594" s="219" t="str">
        <f t="shared" si="42"/>
        <v/>
      </c>
      <c r="AO594" s="219">
        <f t="shared" si="52"/>
        <v>0</v>
      </c>
      <c r="AP594" s="219">
        <f t="shared" si="48"/>
        <v>0</v>
      </c>
      <c r="AQ594" s="220">
        <f t="shared" si="53"/>
        <v>0</v>
      </c>
      <c r="AR594" s="221">
        <f t="shared" si="54"/>
        <v>0</v>
      </c>
      <c r="AY594" s="628"/>
      <c r="AZ594" s="470">
        <v>0.75</v>
      </c>
      <c r="BA594" s="466">
        <v>7247242216</v>
      </c>
      <c r="BB594" s="211">
        <v>211</v>
      </c>
      <c r="BC594" s="211">
        <v>216</v>
      </c>
      <c r="BD594" s="211">
        <v>216</v>
      </c>
      <c r="BE594" s="211">
        <v>245</v>
      </c>
      <c r="BF594" s="211">
        <v>497</v>
      </c>
      <c r="BG594" s="211">
        <v>1066</v>
      </c>
      <c r="BH594" s="211">
        <v>6795</v>
      </c>
      <c r="BI594" s="211">
        <v>6947</v>
      </c>
      <c r="BJ594" s="211">
        <v>4190</v>
      </c>
      <c r="BK594" s="211">
        <v>762</v>
      </c>
      <c r="BL594" s="211">
        <v>254</v>
      </c>
      <c r="BM594" s="211">
        <v>226</v>
      </c>
      <c r="BO594" s="28">
        <f t="shared" si="49"/>
        <v>1802.0833333333333</v>
      </c>
      <c r="BP594" s="28">
        <f t="shared" si="50"/>
        <v>21625</v>
      </c>
    </row>
    <row r="595" spans="22:68" x14ac:dyDescent="0.25">
      <c r="V595" s="178"/>
      <c r="W595" s="174"/>
      <c r="X595" s="179"/>
      <c r="Y595" s="247"/>
      <c r="Z595" s="248"/>
      <c r="AA595" s="294" t="str">
        <f t="shared" si="43"/>
        <v/>
      </c>
      <c r="AB595" s="219" t="str">
        <f t="shared" si="41"/>
        <v/>
      </c>
      <c r="AC595" s="219">
        <f t="shared" si="44"/>
        <v>0</v>
      </c>
      <c r="AD595" s="219">
        <f t="shared" si="45"/>
        <v>0</v>
      </c>
      <c r="AE595" s="220">
        <f t="shared" si="46"/>
        <v>0</v>
      </c>
      <c r="AF595" s="221">
        <f t="shared" si="47"/>
        <v>0</v>
      </c>
      <c r="AG595" s="204"/>
      <c r="AH595" s="178"/>
      <c r="AI595" s="174"/>
      <c r="AJ595" s="179"/>
      <c r="AK595" s="247"/>
      <c r="AL595" s="248"/>
      <c r="AM595" s="294" t="str">
        <f t="shared" si="51"/>
        <v/>
      </c>
      <c r="AN595" s="219" t="str">
        <f t="shared" si="42"/>
        <v/>
      </c>
      <c r="AO595" s="219">
        <f t="shared" si="52"/>
        <v>0</v>
      </c>
      <c r="AP595" s="219">
        <f t="shared" si="48"/>
        <v>0</v>
      </c>
      <c r="AQ595" s="220">
        <f t="shared" si="53"/>
        <v>0</v>
      </c>
      <c r="AR595" s="221">
        <f t="shared" si="54"/>
        <v>0</v>
      </c>
      <c r="AY595" s="628"/>
      <c r="AZ595" s="471">
        <v>2</v>
      </c>
      <c r="BA595" s="466">
        <v>7269204141</v>
      </c>
      <c r="BB595" s="211">
        <v>168</v>
      </c>
      <c r="BC595" s="211">
        <v>157</v>
      </c>
      <c r="BD595" s="211">
        <v>219</v>
      </c>
      <c r="BE595" s="211">
        <v>306</v>
      </c>
      <c r="BF595" s="211">
        <v>207</v>
      </c>
      <c r="BG595" s="211">
        <v>222</v>
      </c>
      <c r="BH595" s="211">
        <v>159</v>
      </c>
      <c r="BI595" s="211">
        <v>1636</v>
      </c>
      <c r="BJ595" s="211">
        <v>3813</v>
      </c>
      <c r="BK595" s="211">
        <v>3513</v>
      </c>
      <c r="BL595" s="211">
        <v>3253</v>
      </c>
      <c r="BM595" s="211">
        <v>831</v>
      </c>
      <c r="BO595" s="28">
        <f t="shared" si="49"/>
        <v>1207</v>
      </c>
      <c r="BP595" s="28">
        <f t="shared" si="50"/>
        <v>14484</v>
      </c>
    </row>
    <row r="596" spans="22:68" x14ac:dyDescent="0.25">
      <c r="V596" s="178"/>
      <c r="W596" s="174"/>
      <c r="X596" s="179"/>
      <c r="Y596" s="247"/>
      <c r="Z596" s="248"/>
      <c r="AA596" s="294" t="str">
        <f t="shared" si="43"/>
        <v/>
      </c>
      <c r="AB596" s="219" t="str">
        <f t="shared" si="41"/>
        <v/>
      </c>
      <c r="AC596" s="219">
        <f t="shared" si="44"/>
        <v>0</v>
      </c>
      <c r="AD596" s="219">
        <f t="shared" si="45"/>
        <v>0</v>
      </c>
      <c r="AE596" s="220">
        <f t="shared" si="46"/>
        <v>0</v>
      </c>
      <c r="AF596" s="221">
        <f t="shared" si="47"/>
        <v>0</v>
      </c>
      <c r="AG596" s="204"/>
      <c r="AH596" s="178"/>
      <c r="AI596" s="174"/>
      <c r="AJ596" s="179"/>
      <c r="AK596" s="247"/>
      <c r="AL596" s="248"/>
      <c r="AM596" s="294" t="str">
        <f t="shared" si="51"/>
        <v/>
      </c>
      <c r="AN596" s="219" t="str">
        <f t="shared" si="42"/>
        <v/>
      </c>
      <c r="AO596" s="219">
        <f t="shared" si="52"/>
        <v>0</v>
      </c>
      <c r="AP596" s="219">
        <f t="shared" si="48"/>
        <v>0</v>
      </c>
      <c r="AQ596" s="220">
        <f t="shared" si="53"/>
        <v>0</v>
      </c>
      <c r="AR596" s="221">
        <f t="shared" si="54"/>
        <v>0</v>
      </c>
      <c r="AY596" s="628"/>
      <c r="AZ596" s="470">
        <v>0.75</v>
      </c>
      <c r="BA596" s="466">
        <v>7272666823</v>
      </c>
      <c r="BB596" s="211">
        <v>779</v>
      </c>
      <c r="BC596" s="211">
        <v>1569</v>
      </c>
      <c r="BD596" s="211">
        <v>2368</v>
      </c>
      <c r="BE596" s="211">
        <v>2466</v>
      </c>
      <c r="BF596" s="211">
        <v>2597</v>
      </c>
      <c r="BG596" s="211">
        <v>2126</v>
      </c>
      <c r="BH596" s="211">
        <v>3297</v>
      </c>
      <c r="BI596" s="211">
        <v>4646</v>
      </c>
      <c r="BJ596" s="211">
        <v>4163</v>
      </c>
      <c r="BK596" s="211">
        <v>527</v>
      </c>
      <c r="BL596" s="211">
        <v>6400</v>
      </c>
      <c r="BM596" s="211">
        <v>4089</v>
      </c>
      <c r="BO596" s="28">
        <f t="shared" si="49"/>
        <v>2918.9166666666665</v>
      </c>
      <c r="BP596" s="28">
        <f t="shared" si="50"/>
        <v>35027</v>
      </c>
    </row>
    <row r="597" spans="22:68" x14ac:dyDescent="0.25">
      <c r="V597" s="178"/>
      <c r="W597" s="174"/>
      <c r="X597" s="179"/>
      <c r="Y597" s="247"/>
      <c r="Z597" s="248"/>
      <c r="AA597" s="294" t="str">
        <f t="shared" si="43"/>
        <v/>
      </c>
      <c r="AB597" s="219" t="str">
        <f t="shared" si="41"/>
        <v/>
      </c>
      <c r="AC597" s="219">
        <f t="shared" si="44"/>
        <v>0</v>
      </c>
      <c r="AD597" s="219">
        <f t="shared" si="45"/>
        <v>0</v>
      </c>
      <c r="AE597" s="220">
        <f t="shared" si="46"/>
        <v>0</v>
      </c>
      <c r="AF597" s="221">
        <f t="shared" si="47"/>
        <v>0</v>
      </c>
      <c r="AG597" s="204"/>
      <c r="AH597" s="178"/>
      <c r="AI597" s="174"/>
      <c r="AJ597" s="179"/>
      <c r="AK597" s="247"/>
      <c r="AL597" s="248"/>
      <c r="AM597" s="294" t="str">
        <f t="shared" si="51"/>
        <v/>
      </c>
      <c r="AN597" s="219" t="str">
        <f t="shared" si="42"/>
        <v/>
      </c>
      <c r="AO597" s="219">
        <f t="shared" si="52"/>
        <v>0</v>
      </c>
      <c r="AP597" s="219">
        <f t="shared" si="48"/>
        <v>0</v>
      </c>
      <c r="AQ597" s="220">
        <f t="shared" si="53"/>
        <v>0</v>
      </c>
      <c r="AR597" s="221">
        <f t="shared" si="54"/>
        <v>0</v>
      </c>
      <c r="AY597" s="628"/>
      <c r="AZ597" s="470">
        <v>0.75</v>
      </c>
      <c r="BA597" s="466">
        <v>7275178642</v>
      </c>
      <c r="BB597" s="211">
        <v>583</v>
      </c>
      <c r="BC597" s="211">
        <v>673</v>
      </c>
      <c r="BD597" s="211">
        <v>808</v>
      </c>
      <c r="BE597" s="211">
        <v>1514</v>
      </c>
      <c r="BF597" s="211">
        <v>1640</v>
      </c>
      <c r="BG597" s="211">
        <v>240</v>
      </c>
      <c r="BH597" s="211">
        <v>5835</v>
      </c>
      <c r="BI597" s="211">
        <v>1218</v>
      </c>
      <c r="BJ597" s="211">
        <v>632</v>
      </c>
      <c r="BK597" s="211">
        <v>1850</v>
      </c>
      <c r="BL597" s="211">
        <v>350</v>
      </c>
      <c r="BM597" s="211">
        <v>1100</v>
      </c>
      <c r="BO597" s="28">
        <f t="shared" si="49"/>
        <v>1370.25</v>
      </c>
      <c r="BP597" s="28">
        <f t="shared" si="50"/>
        <v>16443</v>
      </c>
    </row>
    <row r="598" spans="22:68" x14ac:dyDescent="0.25">
      <c r="V598" s="178"/>
      <c r="W598" s="174"/>
      <c r="X598" s="179"/>
      <c r="Y598" s="247"/>
      <c r="Z598" s="248"/>
      <c r="AA598" s="294" t="str">
        <f t="shared" si="43"/>
        <v/>
      </c>
      <c r="AB598" s="219" t="str">
        <f t="shared" si="41"/>
        <v/>
      </c>
      <c r="AC598" s="219">
        <f t="shared" si="44"/>
        <v>0</v>
      </c>
      <c r="AD598" s="219">
        <f t="shared" si="45"/>
        <v>0</v>
      </c>
      <c r="AE598" s="220">
        <f t="shared" si="46"/>
        <v>0</v>
      </c>
      <c r="AF598" s="221">
        <f t="shared" si="47"/>
        <v>0</v>
      </c>
      <c r="AG598" s="204"/>
      <c r="AH598" s="178"/>
      <c r="AI598" s="174"/>
      <c r="AJ598" s="179"/>
      <c r="AK598" s="247"/>
      <c r="AL598" s="248"/>
      <c r="AM598" s="294" t="str">
        <f t="shared" si="51"/>
        <v/>
      </c>
      <c r="AN598" s="219" t="str">
        <f t="shared" si="42"/>
        <v/>
      </c>
      <c r="AO598" s="219">
        <f t="shared" si="52"/>
        <v>0</v>
      </c>
      <c r="AP598" s="219">
        <f t="shared" si="48"/>
        <v>0</v>
      </c>
      <c r="AQ598" s="220">
        <f t="shared" si="53"/>
        <v>0</v>
      </c>
      <c r="AR598" s="221">
        <f t="shared" si="54"/>
        <v>0</v>
      </c>
      <c r="AY598" s="628"/>
      <c r="AZ598" s="470">
        <v>0.75</v>
      </c>
      <c r="BA598" s="466">
        <v>7275646304</v>
      </c>
      <c r="BB598" s="211">
        <v>265</v>
      </c>
      <c r="BC598" s="211">
        <v>195</v>
      </c>
      <c r="BD598" s="211">
        <v>294</v>
      </c>
      <c r="BE598" s="211">
        <v>272</v>
      </c>
      <c r="BF598" s="211">
        <v>607</v>
      </c>
      <c r="BG598" s="211">
        <v>971</v>
      </c>
      <c r="BH598" s="211">
        <v>2195</v>
      </c>
      <c r="BI598" s="211">
        <v>1969</v>
      </c>
      <c r="BJ598" s="211">
        <v>996</v>
      </c>
      <c r="BK598" s="211">
        <v>221</v>
      </c>
      <c r="BL598" s="211">
        <v>242</v>
      </c>
      <c r="BM598" s="211">
        <v>153</v>
      </c>
      <c r="BO598" s="28">
        <f t="shared" si="49"/>
        <v>698.33333333333337</v>
      </c>
      <c r="BP598" s="28">
        <f t="shared" si="50"/>
        <v>8380</v>
      </c>
    </row>
    <row r="599" spans="22:68" x14ac:dyDescent="0.25">
      <c r="V599" s="178"/>
      <c r="W599" s="174"/>
      <c r="X599" s="179"/>
      <c r="Y599" s="247"/>
      <c r="Z599" s="248"/>
      <c r="AA599" s="294" t="str">
        <f t="shared" si="43"/>
        <v/>
      </c>
      <c r="AB599" s="219" t="str">
        <f t="shared" si="41"/>
        <v/>
      </c>
      <c r="AC599" s="219">
        <f t="shared" si="44"/>
        <v>0</v>
      </c>
      <c r="AD599" s="219">
        <f t="shared" si="45"/>
        <v>0</v>
      </c>
      <c r="AE599" s="220">
        <f t="shared" si="46"/>
        <v>0</v>
      </c>
      <c r="AF599" s="221">
        <f t="shared" si="47"/>
        <v>0</v>
      </c>
      <c r="AG599" s="204"/>
      <c r="AH599" s="178"/>
      <c r="AI599" s="174"/>
      <c r="AJ599" s="179"/>
      <c r="AK599" s="247"/>
      <c r="AL599" s="248"/>
      <c r="AM599" s="294" t="str">
        <f t="shared" si="51"/>
        <v/>
      </c>
      <c r="AN599" s="219" t="str">
        <f t="shared" si="42"/>
        <v/>
      </c>
      <c r="AO599" s="219">
        <f t="shared" si="52"/>
        <v>0</v>
      </c>
      <c r="AP599" s="219">
        <f t="shared" si="48"/>
        <v>0</v>
      </c>
      <c r="AQ599" s="220">
        <f t="shared" si="53"/>
        <v>0</v>
      </c>
      <c r="AR599" s="221">
        <f t="shared" si="54"/>
        <v>0</v>
      </c>
      <c r="AY599" s="628"/>
      <c r="AZ599" s="470">
        <v>0.75</v>
      </c>
      <c r="BA599" s="466">
        <v>7285771305</v>
      </c>
      <c r="BB599" s="211">
        <v>580</v>
      </c>
      <c r="BC599" s="211">
        <v>510</v>
      </c>
      <c r="BD599" s="211">
        <v>386</v>
      </c>
      <c r="BE599" s="211">
        <v>644</v>
      </c>
      <c r="BF599" s="211">
        <v>1237</v>
      </c>
      <c r="BG599" s="211">
        <v>2183</v>
      </c>
      <c r="BH599" s="211">
        <v>2750</v>
      </c>
      <c r="BI599" s="211">
        <v>2653</v>
      </c>
      <c r="BJ599" s="211">
        <v>2337</v>
      </c>
      <c r="BK599" s="211">
        <v>789</v>
      </c>
      <c r="BL599" s="211">
        <v>431</v>
      </c>
      <c r="BM599" s="211">
        <v>498</v>
      </c>
      <c r="BO599" s="28">
        <f t="shared" si="49"/>
        <v>1249.8333333333333</v>
      </c>
      <c r="BP599" s="28">
        <f t="shared" si="50"/>
        <v>14998</v>
      </c>
    </row>
    <row r="600" spans="22:68" x14ac:dyDescent="0.25">
      <c r="V600" s="178"/>
      <c r="W600" s="174"/>
      <c r="X600" s="179"/>
      <c r="Y600" s="247"/>
      <c r="Z600" s="248"/>
      <c r="AA600" s="294" t="str">
        <f t="shared" si="43"/>
        <v/>
      </c>
      <c r="AB600" s="219" t="str">
        <f t="shared" si="41"/>
        <v/>
      </c>
      <c r="AC600" s="219">
        <f t="shared" si="44"/>
        <v>0</v>
      </c>
      <c r="AD600" s="219">
        <f t="shared" si="45"/>
        <v>0</v>
      </c>
      <c r="AE600" s="220">
        <f t="shared" si="46"/>
        <v>0</v>
      </c>
      <c r="AF600" s="221">
        <f t="shared" si="47"/>
        <v>0</v>
      </c>
      <c r="AG600" s="204"/>
      <c r="AH600" s="178"/>
      <c r="AI600" s="174"/>
      <c r="AJ600" s="179"/>
      <c r="AK600" s="247"/>
      <c r="AL600" s="248"/>
      <c r="AM600" s="294" t="str">
        <f t="shared" si="51"/>
        <v/>
      </c>
      <c r="AN600" s="219" t="str">
        <f t="shared" si="42"/>
        <v/>
      </c>
      <c r="AO600" s="219">
        <f t="shared" si="52"/>
        <v>0</v>
      </c>
      <c r="AP600" s="219">
        <f t="shared" si="48"/>
        <v>0</v>
      </c>
      <c r="AQ600" s="220">
        <f t="shared" si="53"/>
        <v>0</v>
      </c>
      <c r="AR600" s="221">
        <f t="shared" si="54"/>
        <v>0</v>
      </c>
      <c r="AY600" s="628"/>
      <c r="AZ600" s="470">
        <v>0.75</v>
      </c>
      <c r="BA600" s="466">
        <v>7306999916</v>
      </c>
      <c r="BB600" s="211">
        <v>3</v>
      </c>
      <c r="BC600" s="211" t="s">
        <v>655</v>
      </c>
      <c r="BD600" s="211" t="s">
        <v>655</v>
      </c>
      <c r="BE600" s="211" t="s">
        <v>655</v>
      </c>
      <c r="BF600" s="211" t="s">
        <v>655</v>
      </c>
      <c r="BG600" s="211" t="s">
        <v>655</v>
      </c>
      <c r="BH600" s="211" t="s">
        <v>655</v>
      </c>
      <c r="BI600" s="211" t="s">
        <v>655</v>
      </c>
      <c r="BJ600" s="211" t="s">
        <v>655</v>
      </c>
      <c r="BK600" s="211" t="s">
        <v>655</v>
      </c>
      <c r="BL600" s="211" t="s">
        <v>655</v>
      </c>
      <c r="BM600" s="211" t="s">
        <v>655</v>
      </c>
      <c r="BO600" s="28">
        <f t="shared" si="49"/>
        <v>3</v>
      </c>
      <c r="BP600" s="28">
        <f t="shared" si="50"/>
        <v>3</v>
      </c>
    </row>
    <row r="601" spans="22:68" x14ac:dyDescent="0.25">
      <c r="V601" s="178"/>
      <c r="W601" s="174"/>
      <c r="X601" s="179"/>
      <c r="Y601" s="247"/>
      <c r="Z601" s="248"/>
      <c r="AA601" s="294" t="str">
        <f t="shared" si="43"/>
        <v/>
      </c>
      <c r="AB601" s="219" t="str">
        <f t="shared" si="41"/>
        <v/>
      </c>
      <c r="AC601" s="219">
        <f t="shared" si="44"/>
        <v>0</v>
      </c>
      <c r="AD601" s="219">
        <f t="shared" si="45"/>
        <v>0</v>
      </c>
      <c r="AE601" s="220">
        <f t="shared" si="46"/>
        <v>0</v>
      </c>
      <c r="AF601" s="221">
        <f t="shared" si="47"/>
        <v>0</v>
      </c>
      <c r="AG601" s="204"/>
      <c r="AH601" s="178"/>
      <c r="AI601" s="174"/>
      <c r="AJ601" s="179"/>
      <c r="AK601" s="247"/>
      <c r="AL601" s="248"/>
      <c r="AM601" s="294" t="str">
        <f t="shared" si="51"/>
        <v/>
      </c>
      <c r="AN601" s="219" t="str">
        <f t="shared" si="42"/>
        <v/>
      </c>
      <c r="AO601" s="219">
        <f t="shared" si="52"/>
        <v>0</v>
      </c>
      <c r="AP601" s="219">
        <f t="shared" si="48"/>
        <v>0</v>
      </c>
      <c r="AQ601" s="220">
        <f t="shared" si="53"/>
        <v>0</v>
      </c>
      <c r="AR601" s="221">
        <f t="shared" si="54"/>
        <v>0</v>
      </c>
      <c r="AY601" s="628"/>
      <c r="AZ601" s="470">
        <v>0.75</v>
      </c>
      <c r="BA601" s="466">
        <v>7314374674</v>
      </c>
      <c r="BB601" s="211">
        <v>1015</v>
      </c>
      <c r="BC601" s="211">
        <v>829</v>
      </c>
      <c r="BD601" s="211">
        <v>440</v>
      </c>
      <c r="BE601" s="211">
        <v>594</v>
      </c>
      <c r="BF601" s="211">
        <v>606</v>
      </c>
      <c r="BG601" s="211">
        <v>690</v>
      </c>
      <c r="BH601" s="211">
        <v>1099</v>
      </c>
      <c r="BI601" s="211">
        <v>721</v>
      </c>
      <c r="BJ601" s="211">
        <v>721</v>
      </c>
      <c r="BK601" s="211">
        <v>430</v>
      </c>
      <c r="BL601" s="211">
        <v>400</v>
      </c>
      <c r="BM601" s="211">
        <v>402</v>
      </c>
      <c r="BO601" s="28">
        <f t="shared" si="49"/>
        <v>662.25</v>
      </c>
      <c r="BP601" s="28">
        <f t="shared" si="50"/>
        <v>7947</v>
      </c>
    </row>
    <row r="602" spans="22:68" x14ac:dyDescent="0.25">
      <c r="V602" s="178"/>
      <c r="W602" s="174"/>
      <c r="X602" s="179"/>
      <c r="Y602" s="247"/>
      <c r="Z602" s="248"/>
      <c r="AA602" s="294" t="str">
        <f t="shared" si="43"/>
        <v/>
      </c>
      <c r="AB602" s="219" t="str">
        <f t="shared" si="41"/>
        <v/>
      </c>
      <c r="AC602" s="219">
        <f t="shared" si="44"/>
        <v>0</v>
      </c>
      <c r="AD602" s="219">
        <f t="shared" si="45"/>
        <v>0</v>
      </c>
      <c r="AE602" s="220">
        <f t="shared" si="46"/>
        <v>0</v>
      </c>
      <c r="AF602" s="221">
        <f t="shared" si="47"/>
        <v>0</v>
      </c>
      <c r="AG602" s="204"/>
      <c r="AH602" s="178"/>
      <c r="AI602" s="174"/>
      <c r="AJ602" s="179"/>
      <c r="AK602" s="247"/>
      <c r="AL602" s="248"/>
      <c r="AM602" s="294" t="str">
        <f t="shared" si="51"/>
        <v/>
      </c>
      <c r="AN602" s="219" t="str">
        <f t="shared" si="42"/>
        <v/>
      </c>
      <c r="AO602" s="219">
        <f t="shared" si="52"/>
        <v>0</v>
      </c>
      <c r="AP602" s="219">
        <f t="shared" si="48"/>
        <v>0</v>
      </c>
      <c r="AQ602" s="220">
        <f t="shared" si="53"/>
        <v>0</v>
      </c>
      <c r="AR602" s="221">
        <f t="shared" si="54"/>
        <v>0</v>
      </c>
      <c r="AY602" s="628"/>
      <c r="AZ602" s="470">
        <v>0.75</v>
      </c>
      <c r="BA602" s="466">
        <v>7316296703</v>
      </c>
      <c r="BB602" s="211">
        <v>232</v>
      </c>
      <c r="BC602" s="211">
        <v>101</v>
      </c>
      <c r="BD602" s="211">
        <v>179</v>
      </c>
      <c r="BE602" s="211">
        <v>177</v>
      </c>
      <c r="BF602" s="211">
        <v>120</v>
      </c>
      <c r="BG602" s="211">
        <v>156</v>
      </c>
      <c r="BH602" s="211">
        <v>206</v>
      </c>
      <c r="BI602" s="211">
        <v>290</v>
      </c>
      <c r="BJ602" s="211">
        <v>205</v>
      </c>
      <c r="BK602" s="211">
        <v>163</v>
      </c>
      <c r="BL602" s="211">
        <v>255</v>
      </c>
      <c r="BM602" s="211">
        <v>178</v>
      </c>
      <c r="BO602" s="28">
        <f t="shared" si="49"/>
        <v>188.5</v>
      </c>
      <c r="BP602" s="28">
        <f t="shared" si="50"/>
        <v>2262</v>
      </c>
    </row>
    <row r="603" spans="22:68" x14ac:dyDescent="0.25">
      <c r="V603" s="178"/>
      <c r="W603" s="174"/>
      <c r="X603" s="179"/>
      <c r="Y603" s="247"/>
      <c r="Z603" s="248"/>
      <c r="AA603" s="294" t="str">
        <f t="shared" si="43"/>
        <v/>
      </c>
      <c r="AB603" s="219" t="str">
        <f t="shared" si="41"/>
        <v/>
      </c>
      <c r="AC603" s="219">
        <f t="shared" si="44"/>
        <v>0</v>
      </c>
      <c r="AD603" s="219">
        <f t="shared" si="45"/>
        <v>0</v>
      </c>
      <c r="AE603" s="220">
        <f t="shared" si="46"/>
        <v>0</v>
      </c>
      <c r="AF603" s="221">
        <f t="shared" si="47"/>
        <v>0</v>
      </c>
      <c r="AG603" s="204"/>
      <c r="AH603" s="178"/>
      <c r="AI603" s="174"/>
      <c r="AJ603" s="179"/>
      <c r="AK603" s="247"/>
      <c r="AL603" s="248"/>
      <c r="AM603" s="294" t="str">
        <f t="shared" si="51"/>
        <v/>
      </c>
      <c r="AN603" s="219" t="str">
        <f t="shared" si="42"/>
        <v/>
      </c>
      <c r="AO603" s="219">
        <f t="shared" si="52"/>
        <v>0</v>
      </c>
      <c r="AP603" s="219">
        <f t="shared" si="48"/>
        <v>0</v>
      </c>
      <c r="AQ603" s="220">
        <f t="shared" si="53"/>
        <v>0</v>
      </c>
      <c r="AR603" s="221">
        <f t="shared" si="54"/>
        <v>0</v>
      </c>
      <c r="AY603" s="628"/>
      <c r="AZ603" s="470">
        <v>0.75</v>
      </c>
      <c r="BA603" s="466">
        <v>7342638720</v>
      </c>
      <c r="BB603" s="211">
        <v>449</v>
      </c>
      <c r="BC603" s="211">
        <v>344</v>
      </c>
      <c r="BD603" s="211">
        <v>426</v>
      </c>
      <c r="BE603" s="211">
        <v>507</v>
      </c>
      <c r="BF603" s="211">
        <v>1222</v>
      </c>
      <c r="BG603" s="211">
        <v>3525</v>
      </c>
      <c r="BH603" s="211">
        <v>2776</v>
      </c>
      <c r="BI603" s="211" t="s">
        <v>655</v>
      </c>
      <c r="BJ603" s="211" t="s">
        <v>655</v>
      </c>
      <c r="BK603" s="211" t="s">
        <v>655</v>
      </c>
      <c r="BL603" s="211" t="s">
        <v>655</v>
      </c>
      <c r="BM603" s="211" t="s">
        <v>655</v>
      </c>
      <c r="BO603" s="28">
        <f t="shared" si="49"/>
        <v>1321.2857142857142</v>
      </c>
      <c r="BP603" s="28">
        <f t="shared" si="50"/>
        <v>9249</v>
      </c>
    </row>
    <row r="604" spans="22:68" x14ac:dyDescent="0.25">
      <c r="V604" s="178"/>
      <c r="W604" s="174"/>
      <c r="X604" s="179"/>
      <c r="Y604" s="247"/>
      <c r="Z604" s="248"/>
      <c r="AA604" s="294" t="str">
        <f t="shared" si="43"/>
        <v/>
      </c>
      <c r="AB604" s="219" t="str">
        <f t="shared" si="41"/>
        <v/>
      </c>
      <c r="AC604" s="219">
        <f t="shared" si="44"/>
        <v>0</v>
      </c>
      <c r="AD604" s="219">
        <f t="shared" si="45"/>
        <v>0</v>
      </c>
      <c r="AE604" s="220">
        <f t="shared" si="46"/>
        <v>0</v>
      </c>
      <c r="AF604" s="221">
        <f t="shared" si="47"/>
        <v>0</v>
      </c>
      <c r="AG604" s="204"/>
      <c r="AH604" s="178"/>
      <c r="AI604" s="174"/>
      <c r="AJ604" s="179"/>
      <c r="AK604" s="247"/>
      <c r="AL604" s="248"/>
      <c r="AM604" s="294" t="str">
        <f t="shared" si="51"/>
        <v/>
      </c>
      <c r="AN604" s="219" t="str">
        <f t="shared" si="42"/>
        <v/>
      </c>
      <c r="AO604" s="219">
        <f t="shared" si="52"/>
        <v>0</v>
      </c>
      <c r="AP604" s="219">
        <f t="shared" si="48"/>
        <v>0</v>
      </c>
      <c r="AQ604" s="220">
        <f t="shared" si="53"/>
        <v>0</v>
      </c>
      <c r="AR604" s="221">
        <f t="shared" si="54"/>
        <v>0</v>
      </c>
      <c r="AY604" s="628"/>
      <c r="AZ604" s="470">
        <v>0.75</v>
      </c>
      <c r="BA604" s="466">
        <v>7364917249</v>
      </c>
      <c r="BB604" s="211">
        <v>398</v>
      </c>
      <c r="BC604" s="211">
        <v>289</v>
      </c>
      <c r="BD604" s="211">
        <v>343</v>
      </c>
      <c r="BE604" s="211">
        <v>126</v>
      </c>
      <c r="BF604" s="211">
        <v>337</v>
      </c>
      <c r="BG604" s="211">
        <v>438</v>
      </c>
      <c r="BH604" s="211">
        <v>277</v>
      </c>
      <c r="BI604" s="211">
        <v>303</v>
      </c>
      <c r="BJ604" s="211">
        <v>313</v>
      </c>
      <c r="BK604" s="211">
        <v>290</v>
      </c>
      <c r="BL604" s="211">
        <v>311</v>
      </c>
      <c r="BM604" s="211">
        <v>240</v>
      </c>
      <c r="BO604" s="28">
        <f t="shared" si="49"/>
        <v>305.41666666666669</v>
      </c>
      <c r="BP604" s="28">
        <f t="shared" si="50"/>
        <v>3665</v>
      </c>
    </row>
    <row r="605" spans="22:68" x14ac:dyDescent="0.25">
      <c r="V605" s="178"/>
      <c r="W605" s="174"/>
      <c r="X605" s="179"/>
      <c r="Y605" s="247"/>
      <c r="Z605" s="248"/>
      <c r="AA605" s="294" t="str">
        <f t="shared" si="43"/>
        <v/>
      </c>
      <c r="AB605" s="219" t="str">
        <f t="shared" si="41"/>
        <v/>
      </c>
      <c r="AC605" s="219">
        <f t="shared" si="44"/>
        <v>0</v>
      </c>
      <c r="AD605" s="219">
        <f t="shared" si="45"/>
        <v>0</v>
      </c>
      <c r="AE605" s="220">
        <f t="shared" si="46"/>
        <v>0</v>
      </c>
      <c r="AF605" s="221">
        <f t="shared" si="47"/>
        <v>0</v>
      </c>
      <c r="AG605" s="204"/>
      <c r="AH605" s="178"/>
      <c r="AI605" s="174"/>
      <c r="AJ605" s="179"/>
      <c r="AK605" s="247"/>
      <c r="AL605" s="248"/>
      <c r="AM605" s="294" t="str">
        <f t="shared" si="51"/>
        <v/>
      </c>
      <c r="AN605" s="219" t="str">
        <f t="shared" si="42"/>
        <v/>
      </c>
      <c r="AO605" s="219">
        <f t="shared" si="52"/>
        <v>0</v>
      </c>
      <c r="AP605" s="219">
        <f t="shared" si="48"/>
        <v>0</v>
      </c>
      <c r="AQ605" s="220">
        <f t="shared" si="53"/>
        <v>0</v>
      </c>
      <c r="AR605" s="221">
        <f t="shared" si="54"/>
        <v>0</v>
      </c>
      <c r="AY605" s="628"/>
      <c r="AZ605" s="470">
        <v>1</v>
      </c>
      <c r="BA605" s="466">
        <v>7379412104</v>
      </c>
      <c r="BB605" s="211">
        <v>890</v>
      </c>
      <c r="BC605" s="211">
        <v>604</v>
      </c>
      <c r="BD605" s="211">
        <v>582</v>
      </c>
      <c r="BE605" s="211">
        <v>680</v>
      </c>
      <c r="BF605" s="211">
        <v>659</v>
      </c>
      <c r="BG605" s="211">
        <v>806</v>
      </c>
      <c r="BH605" s="211">
        <v>607</v>
      </c>
      <c r="BI605" s="211">
        <v>451</v>
      </c>
      <c r="BJ605" s="211">
        <v>575</v>
      </c>
      <c r="BK605" s="211">
        <v>495</v>
      </c>
      <c r="BL605" s="211">
        <v>494</v>
      </c>
      <c r="BM605" s="211">
        <v>518</v>
      </c>
      <c r="BO605" s="28">
        <f t="shared" si="49"/>
        <v>613.41666666666663</v>
      </c>
      <c r="BP605" s="28">
        <f t="shared" si="50"/>
        <v>7361</v>
      </c>
    </row>
    <row r="606" spans="22:68" x14ac:dyDescent="0.25">
      <c r="V606" s="178"/>
      <c r="W606" s="174"/>
      <c r="X606" s="179"/>
      <c r="Y606" s="247"/>
      <c r="Z606" s="248"/>
      <c r="AA606" s="294" t="str">
        <f t="shared" si="43"/>
        <v/>
      </c>
      <c r="AB606" s="219" t="str">
        <f t="shared" si="41"/>
        <v/>
      </c>
      <c r="AC606" s="219">
        <f t="shared" si="44"/>
        <v>0</v>
      </c>
      <c r="AD606" s="219">
        <f t="shared" si="45"/>
        <v>0</v>
      </c>
      <c r="AE606" s="220">
        <f t="shared" si="46"/>
        <v>0</v>
      </c>
      <c r="AF606" s="221">
        <f t="shared" si="47"/>
        <v>0</v>
      </c>
      <c r="AG606" s="204"/>
      <c r="AH606" s="178"/>
      <c r="AI606" s="174"/>
      <c r="AJ606" s="179"/>
      <c r="AK606" s="247"/>
      <c r="AL606" s="248"/>
      <c r="AM606" s="294" t="str">
        <f t="shared" si="51"/>
        <v/>
      </c>
      <c r="AN606" s="219" t="str">
        <f t="shared" si="42"/>
        <v/>
      </c>
      <c r="AO606" s="219">
        <f t="shared" si="52"/>
        <v>0</v>
      </c>
      <c r="AP606" s="219">
        <f t="shared" si="48"/>
        <v>0</v>
      </c>
      <c r="AQ606" s="220">
        <f t="shared" si="53"/>
        <v>0</v>
      </c>
      <c r="AR606" s="221">
        <f t="shared" si="54"/>
        <v>0</v>
      </c>
      <c r="AY606" s="628"/>
      <c r="AZ606" s="470">
        <v>0.75</v>
      </c>
      <c r="BA606" s="466">
        <v>7383161105</v>
      </c>
      <c r="BB606" s="211">
        <v>507</v>
      </c>
      <c r="BC606" s="211">
        <v>396</v>
      </c>
      <c r="BD606" s="211">
        <v>353</v>
      </c>
      <c r="BE606" s="211">
        <v>553</v>
      </c>
      <c r="BF606" s="211">
        <v>1132</v>
      </c>
      <c r="BG606" s="211">
        <v>1163</v>
      </c>
      <c r="BH606" s="211">
        <v>2110</v>
      </c>
      <c r="BI606" s="211">
        <v>715</v>
      </c>
      <c r="BJ606" s="211">
        <v>1066</v>
      </c>
      <c r="BK606" s="211">
        <v>790</v>
      </c>
      <c r="BL606" s="211">
        <v>737</v>
      </c>
      <c r="BM606" s="211">
        <v>40</v>
      </c>
      <c r="BO606" s="28">
        <f t="shared" si="49"/>
        <v>796.83333333333337</v>
      </c>
      <c r="BP606" s="28">
        <f t="shared" si="50"/>
        <v>9562</v>
      </c>
    </row>
    <row r="607" spans="22:68" x14ac:dyDescent="0.25">
      <c r="V607" s="178"/>
      <c r="W607" s="174"/>
      <c r="X607" s="179"/>
      <c r="Y607" s="247"/>
      <c r="Z607" s="248"/>
      <c r="AA607" s="294" t="str">
        <f t="shared" si="43"/>
        <v/>
      </c>
      <c r="AB607" s="219" t="str">
        <f t="shared" si="41"/>
        <v/>
      </c>
      <c r="AC607" s="219">
        <f t="shared" si="44"/>
        <v>0</v>
      </c>
      <c r="AD607" s="219">
        <f t="shared" si="45"/>
        <v>0</v>
      </c>
      <c r="AE607" s="220">
        <f t="shared" si="46"/>
        <v>0</v>
      </c>
      <c r="AF607" s="221">
        <f t="shared" si="47"/>
        <v>0</v>
      </c>
      <c r="AG607" s="204"/>
      <c r="AH607" s="178"/>
      <c r="AI607" s="174"/>
      <c r="AJ607" s="179"/>
      <c r="AK607" s="247"/>
      <c r="AL607" s="248"/>
      <c r="AM607" s="294" t="str">
        <f t="shared" si="51"/>
        <v/>
      </c>
      <c r="AN607" s="219" t="str">
        <f t="shared" si="42"/>
        <v/>
      </c>
      <c r="AO607" s="219">
        <f t="shared" si="52"/>
        <v>0</v>
      </c>
      <c r="AP607" s="219">
        <f t="shared" si="48"/>
        <v>0</v>
      </c>
      <c r="AQ607" s="220">
        <f t="shared" si="53"/>
        <v>0</v>
      </c>
      <c r="AR607" s="221">
        <f t="shared" si="54"/>
        <v>0</v>
      </c>
      <c r="AY607" s="628"/>
      <c r="AZ607" s="471">
        <v>2</v>
      </c>
      <c r="BA607" s="466">
        <v>7390833411</v>
      </c>
      <c r="BB607" s="211">
        <v>3020</v>
      </c>
      <c r="BC607" s="211">
        <v>3320</v>
      </c>
      <c r="BD607" s="211">
        <v>3770</v>
      </c>
      <c r="BE607" s="211">
        <v>4350</v>
      </c>
      <c r="BF607" s="211">
        <v>10800</v>
      </c>
      <c r="BG607" s="211">
        <v>18640</v>
      </c>
      <c r="BH607" s="211">
        <v>21040</v>
      </c>
      <c r="BI607" s="211">
        <v>17910</v>
      </c>
      <c r="BJ607" s="211">
        <v>20920</v>
      </c>
      <c r="BK607" s="211">
        <v>17230</v>
      </c>
      <c r="BL607" s="211">
        <v>3320</v>
      </c>
      <c r="BM607" s="211">
        <v>3020</v>
      </c>
      <c r="BO607" s="28">
        <f t="shared" si="49"/>
        <v>10611.666666666666</v>
      </c>
      <c r="BP607" s="28">
        <f t="shared" si="50"/>
        <v>127340</v>
      </c>
    </row>
    <row r="608" spans="22:68" x14ac:dyDescent="0.25">
      <c r="V608" s="178"/>
      <c r="W608" s="174"/>
      <c r="X608" s="179"/>
      <c r="Y608" s="247"/>
      <c r="Z608" s="248"/>
      <c r="AA608" s="294" t="str">
        <f t="shared" si="43"/>
        <v/>
      </c>
      <c r="AB608" s="219" t="str">
        <f t="shared" si="41"/>
        <v/>
      </c>
      <c r="AC608" s="219">
        <f t="shared" si="44"/>
        <v>0</v>
      </c>
      <c r="AD608" s="219">
        <f t="shared" si="45"/>
        <v>0</v>
      </c>
      <c r="AE608" s="220">
        <f t="shared" si="46"/>
        <v>0</v>
      </c>
      <c r="AF608" s="221">
        <f t="shared" si="47"/>
        <v>0</v>
      </c>
      <c r="AG608" s="204"/>
      <c r="AH608" s="178"/>
      <c r="AI608" s="174"/>
      <c r="AJ608" s="179"/>
      <c r="AK608" s="247"/>
      <c r="AL608" s="248"/>
      <c r="AM608" s="294" t="str">
        <f t="shared" si="51"/>
        <v/>
      </c>
      <c r="AN608" s="219" t="str">
        <f t="shared" si="42"/>
        <v/>
      </c>
      <c r="AO608" s="219">
        <f t="shared" si="52"/>
        <v>0</v>
      </c>
      <c r="AP608" s="219">
        <f t="shared" si="48"/>
        <v>0</v>
      </c>
      <c r="AQ608" s="220">
        <f t="shared" si="53"/>
        <v>0</v>
      </c>
      <c r="AR608" s="221">
        <f t="shared" si="54"/>
        <v>0</v>
      </c>
      <c r="AY608" s="628"/>
      <c r="AZ608" s="470">
        <v>0.75</v>
      </c>
      <c r="BA608" s="466">
        <v>7394176205</v>
      </c>
      <c r="BB608" s="211">
        <v>152</v>
      </c>
      <c r="BC608" s="211">
        <v>121</v>
      </c>
      <c r="BD608" s="211">
        <v>121</v>
      </c>
      <c r="BE608" s="211">
        <v>514</v>
      </c>
      <c r="BF608" s="211">
        <v>833</v>
      </c>
      <c r="BG608" s="211">
        <v>4195</v>
      </c>
      <c r="BH608" s="211">
        <v>10654</v>
      </c>
      <c r="BI608" s="211">
        <v>8694</v>
      </c>
      <c r="BJ608" s="211">
        <v>6420</v>
      </c>
      <c r="BK608" s="211">
        <v>1812</v>
      </c>
      <c r="BL608" s="211">
        <v>100</v>
      </c>
      <c r="BM608" s="211">
        <v>96</v>
      </c>
      <c r="BO608" s="28">
        <f t="shared" si="49"/>
        <v>2809.3333333333335</v>
      </c>
      <c r="BP608" s="28">
        <f t="shared" si="50"/>
        <v>33712</v>
      </c>
    </row>
    <row r="609" spans="22:68" x14ac:dyDescent="0.25">
      <c r="V609" s="178"/>
      <c r="W609" s="174"/>
      <c r="X609" s="179"/>
      <c r="Y609" s="247"/>
      <c r="Z609" s="248"/>
      <c r="AA609" s="294" t="str">
        <f t="shared" si="43"/>
        <v/>
      </c>
      <c r="AB609" s="219" t="str">
        <f t="shared" si="41"/>
        <v/>
      </c>
      <c r="AC609" s="219">
        <f t="shared" si="44"/>
        <v>0</v>
      </c>
      <c r="AD609" s="219">
        <f t="shared" si="45"/>
        <v>0</v>
      </c>
      <c r="AE609" s="220">
        <f t="shared" si="46"/>
        <v>0</v>
      </c>
      <c r="AF609" s="221">
        <f t="shared" si="47"/>
        <v>0</v>
      </c>
      <c r="AG609" s="204"/>
      <c r="AH609" s="178"/>
      <c r="AI609" s="174"/>
      <c r="AJ609" s="179"/>
      <c r="AK609" s="247"/>
      <c r="AL609" s="248"/>
      <c r="AM609" s="294" t="str">
        <f t="shared" si="51"/>
        <v/>
      </c>
      <c r="AN609" s="219" t="str">
        <f t="shared" si="42"/>
        <v/>
      </c>
      <c r="AO609" s="219">
        <f t="shared" si="52"/>
        <v>0</v>
      </c>
      <c r="AP609" s="219">
        <f t="shared" si="48"/>
        <v>0</v>
      </c>
      <c r="AQ609" s="220">
        <f t="shared" si="53"/>
        <v>0</v>
      </c>
      <c r="AR609" s="221">
        <f t="shared" si="54"/>
        <v>0</v>
      </c>
      <c r="AY609" s="628"/>
      <c r="AZ609" s="470">
        <v>0.75</v>
      </c>
      <c r="BA609" s="466">
        <v>7407923224</v>
      </c>
      <c r="BB609" s="211">
        <v>838</v>
      </c>
      <c r="BC609" s="211">
        <v>891</v>
      </c>
      <c r="BD609" s="211">
        <v>774</v>
      </c>
      <c r="BE609" s="211">
        <v>937</v>
      </c>
      <c r="BF609" s="211">
        <v>1280</v>
      </c>
      <c r="BG609" s="211">
        <v>1772</v>
      </c>
      <c r="BH609" s="211">
        <v>5297</v>
      </c>
      <c r="BI609" s="211">
        <v>5689</v>
      </c>
      <c r="BJ609" s="211">
        <v>5625</v>
      </c>
      <c r="BK609" s="211">
        <v>3030</v>
      </c>
      <c r="BL609" s="211">
        <v>330</v>
      </c>
      <c r="BM609" s="211">
        <v>800</v>
      </c>
      <c r="BO609" s="28">
        <f t="shared" si="49"/>
        <v>2271.9166666666665</v>
      </c>
      <c r="BP609" s="28">
        <f t="shared" si="50"/>
        <v>27263</v>
      </c>
    </row>
    <row r="610" spans="22:68" x14ac:dyDescent="0.25">
      <c r="V610" s="178"/>
      <c r="W610" s="174"/>
      <c r="X610" s="179"/>
      <c r="Y610" s="247"/>
      <c r="Z610" s="248"/>
      <c r="AA610" s="294" t="str">
        <f t="shared" si="43"/>
        <v/>
      </c>
      <c r="AB610" s="219" t="str">
        <f t="shared" si="41"/>
        <v/>
      </c>
      <c r="AC610" s="219">
        <f t="shared" si="44"/>
        <v>0</v>
      </c>
      <c r="AD610" s="219">
        <f t="shared" si="45"/>
        <v>0</v>
      </c>
      <c r="AE610" s="220">
        <f t="shared" si="46"/>
        <v>0</v>
      </c>
      <c r="AF610" s="221">
        <f t="shared" si="47"/>
        <v>0</v>
      </c>
      <c r="AG610" s="204"/>
      <c r="AH610" s="178"/>
      <c r="AI610" s="174"/>
      <c r="AJ610" s="179"/>
      <c r="AK610" s="247"/>
      <c r="AL610" s="248"/>
      <c r="AM610" s="294" t="str">
        <f t="shared" si="51"/>
        <v/>
      </c>
      <c r="AN610" s="219" t="str">
        <f t="shared" si="42"/>
        <v/>
      </c>
      <c r="AO610" s="219">
        <f t="shared" si="52"/>
        <v>0</v>
      </c>
      <c r="AP610" s="219">
        <f t="shared" si="48"/>
        <v>0</v>
      </c>
      <c r="AQ610" s="220">
        <f t="shared" si="53"/>
        <v>0</v>
      </c>
      <c r="AR610" s="221">
        <f t="shared" si="54"/>
        <v>0</v>
      </c>
      <c r="AY610" s="628"/>
      <c r="AZ610" s="470">
        <v>0.625</v>
      </c>
      <c r="BA610" s="466">
        <v>7426620957</v>
      </c>
      <c r="BB610" s="211">
        <v>232</v>
      </c>
      <c r="BC610" s="211">
        <v>211</v>
      </c>
      <c r="BD610" s="211">
        <v>242</v>
      </c>
      <c r="BE610" s="211">
        <v>222</v>
      </c>
      <c r="BF610" s="211">
        <v>318</v>
      </c>
      <c r="BG610" s="211">
        <v>415</v>
      </c>
      <c r="BH610" s="211">
        <v>4871</v>
      </c>
      <c r="BI610" s="211">
        <v>2927</v>
      </c>
      <c r="BJ610" s="211">
        <v>1504</v>
      </c>
      <c r="BK610" s="211">
        <v>460</v>
      </c>
      <c r="BL610" s="211">
        <v>362</v>
      </c>
      <c r="BM610" s="211">
        <v>412</v>
      </c>
      <c r="BO610" s="28">
        <f t="shared" si="49"/>
        <v>1014.6666666666666</v>
      </c>
      <c r="BP610" s="28">
        <f t="shared" si="50"/>
        <v>12176</v>
      </c>
    </row>
    <row r="611" spans="22:68" x14ac:dyDescent="0.25">
      <c r="V611" s="178"/>
      <c r="W611" s="174"/>
      <c r="X611" s="179"/>
      <c r="Y611" s="247"/>
      <c r="Z611" s="248"/>
      <c r="AA611" s="294" t="str">
        <f t="shared" si="43"/>
        <v/>
      </c>
      <c r="AB611" s="219" t="str">
        <f t="shared" si="41"/>
        <v/>
      </c>
      <c r="AC611" s="219">
        <f t="shared" si="44"/>
        <v>0</v>
      </c>
      <c r="AD611" s="219">
        <f t="shared" si="45"/>
        <v>0</v>
      </c>
      <c r="AE611" s="220">
        <f t="shared" si="46"/>
        <v>0</v>
      </c>
      <c r="AF611" s="221">
        <f t="shared" si="47"/>
        <v>0</v>
      </c>
      <c r="AG611" s="204"/>
      <c r="AH611" s="178"/>
      <c r="AI611" s="174"/>
      <c r="AJ611" s="179"/>
      <c r="AK611" s="247"/>
      <c r="AL611" s="248"/>
      <c r="AM611" s="294" t="str">
        <f t="shared" si="51"/>
        <v/>
      </c>
      <c r="AN611" s="219" t="str">
        <f t="shared" si="42"/>
        <v/>
      </c>
      <c r="AO611" s="219">
        <f t="shared" si="52"/>
        <v>0</v>
      </c>
      <c r="AP611" s="219">
        <f t="shared" si="48"/>
        <v>0</v>
      </c>
      <c r="AQ611" s="220">
        <f t="shared" si="53"/>
        <v>0</v>
      </c>
      <c r="AR611" s="221">
        <f t="shared" si="54"/>
        <v>0</v>
      </c>
      <c r="AY611" s="628"/>
      <c r="AZ611" s="470">
        <v>0.75</v>
      </c>
      <c r="BA611" s="466">
        <v>7431737753</v>
      </c>
      <c r="BB611" s="211">
        <v>564</v>
      </c>
      <c r="BC611" s="211">
        <v>564</v>
      </c>
      <c r="BD611" s="211">
        <v>662</v>
      </c>
      <c r="BE611" s="211">
        <v>766</v>
      </c>
      <c r="BF611" s="211">
        <v>563</v>
      </c>
      <c r="BG611" s="211">
        <v>795</v>
      </c>
      <c r="BH611" s="211">
        <v>1398</v>
      </c>
      <c r="BI611" s="211">
        <v>950</v>
      </c>
      <c r="BJ611" s="211">
        <v>651</v>
      </c>
      <c r="BK611" s="211">
        <v>706</v>
      </c>
      <c r="BL611" s="211">
        <v>463</v>
      </c>
      <c r="BM611" s="211">
        <v>510</v>
      </c>
      <c r="BO611" s="28">
        <f t="shared" si="49"/>
        <v>716</v>
      </c>
      <c r="BP611" s="28">
        <f t="shared" si="50"/>
        <v>8592</v>
      </c>
    </row>
    <row r="612" spans="22:68" x14ac:dyDescent="0.25">
      <c r="V612" s="178"/>
      <c r="W612" s="174"/>
      <c r="X612" s="179"/>
      <c r="Y612" s="247"/>
      <c r="Z612" s="248"/>
      <c r="AA612" s="294" t="str">
        <f t="shared" si="43"/>
        <v/>
      </c>
      <c r="AB612" s="219" t="str">
        <f t="shared" si="41"/>
        <v/>
      </c>
      <c r="AC612" s="219">
        <f t="shared" si="44"/>
        <v>0</v>
      </c>
      <c r="AD612" s="219">
        <f t="shared" si="45"/>
        <v>0</v>
      </c>
      <c r="AE612" s="220">
        <f t="shared" si="46"/>
        <v>0</v>
      </c>
      <c r="AF612" s="221">
        <f t="shared" si="47"/>
        <v>0</v>
      </c>
      <c r="AG612" s="204"/>
      <c r="AH612" s="178"/>
      <c r="AI612" s="174"/>
      <c r="AJ612" s="179"/>
      <c r="AK612" s="247"/>
      <c r="AL612" s="248"/>
      <c r="AM612" s="294" t="str">
        <f t="shared" si="51"/>
        <v/>
      </c>
      <c r="AN612" s="219" t="str">
        <f t="shared" si="42"/>
        <v/>
      </c>
      <c r="AO612" s="219">
        <f t="shared" si="52"/>
        <v>0</v>
      </c>
      <c r="AP612" s="219">
        <f t="shared" si="48"/>
        <v>0</v>
      </c>
      <c r="AQ612" s="220">
        <f t="shared" si="53"/>
        <v>0</v>
      </c>
      <c r="AR612" s="221">
        <f t="shared" si="54"/>
        <v>0</v>
      </c>
      <c r="AY612" s="628"/>
      <c r="AZ612" s="470">
        <v>0.75</v>
      </c>
      <c r="BA612" s="466">
        <v>7454740150</v>
      </c>
      <c r="BB612" s="211">
        <v>176</v>
      </c>
      <c r="BC612" s="211">
        <v>196</v>
      </c>
      <c r="BD612" s="211">
        <v>231</v>
      </c>
      <c r="BE612" s="211">
        <v>254</v>
      </c>
      <c r="BF612" s="211">
        <v>203</v>
      </c>
      <c r="BG612" s="211">
        <v>3907</v>
      </c>
      <c r="BH612" s="211">
        <v>3458</v>
      </c>
      <c r="BI612" s="211">
        <v>8894</v>
      </c>
      <c r="BJ612" s="211">
        <v>7256</v>
      </c>
      <c r="BK612" s="211">
        <v>441</v>
      </c>
      <c r="BL612" s="211">
        <v>56</v>
      </c>
      <c r="BM612" s="211">
        <v>203</v>
      </c>
      <c r="BO612" s="28">
        <f t="shared" si="49"/>
        <v>2106.25</v>
      </c>
      <c r="BP612" s="28">
        <f t="shared" si="50"/>
        <v>25275</v>
      </c>
    </row>
    <row r="613" spans="22:68" x14ac:dyDescent="0.25">
      <c r="V613" s="178"/>
      <c r="W613" s="174"/>
      <c r="X613" s="179"/>
      <c r="Y613" s="247"/>
      <c r="Z613" s="248"/>
      <c r="AA613" s="294" t="str">
        <f t="shared" si="43"/>
        <v/>
      </c>
      <c r="AB613" s="219" t="str">
        <f t="shared" si="41"/>
        <v/>
      </c>
      <c r="AC613" s="219">
        <f t="shared" si="44"/>
        <v>0</v>
      </c>
      <c r="AD613" s="219">
        <f t="shared" si="45"/>
        <v>0</v>
      </c>
      <c r="AE613" s="220">
        <f t="shared" si="46"/>
        <v>0</v>
      </c>
      <c r="AF613" s="221">
        <f t="shared" si="47"/>
        <v>0</v>
      </c>
      <c r="AG613" s="204"/>
      <c r="AH613" s="178"/>
      <c r="AI613" s="174"/>
      <c r="AJ613" s="179"/>
      <c r="AK613" s="247"/>
      <c r="AL613" s="248"/>
      <c r="AM613" s="294" t="str">
        <f t="shared" si="51"/>
        <v/>
      </c>
      <c r="AN613" s="219" t="str">
        <f t="shared" si="42"/>
        <v/>
      </c>
      <c r="AO613" s="219">
        <f t="shared" si="52"/>
        <v>0</v>
      </c>
      <c r="AP613" s="219">
        <f t="shared" si="48"/>
        <v>0</v>
      </c>
      <c r="AQ613" s="220">
        <f t="shared" si="53"/>
        <v>0</v>
      </c>
      <c r="AR613" s="221">
        <f t="shared" si="54"/>
        <v>0</v>
      </c>
      <c r="AY613" s="628"/>
      <c r="AZ613" s="470">
        <v>0.75</v>
      </c>
      <c r="BA613" s="466">
        <v>7455543851</v>
      </c>
      <c r="BB613" s="211">
        <v>35</v>
      </c>
      <c r="BC613" s="211">
        <v>5</v>
      </c>
      <c r="BD613" s="211">
        <v>53</v>
      </c>
      <c r="BE613" s="211" t="s">
        <v>655</v>
      </c>
      <c r="BF613" s="211" t="s">
        <v>655</v>
      </c>
      <c r="BG613" s="211" t="s">
        <v>655</v>
      </c>
      <c r="BH613" s="211" t="s">
        <v>655</v>
      </c>
      <c r="BI613" s="211" t="s">
        <v>655</v>
      </c>
      <c r="BJ613" s="211" t="s">
        <v>655</v>
      </c>
      <c r="BK613" s="211" t="s">
        <v>655</v>
      </c>
      <c r="BL613" s="211" t="s">
        <v>655</v>
      </c>
      <c r="BM613" s="211" t="s">
        <v>655</v>
      </c>
      <c r="BO613" s="28">
        <f t="shared" si="49"/>
        <v>31</v>
      </c>
      <c r="BP613" s="28">
        <f t="shared" si="50"/>
        <v>93</v>
      </c>
    </row>
    <row r="614" spans="22:68" x14ac:dyDescent="0.25">
      <c r="V614" s="178"/>
      <c r="W614" s="174"/>
      <c r="X614" s="179"/>
      <c r="Y614" s="247"/>
      <c r="Z614" s="248"/>
      <c r="AA614" s="294" t="str">
        <f t="shared" si="43"/>
        <v/>
      </c>
      <c r="AB614" s="219" t="str">
        <f t="shared" si="41"/>
        <v/>
      </c>
      <c r="AC614" s="219">
        <f t="shared" si="44"/>
        <v>0</v>
      </c>
      <c r="AD614" s="219">
        <f t="shared" si="45"/>
        <v>0</v>
      </c>
      <c r="AE614" s="220">
        <f t="shared" si="46"/>
        <v>0</v>
      </c>
      <c r="AF614" s="221">
        <f t="shared" si="47"/>
        <v>0</v>
      </c>
      <c r="AG614" s="204"/>
      <c r="AH614" s="178"/>
      <c r="AI614" s="174"/>
      <c r="AJ614" s="179"/>
      <c r="AK614" s="247"/>
      <c r="AL614" s="248"/>
      <c r="AM614" s="294" t="str">
        <f t="shared" si="51"/>
        <v/>
      </c>
      <c r="AN614" s="219" t="str">
        <f t="shared" si="42"/>
        <v/>
      </c>
      <c r="AO614" s="219">
        <f t="shared" si="52"/>
        <v>0</v>
      </c>
      <c r="AP614" s="219">
        <f t="shared" si="48"/>
        <v>0</v>
      </c>
      <c r="AQ614" s="220">
        <f t="shared" si="53"/>
        <v>0</v>
      </c>
      <c r="AR614" s="221">
        <f t="shared" si="54"/>
        <v>0</v>
      </c>
      <c r="AY614" s="628"/>
      <c r="AZ614" s="470">
        <v>0.75</v>
      </c>
      <c r="BA614" s="466">
        <v>7461168756</v>
      </c>
      <c r="BB614" s="211">
        <v>304</v>
      </c>
      <c r="BC614" s="211">
        <v>602</v>
      </c>
      <c r="BD614" s="211">
        <v>603</v>
      </c>
      <c r="BE614" s="211">
        <v>526</v>
      </c>
      <c r="BF614" s="211">
        <v>331</v>
      </c>
      <c r="BG614" s="211">
        <v>349</v>
      </c>
      <c r="BH614" s="211">
        <v>498</v>
      </c>
      <c r="BI614" s="211">
        <v>403</v>
      </c>
      <c r="BJ614" s="211">
        <v>501</v>
      </c>
      <c r="BK614" s="211">
        <v>275</v>
      </c>
      <c r="BL614" s="211">
        <v>328</v>
      </c>
      <c r="BM614" s="211">
        <v>272</v>
      </c>
      <c r="BO614" s="28">
        <f t="shared" si="49"/>
        <v>416</v>
      </c>
      <c r="BP614" s="28">
        <f t="shared" si="50"/>
        <v>4992</v>
      </c>
    </row>
    <row r="615" spans="22:68" x14ac:dyDescent="0.25">
      <c r="V615" s="178"/>
      <c r="W615" s="174"/>
      <c r="X615" s="179"/>
      <c r="Y615" s="247"/>
      <c r="Z615" s="248"/>
      <c r="AA615" s="294" t="str">
        <f t="shared" si="43"/>
        <v/>
      </c>
      <c r="AB615" s="219" t="str">
        <f t="shared" si="41"/>
        <v/>
      </c>
      <c r="AC615" s="219">
        <f t="shared" si="44"/>
        <v>0</v>
      </c>
      <c r="AD615" s="219">
        <f t="shared" si="45"/>
        <v>0</v>
      </c>
      <c r="AE615" s="220">
        <f t="shared" si="46"/>
        <v>0</v>
      </c>
      <c r="AF615" s="221">
        <f t="shared" si="47"/>
        <v>0</v>
      </c>
      <c r="AG615" s="204"/>
      <c r="AH615" s="178"/>
      <c r="AI615" s="174"/>
      <c r="AJ615" s="179"/>
      <c r="AK615" s="247"/>
      <c r="AL615" s="248"/>
      <c r="AM615" s="294" t="str">
        <f t="shared" si="51"/>
        <v/>
      </c>
      <c r="AN615" s="219" t="str">
        <f t="shared" si="42"/>
        <v/>
      </c>
      <c r="AO615" s="219">
        <f t="shared" si="52"/>
        <v>0</v>
      </c>
      <c r="AP615" s="219">
        <f t="shared" si="48"/>
        <v>0</v>
      </c>
      <c r="AQ615" s="220">
        <f t="shared" si="53"/>
        <v>0</v>
      </c>
      <c r="AR615" s="221">
        <f t="shared" si="54"/>
        <v>0</v>
      </c>
      <c r="AY615" s="628"/>
      <c r="AZ615" s="470">
        <v>0.75</v>
      </c>
      <c r="BA615" s="466">
        <v>7463771399</v>
      </c>
      <c r="BB615" s="211">
        <v>236</v>
      </c>
      <c r="BC615" s="211">
        <v>263</v>
      </c>
      <c r="BD615" s="211">
        <v>206</v>
      </c>
      <c r="BE615" s="211">
        <v>299</v>
      </c>
      <c r="BF615" s="211">
        <v>480</v>
      </c>
      <c r="BG615" s="211">
        <v>1064</v>
      </c>
      <c r="BH615" s="211">
        <v>2668</v>
      </c>
      <c r="BI615" s="211">
        <v>1587</v>
      </c>
      <c r="BJ615" s="211">
        <v>1297</v>
      </c>
      <c r="BK615" s="211">
        <v>323</v>
      </c>
      <c r="BL615" s="211">
        <v>305</v>
      </c>
      <c r="BM615" s="211">
        <v>350</v>
      </c>
      <c r="BO615" s="28">
        <f t="shared" si="49"/>
        <v>756.5</v>
      </c>
      <c r="BP615" s="28">
        <f t="shared" si="50"/>
        <v>9078</v>
      </c>
    </row>
    <row r="616" spans="22:68" x14ac:dyDescent="0.25">
      <c r="V616" s="178"/>
      <c r="W616" s="174"/>
      <c r="X616" s="179"/>
      <c r="Y616" s="247"/>
      <c r="Z616" s="248"/>
      <c r="AA616" s="294" t="str">
        <f t="shared" si="43"/>
        <v/>
      </c>
      <c r="AB616" s="219" t="str">
        <f t="shared" si="41"/>
        <v/>
      </c>
      <c r="AC616" s="219">
        <f t="shared" si="44"/>
        <v>0</v>
      </c>
      <c r="AD616" s="219">
        <f t="shared" si="45"/>
        <v>0</v>
      </c>
      <c r="AE616" s="220">
        <f t="shared" si="46"/>
        <v>0</v>
      </c>
      <c r="AF616" s="221">
        <f t="shared" si="47"/>
        <v>0</v>
      </c>
      <c r="AG616" s="204"/>
      <c r="AH616" s="178"/>
      <c r="AI616" s="174"/>
      <c r="AJ616" s="179"/>
      <c r="AK616" s="247"/>
      <c r="AL616" s="248"/>
      <c r="AM616" s="294" t="str">
        <f t="shared" si="51"/>
        <v/>
      </c>
      <c r="AN616" s="219" t="str">
        <f t="shared" si="42"/>
        <v/>
      </c>
      <c r="AO616" s="219">
        <f t="shared" si="52"/>
        <v>0</v>
      </c>
      <c r="AP616" s="219">
        <f t="shared" si="48"/>
        <v>0</v>
      </c>
      <c r="AQ616" s="220">
        <f t="shared" si="53"/>
        <v>0</v>
      </c>
      <c r="AR616" s="221">
        <f t="shared" si="54"/>
        <v>0</v>
      </c>
      <c r="AY616" s="628"/>
      <c r="AZ616" s="470">
        <v>0.75</v>
      </c>
      <c r="BA616" s="466">
        <v>7473182949</v>
      </c>
      <c r="BB616" s="211">
        <v>438</v>
      </c>
      <c r="BC616" s="211">
        <v>531</v>
      </c>
      <c r="BD616" s="211">
        <v>511</v>
      </c>
      <c r="BE616" s="211">
        <v>464</v>
      </c>
      <c r="BF616" s="211">
        <v>528</v>
      </c>
      <c r="BG616" s="211">
        <v>756</v>
      </c>
      <c r="BH616" s="211">
        <v>1264</v>
      </c>
      <c r="BI616" s="211">
        <v>1066</v>
      </c>
      <c r="BJ616" s="211">
        <v>650</v>
      </c>
      <c r="BK616" s="211">
        <v>486</v>
      </c>
      <c r="BL616" s="211">
        <v>484</v>
      </c>
      <c r="BM616" s="211">
        <v>610</v>
      </c>
      <c r="BO616" s="28">
        <f t="shared" si="49"/>
        <v>649</v>
      </c>
      <c r="BP616" s="28">
        <f t="shared" si="50"/>
        <v>7788</v>
      </c>
    </row>
    <row r="617" spans="22:68" x14ac:dyDescent="0.25">
      <c r="V617" s="178"/>
      <c r="W617" s="174"/>
      <c r="X617" s="179"/>
      <c r="Y617" s="247"/>
      <c r="Z617" s="248"/>
      <c r="AA617" s="294" t="str">
        <f t="shared" si="43"/>
        <v/>
      </c>
      <c r="AB617" s="219" t="str">
        <f t="shared" si="41"/>
        <v/>
      </c>
      <c r="AC617" s="219">
        <f t="shared" si="44"/>
        <v>0</v>
      </c>
      <c r="AD617" s="219">
        <f t="shared" si="45"/>
        <v>0</v>
      </c>
      <c r="AE617" s="220">
        <f t="shared" si="46"/>
        <v>0</v>
      </c>
      <c r="AF617" s="221">
        <f t="shared" si="47"/>
        <v>0</v>
      </c>
      <c r="AG617" s="204"/>
      <c r="AH617" s="178"/>
      <c r="AI617" s="174"/>
      <c r="AJ617" s="179"/>
      <c r="AK617" s="247"/>
      <c r="AL617" s="248"/>
      <c r="AM617" s="294" t="str">
        <f t="shared" si="51"/>
        <v/>
      </c>
      <c r="AN617" s="219" t="str">
        <f t="shared" si="42"/>
        <v/>
      </c>
      <c r="AO617" s="219">
        <f t="shared" si="52"/>
        <v>0</v>
      </c>
      <c r="AP617" s="219">
        <f t="shared" si="48"/>
        <v>0</v>
      </c>
      <c r="AQ617" s="220">
        <f t="shared" si="53"/>
        <v>0</v>
      </c>
      <c r="AR617" s="221">
        <f t="shared" si="54"/>
        <v>0</v>
      </c>
      <c r="AY617" s="628"/>
      <c r="AZ617" s="470">
        <v>1</v>
      </c>
      <c r="BA617" s="466">
        <v>7473241219</v>
      </c>
      <c r="BB617" s="211">
        <v>35</v>
      </c>
      <c r="BC617" s="211">
        <v>61</v>
      </c>
      <c r="BD617" s="211">
        <v>111</v>
      </c>
      <c r="BE617" s="211" t="s">
        <v>655</v>
      </c>
      <c r="BF617" s="211" t="s">
        <v>655</v>
      </c>
      <c r="BG617" s="211">
        <v>2611</v>
      </c>
      <c r="BH617" s="211">
        <v>1660</v>
      </c>
      <c r="BI617" s="211" t="s">
        <v>655</v>
      </c>
      <c r="BJ617" s="211" t="s">
        <v>655</v>
      </c>
      <c r="BK617" s="211" t="s">
        <v>655</v>
      </c>
      <c r="BL617" s="211" t="s">
        <v>655</v>
      </c>
      <c r="BM617" s="211" t="s">
        <v>655</v>
      </c>
      <c r="BO617" s="28">
        <f t="shared" si="49"/>
        <v>895.6</v>
      </c>
      <c r="BP617" s="28">
        <f t="shared" si="50"/>
        <v>4478</v>
      </c>
    </row>
    <row r="618" spans="22:68" x14ac:dyDescent="0.25">
      <c r="V618" s="178"/>
      <c r="W618" s="174"/>
      <c r="X618" s="179"/>
      <c r="Y618" s="247"/>
      <c r="Z618" s="248"/>
      <c r="AA618" s="294" t="str">
        <f t="shared" si="43"/>
        <v/>
      </c>
      <c r="AB618" s="219" t="str">
        <f t="shared" si="41"/>
        <v/>
      </c>
      <c r="AC618" s="219">
        <f t="shared" si="44"/>
        <v>0</v>
      </c>
      <c r="AD618" s="219">
        <f t="shared" si="45"/>
        <v>0</v>
      </c>
      <c r="AE618" s="220">
        <f t="shared" si="46"/>
        <v>0</v>
      </c>
      <c r="AF618" s="221">
        <f t="shared" si="47"/>
        <v>0</v>
      </c>
      <c r="AG618" s="204"/>
      <c r="AH618" s="178"/>
      <c r="AI618" s="174"/>
      <c r="AJ618" s="179"/>
      <c r="AK618" s="247"/>
      <c r="AL618" s="248"/>
      <c r="AM618" s="294" t="str">
        <f t="shared" si="51"/>
        <v/>
      </c>
      <c r="AN618" s="219" t="str">
        <f t="shared" si="42"/>
        <v/>
      </c>
      <c r="AO618" s="219">
        <f t="shared" si="52"/>
        <v>0</v>
      </c>
      <c r="AP618" s="219">
        <f t="shared" si="48"/>
        <v>0</v>
      </c>
      <c r="AQ618" s="220">
        <f t="shared" si="53"/>
        <v>0</v>
      </c>
      <c r="AR618" s="221">
        <f t="shared" si="54"/>
        <v>0</v>
      </c>
      <c r="AY618" s="628"/>
      <c r="AZ618" s="470">
        <v>0.625</v>
      </c>
      <c r="BA618" s="466">
        <v>7475699930</v>
      </c>
      <c r="BB618" s="211">
        <v>517</v>
      </c>
      <c r="BC618" s="211">
        <v>692</v>
      </c>
      <c r="BD618" s="211">
        <v>684</v>
      </c>
      <c r="BE618" s="211">
        <v>628</v>
      </c>
      <c r="BF618" s="211" t="s">
        <v>655</v>
      </c>
      <c r="BG618" s="211">
        <v>1680</v>
      </c>
      <c r="BH618" s="211">
        <v>2400</v>
      </c>
      <c r="BI618" s="211">
        <v>2463</v>
      </c>
      <c r="BJ618" s="211">
        <v>1251</v>
      </c>
      <c r="BK618" s="211">
        <v>696</v>
      </c>
      <c r="BL618" s="211" t="s">
        <v>655</v>
      </c>
      <c r="BM618" s="211">
        <v>1592</v>
      </c>
      <c r="BO618" s="28">
        <f t="shared" si="49"/>
        <v>1260.3</v>
      </c>
      <c r="BP618" s="28">
        <f t="shared" si="50"/>
        <v>12603</v>
      </c>
    </row>
    <row r="619" spans="22:68" x14ac:dyDescent="0.25">
      <c r="V619" s="178"/>
      <c r="W619" s="174"/>
      <c r="X619" s="179"/>
      <c r="Y619" s="247"/>
      <c r="Z619" s="248"/>
      <c r="AA619" s="294" t="str">
        <f t="shared" si="43"/>
        <v/>
      </c>
      <c r="AB619" s="219" t="str">
        <f t="shared" si="41"/>
        <v/>
      </c>
      <c r="AC619" s="219">
        <f t="shared" si="44"/>
        <v>0</v>
      </c>
      <c r="AD619" s="219">
        <f t="shared" si="45"/>
        <v>0</v>
      </c>
      <c r="AE619" s="220">
        <f t="shared" si="46"/>
        <v>0</v>
      </c>
      <c r="AF619" s="221">
        <f t="shared" si="47"/>
        <v>0</v>
      </c>
      <c r="AG619" s="204"/>
      <c r="AH619" s="178"/>
      <c r="AI619" s="174"/>
      <c r="AJ619" s="179"/>
      <c r="AK619" s="247"/>
      <c r="AL619" s="248"/>
      <c r="AM619" s="294" t="str">
        <f t="shared" si="51"/>
        <v/>
      </c>
      <c r="AN619" s="219" t="str">
        <f t="shared" si="42"/>
        <v/>
      </c>
      <c r="AO619" s="219">
        <f t="shared" si="52"/>
        <v>0</v>
      </c>
      <c r="AP619" s="219">
        <f t="shared" si="48"/>
        <v>0</v>
      </c>
      <c r="AQ619" s="220">
        <f t="shared" si="53"/>
        <v>0</v>
      </c>
      <c r="AR619" s="221">
        <f t="shared" si="54"/>
        <v>0</v>
      </c>
      <c r="AY619" s="628"/>
      <c r="AZ619" s="471">
        <v>4</v>
      </c>
      <c r="BA619" s="466">
        <v>7481432345</v>
      </c>
      <c r="BB619" s="211">
        <v>27200</v>
      </c>
      <c r="BC619" s="211">
        <v>27100</v>
      </c>
      <c r="BD619" s="211">
        <v>29500</v>
      </c>
      <c r="BE619" s="211">
        <v>30700</v>
      </c>
      <c r="BF619" s="211">
        <v>29200</v>
      </c>
      <c r="BG619" s="211">
        <v>34000</v>
      </c>
      <c r="BH619" s="211">
        <v>39300</v>
      </c>
      <c r="BI619" s="211">
        <v>35400</v>
      </c>
      <c r="BJ619" s="211">
        <v>66800</v>
      </c>
      <c r="BK619" s="211">
        <v>19600</v>
      </c>
      <c r="BL619" s="211">
        <v>32500</v>
      </c>
      <c r="BM619" s="211">
        <v>36000</v>
      </c>
      <c r="BO619" s="28">
        <f t="shared" si="49"/>
        <v>33941.666666666664</v>
      </c>
      <c r="BP619" s="28">
        <f t="shared" si="50"/>
        <v>407300</v>
      </c>
    </row>
    <row r="620" spans="22:68" x14ac:dyDescent="0.25">
      <c r="V620" s="178"/>
      <c r="W620" s="174"/>
      <c r="X620" s="179"/>
      <c r="Y620" s="247"/>
      <c r="Z620" s="248"/>
      <c r="AA620" s="294" t="str">
        <f t="shared" si="43"/>
        <v/>
      </c>
      <c r="AB620" s="219" t="str">
        <f t="shared" si="41"/>
        <v/>
      </c>
      <c r="AC620" s="219">
        <f t="shared" si="44"/>
        <v>0</v>
      </c>
      <c r="AD620" s="219">
        <f t="shared" si="45"/>
        <v>0</v>
      </c>
      <c r="AE620" s="220">
        <f t="shared" si="46"/>
        <v>0</v>
      </c>
      <c r="AF620" s="221">
        <f t="shared" si="47"/>
        <v>0</v>
      </c>
      <c r="AG620" s="204"/>
      <c r="AH620" s="178"/>
      <c r="AI620" s="174"/>
      <c r="AJ620" s="179"/>
      <c r="AK620" s="247"/>
      <c r="AL620" s="248"/>
      <c r="AM620" s="294" t="str">
        <f t="shared" si="51"/>
        <v/>
      </c>
      <c r="AN620" s="219" t="str">
        <f t="shared" si="42"/>
        <v/>
      </c>
      <c r="AO620" s="219">
        <f t="shared" si="52"/>
        <v>0</v>
      </c>
      <c r="AP620" s="219">
        <f t="shared" si="48"/>
        <v>0</v>
      </c>
      <c r="AQ620" s="220">
        <f t="shared" si="53"/>
        <v>0</v>
      </c>
      <c r="AR620" s="221">
        <f t="shared" si="54"/>
        <v>0</v>
      </c>
      <c r="AY620" s="628"/>
      <c r="AZ620" s="470">
        <v>0.75</v>
      </c>
      <c r="BA620" s="466">
        <v>7527895899</v>
      </c>
      <c r="BB620" s="211">
        <v>306</v>
      </c>
      <c r="BC620" s="211">
        <v>361</v>
      </c>
      <c r="BD620" s="211">
        <v>332</v>
      </c>
      <c r="BE620" s="211">
        <v>439</v>
      </c>
      <c r="BF620" s="211">
        <v>405</v>
      </c>
      <c r="BG620" s="211">
        <v>675</v>
      </c>
      <c r="BH620" s="211">
        <v>1964</v>
      </c>
      <c r="BI620" s="211">
        <v>2362</v>
      </c>
      <c r="BJ620" s="211">
        <v>2691</v>
      </c>
      <c r="BK620" s="211">
        <v>366</v>
      </c>
      <c r="BL620" s="211">
        <v>464</v>
      </c>
      <c r="BM620" s="211">
        <v>430</v>
      </c>
      <c r="BO620" s="28">
        <f t="shared" si="49"/>
        <v>899.58333333333337</v>
      </c>
      <c r="BP620" s="28">
        <f t="shared" si="50"/>
        <v>10795</v>
      </c>
    </row>
    <row r="621" spans="22:68" x14ac:dyDescent="0.25">
      <c r="V621" s="178"/>
      <c r="W621" s="174"/>
      <c r="X621" s="179"/>
      <c r="Y621" s="247"/>
      <c r="Z621" s="248"/>
      <c r="AA621" s="294" t="str">
        <f t="shared" si="43"/>
        <v/>
      </c>
      <c r="AB621" s="219" t="str">
        <f t="shared" si="41"/>
        <v/>
      </c>
      <c r="AC621" s="219">
        <f t="shared" si="44"/>
        <v>0</v>
      </c>
      <c r="AD621" s="219">
        <f t="shared" si="45"/>
        <v>0</v>
      </c>
      <c r="AE621" s="220">
        <f t="shared" si="46"/>
        <v>0</v>
      </c>
      <c r="AF621" s="221">
        <f t="shared" si="47"/>
        <v>0</v>
      </c>
      <c r="AG621" s="204"/>
      <c r="AH621" s="178"/>
      <c r="AI621" s="174"/>
      <c r="AJ621" s="179"/>
      <c r="AK621" s="247"/>
      <c r="AL621" s="248"/>
      <c r="AM621" s="294" t="str">
        <f t="shared" si="51"/>
        <v/>
      </c>
      <c r="AN621" s="219" t="str">
        <f t="shared" si="42"/>
        <v/>
      </c>
      <c r="AO621" s="219">
        <f t="shared" si="52"/>
        <v>0</v>
      </c>
      <c r="AP621" s="219">
        <f t="shared" si="48"/>
        <v>0</v>
      </c>
      <c r="AQ621" s="220">
        <f t="shared" si="53"/>
        <v>0</v>
      </c>
      <c r="AR621" s="221">
        <f t="shared" si="54"/>
        <v>0</v>
      </c>
      <c r="AY621" s="628"/>
      <c r="AZ621" s="470">
        <v>0.75</v>
      </c>
      <c r="BA621" s="466">
        <v>7544317035</v>
      </c>
      <c r="BB621" s="211">
        <v>202</v>
      </c>
      <c r="BC621" s="211">
        <v>200</v>
      </c>
      <c r="BD621" s="211">
        <v>144</v>
      </c>
      <c r="BE621" s="211">
        <v>180</v>
      </c>
      <c r="BF621" s="211">
        <v>176</v>
      </c>
      <c r="BG621" s="211">
        <v>497</v>
      </c>
      <c r="BH621" s="211">
        <v>538</v>
      </c>
      <c r="BI621" s="211">
        <v>865</v>
      </c>
      <c r="BJ621" s="211">
        <v>400</v>
      </c>
      <c r="BK621" s="211">
        <v>270</v>
      </c>
      <c r="BL621" s="211">
        <v>195</v>
      </c>
      <c r="BM621" s="211">
        <v>215</v>
      </c>
      <c r="BO621" s="28">
        <f t="shared" si="49"/>
        <v>323.5</v>
      </c>
      <c r="BP621" s="28">
        <f t="shared" si="50"/>
        <v>3882</v>
      </c>
    </row>
    <row r="622" spans="22:68" x14ac:dyDescent="0.25">
      <c r="V622" s="178"/>
      <c r="W622" s="174"/>
      <c r="X622" s="179"/>
      <c r="Y622" s="247"/>
      <c r="Z622" s="248"/>
      <c r="AA622" s="294" t="str">
        <f t="shared" si="43"/>
        <v/>
      </c>
      <c r="AB622" s="219" t="str">
        <f t="shared" si="41"/>
        <v/>
      </c>
      <c r="AC622" s="219">
        <f t="shared" si="44"/>
        <v>0</v>
      </c>
      <c r="AD622" s="219">
        <f t="shared" si="45"/>
        <v>0</v>
      </c>
      <c r="AE622" s="220">
        <f t="shared" si="46"/>
        <v>0</v>
      </c>
      <c r="AF622" s="221">
        <f t="shared" si="47"/>
        <v>0</v>
      </c>
      <c r="AG622" s="204"/>
      <c r="AH622" s="178"/>
      <c r="AI622" s="174"/>
      <c r="AJ622" s="179"/>
      <c r="AK622" s="247"/>
      <c r="AL622" s="248"/>
      <c r="AM622" s="294" t="str">
        <f t="shared" si="51"/>
        <v/>
      </c>
      <c r="AN622" s="219" t="str">
        <f t="shared" si="42"/>
        <v/>
      </c>
      <c r="AO622" s="219">
        <f t="shared" si="52"/>
        <v>0</v>
      </c>
      <c r="AP622" s="219">
        <f t="shared" si="48"/>
        <v>0</v>
      </c>
      <c r="AQ622" s="220">
        <f t="shared" si="53"/>
        <v>0</v>
      </c>
      <c r="AR622" s="221">
        <f t="shared" si="54"/>
        <v>0</v>
      </c>
      <c r="AY622" s="628"/>
      <c r="AZ622" s="470">
        <v>0.75</v>
      </c>
      <c r="BA622" s="466">
        <v>7551050115</v>
      </c>
      <c r="BB622" s="211">
        <v>460</v>
      </c>
      <c r="BC622" s="211">
        <v>410</v>
      </c>
      <c r="BD622" s="211">
        <v>414</v>
      </c>
      <c r="BE622" s="211">
        <v>413</v>
      </c>
      <c r="BF622" s="211">
        <v>766</v>
      </c>
      <c r="BG622" s="211">
        <v>2531</v>
      </c>
      <c r="BH622" s="211">
        <v>8075</v>
      </c>
      <c r="BI622" s="211">
        <v>1757</v>
      </c>
      <c r="BJ622" s="211">
        <v>793</v>
      </c>
      <c r="BK622" s="211">
        <v>330</v>
      </c>
      <c r="BL622" s="211">
        <v>220</v>
      </c>
      <c r="BM622" s="211">
        <v>1090</v>
      </c>
      <c r="BO622" s="28">
        <f t="shared" si="49"/>
        <v>1438.25</v>
      </c>
      <c r="BP622" s="28">
        <f t="shared" si="50"/>
        <v>17259</v>
      </c>
    </row>
    <row r="623" spans="22:68" x14ac:dyDescent="0.25">
      <c r="V623" s="178"/>
      <c r="W623" s="174"/>
      <c r="X623" s="179"/>
      <c r="Y623" s="247"/>
      <c r="Z623" s="248"/>
      <c r="AA623" s="294" t="str">
        <f t="shared" si="43"/>
        <v/>
      </c>
      <c r="AB623" s="219" t="str">
        <f t="shared" si="41"/>
        <v/>
      </c>
      <c r="AC623" s="219">
        <f t="shared" si="44"/>
        <v>0</v>
      </c>
      <c r="AD623" s="219">
        <f t="shared" si="45"/>
        <v>0</v>
      </c>
      <c r="AE623" s="220">
        <f t="shared" si="46"/>
        <v>0</v>
      </c>
      <c r="AF623" s="221">
        <f t="shared" si="47"/>
        <v>0</v>
      </c>
      <c r="AG623" s="204"/>
      <c r="AH623" s="178"/>
      <c r="AI623" s="174"/>
      <c r="AJ623" s="179"/>
      <c r="AK623" s="247"/>
      <c r="AL623" s="248"/>
      <c r="AM623" s="294" t="str">
        <f t="shared" si="51"/>
        <v/>
      </c>
      <c r="AN623" s="219" t="str">
        <f t="shared" si="42"/>
        <v/>
      </c>
      <c r="AO623" s="219">
        <f t="shared" si="52"/>
        <v>0</v>
      </c>
      <c r="AP623" s="219">
        <f t="shared" si="48"/>
        <v>0</v>
      </c>
      <c r="AQ623" s="220">
        <f t="shared" si="53"/>
        <v>0</v>
      </c>
      <c r="AR623" s="221">
        <f t="shared" si="54"/>
        <v>0</v>
      </c>
      <c r="AY623" s="628"/>
      <c r="AZ623" s="470">
        <v>0.75</v>
      </c>
      <c r="BA623" s="466">
        <v>7551975449</v>
      </c>
      <c r="BB623" s="211">
        <v>853</v>
      </c>
      <c r="BC623" s="211">
        <v>56</v>
      </c>
      <c r="BD623" s="211">
        <v>305</v>
      </c>
      <c r="BE623" s="211">
        <v>2432</v>
      </c>
      <c r="BF623" s="211">
        <v>168</v>
      </c>
      <c r="BG623" s="211">
        <v>427</v>
      </c>
      <c r="BH623" s="211">
        <v>4203</v>
      </c>
      <c r="BI623" s="211">
        <v>1346</v>
      </c>
      <c r="BJ623" s="211">
        <v>555</v>
      </c>
      <c r="BK623" s="211">
        <v>300</v>
      </c>
      <c r="BL623" s="211">
        <v>424</v>
      </c>
      <c r="BM623" s="211">
        <v>375</v>
      </c>
      <c r="BO623" s="28">
        <f t="shared" si="49"/>
        <v>953.66666666666663</v>
      </c>
      <c r="BP623" s="28">
        <f t="shared" si="50"/>
        <v>11444</v>
      </c>
    </row>
    <row r="624" spans="22:68" x14ac:dyDescent="0.25">
      <c r="V624" s="178"/>
      <c r="W624" s="174"/>
      <c r="X624" s="179"/>
      <c r="Y624" s="247"/>
      <c r="Z624" s="248"/>
      <c r="AA624" s="294" t="str">
        <f t="shared" si="43"/>
        <v/>
      </c>
      <c r="AB624" s="219" t="str">
        <f t="shared" si="41"/>
        <v/>
      </c>
      <c r="AC624" s="219">
        <f t="shared" si="44"/>
        <v>0</v>
      </c>
      <c r="AD624" s="219">
        <f t="shared" si="45"/>
        <v>0</v>
      </c>
      <c r="AE624" s="220">
        <f t="shared" si="46"/>
        <v>0</v>
      </c>
      <c r="AF624" s="221">
        <f t="shared" si="47"/>
        <v>0</v>
      </c>
      <c r="AG624" s="204"/>
      <c r="AH624" s="178"/>
      <c r="AI624" s="174"/>
      <c r="AJ624" s="179"/>
      <c r="AK624" s="247"/>
      <c r="AL624" s="248"/>
      <c r="AM624" s="294" t="str">
        <f t="shared" si="51"/>
        <v/>
      </c>
      <c r="AN624" s="219" t="str">
        <f t="shared" si="42"/>
        <v/>
      </c>
      <c r="AO624" s="219">
        <f t="shared" si="52"/>
        <v>0</v>
      </c>
      <c r="AP624" s="219">
        <f t="shared" si="48"/>
        <v>0</v>
      </c>
      <c r="AQ624" s="220">
        <f t="shared" si="53"/>
        <v>0</v>
      </c>
      <c r="AR624" s="221">
        <f t="shared" si="54"/>
        <v>0</v>
      </c>
      <c r="AY624" s="628"/>
      <c r="AZ624" s="470">
        <v>0.75</v>
      </c>
      <c r="BA624" s="466">
        <v>7572302711</v>
      </c>
      <c r="BB624" s="211">
        <v>658</v>
      </c>
      <c r="BC624" s="211">
        <v>579</v>
      </c>
      <c r="BD624" s="211">
        <v>642</v>
      </c>
      <c r="BE624" s="211">
        <v>679</v>
      </c>
      <c r="BF624" s="211">
        <v>1419</v>
      </c>
      <c r="BG624" s="211">
        <v>1037</v>
      </c>
      <c r="BH624" s="211">
        <v>1084</v>
      </c>
      <c r="BI624" s="211">
        <v>3172</v>
      </c>
      <c r="BJ624" s="211">
        <v>908</v>
      </c>
      <c r="BK624" s="211">
        <v>535</v>
      </c>
      <c r="BL624" s="211">
        <v>300</v>
      </c>
      <c r="BM624" s="211">
        <v>446</v>
      </c>
      <c r="BO624" s="28">
        <f t="shared" si="49"/>
        <v>954.91666666666663</v>
      </c>
      <c r="BP624" s="28">
        <f t="shared" si="50"/>
        <v>11459</v>
      </c>
    </row>
    <row r="625" spans="22:68" x14ac:dyDescent="0.25">
      <c r="V625" s="178"/>
      <c r="W625" s="174"/>
      <c r="X625" s="179"/>
      <c r="Y625" s="247"/>
      <c r="Z625" s="248"/>
      <c r="AA625" s="294" t="str">
        <f t="shared" si="43"/>
        <v/>
      </c>
      <c r="AB625" s="219" t="str">
        <f t="shared" si="41"/>
        <v/>
      </c>
      <c r="AC625" s="219">
        <f t="shared" si="44"/>
        <v>0</v>
      </c>
      <c r="AD625" s="219">
        <f t="shared" si="45"/>
        <v>0</v>
      </c>
      <c r="AE625" s="220">
        <f t="shared" si="46"/>
        <v>0</v>
      </c>
      <c r="AF625" s="221">
        <f t="shared" si="47"/>
        <v>0</v>
      </c>
      <c r="AG625" s="204"/>
      <c r="AH625" s="178"/>
      <c r="AI625" s="174"/>
      <c r="AJ625" s="179"/>
      <c r="AK625" s="247"/>
      <c r="AL625" s="248"/>
      <c r="AM625" s="294" t="str">
        <f t="shared" si="51"/>
        <v/>
      </c>
      <c r="AN625" s="219" t="str">
        <f t="shared" si="42"/>
        <v/>
      </c>
      <c r="AO625" s="219">
        <f t="shared" si="52"/>
        <v>0</v>
      </c>
      <c r="AP625" s="219">
        <f t="shared" si="48"/>
        <v>0</v>
      </c>
      <c r="AQ625" s="220">
        <f t="shared" si="53"/>
        <v>0</v>
      </c>
      <c r="AR625" s="221">
        <f t="shared" si="54"/>
        <v>0</v>
      </c>
      <c r="AY625" s="628"/>
      <c r="AZ625" s="470">
        <v>1</v>
      </c>
      <c r="BA625" s="466">
        <v>7590482661</v>
      </c>
      <c r="BB625" s="211" t="s">
        <v>655</v>
      </c>
      <c r="BC625" s="211" t="s">
        <v>655</v>
      </c>
      <c r="BD625" s="211" t="s">
        <v>655</v>
      </c>
      <c r="BE625" s="211" t="s">
        <v>655</v>
      </c>
      <c r="BF625" s="211" t="s">
        <v>655</v>
      </c>
      <c r="BG625" s="211" t="s">
        <v>655</v>
      </c>
      <c r="BH625" s="211" t="s">
        <v>655</v>
      </c>
      <c r="BI625" s="211" t="s">
        <v>655</v>
      </c>
      <c r="BJ625" s="211" t="s">
        <v>655</v>
      </c>
      <c r="BK625" s="211" t="s">
        <v>655</v>
      </c>
      <c r="BL625" s="211" t="s">
        <v>655</v>
      </c>
      <c r="BM625" s="211" t="s">
        <v>655</v>
      </c>
      <c r="BO625" s="28" t="e">
        <f t="shared" si="49"/>
        <v>#DIV/0!</v>
      </c>
      <c r="BP625" s="28">
        <f t="shared" si="50"/>
        <v>0</v>
      </c>
    </row>
    <row r="626" spans="22:68" x14ac:dyDescent="0.25">
      <c r="V626" s="178"/>
      <c r="W626" s="174"/>
      <c r="X626" s="179"/>
      <c r="Y626" s="247"/>
      <c r="Z626" s="248"/>
      <c r="AA626" s="294" t="str">
        <f t="shared" si="43"/>
        <v/>
      </c>
      <c r="AB626" s="219" t="str">
        <f t="shared" si="41"/>
        <v/>
      </c>
      <c r="AC626" s="219">
        <f t="shared" si="44"/>
        <v>0</v>
      </c>
      <c r="AD626" s="219">
        <f t="shared" si="45"/>
        <v>0</v>
      </c>
      <c r="AE626" s="220">
        <f t="shared" si="46"/>
        <v>0</v>
      </c>
      <c r="AF626" s="221">
        <f t="shared" si="47"/>
        <v>0</v>
      </c>
      <c r="AG626" s="204"/>
      <c r="AH626" s="178"/>
      <c r="AI626" s="174"/>
      <c r="AJ626" s="179"/>
      <c r="AK626" s="247"/>
      <c r="AL626" s="248"/>
      <c r="AM626" s="294" t="str">
        <f t="shared" si="51"/>
        <v/>
      </c>
      <c r="AN626" s="219" t="str">
        <f t="shared" si="42"/>
        <v/>
      </c>
      <c r="AO626" s="219">
        <f t="shared" si="52"/>
        <v>0</v>
      </c>
      <c r="AP626" s="219">
        <f t="shared" si="48"/>
        <v>0</v>
      </c>
      <c r="AQ626" s="220">
        <f t="shared" si="53"/>
        <v>0</v>
      </c>
      <c r="AR626" s="221">
        <f t="shared" si="54"/>
        <v>0</v>
      </c>
      <c r="AY626" s="628"/>
      <c r="AZ626" s="470">
        <v>0.75</v>
      </c>
      <c r="BA626" s="466">
        <v>7606833624</v>
      </c>
      <c r="BB626" s="211">
        <v>658</v>
      </c>
      <c r="BC626" s="211">
        <v>459</v>
      </c>
      <c r="BD626" s="211">
        <v>488</v>
      </c>
      <c r="BE626" s="211">
        <v>449</v>
      </c>
      <c r="BF626" s="211">
        <v>301</v>
      </c>
      <c r="BG626" s="211">
        <v>380</v>
      </c>
      <c r="BH626" s="211">
        <v>266</v>
      </c>
      <c r="BI626" s="211">
        <v>520</v>
      </c>
      <c r="BJ626" s="211">
        <v>386</v>
      </c>
      <c r="BK626" s="211">
        <v>600</v>
      </c>
      <c r="BL626" s="211">
        <v>170</v>
      </c>
      <c r="BM626" s="211">
        <v>174</v>
      </c>
      <c r="BO626" s="28">
        <f t="shared" si="49"/>
        <v>404.25</v>
      </c>
      <c r="BP626" s="28">
        <f t="shared" si="50"/>
        <v>4851</v>
      </c>
    </row>
    <row r="627" spans="22:68" x14ac:dyDescent="0.25">
      <c r="V627" s="178"/>
      <c r="W627" s="174"/>
      <c r="X627" s="179"/>
      <c r="Y627" s="247"/>
      <c r="Z627" s="248"/>
      <c r="AA627" s="294" t="str">
        <f t="shared" si="43"/>
        <v/>
      </c>
      <c r="AB627" s="219" t="str">
        <f t="shared" si="41"/>
        <v/>
      </c>
      <c r="AC627" s="219">
        <f t="shared" si="44"/>
        <v>0</v>
      </c>
      <c r="AD627" s="219">
        <f t="shared" si="45"/>
        <v>0</v>
      </c>
      <c r="AE627" s="220">
        <f t="shared" si="46"/>
        <v>0</v>
      </c>
      <c r="AF627" s="221">
        <f t="shared" si="47"/>
        <v>0</v>
      </c>
      <c r="AG627" s="204"/>
      <c r="AH627" s="178"/>
      <c r="AI627" s="174"/>
      <c r="AJ627" s="179"/>
      <c r="AK627" s="247"/>
      <c r="AL627" s="248"/>
      <c r="AM627" s="294" t="str">
        <f t="shared" si="51"/>
        <v/>
      </c>
      <c r="AN627" s="219" t="str">
        <f t="shared" si="42"/>
        <v/>
      </c>
      <c r="AO627" s="219">
        <f t="shared" si="52"/>
        <v>0</v>
      </c>
      <c r="AP627" s="219">
        <f t="shared" si="48"/>
        <v>0</v>
      </c>
      <c r="AQ627" s="220">
        <f t="shared" si="53"/>
        <v>0</v>
      </c>
      <c r="AR627" s="221">
        <f t="shared" si="54"/>
        <v>0</v>
      </c>
      <c r="AY627" s="628"/>
      <c r="AZ627" s="470">
        <v>0.75</v>
      </c>
      <c r="BA627" s="466">
        <v>7611504733</v>
      </c>
      <c r="BB627" s="211">
        <v>360</v>
      </c>
      <c r="BC627" s="211">
        <v>379</v>
      </c>
      <c r="BD627" s="211">
        <v>252</v>
      </c>
      <c r="BE627" s="211">
        <v>470</v>
      </c>
      <c r="BF627" s="211">
        <v>235</v>
      </c>
      <c r="BG627" s="211">
        <v>389</v>
      </c>
      <c r="BH627" s="211">
        <v>2361</v>
      </c>
      <c r="BI627" s="211">
        <v>3984</v>
      </c>
      <c r="BJ627" s="211">
        <v>2273</v>
      </c>
      <c r="BK627" s="211">
        <v>153</v>
      </c>
      <c r="BL627" s="211">
        <v>98</v>
      </c>
      <c r="BM627" s="211">
        <v>185</v>
      </c>
      <c r="BO627" s="28">
        <f t="shared" si="49"/>
        <v>928.25</v>
      </c>
      <c r="BP627" s="28">
        <f t="shared" si="50"/>
        <v>11139</v>
      </c>
    </row>
    <row r="628" spans="22:68" x14ac:dyDescent="0.25">
      <c r="V628" s="178"/>
      <c r="W628" s="174"/>
      <c r="X628" s="179"/>
      <c r="Y628" s="247"/>
      <c r="Z628" s="248"/>
      <c r="AA628" s="294" t="str">
        <f t="shared" si="43"/>
        <v/>
      </c>
      <c r="AB628" s="219" t="str">
        <f t="shared" si="41"/>
        <v/>
      </c>
      <c r="AC628" s="219">
        <f t="shared" si="44"/>
        <v>0</v>
      </c>
      <c r="AD628" s="219">
        <f t="shared" si="45"/>
        <v>0</v>
      </c>
      <c r="AE628" s="220">
        <f t="shared" si="46"/>
        <v>0</v>
      </c>
      <c r="AF628" s="221">
        <f t="shared" si="47"/>
        <v>0</v>
      </c>
      <c r="AG628" s="204"/>
      <c r="AH628" s="178"/>
      <c r="AI628" s="174"/>
      <c r="AJ628" s="179"/>
      <c r="AK628" s="247"/>
      <c r="AL628" s="248"/>
      <c r="AM628" s="294" t="str">
        <f t="shared" si="51"/>
        <v/>
      </c>
      <c r="AN628" s="219" t="str">
        <f t="shared" si="42"/>
        <v/>
      </c>
      <c r="AO628" s="219">
        <f t="shared" si="52"/>
        <v>0</v>
      </c>
      <c r="AP628" s="219">
        <f t="shared" si="48"/>
        <v>0</v>
      </c>
      <c r="AQ628" s="220">
        <f t="shared" si="53"/>
        <v>0</v>
      </c>
      <c r="AR628" s="221">
        <f t="shared" si="54"/>
        <v>0</v>
      </c>
      <c r="AY628" s="628"/>
      <c r="AZ628" s="470">
        <v>0.75</v>
      </c>
      <c r="BA628" s="466">
        <v>7636413055</v>
      </c>
      <c r="BB628" s="211">
        <v>4101</v>
      </c>
      <c r="BC628" s="211">
        <v>3006</v>
      </c>
      <c r="BD628" s="211">
        <v>4190</v>
      </c>
      <c r="BE628" s="211">
        <v>3847</v>
      </c>
      <c r="BF628" s="211">
        <v>3218</v>
      </c>
      <c r="BG628" s="211">
        <v>4017</v>
      </c>
      <c r="BH628" s="211">
        <v>4966</v>
      </c>
      <c r="BI628" s="211">
        <v>3998</v>
      </c>
      <c r="BJ628" s="211">
        <v>3647</v>
      </c>
      <c r="BK628" s="211">
        <v>2034</v>
      </c>
      <c r="BL628" s="211">
        <v>1578</v>
      </c>
      <c r="BM628" s="211">
        <v>280</v>
      </c>
      <c r="BO628" s="28">
        <f t="shared" si="49"/>
        <v>3240.1666666666665</v>
      </c>
      <c r="BP628" s="28">
        <f t="shared" si="50"/>
        <v>38882</v>
      </c>
    </row>
    <row r="629" spans="22:68" x14ac:dyDescent="0.25">
      <c r="V629" s="178"/>
      <c r="W629" s="174"/>
      <c r="X629" s="179"/>
      <c r="Y629" s="247"/>
      <c r="Z629" s="248"/>
      <c r="AA629" s="294" t="str">
        <f t="shared" si="43"/>
        <v/>
      </c>
      <c r="AB629" s="219" t="str">
        <f t="shared" si="41"/>
        <v/>
      </c>
      <c r="AC629" s="219">
        <f t="shared" si="44"/>
        <v>0</v>
      </c>
      <c r="AD629" s="219">
        <f t="shared" si="45"/>
        <v>0</v>
      </c>
      <c r="AE629" s="220">
        <f t="shared" si="46"/>
        <v>0</v>
      </c>
      <c r="AF629" s="221">
        <f t="shared" si="47"/>
        <v>0</v>
      </c>
      <c r="AG629" s="204"/>
      <c r="AH629" s="178"/>
      <c r="AI629" s="174"/>
      <c r="AJ629" s="179"/>
      <c r="AK629" s="247"/>
      <c r="AL629" s="248"/>
      <c r="AM629" s="294" t="str">
        <f t="shared" si="51"/>
        <v/>
      </c>
      <c r="AN629" s="219" t="str">
        <f t="shared" si="42"/>
        <v/>
      </c>
      <c r="AO629" s="219">
        <f t="shared" si="52"/>
        <v>0</v>
      </c>
      <c r="AP629" s="219">
        <f t="shared" si="48"/>
        <v>0</v>
      </c>
      <c r="AQ629" s="220">
        <f t="shared" si="53"/>
        <v>0</v>
      </c>
      <c r="AR629" s="221">
        <f t="shared" si="54"/>
        <v>0</v>
      </c>
      <c r="AY629" s="628"/>
      <c r="AZ629" s="470">
        <v>0.625</v>
      </c>
      <c r="BA629" s="466">
        <v>7642214102</v>
      </c>
      <c r="BB629" s="211" t="s">
        <v>655</v>
      </c>
      <c r="BC629" s="211" t="s">
        <v>655</v>
      </c>
      <c r="BD629" s="211" t="s">
        <v>655</v>
      </c>
      <c r="BE629" s="211" t="s">
        <v>655</v>
      </c>
      <c r="BF629" s="211" t="s">
        <v>655</v>
      </c>
      <c r="BG629" s="211" t="s">
        <v>655</v>
      </c>
      <c r="BH629" s="211" t="s">
        <v>655</v>
      </c>
      <c r="BI629" s="211">
        <v>1542</v>
      </c>
      <c r="BJ629" s="211">
        <v>2888</v>
      </c>
      <c r="BK629" s="211">
        <v>991</v>
      </c>
      <c r="BL629" s="211">
        <v>485</v>
      </c>
      <c r="BM629" s="211">
        <v>627</v>
      </c>
      <c r="BO629" s="28">
        <f t="shared" si="49"/>
        <v>1306.5999999999999</v>
      </c>
      <c r="BP629" s="28">
        <f t="shared" si="50"/>
        <v>6533</v>
      </c>
    </row>
    <row r="630" spans="22:68" x14ac:dyDescent="0.25">
      <c r="V630" s="178"/>
      <c r="W630" s="174"/>
      <c r="X630" s="179"/>
      <c r="Y630" s="247"/>
      <c r="Z630" s="248"/>
      <c r="AA630" s="294" t="str">
        <f t="shared" si="43"/>
        <v/>
      </c>
      <c r="AB630" s="219" t="str">
        <f t="shared" si="41"/>
        <v/>
      </c>
      <c r="AC630" s="219">
        <f t="shared" si="44"/>
        <v>0</v>
      </c>
      <c r="AD630" s="219">
        <f t="shared" si="45"/>
        <v>0</v>
      </c>
      <c r="AE630" s="220">
        <f t="shared" si="46"/>
        <v>0</v>
      </c>
      <c r="AF630" s="221">
        <f t="shared" si="47"/>
        <v>0</v>
      </c>
      <c r="AG630" s="204"/>
      <c r="AH630" s="178"/>
      <c r="AI630" s="174"/>
      <c r="AJ630" s="179"/>
      <c r="AK630" s="247"/>
      <c r="AL630" s="248"/>
      <c r="AM630" s="294" t="str">
        <f t="shared" si="51"/>
        <v/>
      </c>
      <c r="AN630" s="219" t="str">
        <f t="shared" si="42"/>
        <v/>
      </c>
      <c r="AO630" s="219">
        <f t="shared" si="52"/>
        <v>0</v>
      </c>
      <c r="AP630" s="219">
        <f t="shared" si="48"/>
        <v>0</v>
      </c>
      <c r="AQ630" s="220">
        <f t="shared" si="53"/>
        <v>0</v>
      </c>
      <c r="AR630" s="221">
        <f t="shared" si="54"/>
        <v>0</v>
      </c>
      <c r="AY630" s="628"/>
      <c r="AZ630" s="470">
        <v>0.75</v>
      </c>
      <c r="BA630" s="466">
        <v>7659322356</v>
      </c>
      <c r="BB630" s="211">
        <v>244</v>
      </c>
      <c r="BC630" s="211">
        <v>292</v>
      </c>
      <c r="BD630" s="211">
        <v>293</v>
      </c>
      <c r="BE630" s="211">
        <v>306</v>
      </c>
      <c r="BF630" s="211">
        <v>244</v>
      </c>
      <c r="BG630" s="211">
        <v>417</v>
      </c>
      <c r="BH630" s="211">
        <v>780</v>
      </c>
      <c r="BI630" s="211">
        <v>582</v>
      </c>
      <c r="BJ630" s="211">
        <v>655</v>
      </c>
      <c r="BK630" s="211">
        <v>234</v>
      </c>
      <c r="BL630" s="211">
        <v>600</v>
      </c>
      <c r="BM630" s="211">
        <v>489</v>
      </c>
      <c r="BO630" s="28">
        <f t="shared" si="49"/>
        <v>428</v>
      </c>
      <c r="BP630" s="28">
        <f t="shared" si="50"/>
        <v>5136</v>
      </c>
    </row>
    <row r="631" spans="22:68" x14ac:dyDescent="0.25">
      <c r="V631" s="178"/>
      <c r="W631" s="174"/>
      <c r="X631" s="179"/>
      <c r="Y631" s="247"/>
      <c r="Z631" s="248"/>
      <c r="AA631" s="294" t="str">
        <f t="shared" si="43"/>
        <v/>
      </c>
      <c r="AB631" s="219" t="str">
        <f t="shared" si="41"/>
        <v/>
      </c>
      <c r="AC631" s="219">
        <f t="shared" si="44"/>
        <v>0</v>
      </c>
      <c r="AD631" s="219">
        <f t="shared" si="45"/>
        <v>0</v>
      </c>
      <c r="AE631" s="220">
        <f t="shared" si="46"/>
        <v>0</v>
      </c>
      <c r="AF631" s="221">
        <f t="shared" si="47"/>
        <v>0</v>
      </c>
      <c r="AG631" s="204"/>
      <c r="AH631" s="178"/>
      <c r="AI631" s="174"/>
      <c r="AJ631" s="179"/>
      <c r="AK631" s="247"/>
      <c r="AL631" s="248"/>
      <c r="AM631" s="294" t="str">
        <f t="shared" si="51"/>
        <v/>
      </c>
      <c r="AN631" s="219" t="str">
        <f t="shared" si="42"/>
        <v/>
      </c>
      <c r="AO631" s="219">
        <f t="shared" si="52"/>
        <v>0</v>
      </c>
      <c r="AP631" s="219">
        <f t="shared" si="48"/>
        <v>0</v>
      </c>
      <c r="AQ631" s="220">
        <f t="shared" si="53"/>
        <v>0</v>
      </c>
      <c r="AR631" s="221">
        <f t="shared" si="54"/>
        <v>0</v>
      </c>
      <c r="AY631" s="628"/>
      <c r="AZ631" s="470">
        <v>0.625</v>
      </c>
      <c r="BA631" s="466">
        <v>7700272346</v>
      </c>
      <c r="BB631" s="211">
        <v>533</v>
      </c>
      <c r="BC631" s="211">
        <v>462</v>
      </c>
      <c r="BD631" s="211">
        <v>556</v>
      </c>
      <c r="BE631" s="211">
        <v>592</v>
      </c>
      <c r="BF631" s="211">
        <v>582</v>
      </c>
      <c r="BG631" s="211">
        <v>563</v>
      </c>
      <c r="BH631" s="211">
        <v>451</v>
      </c>
      <c r="BI631" s="211">
        <v>491</v>
      </c>
      <c r="BJ631" s="211">
        <v>560</v>
      </c>
      <c r="BK631" s="211" t="s">
        <v>655</v>
      </c>
      <c r="BL631" s="211">
        <v>663</v>
      </c>
      <c r="BM631" s="211">
        <v>631</v>
      </c>
      <c r="BO631" s="28">
        <f t="shared" si="49"/>
        <v>553.09090909090912</v>
      </c>
      <c r="BP631" s="28">
        <f t="shared" si="50"/>
        <v>6084</v>
      </c>
    </row>
    <row r="632" spans="22:68" x14ac:dyDescent="0.25">
      <c r="V632" s="178"/>
      <c r="W632" s="174"/>
      <c r="X632" s="179"/>
      <c r="Y632" s="247"/>
      <c r="Z632" s="248"/>
      <c r="AA632" s="294" t="str">
        <f t="shared" si="43"/>
        <v/>
      </c>
      <c r="AB632" s="219" t="str">
        <f t="shared" si="41"/>
        <v/>
      </c>
      <c r="AC632" s="219">
        <f t="shared" si="44"/>
        <v>0</v>
      </c>
      <c r="AD632" s="219">
        <f t="shared" si="45"/>
        <v>0</v>
      </c>
      <c r="AE632" s="220">
        <f t="shared" si="46"/>
        <v>0</v>
      </c>
      <c r="AF632" s="221">
        <f t="shared" si="47"/>
        <v>0</v>
      </c>
      <c r="AG632" s="204"/>
      <c r="AH632" s="178"/>
      <c r="AI632" s="174"/>
      <c r="AJ632" s="179"/>
      <c r="AK632" s="247"/>
      <c r="AL632" s="248"/>
      <c r="AM632" s="294" t="str">
        <f t="shared" si="51"/>
        <v/>
      </c>
      <c r="AN632" s="219" t="str">
        <f t="shared" si="42"/>
        <v/>
      </c>
      <c r="AO632" s="219">
        <f t="shared" si="52"/>
        <v>0</v>
      </c>
      <c r="AP632" s="219">
        <f t="shared" si="48"/>
        <v>0</v>
      </c>
      <c r="AQ632" s="220">
        <f t="shared" si="53"/>
        <v>0</v>
      </c>
      <c r="AR632" s="221">
        <f t="shared" si="54"/>
        <v>0</v>
      </c>
      <c r="AY632" s="628"/>
      <c r="AZ632" s="470">
        <v>0.75</v>
      </c>
      <c r="BA632" s="466">
        <v>7712303413</v>
      </c>
      <c r="BB632" s="211">
        <v>1039</v>
      </c>
      <c r="BC632" s="211">
        <v>692</v>
      </c>
      <c r="BD632" s="211">
        <v>742</v>
      </c>
      <c r="BE632" s="211">
        <v>768</v>
      </c>
      <c r="BF632" s="211">
        <v>663</v>
      </c>
      <c r="BG632" s="211">
        <v>633</v>
      </c>
      <c r="BH632" s="211">
        <v>678</v>
      </c>
      <c r="BI632" s="211">
        <v>347</v>
      </c>
      <c r="BJ632" s="211">
        <v>1391</v>
      </c>
      <c r="BK632" s="211">
        <v>952</v>
      </c>
      <c r="BL632" s="211">
        <v>1070</v>
      </c>
      <c r="BM632" s="211">
        <v>1031</v>
      </c>
      <c r="BO632" s="28">
        <f t="shared" si="49"/>
        <v>833.83333333333337</v>
      </c>
      <c r="BP632" s="28">
        <f t="shared" si="50"/>
        <v>10006</v>
      </c>
    </row>
    <row r="633" spans="22:68" x14ac:dyDescent="0.25">
      <c r="V633" s="178"/>
      <c r="W633" s="174"/>
      <c r="X633" s="179"/>
      <c r="Y633" s="247"/>
      <c r="Z633" s="248"/>
      <c r="AA633" s="294" t="str">
        <f t="shared" si="43"/>
        <v/>
      </c>
      <c r="AB633" s="219" t="str">
        <f t="shared" si="41"/>
        <v/>
      </c>
      <c r="AC633" s="219">
        <f t="shared" si="44"/>
        <v>0</v>
      </c>
      <c r="AD633" s="219">
        <f t="shared" si="45"/>
        <v>0</v>
      </c>
      <c r="AE633" s="220">
        <f t="shared" si="46"/>
        <v>0</v>
      </c>
      <c r="AF633" s="221">
        <f t="shared" si="47"/>
        <v>0</v>
      </c>
      <c r="AG633" s="204"/>
      <c r="AH633" s="178"/>
      <c r="AI633" s="174"/>
      <c r="AJ633" s="179"/>
      <c r="AK633" s="247"/>
      <c r="AL633" s="248"/>
      <c r="AM633" s="294" t="str">
        <f t="shared" si="51"/>
        <v/>
      </c>
      <c r="AN633" s="219" t="str">
        <f t="shared" si="42"/>
        <v/>
      </c>
      <c r="AO633" s="219">
        <f t="shared" si="52"/>
        <v>0</v>
      </c>
      <c r="AP633" s="219">
        <f t="shared" si="48"/>
        <v>0</v>
      </c>
      <c r="AQ633" s="220">
        <f t="shared" si="53"/>
        <v>0</v>
      </c>
      <c r="AR633" s="221">
        <f t="shared" si="54"/>
        <v>0</v>
      </c>
      <c r="AY633" s="628"/>
      <c r="AZ633" s="470">
        <v>0.625</v>
      </c>
      <c r="BA633" s="466">
        <v>7714981944</v>
      </c>
      <c r="BB633" s="211">
        <v>676</v>
      </c>
      <c r="BC633" s="211">
        <v>359</v>
      </c>
      <c r="BD633" s="211">
        <v>428</v>
      </c>
      <c r="BE633" s="211">
        <v>501</v>
      </c>
      <c r="BF633" s="211">
        <v>337</v>
      </c>
      <c r="BG633" s="211">
        <v>435</v>
      </c>
      <c r="BH633" s="211">
        <v>540</v>
      </c>
      <c r="BI633" s="211">
        <v>441</v>
      </c>
      <c r="BJ633" s="211">
        <v>550</v>
      </c>
      <c r="BK633" s="211">
        <v>468</v>
      </c>
      <c r="BL633" s="211">
        <v>399</v>
      </c>
      <c r="BM633" s="211">
        <v>581</v>
      </c>
      <c r="BO633" s="28">
        <f t="shared" si="49"/>
        <v>476.25</v>
      </c>
      <c r="BP633" s="28">
        <f t="shared" si="50"/>
        <v>5715</v>
      </c>
    </row>
    <row r="634" spans="22:68" x14ac:dyDescent="0.25">
      <c r="V634" s="178"/>
      <c r="W634" s="174"/>
      <c r="X634" s="179"/>
      <c r="Y634" s="247"/>
      <c r="Z634" s="248"/>
      <c r="AA634" s="294" t="str">
        <f t="shared" si="43"/>
        <v/>
      </c>
      <c r="AB634" s="219" t="str">
        <f t="shared" si="41"/>
        <v/>
      </c>
      <c r="AC634" s="219">
        <f t="shared" si="44"/>
        <v>0</v>
      </c>
      <c r="AD634" s="219">
        <f t="shared" si="45"/>
        <v>0</v>
      </c>
      <c r="AE634" s="220">
        <f t="shared" si="46"/>
        <v>0</v>
      </c>
      <c r="AF634" s="221">
        <f t="shared" si="47"/>
        <v>0</v>
      </c>
      <c r="AG634" s="204"/>
      <c r="AH634" s="178"/>
      <c r="AI634" s="174"/>
      <c r="AJ634" s="179"/>
      <c r="AK634" s="247"/>
      <c r="AL634" s="248"/>
      <c r="AM634" s="294" t="str">
        <f t="shared" si="51"/>
        <v/>
      </c>
      <c r="AN634" s="219" t="str">
        <f t="shared" si="42"/>
        <v/>
      </c>
      <c r="AO634" s="219">
        <f t="shared" si="52"/>
        <v>0</v>
      </c>
      <c r="AP634" s="219">
        <f t="shared" si="48"/>
        <v>0</v>
      </c>
      <c r="AQ634" s="220">
        <f t="shared" si="53"/>
        <v>0</v>
      </c>
      <c r="AR634" s="221">
        <f t="shared" si="54"/>
        <v>0</v>
      </c>
      <c r="AY634" s="628"/>
      <c r="AZ634" s="470">
        <v>0.75</v>
      </c>
      <c r="BA634" s="466">
        <v>7738730168</v>
      </c>
      <c r="BB634" s="211" t="s">
        <v>655</v>
      </c>
      <c r="BC634" s="211" t="s">
        <v>655</v>
      </c>
      <c r="BD634" s="211" t="s">
        <v>655</v>
      </c>
      <c r="BE634" s="211" t="s">
        <v>655</v>
      </c>
      <c r="BF634" s="211" t="s">
        <v>655</v>
      </c>
      <c r="BG634" s="211">
        <v>6</v>
      </c>
      <c r="BH634" s="211">
        <v>2103</v>
      </c>
      <c r="BI634" s="211">
        <v>27</v>
      </c>
      <c r="BJ634" s="211">
        <v>1</v>
      </c>
      <c r="BK634" s="211" t="s">
        <v>655</v>
      </c>
      <c r="BL634" s="211" t="s">
        <v>655</v>
      </c>
      <c r="BM634" s="211" t="s">
        <v>655</v>
      </c>
      <c r="BO634" s="28">
        <f t="shared" si="49"/>
        <v>534.25</v>
      </c>
      <c r="BP634" s="28">
        <f t="shared" si="50"/>
        <v>2137</v>
      </c>
    </row>
    <row r="635" spans="22:68" x14ac:dyDescent="0.25">
      <c r="V635" s="178"/>
      <c r="W635" s="174"/>
      <c r="X635" s="179"/>
      <c r="Y635" s="247"/>
      <c r="Z635" s="248"/>
      <c r="AA635" s="294" t="str">
        <f t="shared" si="43"/>
        <v/>
      </c>
      <c r="AB635" s="219" t="str">
        <f t="shared" si="41"/>
        <v/>
      </c>
      <c r="AC635" s="219">
        <f t="shared" si="44"/>
        <v>0</v>
      </c>
      <c r="AD635" s="219">
        <f t="shared" si="45"/>
        <v>0</v>
      </c>
      <c r="AE635" s="220">
        <f t="shared" si="46"/>
        <v>0</v>
      </c>
      <c r="AF635" s="221">
        <f t="shared" si="47"/>
        <v>0</v>
      </c>
      <c r="AG635" s="204"/>
      <c r="AH635" s="178"/>
      <c r="AI635" s="174"/>
      <c r="AJ635" s="179"/>
      <c r="AK635" s="247"/>
      <c r="AL635" s="248"/>
      <c r="AM635" s="294" t="str">
        <f t="shared" si="51"/>
        <v/>
      </c>
      <c r="AN635" s="219" t="str">
        <f t="shared" si="42"/>
        <v/>
      </c>
      <c r="AO635" s="219">
        <f t="shared" si="52"/>
        <v>0</v>
      </c>
      <c r="AP635" s="219">
        <f t="shared" si="48"/>
        <v>0</v>
      </c>
      <c r="AQ635" s="220">
        <f t="shared" si="53"/>
        <v>0</v>
      </c>
      <c r="AR635" s="221">
        <f t="shared" si="54"/>
        <v>0</v>
      </c>
      <c r="AY635" s="628"/>
      <c r="AZ635" s="470">
        <v>0.75</v>
      </c>
      <c r="BA635" s="466">
        <v>7785360255</v>
      </c>
      <c r="BB635" s="211">
        <v>986</v>
      </c>
      <c r="BC635" s="211">
        <v>990</v>
      </c>
      <c r="BD635" s="211">
        <v>1216</v>
      </c>
      <c r="BE635" s="211">
        <v>1272</v>
      </c>
      <c r="BF635" s="211">
        <v>1230</v>
      </c>
      <c r="BG635" s="211">
        <v>1283</v>
      </c>
      <c r="BH635" s="211">
        <v>1517</v>
      </c>
      <c r="BI635" s="211">
        <v>1392</v>
      </c>
      <c r="BJ635" s="211">
        <v>409</v>
      </c>
      <c r="BK635" s="211">
        <v>3370</v>
      </c>
      <c r="BL635" s="211">
        <v>1704</v>
      </c>
      <c r="BM635" s="211">
        <v>596</v>
      </c>
      <c r="BO635" s="28">
        <f t="shared" si="49"/>
        <v>1330.4166666666667</v>
      </c>
      <c r="BP635" s="28">
        <f t="shared" si="50"/>
        <v>15965</v>
      </c>
    </row>
    <row r="636" spans="22:68" x14ac:dyDescent="0.25">
      <c r="V636" s="178"/>
      <c r="W636" s="174"/>
      <c r="X636" s="179"/>
      <c r="Y636" s="247"/>
      <c r="Z636" s="248"/>
      <c r="AA636" s="294" t="str">
        <f t="shared" si="43"/>
        <v/>
      </c>
      <c r="AB636" s="219" t="str">
        <f t="shared" si="41"/>
        <v/>
      </c>
      <c r="AC636" s="219">
        <f t="shared" si="44"/>
        <v>0</v>
      </c>
      <c r="AD636" s="219">
        <f t="shared" si="45"/>
        <v>0</v>
      </c>
      <c r="AE636" s="220">
        <f t="shared" si="46"/>
        <v>0</v>
      </c>
      <c r="AF636" s="221">
        <f t="shared" si="47"/>
        <v>0</v>
      </c>
      <c r="AG636" s="204"/>
      <c r="AH636" s="178"/>
      <c r="AI636" s="174"/>
      <c r="AJ636" s="179"/>
      <c r="AK636" s="247"/>
      <c r="AL636" s="248"/>
      <c r="AM636" s="294" t="str">
        <f t="shared" si="51"/>
        <v/>
      </c>
      <c r="AN636" s="219" t="str">
        <f t="shared" si="42"/>
        <v/>
      </c>
      <c r="AO636" s="219">
        <f t="shared" si="52"/>
        <v>0</v>
      </c>
      <c r="AP636" s="219">
        <f t="shared" si="48"/>
        <v>0</v>
      </c>
      <c r="AQ636" s="220">
        <f t="shared" si="53"/>
        <v>0</v>
      </c>
      <c r="AR636" s="221">
        <f t="shared" si="54"/>
        <v>0</v>
      </c>
      <c r="AY636" s="628"/>
      <c r="AZ636" s="470">
        <v>0.75</v>
      </c>
      <c r="BA636" s="466">
        <v>7806258391</v>
      </c>
      <c r="BB636" s="211">
        <v>546</v>
      </c>
      <c r="BC636" s="211">
        <v>310</v>
      </c>
      <c r="BD636" s="211">
        <v>288</v>
      </c>
      <c r="BE636" s="211">
        <v>212</v>
      </c>
      <c r="BF636" s="211">
        <v>378</v>
      </c>
      <c r="BG636" s="211">
        <v>1639</v>
      </c>
      <c r="BH636" s="211">
        <v>6673</v>
      </c>
      <c r="BI636" s="211">
        <v>8211</v>
      </c>
      <c r="BJ636" s="211">
        <v>4599</v>
      </c>
      <c r="BK636" s="211">
        <v>1855</v>
      </c>
      <c r="BL636" s="211">
        <v>645</v>
      </c>
      <c r="BM636" s="211">
        <v>250</v>
      </c>
      <c r="BO636" s="28">
        <f t="shared" si="49"/>
        <v>2133.8333333333335</v>
      </c>
      <c r="BP636" s="28">
        <f t="shared" si="50"/>
        <v>25606</v>
      </c>
    </row>
    <row r="637" spans="22:68" x14ac:dyDescent="0.25">
      <c r="V637" s="178"/>
      <c r="W637" s="174"/>
      <c r="X637" s="179"/>
      <c r="Y637" s="247"/>
      <c r="Z637" s="248"/>
      <c r="AA637" s="294" t="str">
        <f t="shared" si="43"/>
        <v/>
      </c>
      <c r="AB637" s="219" t="str">
        <f t="shared" si="41"/>
        <v/>
      </c>
      <c r="AC637" s="219">
        <f t="shared" si="44"/>
        <v>0</v>
      </c>
      <c r="AD637" s="219">
        <f t="shared" si="45"/>
        <v>0</v>
      </c>
      <c r="AE637" s="220">
        <f t="shared" si="46"/>
        <v>0</v>
      </c>
      <c r="AF637" s="221">
        <f t="shared" si="47"/>
        <v>0</v>
      </c>
      <c r="AG637" s="204"/>
      <c r="AH637" s="178"/>
      <c r="AI637" s="174"/>
      <c r="AJ637" s="179"/>
      <c r="AK637" s="247"/>
      <c r="AL637" s="248"/>
      <c r="AM637" s="294" t="str">
        <f t="shared" si="51"/>
        <v/>
      </c>
      <c r="AN637" s="219" t="str">
        <f t="shared" si="42"/>
        <v/>
      </c>
      <c r="AO637" s="219">
        <f t="shared" si="52"/>
        <v>0</v>
      </c>
      <c r="AP637" s="219">
        <f t="shared" si="48"/>
        <v>0</v>
      </c>
      <c r="AQ637" s="220">
        <f t="shared" si="53"/>
        <v>0</v>
      </c>
      <c r="AR637" s="221">
        <f t="shared" si="54"/>
        <v>0</v>
      </c>
      <c r="AY637" s="628"/>
      <c r="AZ637" s="470">
        <v>1</v>
      </c>
      <c r="BA637" s="466">
        <v>7814681745</v>
      </c>
      <c r="BB637" s="211">
        <v>644</v>
      </c>
      <c r="BC637" s="211">
        <v>640</v>
      </c>
      <c r="BD637" s="211">
        <v>806</v>
      </c>
      <c r="BE637" s="211">
        <v>1274</v>
      </c>
      <c r="BF637" s="211">
        <v>860</v>
      </c>
      <c r="BG637" s="211">
        <v>768</v>
      </c>
      <c r="BH637" s="211">
        <v>1142</v>
      </c>
      <c r="BI637" s="211">
        <v>1812</v>
      </c>
      <c r="BJ637" s="211">
        <v>1891</v>
      </c>
      <c r="BK637" s="211">
        <v>775</v>
      </c>
      <c r="BL637" s="211">
        <v>678</v>
      </c>
      <c r="BM637" s="211">
        <v>500</v>
      </c>
      <c r="BO637" s="28">
        <f t="shared" si="49"/>
        <v>982.5</v>
      </c>
      <c r="BP637" s="28">
        <f t="shared" si="50"/>
        <v>11790</v>
      </c>
    </row>
    <row r="638" spans="22:68" x14ac:dyDescent="0.25">
      <c r="V638" s="178"/>
      <c r="W638" s="174"/>
      <c r="X638" s="179"/>
      <c r="Y638" s="247"/>
      <c r="Z638" s="248"/>
      <c r="AA638" s="294" t="str">
        <f t="shared" si="43"/>
        <v/>
      </c>
      <c r="AB638" s="219" t="str">
        <f t="shared" si="41"/>
        <v/>
      </c>
      <c r="AC638" s="219">
        <f t="shared" si="44"/>
        <v>0</v>
      </c>
      <c r="AD638" s="219">
        <f t="shared" si="45"/>
        <v>0</v>
      </c>
      <c r="AE638" s="220">
        <f t="shared" si="46"/>
        <v>0</v>
      </c>
      <c r="AF638" s="221">
        <f t="shared" si="47"/>
        <v>0</v>
      </c>
      <c r="AG638" s="204"/>
      <c r="AH638" s="178"/>
      <c r="AI638" s="174"/>
      <c r="AJ638" s="179"/>
      <c r="AK638" s="247"/>
      <c r="AL638" s="248"/>
      <c r="AM638" s="294" t="str">
        <f t="shared" si="51"/>
        <v/>
      </c>
      <c r="AN638" s="219" t="str">
        <f t="shared" si="42"/>
        <v/>
      </c>
      <c r="AO638" s="219">
        <f t="shared" si="52"/>
        <v>0</v>
      </c>
      <c r="AP638" s="219">
        <f t="shared" si="48"/>
        <v>0</v>
      </c>
      <c r="AQ638" s="220">
        <f t="shared" si="53"/>
        <v>0</v>
      </c>
      <c r="AR638" s="221">
        <f t="shared" si="54"/>
        <v>0</v>
      </c>
      <c r="AY638" s="628"/>
      <c r="AZ638" s="470">
        <v>0.75</v>
      </c>
      <c r="BA638" s="466">
        <v>7832621144</v>
      </c>
      <c r="BB638" s="211">
        <v>339</v>
      </c>
      <c r="BC638" s="211">
        <v>352</v>
      </c>
      <c r="BD638" s="211">
        <v>379</v>
      </c>
      <c r="BE638" s="211">
        <v>391</v>
      </c>
      <c r="BF638" s="211">
        <v>522</v>
      </c>
      <c r="BG638" s="211">
        <v>446</v>
      </c>
      <c r="BH638" s="211">
        <v>1364</v>
      </c>
      <c r="BI638" s="211">
        <v>1148</v>
      </c>
      <c r="BJ638" s="211">
        <v>801</v>
      </c>
      <c r="BK638" s="211">
        <v>306</v>
      </c>
      <c r="BL638" s="211">
        <v>300</v>
      </c>
      <c r="BM638" s="211">
        <v>426</v>
      </c>
      <c r="BO638" s="28">
        <f t="shared" si="49"/>
        <v>564.5</v>
      </c>
      <c r="BP638" s="28">
        <f t="shared" si="50"/>
        <v>6774</v>
      </c>
    </row>
    <row r="639" spans="22:68" x14ac:dyDescent="0.25">
      <c r="V639" s="178"/>
      <c r="W639" s="174"/>
      <c r="X639" s="179"/>
      <c r="Y639" s="247"/>
      <c r="Z639" s="248"/>
      <c r="AA639" s="294" t="str">
        <f t="shared" si="43"/>
        <v/>
      </c>
      <c r="AB639" s="219" t="str">
        <f t="shared" si="41"/>
        <v/>
      </c>
      <c r="AC639" s="219">
        <f t="shared" si="44"/>
        <v>0</v>
      </c>
      <c r="AD639" s="219">
        <f t="shared" si="45"/>
        <v>0</v>
      </c>
      <c r="AE639" s="220">
        <f t="shared" si="46"/>
        <v>0</v>
      </c>
      <c r="AF639" s="221">
        <f t="shared" si="47"/>
        <v>0</v>
      </c>
      <c r="AG639" s="204"/>
      <c r="AH639" s="178"/>
      <c r="AI639" s="174"/>
      <c r="AJ639" s="179"/>
      <c r="AK639" s="247"/>
      <c r="AL639" s="248"/>
      <c r="AM639" s="294" t="str">
        <f t="shared" si="51"/>
        <v/>
      </c>
      <c r="AN639" s="219" t="str">
        <f t="shared" si="42"/>
        <v/>
      </c>
      <c r="AO639" s="219">
        <f t="shared" si="52"/>
        <v>0</v>
      </c>
      <c r="AP639" s="219">
        <f t="shared" si="48"/>
        <v>0</v>
      </c>
      <c r="AQ639" s="220">
        <f t="shared" si="53"/>
        <v>0</v>
      </c>
      <c r="AR639" s="221">
        <f t="shared" si="54"/>
        <v>0</v>
      </c>
      <c r="AY639" s="628"/>
      <c r="AZ639" s="470">
        <v>0.75</v>
      </c>
      <c r="BA639" s="466">
        <v>7836020980</v>
      </c>
      <c r="BB639" s="211">
        <v>232</v>
      </c>
      <c r="BC639" s="211">
        <v>715</v>
      </c>
      <c r="BD639" s="211">
        <v>169</v>
      </c>
      <c r="BE639" s="211">
        <v>460</v>
      </c>
      <c r="BF639" s="211">
        <v>394</v>
      </c>
      <c r="BG639" s="211">
        <v>342</v>
      </c>
      <c r="BH639" s="211">
        <v>328</v>
      </c>
      <c r="BI639" s="211">
        <v>692</v>
      </c>
      <c r="BJ639" s="211">
        <v>268</v>
      </c>
      <c r="BK639" s="211">
        <v>114</v>
      </c>
      <c r="BL639" s="211">
        <v>300</v>
      </c>
      <c r="BM639" s="211">
        <v>295</v>
      </c>
      <c r="BO639" s="28">
        <f t="shared" si="49"/>
        <v>359.08333333333331</v>
      </c>
      <c r="BP639" s="28">
        <f t="shared" si="50"/>
        <v>4309</v>
      </c>
    </row>
    <row r="640" spans="22:68" x14ac:dyDescent="0.25">
      <c r="V640" s="178"/>
      <c r="W640" s="174"/>
      <c r="X640" s="179"/>
      <c r="Y640" s="247"/>
      <c r="Z640" s="248"/>
      <c r="AA640" s="294" t="str">
        <f t="shared" si="43"/>
        <v/>
      </c>
      <c r="AB640" s="219" t="str">
        <f t="shared" si="41"/>
        <v/>
      </c>
      <c r="AC640" s="219">
        <f t="shared" si="44"/>
        <v>0</v>
      </c>
      <c r="AD640" s="219">
        <f t="shared" si="45"/>
        <v>0</v>
      </c>
      <c r="AE640" s="220">
        <f t="shared" si="46"/>
        <v>0</v>
      </c>
      <c r="AF640" s="221">
        <f t="shared" si="47"/>
        <v>0</v>
      </c>
      <c r="AG640" s="204"/>
      <c r="AH640" s="178"/>
      <c r="AI640" s="174"/>
      <c r="AJ640" s="179"/>
      <c r="AK640" s="247"/>
      <c r="AL640" s="248"/>
      <c r="AM640" s="294" t="str">
        <f t="shared" si="51"/>
        <v/>
      </c>
      <c r="AN640" s="219" t="str">
        <f t="shared" si="42"/>
        <v/>
      </c>
      <c r="AO640" s="219">
        <f t="shared" si="52"/>
        <v>0</v>
      </c>
      <c r="AP640" s="219">
        <f t="shared" si="48"/>
        <v>0</v>
      </c>
      <c r="AQ640" s="220">
        <f t="shared" si="53"/>
        <v>0</v>
      </c>
      <c r="AR640" s="221">
        <f t="shared" si="54"/>
        <v>0</v>
      </c>
      <c r="AY640" s="628"/>
      <c r="AZ640" s="470">
        <v>0.75</v>
      </c>
      <c r="BA640" s="466">
        <v>7838889554</v>
      </c>
      <c r="BB640" s="211" t="s">
        <v>655</v>
      </c>
      <c r="BC640" s="211" t="s">
        <v>655</v>
      </c>
      <c r="BD640" s="211" t="s">
        <v>655</v>
      </c>
      <c r="BE640" s="211" t="s">
        <v>655</v>
      </c>
      <c r="BF640" s="211">
        <v>289</v>
      </c>
      <c r="BG640" s="211">
        <v>825</v>
      </c>
      <c r="BH640" s="211">
        <v>2682</v>
      </c>
      <c r="BI640" s="211">
        <v>2322</v>
      </c>
      <c r="BJ640" s="211">
        <v>1701</v>
      </c>
      <c r="BK640" s="211">
        <v>429</v>
      </c>
      <c r="BL640" s="211">
        <v>134</v>
      </c>
      <c r="BM640" s="211">
        <v>87</v>
      </c>
      <c r="BO640" s="28">
        <f t="shared" si="49"/>
        <v>1058.625</v>
      </c>
      <c r="BP640" s="28">
        <f t="shared" si="50"/>
        <v>8469</v>
      </c>
    </row>
    <row r="641" spans="22:68" x14ac:dyDescent="0.25">
      <c r="V641" s="178"/>
      <c r="W641" s="174"/>
      <c r="X641" s="179"/>
      <c r="Y641" s="247"/>
      <c r="Z641" s="248"/>
      <c r="AA641" s="294" t="str">
        <f t="shared" si="43"/>
        <v/>
      </c>
      <c r="AB641" s="219" t="str">
        <f t="shared" si="41"/>
        <v/>
      </c>
      <c r="AC641" s="219">
        <f t="shared" si="44"/>
        <v>0</v>
      </c>
      <c r="AD641" s="219">
        <f t="shared" si="45"/>
        <v>0</v>
      </c>
      <c r="AE641" s="220">
        <f t="shared" si="46"/>
        <v>0</v>
      </c>
      <c r="AF641" s="221">
        <f t="shared" si="47"/>
        <v>0</v>
      </c>
      <c r="AG641" s="204"/>
      <c r="AH641" s="178"/>
      <c r="AI641" s="174"/>
      <c r="AJ641" s="179"/>
      <c r="AK641" s="247"/>
      <c r="AL641" s="248"/>
      <c r="AM641" s="294" t="str">
        <f t="shared" si="51"/>
        <v/>
      </c>
      <c r="AN641" s="219" t="str">
        <f t="shared" si="42"/>
        <v/>
      </c>
      <c r="AO641" s="219">
        <f t="shared" si="52"/>
        <v>0</v>
      </c>
      <c r="AP641" s="219">
        <f t="shared" si="48"/>
        <v>0</v>
      </c>
      <c r="AQ641" s="220">
        <f t="shared" si="53"/>
        <v>0</v>
      </c>
      <c r="AR641" s="221">
        <f t="shared" si="54"/>
        <v>0</v>
      </c>
      <c r="AY641" s="628"/>
      <c r="AZ641" s="470">
        <v>0.75</v>
      </c>
      <c r="BA641" s="466">
        <v>7842403250</v>
      </c>
      <c r="BB641" s="211">
        <v>578</v>
      </c>
      <c r="BC641" s="211">
        <v>405</v>
      </c>
      <c r="BD641" s="211">
        <v>462</v>
      </c>
      <c r="BE641" s="211">
        <v>423</v>
      </c>
      <c r="BF641" s="211">
        <v>411</v>
      </c>
      <c r="BG641" s="211">
        <v>469</v>
      </c>
      <c r="BH641" s="211">
        <v>501</v>
      </c>
      <c r="BI641" s="211">
        <v>642</v>
      </c>
      <c r="BJ641" s="211">
        <v>570</v>
      </c>
      <c r="BK641" s="211">
        <v>427</v>
      </c>
      <c r="BL641" s="211">
        <v>466</v>
      </c>
      <c r="BM641" s="211">
        <v>177</v>
      </c>
      <c r="BO641" s="28">
        <f t="shared" si="49"/>
        <v>460.91666666666669</v>
      </c>
      <c r="BP641" s="28">
        <f t="shared" si="50"/>
        <v>5531</v>
      </c>
    </row>
    <row r="642" spans="22:68" x14ac:dyDescent="0.25">
      <c r="V642" s="178"/>
      <c r="W642" s="174"/>
      <c r="X642" s="179"/>
      <c r="Y642" s="247"/>
      <c r="Z642" s="248"/>
      <c r="AA642" s="294" t="str">
        <f t="shared" si="43"/>
        <v/>
      </c>
      <c r="AB642" s="219" t="str">
        <f t="shared" si="41"/>
        <v/>
      </c>
      <c r="AC642" s="219">
        <f t="shared" si="44"/>
        <v>0</v>
      </c>
      <c r="AD642" s="219">
        <f t="shared" si="45"/>
        <v>0</v>
      </c>
      <c r="AE642" s="220">
        <f t="shared" si="46"/>
        <v>0</v>
      </c>
      <c r="AF642" s="221">
        <f t="shared" si="47"/>
        <v>0</v>
      </c>
      <c r="AG642" s="204"/>
      <c r="AH642" s="178"/>
      <c r="AI642" s="174"/>
      <c r="AJ642" s="179"/>
      <c r="AK642" s="247"/>
      <c r="AL642" s="248"/>
      <c r="AM642" s="294" t="str">
        <f t="shared" si="51"/>
        <v/>
      </c>
      <c r="AN642" s="219" t="str">
        <f t="shared" si="42"/>
        <v/>
      </c>
      <c r="AO642" s="219">
        <f t="shared" si="52"/>
        <v>0</v>
      </c>
      <c r="AP642" s="219">
        <f t="shared" si="48"/>
        <v>0</v>
      </c>
      <c r="AQ642" s="220">
        <f t="shared" si="53"/>
        <v>0</v>
      </c>
      <c r="AR642" s="221">
        <f t="shared" si="54"/>
        <v>0</v>
      </c>
      <c r="AY642" s="628"/>
      <c r="AZ642" s="470">
        <v>0.625</v>
      </c>
      <c r="BA642" s="466">
        <v>7848584745</v>
      </c>
      <c r="BB642" s="211">
        <v>681</v>
      </c>
      <c r="BC642" s="211">
        <v>875</v>
      </c>
      <c r="BD642" s="211">
        <v>672</v>
      </c>
      <c r="BE642" s="211">
        <v>757</v>
      </c>
      <c r="BF642" s="211">
        <v>676</v>
      </c>
      <c r="BG642" s="211">
        <v>731</v>
      </c>
      <c r="BH642" s="211">
        <v>1285</v>
      </c>
      <c r="BI642" s="211">
        <v>1453</v>
      </c>
      <c r="BJ642" s="211">
        <v>712</v>
      </c>
      <c r="BK642" s="211" t="s">
        <v>655</v>
      </c>
      <c r="BL642" s="211">
        <v>1171</v>
      </c>
      <c r="BM642" s="211">
        <v>755</v>
      </c>
      <c r="BO642" s="28">
        <f t="shared" si="49"/>
        <v>888</v>
      </c>
      <c r="BP642" s="28">
        <f t="shared" si="50"/>
        <v>9768</v>
      </c>
    </row>
    <row r="643" spans="22:68" x14ac:dyDescent="0.25">
      <c r="V643" s="178"/>
      <c r="W643" s="174"/>
      <c r="X643" s="179"/>
      <c r="Y643" s="247"/>
      <c r="Z643" s="248"/>
      <c r="AA643" s="294" t="str">
        <f t="shared" si="43"/>
        <v/>
      </c>
      <c r="AB643" s="219" t="str">
        <f t="shared" si="41"/>
        <v/>
      </c>
      <c r="AC643" s="219">
        <f t="shared" si="44"/>
        <v>0</v>
      </c>
      <c r="AD643" s="219">
        <f t="shared" si="45"/>
        <v>0</v>
      </c>
      <c r="AE643" s="220">
        <f t="shared" si="46"/>
        <v>0</v>
      </c>
      <c r="AF643" s="221">
        <f t="shared" si="47"/>
        <v>0</v>
      </c>
      <c r="AG643" s="204"/>
      <c r="AH643" s="178"/>
      <c r="AI643" s="174"/>
      <c r="AJ643" s="179"/>
      <c r="AK643" s="247"/>
      <c r="AL643" s="248"/>
      <c r="AM643" s="294" t="str">
        <f t="shared" si="51"/>
        <v/>
      </c>
      <c r="AN643" s="219" t="str">
        <f t="shared" si="42"/>
        <v/>
      </c>
      <c r="AO643" s="219">
        <f t="shared" si="52"/>
        <v>0</v>
      </c>
      <c r="AP643" s="219">
        <f t="shared" si="48"/>
        <v>0</v>
      </c>
      <c r="AQ643" s="220">
        <f t="shared" si="53"/>
        <v>0</v>
      </c>
      <c r="AR643" s="221">
        <f t="shared" si="54"/>
        <v>0</v>
      </c>
      <c r="AY643" s="628"/>
      <c r="AZ643" s="470">
        <v>1</v>
      </c>
      <c r="BA643" s="466">
        <v>7850778895</v>
      </c>
      <c r="BB643" s="211">
        <v>603</v>
      </c>
      <c r="BC643" s="211">
        <v>649</v>
      </c>
      <c r="BD643" s="211">
        <v>687</v>
      </c>
      <c r="BE643" s="211">
        <v>800</v>
      </c>
      <c r="BF643" s="211">
        <v>696</v>
      </c>
      <c r="BG643" s="211">
        <v>643</v>
      </c>
      <c r="BH643" s="211">
        <v>1878</v>
      </c>
      <c r="BI643" s="211">
        <v>953</v>
      </c>
      <c r="BJ643" s="211">
        <v>730</v>
      </c>
      <c r="BK643" s="211">
        <v>735</v>
      </c>
      <c r="BL643" s="211">
        <v>150</v>
      </c>
      <c r="BM643" s="211">
        <v>1585</v>
      </c>
      <c r="BO643" s="28">
        <f t="shared" si="49"/>
        <v>842.41666666666663</v>
      </c>
      <c r="BP643" s="28">
        <f t="shared" si="50"/>
        <v>10109</v>
      </c>
    </row>
    <row r="644" spans="22:68" x14ac:dyDescent="0.25">
      <c r="V644" s="178"/>
      <c r="W644" s="174"/>
      <c r="X644" s="179"/>
      <c r="Y644" s="247"/>
      <c r="Z644" s="248"/>
      <c r="AA644" s="294" t="str">
        <f t="shared" si="43"/>
        <v/>
      </c>
      <c r="AB644" s="219" t="str">
        <f t="shared" si="41"/>
        <v/>
      </c>
      <c r="AC644" s="219">
        <f t="shared" si="44"/>
        <v>0</v>
      </c>
      <c r="AD644" s="219">
        <f t="shared" si="45"/>
        <v>0</v>
      </c>
      <c r="AE644" s="220">
        <f t="shared" si="46"/>
        <v>0</v>
      </c>
      <c r="AF644" s="221">
        <f t="shared" si="47"/>
        <v>0</v>
      </c>
      <c r="AG644" s="204"/>
      <c r="AH644" s="178"/>
      <c r="AI644" s="174"/>
      <c r="AJ644" s="179"/>
      <c r="AK644" s="247"/>
      <c r="AL644" s="248"/>
      <c r="AM644" s="294" t="str">
        <f t="shared" si="51"/>
        <v/>
      </c>
      <c r="AN644" s="219" t="str">
        <f t="shared" si="42"/>
        <v/>
      </c>
      <c r="AO644" s="219">
        <f t="shared" si="52"/>
        <v>0</v>
      </c>
      <c r="AP644" s="219">
        <f t="shared" si="48"/>
        <v>0</v>
      </c>
      <c r="AQ644" s="220">
        <f t="shared" si="53"/>
        <v>0</v>
      </c>
      <c r="AR644" s="221">
        <f t="shared" si="54"/>
        <v>0</v>
      </c>
      <c r="AY644" s="628"/>
      <c r="AZ644" s="470">
        <v>0.625</v>
      </c>
      <c r="BA644" s="466">
        <v>7862916999</v>
      </c>
      <c r="BB644" s="211">
        <v>345</v>
      </c>
      <c r="BC644" s="211">
        <v>663</v>
      </c>
      <c r="BD644" s="211">
        <v>564</v>
      </c>
      <c r="BE644" s="211">
        <v>661</v>
      </c>
      <c r="BF644" s="211">
        <v>523</v>
      </c>
      <c r="BG644" s="211">
        <v>910</v>
      </c>
      <c r="BH644" s="211">
        <v>3357</v>
      </c>
      <c r="BI644" s="211">
        <v>3371</v>
      </c>
      <c r="BJ644" s="211">
        <v>1791</v>
      </c>
      <c r="BK644" s="211">
        <v>893</v>
      </c>
      <c r="BL644" s="211">
        <v>604</v>
      </c>
      <c r="BM644" s="211">
        <v>764</v>
      </c>
      <c r="BO644" s="28">
        <f t="shared" si="49"/>
        <v>1203.8333333333333</v>
      </c>
      <c r="BP644" s="28">
        <f t="shared" si="50"/>
        <v>14446</v>
      </c>
    </row>
    <row r="645" spans="22:68" x14ac:dyDescent="0.25">
      <c r="V645" s="178"/>
      <c r="W645" s="174"/>
      <c r="X645" s="179"/>
      <c r="Y645" s="247"/>
      <c r="Z645" s="248"/>
      <c r="AA645" s="294" t="str">
        <f t="shared" si="43"/>
        <v/>
      </c>
      <c r="AB645" s="219" t="str">
        <f t="shared" si="41"/>
        <v/>
      </c>
      <c r="AC645" s="219">
        <f t="shared" si="44"/>
        <v>0</v>
      </c>
      <c r="AD645" s="219">
        <f t="shared" si="45"/>
        <v>0</v>
      </c>
      <c r="AE645" s="220">
        <f t="shared" si="46"/>
        <v>0</v>
      </c>
      <c r="AF645" s="221">
        <f t="shared" si="47"/>
        <v>0</v>
      </c>
      <c r="AG645" s="204"/>
      <c r="AH645" s="178"/>
      <c r="AI645" s="174"/>
      <c r="AJ645" s="179"/>
      <c r="AK645" s="247"/>
      <c r="AL645" s="248"/>
      <c r="AM645" s="294" t="str">
        <f t="shared" si="51"/>
        <v/>
      </c>
      <c r="AN645" s="219" t="str">
        <f t="shared" si="42"/>
        <v/>
      </c>
      <c r="AO645" s="219">
        <f t="shared" si="52"/>
        <v>0</v>
      </c>
      <c r="AP645" s="219">
        <f t="shared" si="48"/>
        <v>0</v>
      </c>
      <c r="AQ645" s="220">
        <f t="shared" si="53"/>
        <v>0</v>
      </c>
      <c r="AR645" s="221">
        <f t="shared" si="54"/>
        <v>0</v>
      </c>
      <c r="AY645" s="628"/>
      <c r="AZ645" s="470">
        <v>0.625</v>
      </c>
      <c r="BA645" s="466">
        <v>7886358140</v>
      </c>
      <c r="BB645" s="211">
        <v>724</v>
      </c>
      <c r="BC645" s="211">
        <v>618</v>
      </c>
      <c r="BD645" s="211">
        <v>1031</v>
      </c>
      <c r="BE645" s="211">
        <v>712</v>
      </c>
      <c r="BF645" s="211">
        <v>2349</v>
      </c>
      <c r="BG645" s="211">
        <v>1605</v>
      </c>
      <c r="BH645" s="211">
        <v>4034</v>
      </c>
      <c r="BI645" s="211">
        <v>4515</v>
      </c>
      <c r="BJ645" s="211">
        <v>2799</v>
      </c>
      <c r="BK645" s="211">
        <v>1073</v>
      </c>
      <c r="BL645" s="211">
        <v>334</v>
      </c>
      <c r="BM645" s="211">
        <v>934</v>
      </c>
      <c r="BO645" s="28">
        <f t="shared" si="49"/>
        <v>1727.3333333333333</v>
      </c>
      <c r="BP645" s="28">
        <f t="shared" si="50"/>
        <v>20728</v>
      </c>
    </row>
    <row r="646" spans="22:68" x14ac:dyDescent="0.25">
      <c r="V646" s="178"/>
      <c r="W646" s="174"/>
      <c r="X646" s="179"/>
      <c r="Y646" s="247"/>
      <c r="Z646" s="248"/>
      <c r="AA646" s="294" t="str">
        <f t="shared" si="43"/>
        <v/>
      </c>
      <c r="AB646" s="219" t="str">
        <f t="shared" si="41"/>
        <v/>
      </c>
      <c r="AC646" s="219">
        <f t="shared" si="44"/>
        <v>0</v>
      </c>
      <c r="AD646" s="219">
        <f t="shared" si="45"/>
        <v>0</v>
      </c>
      <c r="AE646" s="220">
        <f t="shared" si="46"/>
        <v>0</v>
      </c>
      <c r="AF646" s="221">
        <f t="shared" si="47"/>
        <v>0</v>
      </c>
      <c r="AG646" s="204"/>
      <c r="AH646" s="178"/>
      <c r="AI646" s="174"/>
      <c r="AJ646" s="179"/>
      <c r="AK646" s="247"/>
      <c r="AL646" s="248"/>
      <c r="AM646" s="294" t="str">
        <f t="shared" si="51"/>
        <v/>
      </c>
      <c r="AN646" s="219" t="str">
        <f t="shared" si="42"/>
        <v/>
      </c>
      <c r="AO646" s="219">
        <f t="shared" si="52"/>
        <v>0</v>
      </c>
      <c r="AP646" s="219">
        <f t="shared" si="48"/>
        <v>0</v>
      </c>
      <c r="AQ646" s="220">
        <f t="shared" si="53"/>
        <v>0</v>
      </c>
      <c r="AR646" s="221">
        <f t="shared" si="54"/>
        <v>0</v>
      </c>
      <c r="AY646" s="628"/>
      <c r="AZ646" s="471">
        <v>2</v>
      </c>
      <c r="BA646" s="466">
        <v>7905962829</v>
      </c>
      <c r="BB646" s="211" t="s">
        <v>655</v>
      </c>
      <c r="BC646" s="211" t="s">
        <v>655</v>
      </c>
      <c r="BD646" s="211" t="s">
        <v>655</v>
      </c>
      <c r="BE646" s="211" t="s">
        <v>655</v>
      </c>
      <c r="BF646" s="211" t="s">
        <v>655</v>
      </c>
      <c r="BG646" s="211" t="s">
        <v>655</v>
      </c>
      <c r="BH646" s="211" t="s">
        <v>655</v>
      </c>
      <c r="BI646" s="211" t="s">
        <v>655</v>
      </c>
      <c r="BJ646" s="211" t="s">
        <v>655</v>
      </c>
      <c r="BK646" s="211" t="s">
        <v>655</v>
      </c>
      <c r="BL646" s="211" t="s">
        <v>655</v>
      </c>
      <c r="BM646" s="211" t="s">
        <v>655</v>
      </c>
      <c r="BO646" s="28" t="e">
        <f t="shared" si="49"/>
        <v>#DIV/0!</v>
      </c>
      <c r="BP646" s="28">
        <f t="shared" si="50"/>
        <v>0</v>
      </c>
    </row>
    <row r="647" spans="22:68" x14ac:dyDescent="0.25">
      <c r="V647" s="178"/>
      <c r="W647" s="174"/>
      <c r="X647" s="179"/>
      <c r="Y647" s="247"/>
      <c r="Z647" s="248"/>
      <c r="AA647" s="294" t="str">
        <f t="shared" si="43"/>
        <v/>
      </c>
      <c r="AB647" s="219" t="str">
        <f t="shared" si="41"/>
        <v/>
      </c>
      <c r="AC647" s="219">
        <f t="shared" si="44"/>
        <v>0</v>
      </c>
      <c r="AD647" s="219">
        <f t="shared" si="45"/>
        <v>0</v>
      </c>
      <c r="AE647" s="220">
        <f t="shared" si="46"/>
        <v>0</v>
      </c>
      <c r="AF647" s="221">
        <f t="shared" si="47"/>
        <v>0</v>
      </c>
      <c r="AG647" s="204"/>
      <c r="AH647" s="178"/>
      <c r="AI647" s="174"/>
      <c r="AJ647" s="179"/>
      <c r="AK647" s="247"/>
      <c r="AL647" s="248"/>
      <c r="AM647" s="294" t="str">
        <f t="shared" si="51"/>
        <v/>
      </c>
      <c r="AN647" s="219" t="str">
        <f t="shared" si="42"/>
        <v/>
      </c>
      <c r="AO647" s="219">
        <f t="shared" si="52"/>
        <v>0</v>
      </c>
      <c r="AP647" s="219">
        <f t="shared" si="48"/>
        <v>0</v>
      </c>
      <c r="AQ647" s="220">
        <f t="shared" si="53"/>
        <v>0</v>
      </c>
      <c r="AR647" s="221">
        <f t="shared" si="54"/>
        <v>0</v>
      </c>
      <c r="AY647" s="628"/>
      <c r="AZ647" s="470">
        <v>0.75</v>
      </c>
      <c r="BA647" s="466">
        <v>7915540561</v>
      </c>
      <c r="BB647" s="211">
        <v>4</v>
      </c>
      <c r="BC647" s="211" t="s">
        <v>655</v>
      </c>
      <c r="BD647" s="211" t="s">
        <v>655</v>
      </c>
      <c r="BE647" s="211" t="s">
        <v>655</v>
      </c>
      <c r="BF647" s="211" t="s">
        <v>655</v>
      </c>
      <c r="BG647" s="211" t="s">
        <v>655</v>
      </c>
      <c r="BH647" s="211" t="s">
        <v>655</v>
      </c>
      <c r="BI647" s="211" t="s">
        <v>655</v>
      </c>
      <c r="BJ647" s="211" t="s">
        <v>655</v>
      </c>
      <c r="BK647" s="211" t="s">
        <v>655</v>
      </c>
      <c r="BL647" s="211" t="s">
        <v>655</v>
      </c>
      <c r="BM647" s="211" t="s">
        <v>655</v>
      </c>
      <c r="BO647" s="28">
        <f t="shared" si="49"/>
        <v>4</v>
      </c>
      <c r="BP647" s="28">
        <f t="shared" si="50"/>
        <v>4</v>
      </c>
    </row>
    <row r="648" spans="22:68" x14ac:dyDescent="0.25">
      <c r="V648" s="178"/>
      <c r="W648" s="174"/>
      <c r="X648" s="179"/>
      <c r="Y648" s="247"/>
      <c r="Z648" s="248"/>
      <c r="AA648" s="294" t="str">
        <f t="shared" si="43"/>
        <v/>
      </c>
      <c r="AB648" s="219" t="str">
        <f t="shared" ref="AB648:AB711" si="55">IF(Y648&gt;1,IF((TestEOY-X648)/365&gt;AA648,AA648,ROUNDUP(((TestEOY-X648)/365),0)),"")</f>
        <v/>
      </c>
      <c r="AC648" s="219">
        <f t="shared" si="44"/>
        <v>0</v>
      </c>
      <c r="AD648" s="219">
        <f t="shared" si="45"/>
        <v>0</v>
      </c>
      <c r="AE648" s="220">
        <f t="shared" si="46"/>
        <v>0</v>
      </c>
      <c r="AF648" s="221">
        <f t="shared" si="47"/>
        <v>0</v>
      </c>
      <c r="AG648" s="204"/>
      <c r="AH648" s="178"/>
      <c r="AI648" s="174"/>
      <c r="AJ648" s="179"/>
      <c r="AK648" s="247"/>
      <c r="AL648" s="248"/>
      <c r="AM648" s="294" t="str">
        <f t="shared" si="51"/>
        <v/>
      </c>
      <c r="AN648" s="219" t="str">
        <f t="shared" ref="AN648:AN711" si="56">IF(AK648&lt;&gt;"",IF((TestEOY-AJ648)/365&gt;AM648,AM648,ROUNDUP(((TestEOY-AJ648)/365),0)),"")</f>
        <v/>
      </c>
      <c r="AO648" s="219">
        <f t="shared" si="52"/>
        <v>0</v>
      </c>
      <c r="AP648" s="219">
        <f t="shared" si="48"/>
        <v>0</v>
      </c>
      <c r="AQ648" s="220">
        <f t="shared" si="53"/>
        <v>0</v>
      </c>
      <c r="AR648" s="221">
        <f t="shared" si="54"/>
        <v>0</v>
      </c>
      <c r="AY648" s="628"/>
      <c r="AZ648" s="470">
        <v>0.75</v>
      </c>
      <c r="BA648" s="466">
        <v>7940961754</v>
      </c>
      <c r="BB648" s="211">
        <v>460</v>
      </c>
      <c r="BC648" s="211">
        <v>457</v>
      </c>
      <c r="BD648" s="211">
        <v>526</v>
      </c>
      <c r="BE648" s="211">
        <v>847</v>
      </c>
      <c r="BF648" s="211">
        <v>1067</v>
      </c>
      <c r="BG648" s="211">
        <v>925</v>
      </c>
      <c r="BH648" s="211">
        <v>4135</v>
      </c>
      <c r="BI648" s="211">
        <v>5909</v>
      </c>
      <c r="BJ648" s="211">
        <v>1098</v>
      </c>
      <c r="BK648" s="211">
        <v>391</v>
      </c>
      <c r="BL648" s="211">
        <v>255</v>
      </c>
      <c r="BM648" s="211">
        <v>224</v>
      </c>
      <c r="BO648" s="28">
        <f t="shared" si="49"/>
        <v>1357.8333333333333</v>
      </c>
      <c r="BP648" s="28">
        <f t="shared" si="50"/>
        <v>16294</v>
      </c>
    </row>
    <row r="649" spans="22:68" x14ac:dyDescent="0.25">
      <c r="V649" s="178"/>
      <c r="W649" s="174"/>
      <c r="X649" s="179"/>
      <c r="Y649" s="247"/>
      <c r="Z649" s="248"/>
      <c r="AA649" s="294" t="str">
        <f t="shared" ref="AA649:AA712" si="57">IFERROR(INDEX($AU$8:$AU$23,MATCH(V649,$AT$8:$AT$23,0)),"")</f>
        <v/>
      </c>
      <c r="AB649" s="219" t="str">
        <f t="shared" si="55"/>
        <v/>
      </c>
      <c r="AC649" s="219">
        <f t="shared" ref="AC649:AC712" si="58">IFERROR(IF(AB649&gt;=AA649,0,IF(AA649&gt;AB649,SLN(Y649,Z649,AA649),0)),"")</f>
        <v>0</v>
      </c>
      <c r="AD649" s="219">
        <f t="shared" ref="AD649:AD712" si="59">AE649-AC649</f>
        <v>0</v>
      </c>
      <c r="AE649" s="220">
        <f t="shared" ref="AE649:AE712" si="60">IFERROR(IF(OR(AA649=0,AA649=""),
     0,
     IF(AB649&gt;=AA649,
          +Y649,
          (+AC649*AB649))),
"")</f>
        <v>0</v>
      </c>
      <c r="AF649" s="221">
        <f t="shared" ref="AF649:AF712" si="61">IFERROR(IF(AE649&gt;Y649,0,(+Y649-AE649))-Z649,"")</f>
        <v>0</v>
      </c>
      <c r="AG649" s="204"/>
      <c r="AH649" s="178"/>
      <c r="AI649" s="174"/>
      <c r="AJ649" s="179"/>
      <c r="AK649" s="247"/>
      <c r="AL649" s="248"/>
      <c r="AM649" s="294" t="str">
        <f t="shared" si="51"/>
        <v/>
      </c>
      <c r="AN649" s="219" t="str">
        <f t="shared" si="56"/>
        <v/>
      </c>
      <c r="AO649" s="219">
        <f t="shared" si="52"/>
        <v>0</v>
      </c>
      <c r="AP649" s="219">
        <f t="shared" ref="AP649:AP712" si="62">AQ649-AO649</f>
        <v>0</v>
      </c>
      <c r="AQ649" s="220">
        <f t="shared" si="53"/>
        <v>0</v>
      </c>
      <c r="AR649" s="221">
        <f t="shared" si="54"/>
        <v>0</v>
      </c>
      <c r="AY649" s="628"/>
      <c r="AZ649" s="470">
        <v>0.625</v>
      </c>
      <c r="BA649" s="466">
        <v>7942606578</v>
      </c>
      <c r="BB649" s="211">
        <v>566</v>
      </c>
      <c r="BC649" s="211">
        <v>70</v>
      </c>
      <c r="BD649" s="211">
        <v>216</v>
      </c>
      <c r="BE649" s="211">
        <v>255</v>
      </c>
      <c r="BF649" s="211" t="s">
        <v>655</v>
      </c>
      <c r="BG649" s="211">
        <v>362</v>
      </c>
      <c r="BH649" s="211" t="s">
        <v>655</v>
      </c>
      <c r="BI649" s="211">
        <v>323</v>
      </c>
      <c r="BJ649" s="211" t="s">
        <v>655</v>
      </c>
      <c r="BK649" s="211">
        <v>300</v>
      </c>
      <c r="BL649" s="211">
        <v>122</v>
      </c>
      <c r="BM649" s="211">
        <v>159</v>
      </c>
      <c r="BO649" s="28">
        <f t="shared" ref="BO649:BO712" si="63">AVERAGE(BB649:BM649)</f>
        <v>263.66666666666669</v>
      </c>
      <c r="BP649" s="28">
        <f t="shared" ref="BP649:BP712" si="64">SUM(BB649:BM649)</f>
        <v>2373</v>
      </c>
    </row>
    <row r="650" spans="22:68" x14ac:dyDescent="0.25">
      <c r="V650" s="178"/>
      <c r="W650" s="174"/>
      <c r="X650" s="179"/>
      <c r="Y650" s="247"/>
      <c r="Z650" s="248"/>
      <c r="AA650" s="294" t="str">
        <f t="shared" si="57"/>
        <v/>
      </c>
      <c r="AB650" s="219" t="str">
        <f t="shared" si="55"/>
        <v/>
      </c>
      <c r="AC650" s="219">
        <f t="shared" si="58"/>
        <v>0</v>
      </c>
      <c r="AD650" s="219">
        <f t="shared" si="59"/>
        <v>0</v>
      </c>
      <c r="AE650" s="220">
        <f t="shared" si="60"/>
        <v>0</v>
      </c>
      <c r="AF650" s="221">
        <f t="shared" si="61"/>
        <v>0</v>
      </c>
      <c r="AG650" s="204"/>
      <c r="AH650" s="178"/>
      <c r="AI650" s="174"/>
      <c r="AJ650" s="179"/>
      <c r="AK650" s="247"/>
      <c r="AL650" s="248"/>
      <c r="AM650" s="294" t="str">
        <f t="shared" si="51"/>
        <v/>
      </c>
      <c r="AN650" s="219" t="str">
        <f t="shared" si="56"/>
        <v/>
      </c>
      <c r="AO650" s="219">
        <f t="shared" si="52"/>
        <v>0</v>
      </c>
      <c r="AP650" s="219">
        <f t="shared" si="62"/>
        <v>0</v>
      </c>
      <c r="AQ650" s="220">
        <f t="shared" si="53"/>
        <v>0</v>
      </c>
      <c r="AR650" s="221">
        <f t="shared" si="54"/>
        <v>0</v>
      </c>
      <c r="AY650" s="628"/>
      <c r="AZ650" s="470">
        <v>0.75</v>
      </c>
      <c r="BA650" s="466">
        <v>7969822643</v>
      </c>
      <c r="BB650" s="211">
        <v>306</v>
      </c>
      <c r="BC650" s="211">
        <v>319</v>
      </c>
      <c r="BD650" s="211">
        <v>359</v>
      </c>
      <c r="BE650" s="211">
        <v>421</v>
      </c>
      <c r="BF650" s="211">
        <v>174</v>
      </c>
      <c r="BG650" s="211">
        <v>404</v>
      </c>
      <c r="BH650" s="211">
        <v>5691</v>
      </c>
      <c r="BI650" s="211">
        <v>1440</v>
      </c>
      <c r="BJ650" s="211">
        <v>628</v>
      </c>
      <c r="BK650" s="211">
        <v>367</v>
      </c>
      <c r="BL650" s="211">
        <v>111</v>
      </c>
      <c r="BM650" s="211">
        <v>1114</v>
      </c>
      <c r="BO650" s="28">
        <f t="shared" si="63"/>
        <v>944.5</v>
      </c>
      <c r="BP650" s="28">
        <f t="shared" si="64"/>
        <v>11334</v>
      </c>
    </row>
    <row r="651" spans="22:68" x14ac:dyDescent="0.25">
      <c r="V651" s="178"/>
      <c r="W651" s="174"/>
      <c r="X651" s="179"/>
      <c r="Y651" s="247"/>
      <c r="Z651" s="248"/>
      <c r="AA651" s="294" t="str">
        <f t="shared" si="57"/>
        <v/>
      </c>
      <c r="AB651" s="219" t="str">
        <f t="shared" si="55"/>
        <v/>
      </c>
      <c r="AC651" s="219">
        <f t="shared" si="58"/>
        <v>0</v>
      </c>
      <c r="AD651" s="219">
        <f t="shared" si="59"/>
        <v>0</v>
      </c>
      <c r="AE651" s="220">
        <f t="shared" si="60"/>
        <v>0</v>
      </c>
      <c r="AF651" s="221">
        <f t="shared" si="61"/>
        <v>0</v>
      </c>
      <c r="AG651" s="204"/>
      <c r="AH651" s="178"/>
      <c r="AI651" s="174"/>
      <c r="AJ651" s="179"/>
      <c r="AK651" s="247"/>
      <c r="AL651" s="248"/>
      <c r="AM651" s="294" t="str">
        <f t="shared" si="51"/>
        <v/>
      </c>
      <c r="AN651" s="219" t="str">
        <f t="shared" si="56"/>
        <v/>
      </c>
      <c r="AO651" s="219">
        <f t="shared" si="52"/>
        <v>0</v>
      </c>
      <c r="AP651" s="219">
        <f t="shared" si="62"/>
        <v>0</v>
      </c>
      <c r="AQ651" s="220">
        <f t="shared" si="53"/>
        <v>0</v>
      </c>
      <c r="AR651" s="221">
        <f t="shared" si="54"/>
        <v>0</v>
      </c>
      <c r="AY651" s="628"/>
      <c r="AZ651" s="470">
        <v>0.625</v>
      </c>
      <c r="BA651" s="466">
        <v>7970656652</v>
      </c>
      <c r="BB651" s="211">
        <v>636</v>
      </c>
      <c r="BC651" s="211">
        <v>576</v>
      </c>
      <c r="BD651" s="211">
        <v>639</v>
      </c>
      <c r="BE651" s="211">
        <v>748</v>
      </c>
      <c r="BF651" s="211">
        <v>581</v>
      </c>
      <c r="BG651" s="211">
        <v>671</v>
      </c>
      <c r="BH651" s="211">
        <v>1390</v>
      </c>
      <c r="BI651" s="211">
        <v>1035</v>
      </c>
      <c r="BJ651" s="211">
        <v>538</v>
      </c>
      <c r="BK651" s="211">
        <v>218</v>
      </c>
      <c r="BL651" s="211">
        <v>211</v>
      </c>
      <c r="BM651" s="211">
        <v>297</v>
      </c>
      <c r="BO651" s="28">
        <f t="shared" si="63"/>
        <v>628.33333333333337</v>
      </c>
      <c r="BP651" s="28">
        <f t="shared" si="64"/>
        <v>7540</v>
      </c>
    </row>
    <row r="652" spans="22:68" x14ac:dyDescent="0.25">
      <c r="V652" s="178"/>
      <c r="W652" s="174"/>
      <c r="X652" s="179"/>
      <c r="Y652" s="247"/>
      <c r="Z652" s="248"/>
      <c r="AA652" s="294" t="str">
        <f t="shared" si="57"/>
        <v/>
      </c>
      <c r="AB652" s="219" t="str">
        <f t="shared" si="55"/>
        <v/>
      </c>
      <c r="AC652" s="219">
        <f t="shared" si="58"/>
        <v>0</v>
      </c>
      <c r="AD652" s="219">
        <f t="shared" si="59"/>
        <v>0</v>
      </c>
      <c r="AE652" s="220">
        <f t="shared" si="60"/>
        <v>0</v>
      </c>
      <c r="AF652" s="221">
        <f t="shared" si="61"/>
        <v>0</v>
      </c>
      <c r="AG652" s="204"/>
      <c r="AH652" s="178"/>
      <c r="AI652" s="174"/>
      <c r="AJ652" s="179"/>
      <c r="AK652" s="247"/>
      <c r="AL652" s="248"/>
      <c r="AM652" s="294" t="str">
        <f t="shared" ref="AM652:AM715" si="65">IFERROR(INDEX($AU$8:$AU$23,MATCH(AH652,$AT$8:$AT$23,0)),"")</f>
        <v/>
      </c>
      <c r="AN652" s="219" t="str">
        <f t="shared" si="56"/>
        <v/>
      </c>
      <c r="AO652" s="219">
        <f t="shared" ref="AO652:AO715" si="66">IFERROR(IF(AN652&gt;=AM652,0,IF(AM652&gt;AN652,SLN(AK652,AL652,AM652),0)),"")</f>
        <v>0</v>
      </c>
      <c r="AP652" s="219">
        <f t="shared" si="62"/>
        <v>0</v>
      </c>
      <c r="AQ652" s="220">
        <f t="shared" ref="AQ652:AQ715" si="67">IFERROR(IF(OR(AM652=0,AM652=""),
     0,
     IF(AN652&gt;=AM652,
          +AK652,
          (+AO652*AN652))),
"")</f>
        <v>0</v>
      </c>
      <c r="AR652" s="221">
        <f t="shared" ref="AR652:AR715" si="68">IFERROR(IF(AQ652&gt;AK652,0,(+AK652-AQ652))-AL652,"")</f>
        <v>0</v>
      </c>
      <c r="AY652" s="628"/>
      <c r="AZ652" s="470">
        <v>1</v>
      </c>
      <c r="BA652" s="466">
        <v>7970829453</v>
      </c>
      <c r="BB652" s="211">
        <v>614</v>
      </c>
      <c r="BC652" s="211">
        <v>710</v>
      </c>
      <c r="BD652" s="211">
        <v>577</v>
      </c>
      <c r="BE652" s="211">
        <v>849</v>
      </c>
      <c r="BF652" s="211">
        <v>2320</v>
      </c>
      <c r="BG652" s="211">
        <v>618</v>
      </c>
      <c r="BH652" s="211">
        <v>4140</v>
      </c>
      <c r="BI652" s="211">
        <v>5692</v>
      </c>
      <c r="BJ652" s="211">
        <v>848</v>
      </c>
      <c r="BK652" s="211">
        <v>575</v>
      </c>
      <c r="BL652" s="211">
        <v>740</v>
      </c>
      <c r="BM652" s="211">
        <v>715</v>
      </c>
      <c r="BO652" s="28">
        <f t="shared" si="63"/>
        <v>1533.1666666666667</v>
      </c>
      <c r="BP652" s="28">
        <f t="shared" si="64"/>
        <v>18398</v>
      </c>
    </row>
    <row r="653" spans="22:68" x14ac:dyDescent="0.25">
      <c r="V653" s="178"/>
      <c r="W653" s="174"/>
      <c r="X653" s="179"/>
      <c r="Y653" s="247"/>
      <c r="Z653" s="248"/>
      <c r="AA653" s="294" t="str">
        <f t="shared" si="57"/>
        <v/>
      </c>
      <c r="AB653" s="219" t="str">
        <f t="shared" si="55"/>
        <v/>
      </c>
      <c r="AC653" s="219">
        <f t="shared" si="58"/>
        <v>0</v>
      </c>
      <c r="AD653" s="219">
        <f t="shared" si="59"/>
        <v>0</v>
      </c>
      <c r="AE653" s="220">
        <f t="shared" si="60"/>
        <v>0</v>
      </c>
      <c r="AF653" s="221">
        <f t="shared" si="61"/>
        <v>0</v>
      </c>
      <c r="AG653" s="204"/>
      <c r="AH653" s="178"/>
      <c r="AI653" s="174"/>
      <c r="AJ653" s="179"/>
      <c r="AK653" s="247"/>
      <c r="AL653" s="248"/>
      <c r="AM653" s="294" t="str">
        <f t="shared" si="65"/>
        <v/>
      </c>
      <c r="AN653" s="219" t="str">
        <f t="shared" si="56"/>
        <v/>
      </c>
      <c r="AO653" s="219">
        <f t="shared" si="66"/>
        <v>0</v>
      </c>
      <c r="AP653" s="219">
        <f t="shared" si="62"/>
        <v>0</v>
      </c>
      <c r="AQ653" s="220">
        <f t="shared" si="67"/>
        <v>0</v>
      </c>
      <c r="AR653" s="221">
        <f t="shared" si="68"/>
        <v>0</v>
      </c>
      <c r="AY653" s="628"/>
      <c r="AZ653" s="470">
        <v>0.75</v>
      </c>
      <c r="BA653" s="466">
        <v>7998412376</v>
      </c>
      <c r="BB653" s="211">
        <v>2699</v>
      </c>
      <c r="BC653" s="211">
        <v>1812</v>
      </c>
      <c r="BD653" s="211">
        <v>2611</v>
      </c>
      <c r="BE653" s="211">
        <v>3127</v>
      </c>
      <c r="BF653" s="211">
        <v>2945</v>
      </c>
      <c r="BG653" s="211">
        <v>3300</v>
      </c>
      <c r="BH653" s="211">
        <v>4921</v>
      </c>
      <c r="BI653" s="211">
        <v>5856</v>
      </c>
      <c r="BJ653" s="211">
        <v>8045</v>
      </c>
      <c r="BK653" s="211">
        <v>3197</v>
      </c>
      <c r="BL653" s="211">
        <v>633</v>
      </c>
      <c r="BM653" s="211">
        <v>711</v>
      </c>
      <c r="BO653" s="28">
        <f t="shared" si="63"/>
        <v>3321.4166666666665</v>
      </c>
      <c r="BP653" s="28">
        <f t="shared" si="64"/>
        <v>39857</v>
      </c>
    </row>
    <row r="654" spans="22:68" x14ac:dyDescent="0.25">
      <c r="V654" s="178"/>
      <c r="W654" s="174"/>
      <c r="X654" s="179"/>
      <c r="Y654" s="247"/>
      <c r="Z654" s="248"/>
      <c r="AA654" s="294" t="str">
        <f t="shared" si="57"/>
        <v/>
      </c>
      <c r="AB654" s="219" t="str">
        <f t="shared" si="55"/>
        <v/>
      </c>
      <c r="AC654" s="219">
        <f t="shared" si="58"/>
        <v>0</v>
      </c>
      <c r="AD654" s="219">
        <f t="shared" si="59"/>
        <v>0</v>
      </c>
      <c r="AE654" s="220">
        <f t="shared" si="60"/>
        <v>0</v>
      </c>
      <c r="AF654" s="221">
        <f t="shared" si="61"/>
        <v>0</v>
      </c>
      <c r="AG654" s="204"/>
      <c r="AH654" s="178"/>
      <c r="AI654" s="174"/>
      <c r="AJ654" s="179"/>
      <c r="AK654" s="247"/>
      <c r="AL654" s="248"/>
      <c r="AM654" s="294" t="str">
        <f t="shared" si="65"/>
        <v/>
      </c>
      <c r="AN654" s="219" t="str">
        <f t="shared" si="56"/>
        <v/>
      </c>
      <c r="AO654" s="219">
        <f t="shared" si="66"/>
        <v>0</v>
      </c>
      <c r="AP654" s="219">
        <f t="shared" si="62"/>
        <v>0</v>
      </c>
      <c r="AQ654" s="220">
        <f t="shared" si="67"/>
        <v>0</v>
      </c>
      <c r="AR654" s="221">
        <f t="shared" si="68"/>
        <v>0</v>
      </c>
      <c r="AY654" s="628"/>
      <c r="AZ654" s="470">
        <v>0.75</v>
      </c>
      <c r="BA654" s="466">
        <v>8007821021</v>
      </c>
      <c r="BB654" s="211">
        <v>373</v>
      </c>
      <c r="BC654" s="211">
        <v>220</v>
      </c>
      <c r="BD654" s="211">
        <v>302</v>
      </c>
      <c r="BE654" s="211">
        <v>284</v>
      </c>
      <c r="BF654" s="211">
        <v>414</v>
      </c>
      <c r="BG654" s="211">
        <v>830</v>
      </c>
      <c r="BH654" s="211">
        <v>2487</v>
      </c>
      <c r="BI654" s="211">
        <v>1548</v>
      </c>
      <c r="BJ654" s="211">
        <v>1086</v>
      </c>
      <c r="BK654" s="211">
        <v>681</v>
      </c>
      <c r="BL654" s="211">
        <v>144</v>
      </c>
      <c r="BM654" s="211">
        <v>238</v>
      </c>
      <c r="BO654" s="28">
        <f t="shared" si="63"/>
        <v>717.25</v>
      </c>
      <c r="BP654" s="28">
        <f t="shared" si="64"/>
        <v>8607</v>
      </c>
    </row>
    <row r="655" spans="22:68" x14ac:dyDescent="0.25">
      <c r="V655" s="178"/>
      <c r="W655" s="174"/>
      <c r="X655" s="179"/>
      <c r="Y655" s="247"/>
      <c r="Z655" s="248"/>
      <c r="AA655" s="294" t="str">
        <f t="shared" si="57"/>
        <v/>
      </c>
      <c r="AB655" s="219" t="str">
        <f t="shared" si="55"/>
        <v/>
      </c>
      <c r="AC655" s="219">
        <f t="shared" si="58"/>
        <v>0</v>
      </c>
      <c r="AD655" s="219">
        <f t="shared" si="59"/>
        <v>0</v>
      </c>
      <c r="AE655" s="220">
        <f t="shared" si="60"/>
        <v>0</v>
      </c>
      <c r="AF655" s="221">
        <f t="shared" si="61"/>
        <v>0</v>
      </c>
      <c r="AG655" s="204"/>
      <c r="AH655" s="178"/>
      <c r="AI655" s="174"/>
      <c r="AJ655" s="179"/>
      <c r="AK655" s="247"/>
      <c r="AL655" s="248"/>
      <c r="AM655" s="294" t="str">
        <f t="shared" si="65"/>
        <v/>
      </c>
      <c r="AN655" s="219" t="str">
        <f t="shared" si="56"/>
        <v/>
      </c>
      <c r="AO655" s="219">
        <f t="shared" si="66"/>
        <v>0</v>
      </c>
      <c r="AP655" s="219">
        <f t="shared" si="62"/>
        <v>0</v>
      </c>
      <c r="AQ655" s="220">
        <f t="shared" si="67"/>
        <v>0</v>
      </c>
      <c r="AR655" s="221">
        <f t="shared" si="68"/>
        <v>0</v>
      </c>
      <c r="AY655" s="628"/>
      <c r="AZ655" s="470">
        <v>0.75</v>
      </c>
      <c r="BA655" s="466">
        <v>8009067401</v>
      </c>
      <c r="BB655" s="211">
        <v>744</v>
      </c>
      <c r="BC655" s="211">
        <v>595</v>
      </c>
      <c r="BD655" s="211">
        <v>745</v>
      </c>
      <c r="BE655" s="211">
        <v>782</v>
      </c>
      <c r="BF655" s="211">
        <v>755</v>
      </c>
      <c r="BG655" s="211">
        <v>1492</v>
      </c>
      <c r="BH655" s="211">
        <v>5037</v>
      </c>
      <c r="BI655" s="211">
        <v>4318</v>
      </c>
      <c r="BJ655" s="211">
        <v>4150</v>
      </c>
      <c r="BK655" s="211">
        <v>2065</v>
      </c>
      <c r="BL655" s="211">
        <v>660</v>
      </c>
      <c r="BM655" s="211">
        <v>784</v>
      </c>
      <c r="BO655" s="28">
        <f t="shared" si="63"/>
        <v>1843.9166666666667</v>
      </c>
      <c r="BP655" s="28">
        <f t="shared" si="64"/>
        <v>22127</v>
      </c>
    </row>
    <row r="656" spans="22:68" x14ac:dyDescent="0.25">
      <c r="V656" s="178"/>
      <c r="W656" s="174"/>
      <c r="X656" s="179"/>
      <c r="Y656" s="247"/>
      <c r="Z656" s="248"/>
      <c r="AA656" s="294" t="str">
        <f t="shared" si="57"/>
        <v/>
      </c>
      <c r="AB656" s="219" t="str">
        <f t="shared" si="55"/>
        <v/>
      </c>
      <c r="AC656" s="219">
        <f t="shared" si="58"/>
        <v>0</v>
      </c>
      <c r="AD656" s="219">
        <f t="shared" si="59"/>
        <v>0</v>
      </c>
      <c r="AE656" s="220">
        <f t="shared" si="60"/>
        <v>0</v>
      </c>
      <c r="AF656" s="221">
        <f t="shared" si="61"/>
        <v>0</v>
      </c>
      <c r="AG656" s="204"/>
      <c r="AH656" s="178"/>
      <c r="AI656" s="174"/>
      <c r="AJ656" s="179"/>
      <c r="AK656" s="247"/>
      <c r="AL656" s="248"/>
      <c r="AM656" s="294" t="str">
        <f t="shared" si="65"/>
        <v/>
      </c>
      <c r="AN656" s="219" t="str">
        <f t="shared" si="56"/>
        <v/>
      </c>
      <c r="AO656" s="219">
        <f t="shared" si="66"/>
        <v>0</v>
      </c>
      <c r="AP656" s="219">
        <f t="shared" si="62"/>
        <v>0</v>
      </c>
      <c r="AQ656" s="220">
        <f t="shared" si="67"/>
        <v>0</v>
      </c>
      <c r="AR656" s="221">
        <f t="shared" si="68"/>
        <v>0</v>
      </c>
      <c r="AY656" s="628"/>
      <c r="AZ656" s="470">
        <v>0.75</v>
      </c>
      <c r="BA656" s="466">
        <v>8028642559</v>
      </c>
      <c r="BB656" s="211">
        <v>250</v>
      </c>
      <c r="BC656" s="211">
        <v>233</v>
      </c>
      <c r="BD656" s="211">
        <v>318</v>
      </c>
      <c r="BE656" s="211">
        <v>286</v>
      </c>
      <c r="BF656" s="211">
        <v>408</v>
      </c>
      <c r="BG656" s="211">
        <v>334</v>
      </c>
      <c r="BH656" s="211">
        <v>1894</v>
      </c>
      <c r="BI656" s="211">
        <v>1891</v>
      </c>
      <c r="BJ656" s="211">
        <v>2323</v>
      </c>
      <c r="BK656" s="211">
        <v>1360</v>
      </c>
      <c r="BL656" s="211">
        <v>413</v>
      </c>
      <c r="BM656" s="211">
        <v>200</v>
      </c>
      <c r="BO656" s="28">
        <f t="shared" si="63"/>
        <v>825.83333333333337</v>
      </c>
      <c r="BP656" s="28">
        <f t="shared" si="64"/>
        <v>9910</v>
      </c>
    </row>
    <row r="657" spans="22:68" x14ac:dyDescent="0.25">
      <c r="V657" s="178"/>
      <c r="W657" s="174"/>
      <c r="X657" s="179"/>
      <c r="Y657" s="247"/>
      <c r="Z657" s="248"/>
      <c r="AA657" s="294" t="str">
        <f t="shared" si="57"/>
        <v/>
      </c>
      <c r="AB657" s="219" t="str">
        <f t="shared" si="55"/>
        <v/>
      </c>
      <c r="AC657" s="219">
        <f t="shared" si="58"/>
        <v>0</v>
      </c>
      <c r="AD657" s="219">
        <f t="shared" si="59"/>
        <v>0</v>
      </c>
      <c r="AE657" s="220">
        <f t="shared" si="60"/>
        <v>0</v>
      </c>
      <c r="AF657" s="221">
        <f t="shared" si="61"/>
        <v>0</v>
      </c>
      <c r="AG657" s="204"/>
      <c r="AH657" s="178"/>
      <c r="AI657" s="174"/>
      <c r="AJ657" s="179"/>
      <c r="AK657" s="247"/>
      <c r="AL657" s="248"/>
      <c r="AM657" s="294" t="str">
        <f t="shared" si="65"/>
        <v/>
      </c>
      <c r="AN657" s="219" t="str">
        <f t="shared" si="56"/>
        <v/>
      </c>
      <c r="AO657" s="219">
        <f t="shared" si="66"/>
        <v>0</v>
      </c>
      <c r="AP657" s="219">
        <f t="shared" si="62"/>
        <v>0</v>
      </c>
      <c r="AQ657" s="220">
        <f t="shared" si="67"/>
        <v>0</v>
      </c>
      <c r="AR657" s="221">
        <f t="shared" si="68"/>
        <v>0</v>
      </c>
      <c r="AY657" s="628"/>
      <c r="AZ657" s="470">
        <v>0.75</v>
      </c>
      <c r="BA657" s="466">
        <v>8048699405</v>
      </c>
      <c r="BB657" s="211">
        <v>146</v>
      </c>
      <c r="BC657" s="211">
        <v>97</v>
      </c>
      <c r="BD657" s="211">
        <v>151</v>
      </c>
      <c r="BE657" s="211">
        <v>279</v>
      </c>
      <c r="BF657" s="211">
        <v>1445</v>
      </c>
      <c r="BG657" s="211">
        <v>894</v>
      </c>
      <c r="BH657" s="211">
        <v>2870</v>
      </c>
      <c r="BI657" s="211">
        <v>2955</v>
      </c>
      <c r="BJ657" s="211" t="s">
        <v>655</v>
      </c>
      <c r="BK657" s="211">
        <v>1986</v>
      </c>
      <c r="BL657" s="211">
        <v>124</v>
      </c>
      <c r="BM657" s="211">
        <v>153</v>
      </c>
      <c r="BO657" s="28">
        <f t="shared" si="63"/>
        <v>1009.0909090909091</v>
      </c>
      <c r="BP657" s="28">
        <f t="shared" si="64"/>
        <v>11100</v>
      </c>
    </row>
    <row r="658" spans="22:68" x14ac:dyDescent="0.25">
      <c r="V658" s="178"/>
      <c r="W658" s="174"/>
      <c r="X658" s="179"/>
      <c r="Y658" s="247"/>
      <c r="Z658" s="248"/>
      <c r="AA658" s="294" t="str">
        <f t="shared" si="57"/>
        <v/>
      </c>
      <c r="AB658" s="219" t="str">
        <f t="shared" si="55"/>
        <v/>
      </c>
      <c r="AC658" s="219">
        <f t="shared" si="58"/>
        <v>0</v>
      </c>
      <c r="AD658" s="219">
        <f t="shared" si="59"/>
        <v>0</v>
      </c>
      <c r="AE658" s="220">
        <f t="shared" si="60"/>
        <v>0</v>
      </c>
      <c r="AF658" s="221">
        <f t="shared" si="61"/>
        <v>0</v>
      </c>
      <c r="AG658" s="204"/>
      <c r="AH658" s="178"/>
      <c r="AI658" s="174"/>
      <c r="AJ658" s="179"/>
      <c r="AK658" s="247"/>
      <c r="AL658" s="248"/>
      <c r="AM658" s="294" t="str">
        <f t="shared" si="65"/>
        <v/>
      </c>
      <c r="AN658" s="219" t="str">
        <f t="shared" si="56"/>
        <v/>
      </c>
      <c r="AO658" s="219">
        <f t="shared" si="66"/>
        <v>0</v>
      </c>
      <c r="AP658" s="219">
        <f t="shared" si="62"/>
        <v>0</v>
      </c>
      <c r="AQ658" s="220">
        <f t="shared" si="67"/>
        <v>0</v>
      </c>
      <c r="AR658" s="221">
        <f t="shared" si="68"/>
        <v>0</v>
      </c>
      <c r="AY658" s="628"/>
      <c r="AZ658" s="470">
        <v>0.75</v>
      </c>
      <c r="BA658" s="466">
        <v>8075523643</v>
      </c>
      <c r="BB658" s="211">
        <v>1555</v>
      </c>
      <c r="BC658" s="211">
        <v>205</v>
      </c>
      <c r="BD658" s="211">
        <v>1196</v>
      </c>
      <c r="BE658" s="211">
        <v>592</v>
      </c>
      <c r="BF658" s="211">
        <v>3007</v>
      </c>
      <c r="BG658" s="211">
        <v>1053</v>
      </c>
      <c r="BH658" s="211">
        <v>3864</v>
      </c>
      <c r="BI658" s="211">
        <v>4289</v>
      </c>
      <c r="BJ658" s="211">
        <v>4299</v>
      </c>
      <c r="BK658" s="211">
        <v>1762</v>
      </c>
      <c r="BL658" s="211">
        <v>238</v>
      </c>
      <c r="BM658" s="211">
        <v>1720</v>
      </c>
      <c r="BO658" s="28">
        <f t="shared" si="63"/>
        <v>1981.6666666666667</v>
      </c>
      <c r="BP658" s="28">
        <f t="shared" si="64"/>
        <v>23780</v>
      </c>
    </row>
    <row r="659" spans="22:68" x14ac:dyDescent="0.25">
      <c r="V659" s="178"/>
      <c r="W659" s="174"/>
      <c r="X659" s="179"/>
      <c r="Y659" s="247"/>
      <c r="Z659" s="248"/>
      <c r="AA659" s="294" t="str">
        <f t="shared" si="57"/>
        <v/>
      </c>
      <c r="AB659" s="219" t="str">
        <f t="shared" si="55"/>
        <v/>
      </c>
      <c r="AC659" s="219">
        <f t="shared" si="58"/>
        <v>0</v>
      </c>
      <c r="AD659" s="219">
        <f t="shared" si="59"/>
        <v>0</v>
      </c>
      <c r="AE659" s="220">
        <f t="shared" si="60"/>
        <v>0</v>
      </c>
      <c r="AF659" s="221">
        <f t="shared" si="61"/>
        <v>0</v>
      </c>
      <c r="AG659" s="204"/>
      <c r="AH659" s="178"/>
      <c r="AI659" s="174"/>
      <c r="AJ659" s="179"/>
      <c r="AK659" s="247"/>
      <c r="AL659" s="248"/>
      <c r="AM659" s="294" t="str">
        <f t="shared" si="65"/>
        <v/>
      </c>
      <c r="AN659" s="219" t="str">
        <f t="shared" si="56"/>
        <v/>
      </c>
      <c r="AO659" s="219">
        <f t="shared" si="66"/>
        <v>0</v>
      </c>
      <c r="AP659" s="219">
        <f t="shared" si="62"/>
        <v>0</v>
      </c>
      <c r="AQ659" s="220">
        <f t="shared" si="67"/>
        <v>0</v>
      </c>
      <c r="AR659" s="221">
        <f t="shared" si="68"/>
        <v>0</v>
      </c>
      <c r="AY659" s="628"/>
      <c r="AZ659" s="470">
        <v>0.75</v>
      </c>
      <c r="BA659" s="466">
        <v>8103068091</v>
      </c>
      <c r="BB659" s="211">
        <v>813</v>
      </c>
      <c r="BC659" s="211">
        <v>734</v>
      </c>
      <c r="BD659" s="211">
        <v>341</v>
      </c>
      <c r="BE659" s="211">
        <v>1528</v>
      </c>
      <c r="BF659" s="211">
        <v>201</v>
      </c>
      <c r="BG659" s="211">
        <v>467</v>
      </c>
      <c r="BH659" s="211">
        <v>6890</v>
      </c>
      <c r="BI659" s="211">
        <v>1794</v>
      </c>
      <c r="BJ659" s="211">
        <v>455</v>
      </c>
      <c r="BK659" s="211">
        <v>330</v>
      </c>
      <c r="BL659" s="211">
        <v>210</v>
      </c>
      <c r="BM659" s="211">
        <v>405</v>
      </c>
      <c r="BO659" s="28">
        <f t="shared" si="63"/>
        <v>1180.6666666666667</v>
      </c>
      <c r="BP659" s="28">
        <f t="shared" si="64"/>
        <v>14168</v>
      </c>
    </row>
    <row r="660" spans="22:68" x14ac:dyDescent="0.25">
      <c r="V660" s="178"/>
      <c r="W660" s="174"/>
      <c r="X660" s="179"/>
      <c r="Y660" s="247"/>
      <c r="Z660" s="248"/>
      <c r="AA660" s="294" t="str">
        <f t="shared" si="57"/>
        <v/>
      </c>
      <c r="AB660" s="219" t="str">
        <f t="shared" si="55"/>
        <v/>
      </c>
      <c r="AC660" s="219">
        <f t="shared" si="58"/>
        <v>0</v>
      </c>
      <c r="AD660" s="219">
        <f t="shared" si="59"/>
        <v>0</v>
      </c>
      <c r="AE660" s="220">
        <f t="shared" si="60"/>
        <v>0</v>
      </c>
      <c r="AF660" s="221">
        <f t="shared" si="61"/>
        <v>0</v>
      </c>
      <c r="AG660" s="204"/>
      <c r="AH660" s="178"/>
      <c r="AI660" s="174"/>
      <c r="AJ660" s="179"/>
      <c r="AK660" s="247"/>
      <c r="AL660" s="248"/>
      <c r="AM660" s="294" t="str">
        <f t="shared" si="65"/>
        <v/>
      </c>
      <c r="AN660" s="219" t="str">
        <f t="shared" si="56"/>
        <v/>
      </c>
      <c r="AO660" s="219">
        <f t="shared" si="66"/>
        <v>0</v>
      </c>
      <c r="AP660" s="219">
        <f t="shared" si="62"/>
        <v>0</v>
      </c>
      <c r="AQ660" s="220">
        <f t="shared" si="67"/>
        <v>0</v>
      </c>
      <c r="AR660" s="221">
        <f t="shared" si="68"/>
        <v>0</v>
      </c>
      <c r="AY660" s="628"/>
      <c r="AZ660" s="470">
        <v>0.75</v>
      </c>
      <c r="BA660" s="466">
        <v>8111144461</v>
      </c>
      <c r="BB660" s="211">
        <v>431</v>
      </c>
      <c r="BC660" s="211">
        <v>449</v>
      </c>
      <c r="BD660" s="211">
        <v>447</v>
      </c>
      <c r="BE660" s="211">
        <v>384</v>
      </c>
      <c r="BF660" s="211">
        <v>307</v>
      </c>
      <c r="BG660" s="211">
        <v>371</v>
      </c>
      <c r="BH660" s="211">
        <v>1016</v>
      </c>
      <c r="BI660" s="211">
        <v>677</v>
      </c>
      <c r="BJ660" s="211">
        <v>538</v>
      </c>
      <c r="BK660" s="211">
        <v>540</v>
      </c>
      <c r="BL660" s="211">
        <v>373</v>
      </c>
      <c r="BM660" s="211">
        <v>400</v>
      </c>
      <c r="BO660" s="28">
        <f t="shared" si="63"/>
        <v>494.41666666666669</v>
      </c>
      <c r="BP660" s="28">
        <f t="shared" si="64"/>
        <v>5933</v>
      </c>
    </row>
    <row r="661" spans="22:68" x14ac:dyDescent="0.25">
      <c r="V661" s="178"/>
      <c r="W661" s="174"/>
      <c r="X661" s="179"/>
      <c r="Y661" s="247"/>
      <c r="Z661" s="248"/>
      <c r="AA661" s="294" t="str">
        <f t="shared" si="57"/>
        <v/>
      </c>
      <c r="AB661" s="219" t="str">
        <f t="shared" si="55"/>
        <v/>
      </c>
      <c r="AC661" s="219">
        <f t="shared" si="58"/>
        <v>0</v>
      </c>
      <c r="AD661" s="219">
        <f t="shared" si="59"/>
        <v>0</v>
      </c>
      <c r="AE661" s="220">
        <f t="shared" si="60"/>
        <v>0</v>
      </c>
      <c r="AF661" s="221">
        <f t="shared" si="61"/>
        <v>0</v>
      </c>
      <c r="AG661" s="204"/>
      <c r="AH661" s="178"/>
      <c r="AI661" s="174"/>
      <c r="AJ661" s="179"/>
      <c r="AK661" s="247"/>
      <c r="AL661" s="248"/>
      <c r="AM661" s="294" t="str">
        <f t="shared" si="65"/>
        <v/>
      </c>
      <c r="AN661" s="219" t="str">
        <f t="shared" si="56"/>
        <v/>
      </c>
      <c r="AO661" s="219">
        <f t="shared" si="66"/>
        <v>0</v>
      </c>
      <c r="AP661" s="219">
        <f t="shared" si="62"/>
        <v>0</v>
      </c>
      <c r="AQ661" s="220">
        <f t="shared" si="67"/>
        <v>0</v>
      </c>
      <c r="AR661" s="221">
        <f t="shared" si="68"/>
        <v>0</v>
      </c>
      <c r="AY661" s="628"/>
      <c r="AZ661" s="470">
        <v>0.75</v>
      </c>
      <c r="BA661" s="466">
        <v>8142644269</v>
      </c>
      <c r="BB661" s="211">
        <v>99</v>
      </c>
      <c r="BC661" s="211">
        <v>154</v>
      </c>
      <c r="BD661" s="211">
        <v>111</v>
      </c>
      <c r="BE661" s="211">
        <v>99</v>
      </c>
      <c r="BF661" s="211">
        <v>324</v>
      </c>
      <c r="BG661" s="211">
        <v>83</v>
      </c>
      <c r="BH661" s="211">
        <v>142</v>
      </c>
      <c r="BI661" s="211">
        <v>112</v>
      </c>
      <c r="BJ661" s="211">
        <v>104</v>
      </c>
      <c r="BK661" s="211">
        <v>81</v>
      </c>
      <c r="BL661" s="211">
        <v>99</v>
      </c>
      <c r="BM661" s="211">
        <v>69</v>
      </c>
      <c r="BO661" s="28">
        <f t="shared" si="63"/>
        <v>123.08333333333333</v>
      </c>
      <c r="BP661" s="28">
        <f t="shared" si="64"/>
        <v>1477</v>
      </c>
    </row>
    <row r="662" spans="22:68" x14ac:dyDescent="0.25">
      <c r="V662" s="178"/>
      <c r="W662" s="174"/>
      <c r="X662" s="179"/>
      <c r="Y662" s="247"/>
      <c r="Z662" s="248"/>
      <c r="AA662" s="294" t="str">
        <f t="shared" si="57"/>
        <v/>
      </c>
      <c r="AB662" s="219" t="str">
        <f t="shared" si="55"/>
        <v/>
      </c>
      <c r="AC662" s="219">
        <f t="shared" si="58"/>
        <v>0</v>
      </c>
      <c r="AD662" s="219">
        <f t="shared" si="59"/>
        <v>0</v>
      </c>
      <c r="AE662" s="220">
        <f t="shared" si="60"/>
        <v>0</v>
      </c>
      <c r="AF662" s="221">
        <f t="shared" si="61"/>
        <v>0</v>
      </c>
      <c r="AG662" s="204"/>
      <c r="AH662" s="178"/>
      <c r="AI662" s="174"/>
      <c r="AJ662" s="179"/>
      <c r="AK662" s="247"/>
      <c r="AL662" s="248"/>
      <c r="AM662" s="294" t="str">
        <f t="shared" si="65"/>
        <v/>
      </c>
      <c r="AN662" s="219" t="str">
        <f t="shared" si="56"/>
        <v/>
      </c>
      <c r="AO662" s="219">
        <f t="shared" si="66"/>
        <v>0</v>
      </c>
      <c r="AP662" s="219">
        <f t="shared" si="62"/>
        <v>0</v>
      </c>
      <c r="AQ662" s="220">
        <f t="shared" si="67"/>
        <v>0</v>
      </c>
      <c r="AR662" s="221">
        <f t="shared" si="68"/>
        <v>0</v>
      </c>
      <c r="AY662" s="628"/>
      <c r="AZ662" s="470">
        <v>0.625</v>
      </c>
      <c r="BA662" s="466">
        <v>8145762858</v>
      </c>
      <c r="BB662" s="211">
        <v>518</v>
      </c>
      <c r="BC662" s="211">
        <v>481</v>
      </c>
      <c r="BD662" s="211">
        <v>496</v>
      </c>
      <c r="BE662" s="211">
        <v>491</v>
      </c>
      <c r="BF662" s="211">
        <v>450</v>
      </c>
      <c r="BG662" s="211">
        <v>653</v>
      </c>
      <c r="BH662" s="211">
        <v>1038</v>
      </c>
      <c r="BI662" s="211">
        <v>1088</v>
      </c>
      <c r="BJ662" s="211">
        <v>752</v>
      </c>
      <c r="BK662" s="211">
        <v>570</v>
      </c>
      <c r="BL662" s="211">
        <v>421</v>
      </c>
      <c r="BM662" s="211">
        <v>499</v>
      </c>
      <c r="BO662" s="28">
        <f t="shared" si="63"/>
        <v>621.41666666666663</v>
      </c>
      <c r="BP662" s="28">
        <f t="shared" si="64"/>
        <v>7457</v>
      </c>
    </row>
    <row r="663" spans="22:68" x14ac:dyDescent="0.25">
      <c r="V663" s="178"/>
      <c r="W663" s="174"/>
      <c r="X663" s="179"/>
      <c r="Y663" s="247"/>
      <c r="Z663" s="248"/>
      <c r="AA663" s="294" t="str">
        <f t="shared" si="57"/>
        <v/>
      </c>
      <c r="AB663" s="219" t="str">
        <f t="shared" si="55"/>
        <v/>
      </c>
      <c r="AC663" s="219">
        <f t="shared" si="58"/>
        <v>0</v>
      </c>
      <c r="AD663" s="219">
        <f t="shared" si="59"/>
        <v>0</v>
      </c>
      <c r="AE663" s="220">
        <f t="shared" si="60"/>
        <v>0</v>
      </c>
      <c r="AF663" s="221">
        <f t="shared" si="61"/>
        <v>0</v>
      </c>
      <c r="AG663" s="204"/>
      <c r="AH663" s="178"/>
      <c r="AI663" s="174"/>
      <c r="AJ663" s="179"/>
      <c r="AK663" s="247"/>
      <c r="AL663" s="248"/>
      <c r="AM663" s="294" t="str">
        <f t="shared" si="65"/>
        <v/>
      </c>
      <c r="AN663" s="219" t="str">
        <f t="shared" si="56"/>
        <v/>
      </c>
      <c r="AO663" s="219">
        <f t="shared" si="66"/>
        <v>0</v>
      </c>
      <c r="AP663" s="219">
        <f t="shared" si="62"/>
        <v>0</v>
      </c>
      <c r="AQ663" s="220">
        <f t="shared" si="67"/>
        <v>0</v>
      </c>
      <c r="AR663" s="221">
        <f t="shared" si="68"/>
        <v>0</v>
      </c>
      <c r="AY663" s="628"/>
      <c r="AZ663" s="470">
        <v>0.75</v>
      </c>
      <c r="BA663" s="466">
        <v>8156304336</v>
      </c>
      <c r="BB663" s="211">
        <v>436</v>
      </c>
      <c r="BC663" s="211">
        <v>386</v>
      </c>
      <c r="BD663" s="211">
        <v>344</v>
      </c>
      <c r="BE663" s="211" t="s">
        <v>655</v>
      </c>
      <c r="BF663" s="211" t="s">
        <v>655</v>
      </c>
      <c r="BG663" s="211" t="s">
        <v>655</v>
      </c>
      <c r="BH663" s="211" t="s">
        <v>655</v>
      </c>
      <c r="BI663" s="211" t="s">
        <v>655</v>
      </c>
      <c r="BJ663" s="211" t="s">
        <v>655</v>
      </c>
      <c r="BK663" s="211" t="s">
        <v>655</v>
      </c>
      <c r="BL663" s="211" t="s">
        <v>655</v>
      </c>
      <c r="BM663" s="211" t="s">
        <v>655</v>
      </c>
      <c r="BO663" s="28">
        <f t="shared" si="63"/>
        <v>388.66666666666669</v>
      </c>
      <c r="BP663" s="28">
        <f t="shared" si="64"/>
        <v>1166</v>
      </c>
    </row>
    <row r="664" spans="22:68" x14ac:dyDescent="0.25">
      <c r="V664" s="178"/>
      <c r="W664" s="174"/>
      <c r="X664" s="179"/>
      <c r="Y664" s="247"/>
      <c r="Z664" s="248"/>
      <c r="AA664" s="294" t="str">
        <f t="shared" si="57"/>
        <v/>
      </c>
      <c r="AB664" s="219" t="str">
        <f t="shared" si="55"/>
        <v/>
      </c>
      <c r="AC664" s="219">
        <f t="shared" si="58"/>
        <v>0</v>
      </c>
      <c r="AD664" s="219">
        <f t="shared" si="59"/>
        <v>0</v>
      </c>
      <c r="AE664" s="220">
        <f t="shared" si="60"/>
        <v>0</v>
      </c>
      <c r="AF664" s="221">
        <f t="shared" si="61"/>
        <v>0</v>
      </c>
      <c r="AG664" s="204"/>
      <c r="AH664" s="178"/>
      <c r="AI664" s="174"/>
      <c r="AJ664" s="179"/>
      <c r="AK664" s="247"/>
      <c r="AL664" s="248"/>
      <c r="AM664" s="294" t="str">
        <f t="shared" si="65"/>
        <v/>
      </c>
      <c r="AN664" s="219" t="str">
        <f t="shared" si="56"/>
        <v/>
      </c>
      <c r="AO664" s="219">
        <f t="shared" si="66"/>
        <v>0</v>
      </c>
      <c r="AP664" s="219">
        <f t="shared" si="62"/>
        <v>0</v>
      </c>
      <c r="AQ664" s="220">
        <f t="shared" si="67"/>
        <v>0</v>
      </c>
      <c r="AR664" s="221">
        <f t="shared" si="68"/>
        <v>0</v>
      </c>
      <c r="AY664" s="628"/>
      <c r="AZ664" s="470">
        <v>0.625</v>
      </c>
      <c r="BA664" s="466">
        <v>8186683366</v>
      </c>
      <c r="BB664" s="211">
        <v>299</v>
      </c>
      <c r="BC664" s="211">
        <v>354</v>
      </c>
      <c r="BD664" s="211">
        <v>300</v>
      </c>
      <c r="BE664" s="211">
        <v>134</v>
      </c>
      <c r="BF664" s="211">
        <v>649</v>
      </c>
      <c r="BG664" s="211">
        <v>418</v>
      </c>
      <c r="BH664" s="211">
        <v>665</v>
      </c>
      <c r="BI664" s="211">
        <v>584</v>
      </c>
      <c r="BJ664" s="211">
        <v>567</v>
      </c>
      <c r="BK664" s="211">
        <v>544</v>
      </c>
      <c r="BL664" s="211">
        <v>404</v>
      </c>
      <c r="BM664" s="211">
        <v>195</v>
      </c>
      <c r="BO664" s="28">
        <f t="shared" si="63"/>
        <v>426.08333333333331</v>
      </c>
      <c r="BP664" s="28">
        <f t="shared" si="64"/>
        <v>5113</v>
      </c>
    </row>
    <row r="665" spans="22:68" x14ac:dyDescent="0.25">
      <c r="V665" s="178"/>
      <c r="W665" s="174"/>
      <c r="X665" s="179"/>
      <c r="Y665" s="247"/>
      <c r="Z665" s="248"/>
      <c r="AA665" s="294" t="str">
        <f t="shared" si="57"/>
        <v/>
      </c>
      <c r="AB665" s="219" t="str">
        <f t="shared" si="55"/>
        <v/>
      </c>
      <c r="AC665" s="219">
        <f t="shared" si="58"/>
        <v>0</v>
      </c>
      <c r="AD665" s="219">
        <f t="shared" si="59"/>
        <v>0</v>
      </c>
      <c r="AE665" s="220">
        <f t="shared" si="60"/>
        <v>0</v>
      </c>
      <c r="AF665" s="221">
        <f t="shared" si="61"/>
        <v>0</v>
      </c>
      <c r="AG665" s="204"/>
      <c r="AH665" s="178"/>
      <c r="AI665" s="174"/>
      <c r="AJ665" s="179"/>
      <c r="AK665" s="247"/>
      <c r="AL665" s="248"/>
      <c r="AM665" s="294" t="str">
        <f t="shared" si="65"/>
        <v/>
      </c>
      <c r="AN665" s="219" t="str">
        <f t="shared" si="56"/>
        <v/>
      </c>
      <c r="AO665" s="219">
        <f t="shared" si="66"/>
        <v>0</v>
      </c>
      <c r="AP665" s="219">
        <f t="shared" si="62"/>
        <v>0</v>
      </c>
      <c r="AQ665" s="220">
        <f t="shared" si="67"/>
        <v>0</v>
      </c>
      <c r="AR665" s="221">
        <f t="shared" si="68"/>
        <v>0</v>
      </c>
      <c r="AY665" s="628"/>
      <c r="AZ665" s="470">
        <v>0.75</v>
      </c>
      <c r="BA665" s="466">
        <v>8188144504</v>
      </c>
      <c r="BB665" s="211">
        <v>144</v>
      </c>
      <c r="BC665" s="211">
        <v>464</v>
      </c>
      <c r="BD665" s="211">
        <v>133</v>
      </c>
      <c r="BE665" s="211" t="s">
        <v>655</v>
      </c>
      <c r="BF665" s="211" t="s">
        <v>655</v>
      </c>
      <c r="BG665" s="211">
        <v>1017</v>
      </c>
      <c r="BH665" s="211" t="s">
        <v>655</v>
      </c>
      <c r="BI665" s="211">
        <v>909</v>
      </c>
      <c r="BJ665" s="211">
        <v>520</v>
      </c>
      <c r="BK665" s="211">
        <v>642</v>
      </c>
      <c r="BL665" s="211" t="s">
        <v>655</v>
      </c>
      <c r="BM665" s="211">
        <v>151</v>
      </c>
      <c r="BO665" s="28">
        <f t="shared" si="63"/>
        <v>497.5</v>
      </c>
      <c r="BP665" s="28">
        <f t="shared" si="64"/>
        <v>3980</v>
      </c>
    </row>
    <row r="666" spans="22:68" x14ac:dyDescent="0.25">
      <c r="V666" s="178"/>
      <c r="W666" s="174"/>
      <c r="X666" s="179"/>
      <c r="Y666" s="247"/>
      <c r="Z666" s="248"/>
      <c r="AA666" s="294" t="str">
        <f t="shared" si="57"/>
        <v/>
      </c>
      <c r="AB666" s="219" t="str">
        <f t="shared" si="55"/>
        <v/>
      </c>
      <c r="AC666" s="219">
        <f t="shared" si="58"/>
        <v>0</v>
      </c>
      <c r="AD666" s="219">
        <f t="shared" si="59"/>
        <v>0</v>
      </c>
      <c r="AE666" s="220">
        <f t="shared" si="60"/>
        <v>0</v>
      </c>
      <c r="AF666" s="221">
        <f t="shared" si="61"/>
        <v>0</v>
      </c>
      <c r="AG666" s="204"/>
      <c r="AH666" s="178"/>
      <c r="AI666" s="174"/>
      <c r="AJ666" s="179"/>
      <c r="AK666" s="247"/>
      <c r="AL666" s="248"/>
      <c r="AM666" s="294" t="str">
        <f t="shared" si="65"/>
        <v/>
      </c>
      <c r="AN666" s="219" t="str">
        <f t="shared" si="56"/>
        <v/>
      </c>
      <c r="AO666" s="219">
        <f t="shared" si="66"/>
        <v>0</v>
      </c>
      <c r="AP666" s="219">
        <f t="shared" si="62"/>
        <v>0</v>
      </c>
      <c r="AQ666" s="220">
        <f t="shared" si="67"/>
        <v>0</v>
      </c>
      <c r="AR666" s="221">
        <f t="shared" si="68"/>
        <v>0</v>
      </c>
      <c r="AY666" s="628"/>
      <c r="AZ666" s="470">
        <v>0.75</v>
      </c>
      <c r="BA666" s="466">
        <v>8210238383</v>
      </c>
      <c r="BB666" s="211">
        <v>284</v>
      </c>
      <c r="BC666" s="211">
        <v>733</v>
      </c>
      <c r="BD666" s="211">
        <v>809</v>
      </c>
      <c r="BE666" s="211">
        <v>754</v>
      </c>
      <c r="BF666" s="211">
        <v>643</v>
      </c>
      <c r="BG666" s="211">
        <v>657</v>
      </c>
      <c r="BH666" s="211">
        <v>759</v>
      </c>
      <c r="BI666" s="211">
        <v>569</v>
      </c>
      <c r="BJ666" s="211">
        <v>520</v>
      </c>
      <c r="BK666" s="211">
        <v>669</v>
      </c>
      <c r="BL666" s="211">
        <v>863</v>
      </c>
      <c r="BM666" s="211">
        <v>750</v>
      </c>
      <c r="BO666" s="28">
        <f t="shared" si="63"/>
        <v>667.5</v>
      </c>
      <c r="BP666" s="28">
        <f t="shared" si="64"/>
        <v>8010</v>
      </c>
    </row>
    <row r="667" spans="22:68" x14ac:dyDescent="0.25">
      <c r="V667" s="178"/>
      <c r="W667" s="174"/>
      <c r="X667" s="179"/>
      <c r="Y667" s="247"/>
      <c r="Z667" s="248"/>
      <c r="AA667" s="294" t="str">
        <f t="shared" si="57"/>
        <v/>
      </c>
      <c r="AB667" s="219" t="str">
        <f t="shared" si="55"/>
        <v/>
      </c>
      <c r="AC667" s="219">
        <f t="shared" si="58"/>
        <v>0</v>
      </c>
      <c r="AD667" s="219">
        <f t="shared" si="59"/>
        <v>0</v>
      </c>
      <c r="AE667" s="220">
        <f t="shared" si="60"/>
        <v>0</v>
      </c>
      <c r="AF667" s="221">
        <f t="shared" si="61"/>
        <v>0</v>
      </c>
      <c r="AG667" s="204"/>
      <c r="AH667" s="178"/>
      <c r="AI667" s="174"/>
      <c r="AJ667" s="179"/>
      <c r="AK667" s="247"/>
      <c r="AL667" s="248"/>
      <c r="AM667" s="294" t="str">
        <f t="shared" si="65"/>
        <v/>
      </c>
      <c r="AN667" s="219" t="str">
        <f t="shared" si="56"/>
        <v/>
      </c>
      <c r="AO667" s="219">
        <f t="shared" si="66"/>
        <v>0</v>
      </c>
      <c r="AP667" s="219">
        <f t="shared" si="62"/>
        <v>0</v>
      </c>
      <c r="AQ667" s="220">
        <f t="shared" si="67"/>
        <v>0</v>
      </c>
      <c r="AR667" s="221">
        <f t="shared" si="68"/>
        <v>0</v>
      </c>
      <c r="AY667" s="628"/>
      <c r="AZ667" s="470">
        <v>0.625</v>
      </c>
      <c r="BA667" s="466">
        <v>8222312178</v>
      </c>
      <c r="BB667" s="211">
        <v>578</v>
      </c>
      <c r="BC667" s="211">
        <v>468</v>
      </c>
      <c r="BD667" s="211">
        <v>516</v>
      </c>
      <c r="BE667" s="211">
        <v>463</v>
      </c>
      <c r="BF667" s="211">
        <v>359</v>
      </c>
      <c r="BG667" s="211">
        <v>438</v>
      </c>
      <c r="BH667" s="211">
        <v>1292</v>
      </c>
      <c r="BI667" s="211">
        <v>2609</v>
      </c>
      <c r="BJ667" s="211">
        <v>2724</v>
      </c>
      <c r="BK667" s="211">
        <v>1330</v>
      </c>
      <c r="BL667" s="211">
        <v>730</v>
      </c>
      <c r="BM667" s="211">
        <v>781</v>
      </c>
      <c r="BO667" s="28">
        <f t="shared" si="63"/>
        <v>1024</v>
      </c>
      <c r="BP667" s="28">
        <f t="shared" si="64"/>
        <v>12288</v>
      </c>
    </row>
    <row r="668" spans="22:68" x14ac:dyDescent="0.25">
      <c r="V668" s="178"/>
      <c r="W668" s="174"/>
      <c r="X668" s="179"/>
      <c r="Y668" s="247"/>
      <c r="Z668" s="248"/>
      <c r="AA668" s="294" t="str">
        <f t="shared" si="57"/>
        <v/>
      </c>
      <c r="AB668" s="219" t="str">
        <f t="shared" si="55"/>
        <v/>
      </c>
      <c r="AC668" s="219">
        <f t="shared" si="58"/>
        <v>0</v>
      </c>
      <c r="AD668" s="219">
        <f t="shared" si="59"/>
        <v>0</v>
      </c>
      <c r="AE668" s="220">
        <f t="shared" si="60"/>
        <v>0</v>
      </c>
      <c r="AF668" s="221">
        <f t="shared" si="61"/>
        <v>0</v>
      </c>
      <c r="AG668" s="204"/>
      <c r="AH668" s="178"/>
      <c r="AI668" s="174"/>
      <c r="AJ668" s="179"/>
      <c r="AK668" s="247"/>
      <c r="AL668" s="248"/>
      <c r="AM668" s="294" t="str">
        <f t="shared" si="65"/>
        <v/>
      </c>
      <c r="AN668" s="219" t="str">
        <f t="shared" si="56"/>
        <v/>
      </c>
      <c r="AO668" s="219">
        <f t="shared" si="66"/>
        <v>0</v>
      </c>
      <c r="AP668" s="219">
        <f t="shared" si="62"/>
        <v>0</v>
      </c>
      <c r="AQ668" s="220">
        <f t="shared" si="67"/>
        <v>0</v>
      </c>
      <c r="AR668" s="221">
        <f t="shared" si="68"/>
        <v>0</v>
      </c>
      <c r="AY668" s="628"/>
      <c r="AZ668" s="470">
        <v>0.75</v>
      </c>
      <c r="BA668" s="466">
        <v>8223734988</v>
      </c>
      <c r="BB668" s="211">
        <v>648</v>
      </c>
      <c r="BC668" s="211">
        <v>577</v>
      </c>
      <c r="BD668" s="211">
        <v>710</v>
      </c>
      <c r="BE668" s="211">
        <v>207</v>
      </c>
      <c r="BF668" s="211">
        <v>634</v>
      </c>
      <c r="BG668" s="211">
        <v>440</v>
      </c>
      <c r="BH668" s="211">
        <v>2094</v>
      </c>
      <c r="BI668" s="211">
        <v>1995</v>
      </c>
      <c r="BJ668" s="211">
        <v>1012</v>
      </c>
      <c r="BK668" s="211">
        <v>272</v>
      </c>
      <c r="BL668" s="211">
        <v>220</v>
      </c>
      <c r="BM668" s="211">
        <v>178</v>
      </c>
      <c r="BO668" s="28">
        <f t="shared" si="63"/>
        <v>748.91666666666663</v>
      </c>
      <c r="BP668" s="28">
        <f t="shared" si="64"/>
        <v>8987</v>
      </c>
    </row>
    <row r="669" spans="22:68" x14ac:dyDescent="0.25">
      <c r="V669" s="178"/>
      <c r="W669" s="174"/>
      <c r="X669" s="179"/>
      <c r="Y669" s="247"/>
      <c r="Z669" s="248"/>
      <c r="AA669" s="294" t="str">
        <f t="shared" si="57"/>
        <v/>
      </c>
      <c r="AB669" s="219" t="str">
        <f t="shared" si="55"/>
        <v/>
      </c>
      <c r="AC669" s="219">
        <f t="shared" si="58"/>
        <v>0</v>
      </c>
      <c r="AD669" s="219">
        <f t="shared" si="59"/>
        <v>0</v>
      </c>
      <c r="AE669" s="220">
        <f t="shared" si="60"/>
        <v>0</v>
      </c>
      <c r="AF669" s="221">
        <f t="shared" si="61"/>
        <v>0</v>
      </c>
      <c r="AG669" s="204"/>
      <c r="AH669" s="178"/>
      <c r="AI669" s="174"/>
      <c r="AJ669" s="179"/>
      <c r="AK669" s="247"/>
      <c r="AL669" s="248"/>
      <c r="AM669" s="294" t="str">
        <f t="shared" si="65"/>
        <v/>
      </c>
      <c r="AN669" s="219" t="str">
        <f t="shared" si="56"/>
        <v/>
      </c>
      <c r="AO669" s="219">
        <f t="shared" si="66"/>
        <v>0</v>
      </c>
      <c r="AP669" s="219">
        <f t="shared" si="62"/>
        <v>0</v>
      </c>
      <c r="AQ669" s="220">
        <f t="shared" si="67"/>
        <v>0</v>
      </c>
      <c r="AR669" s="221">
        <f t="shared" si="68"/>
        <v>0</v>
      </c>
      <c r="AY669" s="628"/>
      <c r="AZ669" s="470">
        <v>0.625</v>
      </c>
      <c r="BA669" s="466">
        <v>8228857949</v>
      </c>
      <c r="BB669" s="211">
        <v>427</v>
      </c>
      <c r="BC669" s="211">
        <v>384</v>
      </c>
      <c r="BD669" s="211">
        <v>271</v>
      </c>
      <c r="BE669" s="211">
        <v>1043</v>
      </c>
      <c r="BF669" s="211">
        <v>2143</v>
      </c>
      <c r="BG669" s="211">
        <v>1280</v>
      </c>
      <c r="BH669" s="211">
        <v>4463</v>
      </c>
      <c r="BI669" s="211">
        <v>3717</v>
      </c>
      <c r="BJ669" s="211">
        <v>5581</v>
      </c>
      <c r="BK669" s="211">
        <v>2639</v>
      </c>
      <c r="BL669" s="211">
        <v>353</v>
      </c>
      <c r="BM669" s="211">
        <v>349</v>
      </c>
      <c r="BO669" s="28">
        <f t="shared" si="63"/>
        <v>1887.5</v>
      </c>
      <c r="BP669" s="28">
        <f t="shared" si="64"/>
        <v>22650</v>
      </c>
    </row>
    <row r="670" spans="22:68" x14ac:dyDescent="0.25">
      <c r="V670" s="178"/>
      <c r="W670" s="174"/>
      <c r="X670" s="179"/>
      <c r="Y670" s="247"/>
      <c r="Z670" s="248"/>
      <c r="AA670" s="294" t="str">
        <f t="shared" si="57"/>
        <v/>
      </c>
      <c r="AB670" s="219" t="str">
        <f t="shared" si="55"/>
        <v/>
      </c>
      <c r="AC670" s="219">
        <f t="shared" si="58"/>
        <v>0</v>
      </c>
      <c r="AD670" s="219">
        <f t="shared" si="59"/>
        <v>0</v>
      </c>
      <c r="AE670" s="220">
        <f t="shared" si="60"/>
        <v>0</v>
      </c>
      <c r="AF670" s="221">
        <f t="shared" si="61"/>
        <v>0</v>
      </c>
      <c r="AG670" s="204"/>
      <c r="AH670" s="178"/>
      <c r="AI670" s="174"/>
      <c r="AJ670" s="179"/>
      <c r="AK670" s="247"/>
      <c r="AL670" s="248"/>
      <c r="AM670" s="294" t="str">
        <f t="shared" si="65"/>
        <v/>
      </c>
      <c r="AN670" s="219" t="str">
        <f t="shared" si="56"/>
        <v/>
      </c>
      <c r="AO670" s="219">
        <f t="shared" si="66"/>
        <v>0</v>
      </c>
      <c r="AP670" s="219">
        <f t="shared" si="62"/>
        <v>0</v>
      </c>
      <c r="AQ670" s="220">
        <f t="shared" si="67"/>
        <v>0</v>
      </c>
      <c r="AR670" s="221">
        <f t="shared" si="68"/>
        <v>0</v>
      </c>
      <c r="AY670" s="628"/>
      <c r="AZ670" s="470">
        <v>0.75</v>
      </c>
      <c r="BA670" s="466">
        <v>8234395890</v>
      </c>
      <c r="BB670" s="211">
        <v>429</v>
      </c>
      <c r="BC670" s="211">
        <v>397</v>
      </c>
      <c r="BD670" s="211" t="s">
        <v>655</v>
      </c>
      <c r="BE670" s="211">
        <v>778</v>
      </c>
      <c r="BF670" s="211">
        <v>528</v>
      </c>
      <c r="BG670" s="211">
        <v>356</v>
      </c>
      <c r="BH670" s="211">
        <v>286</v>
      </c>
      <c r="BI670" s="211">
        <v>500</v>
      </c>
      <c r="BJ670" s="211">
        <v>450</v>
      </c>
      <c r="BK670" s="211">
        <v>370</v>
      </c>
      <c r="BL670" s="211">
        <v>205</v>
      </c>
      <c r="BM670" s="211">
        <v>675</v>
      </c>
      <c r="BO670" s="28">
        <f t="shared" si="63"/>
        <v>452.18181818181819</v>
      </c>
      <c r="BP670" s="28">
        <f t="shared" si="64"/>
        <v>4974</v>
      </c>
    </row>
    <row r="671" spans="22:68" x14ac:dyDescent="0.25">
      <c r="V671" s="178"/>
      <c r="W671" s="174"/>
      <c r="X671" s="179"/>
      <c r="Y671" s="247"/>
      <c r="Z671" s="248"/>
      <c r="AA671" s="294" t="str">
        <f t="shared" si="57"/>
        <v/>
      </c>
      <c r="AB671" s="219" t="str">
        <f t="shared" si="55"/>
        <v/>
      </c>
      <c r="AC671" s="219">
        <f t="shared" si="58"/>
        <v>0</v>
      </c>
      <c r="AD671" s="219">
        <f t="shared" si="59"/>
        <v>0</v>
      </c>
      <c r="AE671" s="220">
        <f t="shared" si="60"/>
        <v>0</v>
      </c>
      <c r="AF671" s="221">
        <f t="shared" si="61"/>
        <v>0</v>
      </c>
      <c r="AG671" s="204"/>
      <c r="AH671" s="178"/>
      <c r="AI671" s="174"/>
      <c r="AJ671" s="179"/>
      <c r="AK671" s="247"/>
      <c r="AL671" s="248"/>
      <c r="AM671" s="294" t="str">
        <f t="shared" si="65"/>
        <v/>
      </c>
      <c r="AN671" s="219" t="str">
        <f t="shared" si="56"/>
        <v/>
      </c>
      <c r="AO671" s="219">
        <f t="shared" si="66"/>
        <v>0</v>
      </c>
      <c r="AP671" s="219">
        <f t="shared" si="62"/>
        <v>0</v>
      </c>
      <c r="AQ671" s="220">
        <f t="shared" si="67"/>
        <v>0</v>
      </c>
      <c r="AR671" s="221">
        <f t="shared" si="68"/>
        <v>0</v>
      </c>
      <c r="AY671" s="628"/>
      <c r="AZ671" s="470">
        <v>0.75</v>
      </c>
      <c r="BA671" s="466">
        <v>8245598341</v>
      </c>
      <c r="BB671" s="211">
        <v>886</v>
      </c>
      <c r="BC671" s="211">
        <v>98</v>
      </c>
      <c r="BD671" s="211">
        <v>131</v>
      </c>
      <c r="BE671" s="211">
        <v>141</v>
      </c>
      <c r="BF671" s="211">
        <v>801</v>
      </c>
      <c r="BG671" s="211">
        <v>540</v>
      </c>
      <c r="BH671" s="211">
        <v>1843</v>
      </c>
      <c r="BI671" s="211">
        <v>2067</v>
      </c>
      <c r="BJ671" s="211">
        <v>930</v>
      </c>
      <c r="BK671" s="211">
        <v>291</v>
      </c>
      <c r="BL671" s="211">
        <v>235</v>
      </c>
      <c r="BM671" s="211">
        <v>165</v>
      </c>
      <c r="BO671" s="28">
        <f t="shared" si="63"/>
        <v>677.33333333333337</v>
      </c>
      <c r="BP671" s="28">
        <f t="shared" si="64"/>
        <v>8128</v>
      </c>
    </row>
    <row r="672" spans="22:68" x14ac:dyDescent="0.25">
      <c r="V672" s="178"/>
      <c r="W672" s="174"/>
      <c r="X672" s="179"/>
      <c r="Y672" s="247"/>
      <c r="Z672" s="248"/>
      <c r="AA672" s="294" t="str">
        <f t="shared" si="57"/>
        <v/>
      </c>
      <c r="AB672" s="219" t="str">
        <f t="shared" si="55"/>
        <v/>
      </c>
      <c r="AC672" s="219">
        <f t="shared" si="58"/>
        <v>0</v>
      </c>
      <c r="AD672" s="219">
        <f t="shared" si="59"/>
        <v>0</v>
      </c>
      <c r="AE672" s="220">
        <f t="shared" si="60"/>
        <v>0</v>
      </c>
      <c r="AF672" s="221">
        <f t="shared" si="61"/>
        <v>0</v>
      </c>
      <c r="AG672" s="204"/>
      <c r="AH672" s="178"/>
      <c r="AI672" s="174"/>
      <c r="AJ672" s="179"/>
      <c r="AK672" s="247"/>
      <c r="AL672" s="248"/>
      <c r="AM672" s="294" t="str">
        <f t="shared" si="65"/>
        <v/>
      </c>
      <c r="AN672" s="219" t="str">
        <f t="shared" si="56"/>
        <v/>
      </c>
      <c r="AO672" s="219">
        <f t="shared" si="66"/>
        <v>0</v>
      </c>
      <c r="AP672" s="219">
        <f t="shared" si="62"/>
        <v>0</v>
      </c>
      <c r="AQ672" s="220">
        <f t="shared" si="67"/>
        <v>0</v>
      </c>
      <c r="AR672" s="221">
        <f t="shared" si="68"/>
        <v>0</v>
      </c>
      <c r="AY672" s="628"/>
      <c r="AZ672" s="470">
        <v>0.75</v>
      </c>
      <c r="BA672" s="466">
        <v>8249033459</v>
      </c>
      <c r="BB672" s="211">
        <v>122</v>
      </c>
      <c r="BC672" s="211">
        <v>258</v>
      </c>
      <c r="BD672" s="211">
        <v>531</v>
      </c>
      <c r="BE672" s="211">
        <v>280</v>
      </c>
      <c r="BF672" s="211" t="s">
        <v>655</v>
      </c>
      <c r="BG672" s="211">
        <v>326</v>
      </c>
      <c r="BH672" s="211">
        <v>687</v>
      </c>
      <c r="BI672" s="211">
        <v>980</v>
      </c>
      <c r="BJ672" s="211">
        <v>108</v>
      </c>
      <c r="BK672" s="211">
        <v>753</v>
      </c>
      <c r="BL672" s="211">
        <v>384</v>
      </c>
      <c r="BM672" s="211">
        <v>502</v>
      </c>
      <c r="BO672" s="28">
        <f t="shared" si="63"/>
        <v>448.27272727272725</v>
      </c>
      <c r="BP672" s="28">
        <f t="shared" si="64"/>
        <v>4931</v>
      </c>
    </row>
    <row r="673" spans="22:68" x14ac:dyDescent="0.25">
      <c r="V673" s="178"/>
      <c r="W673" s="174"/>
      <c r="X673" s="179"/>
      <c r="Y673" s="247"/>
      <c r="Z673" s="248"/>
      <c r="AA673" s="294" t="str">
        <f t="shared" si="57"/>
        <v/>
      </c>
      <c r="AB673" s="219" t="str">
        <f t="shared" si="55"/>
        <v/>
      </c>
      <c r="AC673" s="219">
        <f t="shared" si="58"/>
        <v>0</v>
      </c>
      <c r="AD673" s="219">
        <f t="shared" si="59"/>
        <v>0</v>
      </c>
      <c r="AE673" s="220">
        <f t="shared" si="60"/>
        <v>0</v>
      </c>
      <c r="AF673" s="221">
        <f t="shared" si="61"/>
        <v>0</v>
      </c>
      <c r="AG673" s="204"/>
      <c r="AH673" s="178"/>
      <c r="AI673" s="174"/>
      <c r="AJ673" s="179"/>
      <c r="AK673" s="247"/>
      <c r="AL673" s="248"/>
      <c r="AM673" s="294" t="str">
        <f t="shared" si="65"/>
        <v/>
      </c>
      <c r="AN673" s="219" t="str">
        <f t="shared" si="56"/>
        <v/>
      </c>
      <c r="AO673" s="219">
        <f t="shared" si="66"/>
        <v>0</v>
      </c>
      <c r="AP673" s="219">
        <f t="shared" si="62"/>
        <v>0</v>
      </c>
      <c r="AQ673" s="220">
        <f t="shared" si="67"/>
        <v>0</v>
      </c>
      <c r="AR673" s="221">
        <f t="shared" si="68"/>
        <v>0</v>
      </c>
      <c r="AY673" s="628"/>
      <c r="AZ673" s="470">
        <v>0.75</v>
      </c>
      <c r="BA673" s="466">
        <v>8258684867</v>
      </c>
      <c r="BB673" s="211">
        <v>1014</v>
      </c>
      <c r="BC673" s="211">
        <v>800</v>
      </c>
      <c r="BD673" s="211">
        <v>856</v>
      </c>
      <c r="BE673" s="211">
        <v>807</v>
      </c>
      <c r="BF673" s="211">
        <v>1067</v>
      </c>
      <c r="BG673" s="211">
        <v>1169</v>
      </c>
      <c r="BH673" s="211">
        <v>967</v>
      </c>
      <c r="BI673" s="211">
        <v>578</v>
      </c>
      <c r="BJ673" s="211">
        <v>315</v>
      </c>
      <c r="BK673" s="211">
        <v>276</v>
      </c>
      <c r="BL673" s="211">
        <v>210</v>
      </c>
      <c r="BM673" s="211">
        <v>355</v>
      </c>
      <c r="BO673" s="28">
        <f t="shared" si="63"/>
        <v>701.16666666666663</v>
      </c>
      <c r="BP673" s="28">
        <f t="shared" si="64"/>
        <v>8414</v>
      </c>
    </row>
    <row r="674" spans="22:68" x14ac:dyDescent="0.25">
      <c r="V674" s="178"/>
      <c r="W674" s="174"/>
      <c r="X674" s="179"/>
      <c r="Y674" s="247"/>
      <c r="Z674" s="248"/>
      <c r="AA674" s="294" t="str">
        <f t="shared" si="57"/>
        <v/>
      </c>
      <c r="AB674" s="219" t="str">
        <f t="shared" si="55"/>
        <v/>
      </c>
      <c r="AC674" s="219">
        <f t="shared" si="58"/>
        <v>0</v>
      </c>
      <c r="AD674" s="219">
        <f t="shared" si="59"/>
        <v>0</v>
      </c>
      <c r="AE674" s="220">
        <f t="shared" si="60"/>
        <v>0</v>
      </c>
      <c r="AF674" s="221">
        <f t="shared" si="61"/>
        <v>0</v>
      </c>
      <c r="AG674" s="204"/>
      <c r="AH674" s="178"/>
      <c r="AI674" s="174"/>
      <c r="AJ674" s="179"/>
      <c r="AK674" s="247"/>
      <c r="AL674" s="248"/>
      <c r="AM674" s="294" t="str">
        <f t="shared" si="65"/>
        <v/>
      </c>
      <c r="AN674" s="219" t="str">
        <f t="shared" si="56"/>
        <v/>
      </c>
      <c r="AO674" s="219">
        <f t="shared" si="66"/>
        <v>0</v>
      </c>
      <c r="AP674" s="219">
        <f t="shared" si="62"/>
        <v>0</v>
      </c>
      <c r="AQ674" s="220">
        <f t="shared" si="67"/>
        <v>0</v>
      </c>
      <c r="AR674" s="221">
        <f t="shared" si="68"/>
        <v>0</v>
      </c>
      <c r="AY674" s="628"/>
      <c r="AZ674" s="470">
        <v>0.75</v>
      </c>
      <c r="BA674" s="466">
        <v>8263977226</v>
      </c>
      <c r="BB674" s="211">
        <v>315</v>
      </c>
      <c r="BC674" s="211">
        <v>340</v>
      </c>
      <c r="BD674" s="211">
        <v>834</v>
      </c>
      <c r="BE674" s="211">
        <v>48</v>
      </c>
      <c r="BF674" s="211">
        <v>909</v>
      </c>
      <c r="BG674" s="211">
        <v>1211</v>
      </c>
      <c r="BH674" s="211">
        <v>2302</v>
      </c>
      <c r="BI674" s="211">
        <v>2470</v>
      </c>
      <c r="BJ674" s="211">
        <v>1545</v>
      </c>
      <c r="BK674" s="211">
        <v>400</v>
      </c>
      <c r="BL674" s="211">
        <v>300</v>
      </c>
      <c r="BM674" s="211">
        <v>457</v>
      </c>
      <c r="BO674" s="28">
        <f t="shared" si="63"/>
        <v>927.58333333333337</v>
      </c>
      <c r="BP674" s="28">
        <f t="shared" si="64"/>
        <v>11131</v>
      </c>
    </row>
    <row r="675" spans="22:68" x14ac:dyDescent="0.25">
      <c r="V675" s="178"/>
      <c r="W675" s="174"/>
      <c r="X675" s="179"/>
      <c r="Y675" s="247"/>
      <c r="Z675" s="248"/>
      <c r="AA675" s="294" t="str">
        <f t="shared" si="57"/>
        <v/>
      </c>
      <c r="AB675" s="219" t="str">
        <f t="shared" si="55"/>
        <v/>
      </c>
      <c r="AC675" s="219">
        <f t="shared" si="58"/>
        <v>0</v>
      </c>
      <c r="AD675" s="219">
        <f t="shared" si="59"/>
        <v>0</v>
      </c>
      <c r="AE675" s="220">
        <f t="shared" si="60"/>
        <v>0</v>
      </c>
      <c r="AF675" s="221">
        <f t="shared" si="61"/>
        <v>0</v>
      </c>
      <c r="AG675" s="204"/>
      <c r="AH675" s="178"/>
      <c r="AI675" s="174"/>
      <c r="AJ675" s="179"/>
      <c r="AK675" s="247"/>
      <c r="AL675" s="248"/>
      <c r="AM675" s="294" t="str">
        <f t="shared" si="65"/>
        <v/>
      </c>
      <c r="AN675" s="219" t="str">
        <f t="shared" si="56"/>
        <v/>
      </c>
      <c r="AO675" s="219">
        <f t="shared" si="66"/>
        <v>0</v>
      </c>
      <c r="AP675" s="219">
        <f t="shared" si="62"/>
        <v>0</v>
      </c>
      <c r="AQ675" s="220">
        <f t="shared" si="67"/>
        <v>0</v>
      </c>
      <c r="AR675" s="221">
        <f t="shared" si="68"/>
        <v>0</v>
      </c>
      <c r="AY675" s="628"/>
      <c r="AZ675" s="470">
        <v>0.75</v>
      </c>
      <c r="BA675" s="466">
        <v>8279707019</v>
      </c>
      <c r="BB675" s="211">
        <v>366</v>
      </c>
      <c r="BC675" s="211">
        <v>349</v>
      </c>
      <c r="BD675" s="211">
        <v>424</v>
      </c>
      <c r="BE675" s="211">
        <v>425</v>
      </c>
      <c r="BF675" s="211">
        <v>1109</v>
      </c>
      <c r="BG675" s="211">
        <v>3183</v>
      </c>
      <c r="BH675" s="211">
        <v>3720</v>
      </c>
      <c r="BI675" s="211">
        <v>3389</v>
      </c>
      <c r="BJ675" s="211">
        <v>2342</v>
      </c>
      <c r="BK675" s="211">
        <v>215</v>
      </c>
      <c r="BL675" s="211">
        <v>351</v>
      </c>
      <c r="BM675" s="211">
        <v>404</v>
      </c>
      <c r="BO675" s="28">
        <f t="shared" si="63"/>
        <v>1356.4166666666667</v>
      </c>
      <c r="BP675" s="28">
        <f t="shared" si="64"/>
        <v>16277</v>
      </c>
    </row>
    <row r="676" spans="22:68" x14ac:dyDescent="0.25">
      <c r="V676" s="178"/>
      <c r="W676" s="174"/>
      <c r="X676" s="179"/>
      <c r="Y676" s="247"/>
      <c r="Z676" s="248"/>
      <c r="AA676" s="294" t="str">
        <f t="shared" si="57"/>
        <v/>
      </c>
      <c r="AB676" s="219" t="str">
        <f t="shared" si="55"/>
        <v/>
      </c>
      <c r="AC676" s="219">
        <f t="shared" si="58"/>
        <v>0</v>
      </c>
      <c r="AD676" s="219">
        <f t="shared" si="59"/>
        <v>0</v>
      </c>
      <c r="AE676" s="220">
        <f t="shared" si="60"/>
        <v>0</v>
      </c>
      <c r="AF676" s="221">
        <f t="shared" si="61"/>
        <v>0</v>
      </c>
      <c r="AG676" s="204"/>
      <c r="AH676" s="178"/>
      <c r="AI676" s="174"/>
      <c r="AJ676" s="179"/>
      <c r="AK676" s="247"/>
      <c r="AL676" s="248"/>
      <c r="AM676" s="294" t="str">
        <f t="shared" si="65"/>
        <v/>
      </c>
      <c r="AN676" s="219" t="str">
        <f t="shared" si="56"/>
        <v/>
      </c>
      <c r="AO676" s="219">
        <f t="shared" si="66"/>
        <v>0</v>
      </c>
      <c r="AP676" s="219">
        <f t="shared" si="62"/>
        <v>0</v>
      </c>
      <c r="AQ676" s="220">
        <f t="shared" si="67"/>
        <v>0</v>
      </c>
      <c r="AR676" s="221">
        <f t="shared" si="68"/>
        <v>0</v>
      </c>
      <c r="AY676" s="628"/>
      <c r="AZ676" s="470">
        <v>0.75</v>
      </c>
      <c r="BA676" s="466">
        <v>8285749518</v>
      </c>
      <c r="BB676" s="211">
        <v>287</v>
      </c>
      <c r="BC676" s="211">
        <v>166</v>
      </c>
      <c r="BD676" s="211">
        <v>82</v>
      </c>
      <c r="BE676" s="211">
        <v>148</v>
      </c>
      <c r="BF676" s="211">
        <v>82</v>
      </c>
      <c r="BG676" s="211">
        <v>91</v>
      </c>
      <c r="BH676" s="211">
        <v>213</v>
      </c>
      <c r="BI676" s="211">
        <v>252</v>
      </c>
      <c r="BJ676" s="211">
        <v>109</v>
      </c>
      <c r="BK676" s="211">
        <v>70</v>
      </c>
      <c r="BL676" s="211">
        <v>40</v>
      </c>
      <c r="BM676" s="211">
        <v>80</v>
      </c>
      <c r="BO676" s="28">
        <f t="shared" si="63"/>
        <v>135</v>
      </c>
      <c r="BP676" s="28">
        <f t="shared" si="64"/>
        <v>1620</v>
      </c>
    </row>
    <row r="677" spans="22:68" x14ac:dyDescent="0.25">
      <c r="V677" s="178"/>
      <c r="W677" s="174"/>
      <c r="X677" s="179"/>
      <c r="Y677" s="247"/>
      <c r="Z677" s="248"/>
      <c r="AA677" s="294" t="str">
        <f t="shared" si="57"/>
        <v/>
      </c>
      <c r="AB677" s="219" t="str">
        <f t="shared" si="55"/>
        <v/>
      </c>
      <c r="AC677" s="219">
        <f t="shared" si="58"/>
        <v>0</v>
      </c>
      <c r="AD677" s="219">
        <f t="shared" si="59"/>
        <v>0</v>
      </c>
      <c r="AE677" s="220">
        <f t="shared" si="60"/>
        <v>0</v>
      </c>
      <c r="AF677" s="221">
        <f t="shared" si="61"/>
        <v>0</v>
      </c>
      <c r="AG677" s="204"/>
      <c r="AH677" s="178"/>
      <c r="AI677" s="174"/>
      <c r="AJ677" s="179"/>
      <c r="AK677" s="247"/>
      <c r="AL677" s="248"/>
      <c r="AM677" s="294" t="str">
        <f t="shared" si="65"/>
        <v/>
      </c>
      <c r="AN677" s="219" t="str">
        <f t="shared" si="56"/>
        <v/>
      </c>
      <c r="AO677" s="219">
        <f t="shared" si="66"/>
        <v>0</v>
      </c>
      <c r="AP677" s="219">
        <f t="shared" si="62"/>
        <v>0</v>
      </c>
      <c r="AQ677" s="220">
        <f t="shared" si="67"/>
        <v>0</v>
      </c>
      <c r="AR677" s="221">
        <f t="shared" si="68"/>
        <v>0</v>
      </c>
      <c r="AY677" s="628"/>
      <c r="AZ677" s="470">
        <v>0.625</v>
      </c>
      <c r="BA677" s="466">
        <v>8292305713</v>
      </c>
      <c r="BB677" s="211">
        <v>125</v>
      </c>
      <c r="BC677" s="211">
        <v>317</v>
      </c>
      <c r="BD677" s="211">
        <v>313</v>
      </c>
      <c r="BE677" s="211">
        <v>298</v>
      </c>
      <c r="BF677" s="211">
        <v>420</v>
      </c>
      <c r="BG677" s="211">
        <v>989</v>
      </c>
      <c r="BH677" s="211">
        <v>2078</v>
      </c>
      <c r="BI677" s="211">
        <v>1706</v>
      </c>
      <c r="BJ677" s="211">
        <v>1069</v>
      </c>
      <c r="BK677" s="211" t="s">
        <v>655</v>
      </c>
      <c r="BL677" s="211">
        <v>702</v>
      </c>
      <c r="BM677" s="211">
        <v>271</v>
      </c>
      <c r="BO677" s="28">
        <f t="shared" si="63"/>
        <v>753.4545454545455</v>
      </c>
      <c r="BP677" s="28">
        <f t="shared" si="64"/>
        <v>8288</v>
      </c>
    </row>
    <row r="678" spans="22:68" x14ac:dyDescent="0.25">
      <c r="V678" s="178"/>
      <c r="W678" s="174"/>
      <c r="X678" s="179"/>
      <c r="Y678" s="247"/>
      <c r="Z678" s="248"/>
      <c r="AA678" s="294" t="str">
        <f t="shared" si="57"/>
        <v/>
      </c>
      <c r="AB678" s="219" t="str">
        <f t="shared" si="55"/>
        <v/>
      </c>
      <c r="AC678" s="219">
        <f t="shared" si="58"/>
        <v>0</v>
      </c>
      <c r="AD678" s="219">
        <f t="shared" si="59"/>
        <v>0</v>
      </c>
      <c r="AE678" s="220">
        <f t="shared" si="60"/>
        <v>0</v>
      </c>
      <c r="AF678" s="221">
        <f t="shared" si="61"/>
        <v>0</v>
      </c>
      <c r="AG678" s="204"/>
      <c r="AH678" s="178"/>
      <c r="AI678" s="174"/>
      <c r="AJ678" s="179"/>
      <c r="AK678" s="247"/>
      <c r="AL678" s="248"/>
      <c r="AM678" s="294" t="str">
        <f t="shared" si="65"/>
        <v/>
      </c>
      <c r="AN678" s="219" t="str">
        <f t="shared" si="56"/>
        <v/>
      </c>
      <c r="AO678" s="219">
        <f t="shared" si="66"/>
        <v>0</v>
      </c>
      <c r="AP678" s="219">
        <f t="shared" si="62"/>
        <v>0</v>
      </c>
      <c r="AQ678" s="220">
        <f t="shared" si="67"/>
        <v>0</v>
      </c>
      <c r="AR678" s="221">
        <f t="shared" si="68"/>
        <v>0</v>
      </c>
      <c r="AY678" s="628"/>
      <c r="AZ678" s="470">
        <v>0.75</v>
      </c>
      <c r="BA678" s="466">
        <v>8301789210</v>
      </c>
      <c r="BB678" s="211">
        <v>941</v>
      </c>
      <c r="BC678" s="211">
        <v>199</v>
      </c>
      <c r="BD678" s="211">
        <v>208</v>
      </c>
      <c r="BE678" s="211">
        <v>1724</v>
      </c>
      <c r="BF678" s="211">
        <v>1010</v>
      </c>
      <c r="BG678" s="211">
        <v>1073</v>
      </c>
      <c r="BH678" s="211">
        <v>2108</v>
      </c>
      <c r="BI678" s="211">
        <v>4775</v>
      </c>
      <c r="BJ678" s="211">
        <v>2950</v>
      </c>
      <c r="BK678" s="211">
        <v>175</v>
      </c>
      <c r="BL678" s="211">
        <v>158</v>
      </c>
      <c r="BM678" s="211">
        <v>100</v>
      </c>
      <c r="BO678" s="28">
        <f t="shared" si="63"/>
        <v>1285.0833333333333</v>
      </c>
      <c r="BP678" s="28">
        <f t="shared" si="64"/>
        <v>15421</v>
      </c>
    </row>
    <row r="679" spans="22:68" x14ac:dyDescent="0.25">
      <c r="V679" s="178"/>
      <c r="W679" s="174"/>
      <c r="X679" s="179"/>
      <c r="Y679" s="247"/>
      <c r="Z679" s="248"/>
      <c r="AA679" s="294" t="str">
        <f t="shared" si="57"/>
        <v/>
      </c>
      <c r="AB679" s="219" t="str">
        <f t="shared" si="55"/>
        <v/>
      </c>
      <c r="AC679" s="219">
        <f t="shared" si="58"/>
        <v>0</v>
      </c>
      <c r="AD679" s="219">
        <f t="shared" si="59"/>
        <v>0</v>
      </c>
      <c r="AE679" s="220">
        <f t="shared" si="60"/>
        <v>0</v>
      </c>
      <c r="AF679" s="221">
        <f t="shared" si="61"/>
        <v>0</v>
      </c>
      <c r="AG679" s="204"/>
      <c r="AH679" s="178"/>
      <c r="AI679" s="174"/>
      <c r="AJ679" s="179"/>
      <c r="AK679" s="247"/>
      <c r="AL679" s="248"/>
      <c r="AM679" s="294" t="str">
        <f t="shared" si="65"/>
        <v/>
      </c>
      <c r="AN679" s="219" t="str">
        <f t="shared" si="56"/>
        <v/>
      </c>
      <c r="AO679" s="219">
        <f t="shared" si="66"/>
        <v>0</v>
      </c>
      <c r="AP679" s="219">
        <f t="shared" si="62"/>
        <v>0</v>
      </c>
      <c r="AQ679" s="220">
        <f t="shared" si="67"/>
        <v>0</v>
      </c>
      <c r="AR679" s="221">
        <f t="shared" si="68"/>
        <v>0</v>
      </c>
      <c r="AY679" s="628"/>
      <c r="AZ679" s="471">
        <v>2</v>
      </c>
      <c r="BA679" s="466">
        <v>8309191166</v>
      </c>
      <c r="BB679" s="211">
        <v>4870</v>
      </c>
      <c r="BC679" s="211">
        <v>6220</v>
      </c>
      <c r="BD679" s="211">
        <v>5200</v>
      </c>
      <c r="BE679" s="211">
        <v>5060</v>
      </c>
      <c r="BF679" s="211">
        <v>4510</v>
      </c>
      <c r="BG679" s="211">
        <v>4470</v>
      </c>
      <c r="BH679" s="211">
        <v>5200</v>
      </c>
      <c r="BI679" s="211">
        <v>4200</v>
      </c>
      <c r="BJ679" s="211">
        <v>5200</v>
      </c>
      <c r="BK679" s="211">
        <v>4430</v>
      </c>
      <c r="BL679" s="211">
        <v>4140</v>
      </c>
      <c r="BM679" s="211">
        <v>4470</v>
      </c>
      <c r="BO679" s="28">
        <f t="shared" si="63"/>
        <v>4830.833333333333</v>
      </c>
      <c r="BP679" s="28">
        <f t="shared" si="64"/>
        <v>57970</v>
      </c>
    </row>
    <row r="680" spans="22:68" x14ac:dyDescent="0.25">
      <c r="V680" s="178"/>
      <c r="W680" s="174"/>
      <c r="X680" s="179"/>
      <c r="Y680" s="247"/>
      <c r="Z680" s="248"/>
      <c r="AA680" s="294" t="str">
        <f t="shared" si="57"/>
        <v/>
      </c>
      <c r="AB680" s="219" t="str">
        <f t="shared" si="55"/>
        <v/>
      </c>
      <c r="AC680" s="219">
        <f t="shared" si="58"/>
        <v>0</v>
      </c>
      <c r="AD680" s="219">
        <f t="shared" si="59"/>
        <v>0</v>
      </c>
      <c r="AE680" s="220">
        <f t="shared" si="60"/>
        <v>0</v>
      </c>
      <c r="AF680" s="221">
        <f t="shared" si="61"/>
        <v>0</v>
      </c>
      <c r="AG680" s="204"/>
      <c r="AH680" s="178"/>
      <c r="AI680" s="174"/>
      <c r="AJ680" s="179"/>
      <c r="AK680" s="247"/>
      <c r="AL680" s="248"/>
      <c r="AM680" s="294" t="str">
        <f t="shared" si="65"/>
        <v/>
      </c>
      <c r="AN680" s="219" t="str">
        <f t="shared" si="56"/>
        <v/>
      </c>
      <c r="AO680" s="219">
        <f t="shared" si="66"/>
        <v>0</v>
      </c>
      <c r="AP680" s="219">
        <f t="shared" si="62"/>
        <v>0</v>
      </c>
      <c r="AQ680" s="220">
        <f t="shared" si="67"/>
        <v>0</v>
      </c>
      <c r="AR680" s="221">
        <f t="shared" si="68"/>
        <v>0</v>
      </c>
      <c r="AY680" s="628"/>
      <c r="AZ680" s="470">
        <v>0.625</v>
      </c>
      <c r="BA680" s="466">
        <v>8311629083</v>
      </c>
      <c r="BB680" s="211">
        <v>442</v>
      </c>
      <c r="BC680" s="211" t="s">
        <v>655</v>
      </c>
      <c r="BD680" s="211" t="s">
        <v>655</v>
      </c>
      <c r="BE680" s="211" t="s">
        <v>655</v>
      </c>
      <c r="BF680" s="211" t="s">
        <v>655</v>
      </c>
      <c r="BG680" s="211" t="s">
        <v>655</v>
      </c>
      <c r="BH680" s="211" t="s">
        <v>655</v>
      </c>
      <c r="BI680" s="211" t="s">
        <v>655</v>
      </c>
      <c r="BJ680" s="211" t="s">
        <v>655</v>
      </c>
      <c r="BK680" s="211" t="s">
        <v>655</v>
      </c>
      <c r="BL680" s="211" t="s">
        <v>655</v>
      </c>
      <c r="BM680" s="211" t="s">
        <v>655</v>
      </c>
      <c r="BO680" s="28">
        <f t="shared" si="63"/>
        <v>442</v>
      </c>
      <c r="BP680" s="28">
        <f t="shared" si="64"/>
        <v>442</v>
      </c>
    </row>
    <row r="681" spans="22:68" x14ac:dyDescent="0.25">
      <c r="V681" s="178"/>
      <c r="W681" s="174"/>
      <c r="X681" s="179"/>
      <c r="Y681" s="247"/>
      <c r="Z681" s="248"/>
      <c r="AA681" s="294" t="str">
        <f t="shared" si="57"/>
        <v/>
      </c>
      <c r="AB681" s="219" t="str">
        <f t="shared" si="55"/>
        <v/>
      </c>
      <c r="AC681" s="219">
        <f t="shared" si="58"/>
        <v>0</v>
      </c>
      <c r="AD681" s="219">
        <f t="shared" si="59"/>
        <v>0</v>
      </c>
      <c r="AE681" s="220">
        <f t="shared" si="60"/>
        <v>0</v>
      </c>
      <c r="AF681" s="221">
        <f t="shared" si="61"/>
        <v>0</v>
      </c>
      <c r="AG681" s="204"/>
      <c r="AH681" s="178"/>
      <c r="AI681" s="174"/>
      <c r="AJ681" s="179"/>
      <c r="AK681" s="247"/>
      <c r="AL681" s="248"/>
      <c r="AM681" s="294" t="str">
        <f t="shared" si="65"/>
        <v/>
      </c>
      <c r="AN681" s="219" t="str">
        <f t="shared" si="56"/>
        <v/>
      </c>
      <c r="AO681" s="219">
        <f t="shared" si="66"/>
        <v>0</v>
      </c>
      <c r="AP681" s="219">
        <f t="shared" si="62"/>
        <v>0</v>
      </c>
      <c r="AQ681" s="220">
        <f t="shared" si="67"/>
        <v>0</v>
      </c>
      <c r="AR681" s="221">
        <f t="shared" si="68"/>
        <v>0</v>
      </c>
      <c r="AY681" s="628"/>
      <c r="AZ681" s="470">
        <v>0.75</v>
      </c>
      <c r="BA681" s="466">
        <v>8314648695</v>
      </c>
      <c r="BB681" s="211">
        <v>354</v>
      </c>
      <c r="BC681" s="211">
        <v>345</v>
      </c>
      <c r="BD681" s="211">
        <v>339</v>
      </c>
      <c r="BE681" s="211">
        <v>589</v>
      </c>
      <c r="BF681" s="211">
        <v>1334</v>
      </c>
      <c r="BG681" s="211">
        <v>1246</v>
      </c>
      <c r="BH681" s="211">
        <v>1945</v>
      </c>
      <c r="BI681" s="211">
        <v>2749</v>
      </c>
      <c r="BJ681" s="211">
        <v>1664</v>
      </c>
      <c r="BK681" s="211">
        <v>685</v>
      </c>
      <c r="BL681" s="211">
        <v>336</v>
      </c>
      <c r="BM681" s="211">
        <v>311</v>
      </c>
      <c r="BO681" s="28">
        <f t="shared" si="63"/>
        <v>991.41666666666663</v>
      </c>
      <c r="BP681" s="28">
        <f t="shared" si="64"/>
        <v>11897</v>
      </c>
    </row>
    <row r="682" spans="22:68" x14ac:dyDescent="0.25">
      <c r="V682" s="178"/>
      <c r="W682" s="174"/>
      <c r="X682" s="179"/>
      <c r="Y682" s="247"/>
      <c r="Z682" s="248"/>
      <c r="AA682" s="294" t="str">
        <f t="shared" si="57"/>
        <v/>
      </c>
      <c r="AB682" s="219" t="str">
        <f t="shared" si="55"/>
        <v/>
      </c>
      <c r="AC682" s="219">
        <f t="shared" si="58"/>
        <v>0</v>
      </c>
      <c r="AD682" s="219">
        <f t="shared" si="59"/>
        <v>0</v>
      </c>
      <c r="AE682" s="220">
        <f t="shared" si="60"/>
        <v>0</v>
      </c>
      <c r="AF682" s="221">
        <f t="shared" si="61"/>
        <v>0</v>
      </c>
      <c r="AG682" s="204"/>
      <c r="AH682" s="178"/>
      <c r="AI682" s="174"/>
      <c r="AJ682" s="179"/>
      <c r="AK682" s="247"/>
      <c r="AL682" s="248"/>
      <c r="AM682" s="294" t="str">
        <f t="shared" si="65"/>
        <v/>
      </c>
      <c r="AN682" s="219" t="str">
        <f t="shared" si="56"/>
        <v/>
      </c>
      <c r="AO682" s="219">
        <f t="shared" si="66"/>
        <v>0</v>
      </c>
      <c r="AP682" s="219">
        <f t="shared" si="62"/>
        <v>0</v>
      </c>
      <c r="AQ682" s="220">
        <f t="shared" si="67"/>
        <v>0</v>
      </c>
      <c r="AR682" s="221">
        <f t="shared" si="68"/>
        <v>0</v>
      </c>
      <c r="AY682" s="628"/>
      <c r="AZ682" s="470">
        <v>0.75</v>
      </c>
      <c r="BA682" s="466">
        <v>8316665668</v>
      </c>
      <c r="BB682" s="211">
        <v>346</v>
      </c>
      <c r="BC682" s="211">
        <v>323</v>
      </c>
      <c r="BD682" s="211">
        <v>309</v>
      </c>
      <c r="BE682" s="211">
        <v>263</v>
      </c>
      <c r="BF682" s="211">
        <v>273</v>
      </c>
      <c r="BG682" s="211">
        <v>349</v>
      </c>
      <c r="BH682" s="211">
        <v>3252</v>
      </c>
      <c r="BI682" s="211">
        <v>3988</v>
      </c>
      <c r="BJ682" s="211">
        <v>3369</v>
      </c>
      <c r="BK682" s="211">
        <v>1030</v>
      </c>
      <c r="BL682" s="211">
        <v>250</v>
      </c>
      <c r="BM682" s="211">
        <v>266</v>
      </c>
      <c r="BO682" s="28">
        <f t="shared" si="63"/>
        <v>1168.1666666666667</v>
      </c>
      <c r="BP682" s="28">
        <f t="shared" si="64"/>
        <v>14018</v>
      </c>
    </row>
    <row r="683" spans="22:68" x14ac:dyDescent="0.25">
      <c r="V683" s="178"/>
      <c r="W683" s="174"/>
      <c r="X683" s="179"/>
      <c r="Y683" s="247"/>
      <c r="Z683" s="248"/>
      <c r="AA683" s="294" t="str">
        <f t="shared" si="57"/>
        <v/>
      </c>
      <c r="AB683" s="219" t="str">
        <f t="shared" si="55"/>
        <v/>
      </c>
      <c r="AC683" s="219">
        <f t="shared" si="58"/>
        <v>0</v>
      </c>
      <c r="AD683" s="219">
        <f t="shared" si="59"/>
        <v>0</v>
      </c>
      <c r="AE683" s="220">
        <f t="shared" si="60"/>
        <v>0</v>
      </c>
      <c r="AF683" s="221">
        <f t="shared" si="61"/>
        <v>0</v>
      </c>
      <c r="AG683" s="204"/>
      <c r="AH683" s="178"/>
      <c r="AI683" s="174"/>
      <c r="AJ683" s="179"/>
      <c r="AK683" s="247"/>
      <c r="AL683" s="248"/>
      <c r="AM683" s="294" t="str">
        <f t="shared" si="65"/>
        <v/>
      </c>
      <c r="AN683" s="219" t="str">
        <f t="shared" si="56"/>
        <v/>
      </c>
      <c r="AO683" s="219">
        <f t="shared" si="66"/>
        <v>0</v>
      </c>
      <c r="AP683" s="219">
        <f t="shared" si="62"/>
        <v>0</v>
      </c>
      <c r="AQ683" s="220">
        <f t="shared" si="67"/>
        <v>0</v>
      </c>
      <c r="AR683" s="221">
        <f t="shared" si="68"/>
        <v>0</v>
      </c>
      <c r="AY683" s="628"/>
      <c r="AZ683" s="470">
        <v>0.75</v>
      </c>
      <c r="BA683" s="466">
        <v>8319525940</v>
      </c>
      <c r="BB683" s="211">
        <v>716</v>
      </c>
      <c r="BC683" s="211">
        <v>691</v>
      </c>
      <c r="BD683" s="211">
        <v>752</v>
      </c>
      <c r="BE683" s="211">
        <v>920</v>
      </c>
      <c r="BF683" s="211">
        <v>1222</v>
      </c>
      <c r="BG683" s="211">
        <v>300</v>
      </c>
      <c r="BH683" s="211">
        <v>3350</v>
      </c>
      <c r="BI683" s="211">
        <v>1739</v>
      </c>
      <c r="BJ683" s="211">
        <v>1510</v>
      </c>
      <c r="BK683" s="211">
        <v>512</v>
      </c>
      <c r="BL683" s="211">
        <v>1330</v>
      </c>
      <c r="BM683" s="211">
        <v>1006</v>
      </c>
      <c r="BO683" s="28">
        <f t="shared" si="63"/>
        <v>1170.6666666666667</v>
      </c>
      <c r="BP683" s="28">
        <f t="shared" si="64"/>
        <v>14048</v>
      </c>
    </row>
    <row r="684" spans="22:68" x14ac:dyDescent="0.25">
      <c r="V684" s="178"/>
      <c r="W684" s="174"/>
      <c r="X684" s="179"/>
      <c r="Y684" s="247"/>
      <c r="Z684" s="248"/>
      <c r="AA684" s="294" t="str">
        <f t="shared" si="57"/>
        <v/>
      </c>
      <c r="AB684" s="219" t="str">
        <f t="shared" si="55"/>
        <v/>
      </c>
      <c r="AC684" s="219">
        <f t="shared" si="58"/>
        <v>0</v>
      </c>
      <c r="AD684" s="219">
        <f t="shared" si="59"/>
        <v>0</v>
      </c>
      <c r="AE684" s="220">
        <f t="shared" si="60"/>
        <v>0</v>
      </c>
      <c r="AF684" s="221">
        <f t="shared" si="61"/>
        <v>0</v>
      </c>
      <c r="AG684" s="204"/>
      <c r="AH684" s="178"/>
      <c r="AI684" s="174"/>
      <c r="AJ684" s="179"/>
      <c r="AK684" s="247"/>
      <c r="AL684" s="248"/>
      <c r="AM684" s="294" t="str">
        <f t="shared" si="65"/>
        <v/>
      </c>
      <c r="AN684" s="219" t="str">
        <f t="shared" si="56"/>
        <v/>
      </c>
      <c r="AO684" s="219">
        <f t="shared" si="66"/>
        <v>0</v>
      </c>
      <c r="AP684" s="219">
        <f t="shared" si="62"/>
        <v>0</v>
      </c>
      <c r="AQ684" s="220">
        <f t="shared" si="67"/>
        <v>0</v>
      </c>
      <c r="AR684" s="221">
        <f t="shared" si="68"/>
        <v>0</v>
      </c>
      <c r="AY684" s="628"/>
      <c r="AZ684" s="470">
        <v>0.75</v>
      </c>
      <c r="BA684" s="466">
        <v>8335828173</v>
      </c>
      <c r="BB684" s="211">
        <v>733</v>
      </c>
      <c r="BC684" s="211">
        <v>554</v>
      </c>
      <c r="BD684" s="211">
        <v>625</v>
      </c>
      <c r="BE684" s="211">
        <v>904</v>
      </c>
      <c r="BF684" s="211">
        <v>535</v>
      </c>
      <c r="BG684" s="211">
        <v>609</v>
      </c>
      <c r="BH684" s="211">
        <v>779</v>
      </c>
      <c r="BI684" s="211">
        <v>571</v>
      </c>
      <c r="BJ684" s="211">
        <v>655</v>
      </c>
      <c r="BK684" s="211">
        <v>382</v>
      </c>
      <c r="BL684" s="211">
        <v>704</v>
      </c>
      <c r="BM684" s="211">
        <v>500</v>
      </c>
      <c r="BO684" s="28">
        <f t="shared" si="63"/>
        <v>629.25</v>
      </c>
      <c r="BP684" s="28">
        <f t="shared" si="64"/>
        <v>7551</v>
      </c>
    </row>
    <row r="685" spans="22:68" x14ac:dyDescent="0.25">
      <c r="V685" s="178"/>
      <c r="W685" s="174"/>
      <c r="X685" s="179"/>
      <c r="Y685" s="247"/>
      <c r="Z685" s="248"/>
      <c r="AA685" s="294" t="str">
        <f t="shared" si="57"/>
        <v/>
      </c>
      <c r="AB685" s="219" t="str">
        <f t="shared" si="55"/>
        <v/>
      </c>
      <c r="AC685" s="219">
        <f t="shared" si="58"/>
        <v>0</v>
      </c>
      <c r="AD685" s="219">
        <f t="shared" si="59"/>
        <v>0</v>
      </c>
      <c r="AE685" s="220">
        <f t="shared" si="60"/>
        <v>0</v>
      </c>
      <c r="AF685" s="221">
        <f t="shared" si="61"/>
        <v>0</v>
      </c>
      <c r="AG685" s="204"/>
      <c r="AH685" s="178"/>
      <c r="AI685" s="174"/>
      <c r="AJ685" s="179"/>
      <c r="AK685" s="247"/>
      <c r="AL685" s="248"/>
      <c r="AM685" s="294" t="str">
        <f t="shared" si="65"/>
        <v/>
      </c>
      <c r="AN685" s="219" t="str">
        <f t="shared" si="56"/>
        <v/>
      </c>
      <c r="AO685" s="219">
        <f t="shared" si="66"/>
        <v>0</v>
      </c>
      <c r="AP685" s="219">
        <f t="shared" si="62"/>
        <v>0</v>
      </c>
      <c r="AQ685" s="220">
        <f t="shared" si="67"/>
        <v>0</v>
      </c>
      <c r="AR685" s="221">
        <f t="shared" si="68"/>
        <v>0</v>
      </c>
      <c r="AY685" s="628"/>
      <c r="AZ685" s="470">
        <v>0.75</v>
      </c>
      <c r="BA685" s="466">
        <v>8343973585</v>
      </c>
      <c r="BB685" s="211">
        <v>4280</v>
      </c>
      <c r="BC685" s="211">
        <v>2220</v>
      </c>
      <c r="BD685" s="211">
        <v>2301</v>
      </c>
      <c r="BE685" s="211" t="s">
        <v>655</v>
      </c>
      <c r="BF685" s="211" t="s">
        <v>655</v>
      </c>
      <c r="BG685" s="211">
        <v>7799</v>
      </c>
      <c r="BH685" s="211">
        <v>2331</v>
      </c>
      <c r="BI685" s="211">
        <v>2435</v>
      </c>
      <c r="BJ685" s="211">
        <v>2661</v>
      </c>
      <c r="BK685" s="211">
        <v>590</v>
      </c>
      <c r="BL685" s="211">
        <v>320</v>
      </c>
      <c r="BM685" s="211">
        <v>320</v>
      </c>
      <c r="BO685" s="28">
        <f t="shared" si="63"/>
        <v>2525.6999999999998</v>
      </c>
      <c r="BP685" s="28">
        <f t="shared" si="64"/>
        <v>25257</v>
      </c>
    </row>
    <row r="686" spans="22:68" x14ac:dyDescent="0.25">
      <c r="V686" s="178"/>
      <c r="W686" s="174"/>
      <c r="X686" s="179"/>
      <c r="Y686" s="247"/>
      <c r="Z686" s="248"/>
      <c r="AA686" s="294" t="str">
        <f t="shared" si="57"/>
        <v/>
      </c>
      <c r="AB686" s="219" t="str">
        <f t="shared" si="55"/>
        <v/>
      </c>
      <c r="AC686" s="219">
        <f t="shared" si="58"/>
        <v>0</v>
      </c>
      <c r="AD686" s="219">
        <f t="shared" si="59"/>
        <v>0</v>
      </c>
      <c r="AE686" s="220">
        <f t="shared" si="60"/>
        <v>0</v>
      </c>
      <c r="AF686" s="221">
        <f t="shared" si="61"/>
        <v>0</v>
      </c>
      <c r="AG686" s="204"/>
      <c r="AH686" s="178"/>
      <c r="AI686" s="174"/>
      <c r="AJ686" s="179"/>
      <c r="AK686" s="247"/>
      <c r="AL686" s="248"/>
      <c r="AM686" s="294" t="str">
        <f t="shared" si="65"/>
        <v/>
      </c>
      <c r="AN686" s="219" t="str">
        <f t="shared" si="56"/>
        <v/>
      </c>
      <c r="AO686" s="219">
        <f t="shared" si="66"/>
        <v>0</v>
      </c>
      <c r="AP686" s="219">
        <f t="shared" si="62"/>
        <v>0</v>
      </c>
      <c r="AQ686" s="220">
        <f t="shared" si="67"/>
        <v>0</v>
      </c>
      <c r="AR686" s="221">
        <f t="shared" si="68"/>
        <v>0</v>
      </c>
      <c r="AY686" s="628"/>
      <c r="AZ686" s="470">
        <v>0.75</v>
      </c>
      <c r="BA686" s="466">
        <v>8351253701</v>
      </c>
      <c r="BB686" s="211">
        <v>173</v>
      </c>
      <c r="BC686" s="211">
        <v>150</v>
      </c>
      <c r="BD686" s="211">
        <v>223</v>
      </c>
      <c r="BE686" s="211">
        <v>227</v>
      </c>
      <c r="BF686" s="211">
        <v>1067</v>
      </c>
      <c r="BG686" s="211">
        <v>1525</v>
      </c>
      <c r="BH686" s="211">
        <v>3225</v>
      </c>
      <c r="BI686" s="211">
        <v>7696</v>
      </c>
      <c r="BJ686" s="211">
        <v>6660</v>
      </c>
      <c r="BK686" s="211">
        <v>565</v>
      </c>
      <c r="BL686" s="211">
        <v>149</v>
      </c>
      <c r="BM686" s="211">
        <v>122</v>
      </c>
      <c r="BO686" s="28">
        <f t="shared" si="63"/>
        <v>1815.1666666666667</v>
      </c>
      <c r="BP686" s="28">
        <f t="shared" si="64"/>
        <v>21782</v>
      </c>
    </row>
    <row r="687" spans="22:68" x14ac:dyDescent="0.25">
      <c r="V687" s="178"/>
      <c r="W687" s="174"/>
      <c r="X687" s="179"/>
      <c r="Y687" s="247"/>
      <c r="Z687" s="248"/>
      <c r="AA687" s="294" t="str">
        <f t="shared" si="57"/>
        <v/>
      </c>
      <c r="AB687" s="219" t="str">
        <f t="shared" si="55"/>
        <v/>
      </c>
      <c r="AC687" s="219">
        <f t="shared" si="58"/>
        <v>0</v>
      </c>
      <c r="AD687" s="219">
        <f t="shared" si="59"/>
        <v>0</v>
      </c>
      <c r="AE687" s="220">
        <f t="shared" si="60"/>
        <v>0</v>
      </c>
      <c r="AF687" s="221">
        <f t="shared" si="61"/>
        <v>0</v>
      </c>
      <c r="AG687" s="204"/>
      <c r="AH687" s="178"/>
      <c r="AI687" s="174"/>
      <c r="AJ687" s="179"/>
      <c r="AK687" s="247"/>
      <c r="AL687" s="248"/>
      <c r="AM687" s="294" t="str">
        <f t="shared" si="65"/>
        <v/>
      </c>
      <c r="AN687" s="219" t="str">
        <f t="shared" si="56"/>
        <v/>
      </c>
      <c r="AO687" s="219">
        <f t="shared" si="66"/>
        <v>0</v>
      </c>
      <c r="AP687" s="219">
        <f t="shared" si="62"/>
        <v>0</v>
      </c>
      <c r="AQ687" s="220">
        <f t="shared" si="67"/>
        <v>0</v>
      </c>
      <c r="AR687" s="221">
        <f t="shared" si="68"/>
        <v>0</v>
      </c>
      <c r="AY687" s="628"/>
      <c r="AZ687" s="470">
        <v>0.75</v>
      </c>
      <c r="BA687" s="466">
        <v>8353142233</v>
      </c>
      <c r="BB687" s="211">
        <v>85</v>
      </c>
      <c r="BC687" s="211">
        <v>74</v>
      </c>
      <c r="BD687" s="211">
        <v>103</v>
      </c>
      <c r="BE687" s="211">
        <v>96</v>
      </c>
      <c r="BF687" s="211">
        <v>105</v>
      </c>
      <c r="BG687" s="211">
        <v>559</v>
      </c>
      <c r="BH687" s="211">
        <v>124</v>
      </c>
      <c r="BI687" s="211">
        <v>129</v>
      </c>
      <c r="BJ687" s="211">
        <v>281</v>
      </c>
      <c r="BK687" s="211">
        <v>202</v>
      </c>
      <c r="BL687" s="211">
        <v>80</v>
      </c>
      <c r="BM687" s="211">
        <v>290</v>
      </c>
      <c r="BO687" s="28">
        <f t="shared" si="63"/>
        <v>177.33333333333334</v>
      </c>
      <c r="BP687" s="28">
        <f t="shared" si="64"/>
        <v>2128</v>
      </c>
    </row>
    <row r="688" spans="22:68" x14ac:dyDescent="0.25">
      <c r="V688" s="178"/>
      <c r="W688" s="174"/>
      <c r="X688" s="179"/>
      <c r="Y688" s="247"/>
      <c r="Z688" s="248"/>
      <c r="AA688" s="294" t="str">
        <f t="shared" si="57"/>
        <v/>
      </c>
      <c r="AB688" s="219" t="str">
        <f t="shared" si="55"/>
        <v/>
      </c>
      <c r="AC688" s="219">
        <f t="shared" si="58"/>
        <v>0</v>
      </c>
      <c r="AD688" s="219">
        <f t="shared" si="59"/>
        <v>0</v>
      </c>
      <c r="AE688" s="220">
        <f t="shared" si="60"/>
        <v>0</v>
      </c>
      <c r="AF688" s="221">
        <f t="shared" si="61"/>
        <v>0</v>
      </c>
      <c r="AG688" s="204"/>
      <c r="AH688" s="178"/>
      <c r="AI688" s="174"/>
      <c r="AJ688" s="179"/>
      <c r="AK688" s="247"/>
      <c r="AL688" s="248"/>
      <c r="AM688" s="294" t="str">
        <f t="shared" si="65"/>
        <v/>
      </c>
      <c r="AN688" s="219" t="str">
        <f t="shared" si="56"/>
        <v/>
      </c>
      <c r="AO688" s="219">
        <f t="shared" si="66"/>
        <v>0</v>
      </c>
      <c r="AP688" s="219">
        <f t="shared" si="62"/>
        <v>0</v>
      </c>
      <c r="AQ688" s="220">
        <f t="shared" si="67"/>
        <v>0</v>
      </c>
      <c r="AR688" s="221">
        <f t="shared" si="68"/>
        <v>0</v>
      </c>
      <c r="AY688" s="628"/>
      <c r="AZ688" s="470">
        <v>0.75</v>
      </c>
      <c r="BA688" s="466">
        <v>8357597497</v>
      </c>
      <c r="BB688" s="211">
        <v>246</v>
      </c>
      <c r="BC688" s="211">
        <v>287</v>
      </c>
      <c r="BD688" s="211">
        <v>279</v>
      </c>
      <c r="BE688" s="211">
        <v>271</v>
      </c>
      <c r="BF688" s="211">
        <v>333</v>
      </c>
      <c r="BG688" s="211">
        <v>328</v>
      </c>
      <c r="BH688" s="211">
        <v>564</v>
      </c>
      <c r="BI688" s="211">
        <v>411</v>
      </c>
      <c r="BJ688" s="211">
        <v>450</v>
      </c>
      <c r="BK688" s="211">
        <v>93</v>
      </c>
      <c r="BL688" s="211">
        <v>487</v>
      </c>
      <c r="BM688" s="211">
        <v>678</v>
      </c>
      <c r="BO688" s="28">
        <f t="shared" si="63"/>
        <v>368.91666666666669</v>
      </c>
      <c r="BP688" s="28">
        <f t="shared" si="64"/>
        <v>4427</v>
      </c>
    </row>
    <row r="689" spans="22:68" x14ac:dyDescent="0.25">
      <c r="V689" s="178"/>
      <c r="W689" s="174"/>
      <c r="X689" s="179"/>
      <c r="Y689" s="247"/>
      <c r="Z689" s="248"/>
      <c r="AA689" s="294" t="str">
        <f t="shared" si="57"/>
        <v/>
      </c>
      <c r="AB689" s="219" t="str">
        <f t="shared" si="55"/>
        <v/>
      </c>
      <c r="AC689" s="219">
        <f t="shared" si="58"/>
        <v>0</v>
      </c>
      <c r="AD689" s="219">
        <f t="shared" si="59"/>
        <v>0</v>
      </c>
      <c r="AE689" s="220">
        <f t="shared" si="60"/>
        <v>0</v>
      </c>
      <c r="AF689" s="221">
        <f t="shared" si="61"/>
        <v>0</v>
      </c>
      <c r="AG689" s="204"/>
      <c r="AH689" s="178"/>
      <c r="AI689" s="174"/>
      <c r="AJ689" s="179"/>
      <c r="AK689" s="247"/>
      <c r="AL689" s="248"/>
      <c r="AM689" s="294" t="str">
        <f t="shared" si="65"/>
        <v/>
      </c>
      <c r="AN689" s="219" t="str">
        <f t="shared" si="56"/>
        <v/>
      </c>
      <c r="AO689" s="219">
        <f t="shared" si="66"/>
        <v>0</v>
      </c>
      <c r="AP689" s="219">
        <f t="shared" si="62"/>
        <v>0</v>
      </c>
      <c r="AQ689" s="220">
        <f t="shared" si="67"/>
        <v>0</v>
      </c>
      <c r="AR689" s="221">
        <f t="shared" si="68"/>
        <v>0</v>
      </c>
      <c r="AY689" s="628"/>
      <c r="AZ689" s="470">
        <v>1</v>
      </c>
      <c r="BA689" s="466">
        <v>8366765648</v>
      </c>
      <c r="BB689" s="211">
        <v>1169</v>
      </c>
      <c r="BC689" s="211">
        <v>548</v>
      </c>
      <c r="BD689" s="211">
        <v>835</v>
      </c>
      <c r="BE689" s="211">
        <v>676</v>
      </c>
      <c r="BF689" s="211">
        <v>5313</v>
      </c>
      <c r="BG689" s="211">
        <v>6524</v>
      </c>
      <c r="BH689" s="211">
        <v>7564</v>
      </c>
      <c r="BI689" s="211">
        <v>6653</v>
      </c>
      <c r="BJ689" s="211">
        <v>8022</v>
      </c>
      <c r="BK689" s="211">
        <v>3948</v>
      </c>
      <c r="BL689" s="211">
        <v>420</v>
      </c>
      <c r="BM689" s="211">
        <v>600</v>
      </c>
      <c r="BO689" s="28">
        <f t="shared" si="63"/>
        <v>3522.6666666666665</v>
      </c>
      <c r="BP689" s="28">
        <f t="shared" si="64"/>
        <v>42272</v>
      </c>
    </row>
    <row r="690" spans="22:68" x14ac:dyDescent="0.25">
      <c r="V690" s="178"/>
      <c r="W690" s="174"/>
      <c r="X690" s="179"/>
      <c r="Y690" s="247"/>
      <c r="Z690" s="248"/>
      <c r="AA690" s="294" t="str">
        <f t="shared" si="57"/>
        <v/>
      </c>
      <c r="AB690" s="219" t="str">
        <f t="shared" si="55"/>
        <v/>
      </c>
      <c r="AC690" s="219">
        <f t="shared" si="58"/>
        <v>0</v>
      </c>
      <c r="AD690" s="219">
        <f t="shared" si="59"/>
        <v>0</v>
      </c>
      <c r="AE690" s="220">
        <f t="shared" si="60"/>
        <v>0</v>
      </c>
      <c r="AF690" s="221">
        <f t="shared" si="61"/>
        <v>0</v>
      </c>
      <c r="AG690" s="204"/>
      <c r="AH690" s="178"/>
      <c r="AI690" s="174"/>
      <c r="AJ690" s="179"/>
      <c r="AK690" s="247"/>
      <c r="AL690" s="248"/>
      <c r="AM690" s="294" t="str">
        <f t="shared" si="65"/>
        <v/>
      </c>
      <c r="AN690" s="219" t="str">
        <f t="shared" si="56"/>
        <v/>
      </c>
      <c r="AO690" s="219">
        <f t="shared" si="66"/>
        <v>0</v>
      </c>
      <c r="AP690" s="219">
        <f t="shared" si="62"/>
        <v>0</v>
      </c>
      <c r="AQ690" s="220">
        <f t="shared" si="67"/>
        <v>0</v>
      </c>
      <c r="AR690" s="221">
        <f t="shared" si="68"/>
        <v>0</v>
      </c>
      <c r="AY690" s="628"/>
      <c r="AZ690" s="470">
        <v>0.625</v>
      </c>
      <c r="BA690" s="466">
        <v>8369991219</v>
      </c>
      <c r="BB690" s="211">
        <v>300</v>
      </c>
      <c r="BC690" s="211">
        <v>324</v>
      </c>
      <c r="BD690" s="211">
        <v>351</v>
      </c>
      <c r="BE690" s="211">
        <v>367</v>
      </c>
      <c r="BF690" s="211">
        <v>410</v>
      </c>
      <c r="BG690" s="211">
        <v>493</v>
      </c>
      <c r="BH690" s="211">
        <v>398</v>
      </c>
      <c r="BI690" s="211">
        <v>409</v>
      </c>
      <c r="BJ690" s="211">
        <v>983</v>
      </c>
      <c r="BK690" s="211">
        <v>351</v>
      </c>
      <c r="BL690" s="211">
        <v>291</v>
      </c>
      <c r="BM690" s="211">
        <v>368</v>
      </c>
      <c r="BO690" s="28">
        <f t="shared" si="63"/>
        <v>420.41666666666669</v>
      </c>
      <c r="BP690" s="28">
        <f t="shared" si="64"/>
        <v>5045</v>
      </c>
    </row>
    <row r="691" spans="22:68" x14ac:dyDescent="0.25">
      <c r="V691" s="178"/>
      <c r="W691" s="174"/>
      <c r="X691" s="179"/>
      <c r="Y691" s="247"/>
      <c r="Z691" s="248"/>
      <c r="AA691" s="294" t="str">
        <f t="shared" si="57"/>
        <v/>
      </c>
      <c r="AB691" s="219" t="str">
        <f t="shared" si="55"/>
        <v/>
      </c>
      <c r="AC691" s="219">
        <f t="shared" si="58"/>
        <v>0</v>
      </c>
      <c r="AD691" s="219">
        <f t="shared" si="59"/>
        <v>0</v>
      </c>
      <c r="AE691" s="220">
        <f t="shared" si="60"/>
        <v>0</v>
      </c>
      <c r="AF691" s="221">
        <f t="shared" si="61"/>
        <v>0</v>
      </c>
      <c r="AG691" s="204"/>
      <c r="AH691" s="178"/>
      <c r="AI691" s="174"/>
      <c r="AJ691" s="179"/>
      <c r="AK691" s="247"/>
      <c r="AL691" s="248"/>
      <c r="AM691" s="294" t="str">
        <f t="shared" si="65"/>
        <v/>
      </c>
      <c r="AN691" s="219" t="str">
        <f t="shared" si="56"/>
        <v/>
      </c>
      <c r="AO691" s="219">
        <f t="shared" si="66"/>
        <v>0</v>
      </c>
      <c r="AP691" s="219">
        <f t="shared" si="62"/>
        <v>0</v>
      </c>
      <c r="AQ691" s="220">
        <f t="shared" si="67"/>
        <v>0</v>
      </c>
      <c r="AR691" s="221">
        <f t="shared" si="68"/>
        <v>0</v>
      </c>
      <c r="AY691" s="628"/>
      <c r="AZ691" s="470">
        <v>1</v>
      </c>
      <c r="BA691" s="466">
        <v>8370881020</v>
      </c>
      <c r="BB691" s="211">
        <v>1094</v>
      </c>
      <c r="BC691" s="211">
        <v>2396</v>
      </c>
      <c r="BD691" s="211">
        <v>3970</v>
      </c>
      <c r="BE691" s="211" t="s">
        <v>655</v>
      </c>
      <c r="BF691" s="211" t="s">
        <v>655</v>
      </c>
      <c r="BG691" s="211">
        <v>6001</v>
      </c>
      <c r="BH691" s="211">
        <v>19589</v>
      </c>
      <c r="BI691" s="211">
        <v>20961</v>
      </c>
      <c r="BJ691" s="211" t="s">
        <v>655</v>
      </c>
      <c r="BK691" s="211" t="s">
        <v>655</v>
      </c>
      <c r="BL691" s="211" t="s">
        <v>655</v>
      </c>
      <c r="BM691" s="211">
        <v>1186</v>
      </c>
      <c r="BO691" s="28">
        <f t="shared" si="63"/>
        <v>7885.2857142857147</v>
      </c>
      <c r="BP691" s="28">
        <f t="shared" si="64"/>
        <v>55197</v>
      </c>
    </row>
    <row r="692" spans="22:68" x14ac:dyDescent="0.25">
      <c r="V692" s="178"/>
      <c r="W692" s="174"/>
      <c r="X692" s="179"/>
      <c r="Y692" s="247"/>
      <c r="Z692" s="248"/>
      <c r="AA692" s="294" t="str">
        <f t="shared" si="57"/>
        <v/>
      </c>
      <c r="AB692" s="219" t="str">
        <f t="shared" si="55"/>
        <v/>
      </c>
      <c r="AC692" s="219">
        <f t="shared" si="58"/>
        <v>0</v>
      </c>
      <c r="AD692" s="219">
        <f t="shared" si="59"/>
        <v>0</v>
      </c>
      <c r="AE692" s="220">
        <f t="shared" si="60"/>
        <v>0</v>
      </c>
      <c r="AF692" s="221">
        <f t="shared" si="61"/>
        <v>0</v>
      </c>
      <c r="AG692" s="204"/>
      <c r="AH692" s="178"/>
      <c r="AI692" s="174"/>
      <c r="AJ692" s="179"/>
      <c r="AK692" s="247"/>
      <c r="AL692" s="248"/>
      <c r="AM692" s="294" t="str">
        <f t="shared" si="65"/>
        <v/>
      </c>
      <c r="AN692" s="219" t="str">
        <f t="shared" si="56"/>
        <v/>
      </c>
      <c r="AO692" s="219">
        <f t="shared" si="66"/>
        <v>0</v>
      </c>
      <c r="AP692" s="219">
        <f t="shared" si="62"/>
        <v>0</v>
      </c>
      <c r="AQ692" s="220">
        <f t="shared" si="67"/>
        <v>0</v>
      </c>
      <c r="AR692" s="221">
        <f t="shared" si="68"/>
        <v>0</v>
      </c>
      <c r="AY692" s="628"/>
      <c r="AZ692" s="470">
        <v>0.75</v>
      </c>
      <c r="BA692" s="466">
        <v>8374036459</v>
      </c>
      <c r="BB692" s="211">
        <v>199</v>
      </c>
      <c r="BC692" s="211">
        <v>196</v>
      </c>
      <c r="BD692" s="211">
        <v>108</v>
      </c>
      <c r="BE692" s="211">
        <v>779</v>
      </c>
      <c r="BF692" s="211">
        <v>888</v>
      </c>
      <c r="BG692" s="211">
        <v>1253</v>
      </c>
      <c r="BH692" s="211">
        <v>3184</v>
      </c>
      <c r="BI692" s="211">
        <v>2668</v>
      </c>
      <c r="BJ692" s="211">
        <v>2415</v>
      </c>
      <c r="BK692" s="211">
        <v>1180</v>
      </c>
      <c r="BL692" s="211">
        <v>162</v>
      </c>
      <c r="BM692" s="211">
        <v>186</v>
      </c>
      <c r="BO692" s="28">
        <f t="shared" si="63"/>
        <v>1101.5</v>
      </c>
      <c r="BP692" s="28">
        <f t="shared" si="64"/>
        <v>13218</v>
      </c>
    </row>
    <row r="693" spans="22:68" x14ac:dyDescent="0.25">
      <c r="V693" s="178"/>
      <c r="W693" s="174"/>
      <c r="X693" s="179"/>
      <c r="Y693" s="247"/>
      <c r="Z693" s="248"/>
      <c r="AA693" s="294" t="str">
        <f t="shared" si="57"/>
        <v/>
      </c>
      <c r="AB693" s="219" t="str">
        <f t="shared" si="55"/>
        <v/>
      </c>
      <c r="AC693" s="219">
        <f t="shared" si="58"/>
        <v>0</v>
      </c>
      <c r="AD693" s="219">
        <f t="shared" si="59"/>
        <v>0</v>
      </c>
      <c r="AE693" s="220">
        <f t="shared" si="60"/>
        <v>0</v>
      </c>
      <c r="AF693" s="221">
        <f t="shared" si="61"/>
        <v>0</v>
      </c>
      <c r="AG693" s="204"/>
      <c r="AH693" s="178"/>
      <c r="AI693" s="174"/>
      <c r="AJ693" s="179"/>
      <c r="AK693" s="247"/>
      <c r="AL693" s="248"/>
      <c r="AM693" s="294" t="str">
        <f t="shared" si="65"/>
        <v/>
      </c>
      <c r="AN693" s="219" t="str">
        <f t="shared" si="56"/>
        <v/>
      </c>
      <c r="AO693" s="219">
        <f t="shared" si="66"/>
        <v>0</v>
      </c>
      <c r="AP693" s="219">
        <f t="shared" si="62"/>
        <v>0</v>
      </c>
      <c r="AQ693" s="220">
        <f t="shared" si="67"/>
        <v>0</v>
      </c>
      <c r="AR693" s="221">
        <f t="shared" si="68"/>
        <v>0</v>
      </c>
      <c r="AY693" s="628"/>
      <c r="AZ693" s="470">
        <v>0.75</v>
      </c>
      <c r="BA693" s="466">
        <v>8377882471</v>
      </c>
      <c r="BB693" s="211" t="s">
        <v>655</v>
      </c>
      <c r="BC693" s="211" t="s">
        <v>655</v>
      </c>
      <c r="BD693" s="211" t="s">
        <v>655</v>
      </c>
      <c r="BE693" s="211" t="s">
        <v>655</v>
      </c>
      <c r="BF693" s="211" t="s">
        <v>655</v>
      </c>
      <c r="BG693" s="211" t="s">
        <v>655</v>
      </c>
      <c r="BH693" s="211" t="s">
        <v>655</v>
      </c>
      <c r="BI693" s="211" t="s">
        <v>655</v>
      </c>
      <c r="BJ693" s="211" t="s">
        <v>655</v>
      </c>
      <c r="BK693" s="211" t="s">
        <v>655</v>
      </c>
      <c r="BL693" s="211" t="s">
        <v>655</v>
      </c>
      <c r="BM693" s="211" t="s">
        <v>655</v>
      </c>
      <c r="BO693" s="28" t="e">
        <f t="shared" si="63"/>
        <v>#DIV/0!</v>
      </c>
      <c r="BP693" s="28">
        <f t="shared" si="64"/>
        <v>0</v>
      </c>
    </row>
    <row r="694" spans="22:68" x14ac:dyDescent="0.25">
      <c r="V694" s="178"/>
      <c r="W694" s="174"/>
      <c r="X694" s="179"/>
      <c r="Y694" s="247"/>
      <c r="Z694" s="248"/>
      <c r="AA694" s="294" t="str">
        <f t="shared" si="57"/>
        <v/>
      </c>
      <c r="AB694" s="219" t="str">
        <f t="shared" si="55"/>
        <v/>
      </c>
      <c r="AC694" s="219">
        <f t="shared" si="58"/>
        <v>0</v>
      </c>
      <c r="AD694" s="219">
        <f t="shared" si="59"/>
        <v>0</v>
      </c>
      <c r="AE694" s="220">
        <f t="shared" si="60"/>
        <v>0</v>
      </c>
      <c r="AF694" s="221">
        <f t="shared" si="61"/>
        <v>0</v>
      </c>
      <c r="AG694" s="204"/>
      <c r="AH694" s="178"/>
      <c r="AI694" s="174"/>
      <c r="AJ694" s="179"/>
      <c r="AK694" s="247"/>
      <c r="AL694" s="248"/>
      <c r="AM694" s="294" t="str">
        <f t="shared" si="65"/>
        <v/>
      </c>
      <c r="AN694" s="219" t="str">
        <f t="shared" si="56"/>
        <v/>
      </c>
      <c r="AO694" s="219">
        <f t="shared" si="66"/>
        <v>0</v>
      </c>
      <c r="AP694" s="219">
        <f t="shared" si="62"/>
        <v>0</v>
      </c>
      <c r="AQ694" s="220">
        <f t="shared" si="67"/>
        <v>0</v>
      </c>
      <c r="AR694" s="221">
        <f t="shared" si="68"/>
        <v>0</v>
      </c>
      <c r="AY694" s="628"/>
      <c r="AZ694" s="470">
        <v>0.75</v>
      </c>
      <c r="BA694" s="466">
        <v>8381924012</v>
      </c>
      <c r="BB694" s="211">
        <v>231</v>
      </c>
      <c r="BC694" s="211">
        <v>273</v>
      </c>
      <c r="BD694" s="211">
        <v>273</v>
      </c>
      <c r="BE694" s="211">
        <v>270</v>
      </c>
      <c r="BF694" s="211">
        <v>363</v>
      </c>
      <c r="BG694" s="211">
        <v>1248</v>
      </c>
      <c r="BH694" s="211">
        <v>1526</v>
      </c>
      <c r="BI694" s="211">
        <v>477</v>
      </c>
      <c r="BJ694" s="211">
        <v>1402</v>
      </c>
      <c r="BK694" s="211">
        <v>430</v>
      </c>
      <c r="BL694" s="211">
        <v>507</v>
      </c>
      <c r="BM694" s="211">
        <v>627</v>
      </c>
      <c r="BO694" s="28">
        <f t="shared" si="63"/>
        <v>635.58333333333337</v>
      </c>
      <c r="BP694" s="28">
        <f t="shared" si="64"/>
        <v>7627</v>
      </c>
    </row>
    <row r="695" spans="22:68" x14ac:dyDescent="0.25">
      <c r="V695" s="178"/>
      <c r="W695" s="174"/>
      <c r="X695" s="179"/>
      <c r="Y695" s="247"/>
      <c r="Z695" s="248"/>
      <c r="AA695" s="294" t="str">
        <f t="shared" si="57"/>
        <v/>
      </c>
      <c r="AB695" s="219" t="str">
        <f t="shared" si="55"/>
        <v/>
      </c>
      <c r="AC695" s="219">
        <f t="shared" si="58"/>
        <v>0</v>
      </c>
      <c r="AD695" s="219">
        <f t="shared" si="59"/>
        <v>0</v>
      </c>
      <c r="AE695" s="220">
        <f t="shared" si="60"/>
        <v>0</v>
      </c>
      <c r="AF695" s="221">
        <f t="shared" si="61"/>
        <v>0</v>
      </c>
      <c r="AG695" s="204"/>
      <c r="AH695" s="178"/>
      <c r="AI695" s="174"/>
      <c r="AJ695" s="179"/>
      <c r="AK695" s="247"/>
      <c r="AL695" s="248"/>
      <c r="AM695" s="294" t="str">
        <f t="shared" si="65"/>
        <v/>
      </c>
      <c r="AN695" s="219" t="str">
        <f t="shared" si="56"/>
        <v/>
      </c>
      <c r="AO695" s="219">
        <f t="shared" si="66"/>
        <v>0</v>
      </c>
      <c r="AP695" s="219">
        <f t="shared" si="62"/>
        <v>0</v>
      </c>
      <c r="AQ695" s="220">
        <f t="shared" si="67"/>
        <v>0</v>
      </c>
      <c r="AR695" s="221">
        <f t="shared" si="68"/>
        <v>0</v>
      </c>
      <c r="AY695" s="628"/>
      <c r="AZ695" s="470">
        <v>0.75</v>
      </c>
      <c r="BA695" s="466">
        <v>8462555771</v>
      </c>
      <c r="BB695" s="211">
        <v>1465</v>
      </c>
      <c r="BC695" s="211">
        <v>1051</v>
      </c>
      <c r="BD695" s="211">
        <v>1762</v>
      </c>
      <c r="BE695" s="211">
        <v>1861</v>
      </c>
      <c r="BF695" s="211">
        <v>1718</v>
      </c>
      <c r="BG695" s="211">
        <v>1954</v>
      </c>
      <c r="BH695" s="211">
        <v>2366</v>
      </c>
      <c r="BI695" s="211">
        <v>1356</v>
      </c>
      <c r="BJ695" s="211">
        <v>1331</v>
      </c>
      <c r="BK695" s="211">
        <v>309</v>
      </c>
      <c r="BL695" s="211">
        <v>302</v>
      </c>
      <c r="BM695" s="211">
        <v>407</v>
      </c>
      <c r="BO695" s="28">
        <f t="shared" si="63"/>
        <v>1323.5</v>
      </c>
      <c r="BP695" s="28">
        <f t="shared" si="64"/>
        <v>15882</v>
      </c>
    </row>
    <row r="696" spans="22:68" x14ac:dyDescent="0.25">
      <c r="V696" s="178"/>
      <c r="W696" s="174"/>
      <c r="X696" s="179"/>
      <c r="Y696" s="247"/>
      <c r="Z696" s="248"/>
      <c r="AA696" s="294" t="str">
        <f t="shared" si="57"/>
        <v/>
      </c>
      <c r="AB696" s="219" t="str">
        <f t="shared" si="55"/>
        <v/>
      </c>
      <c r="AC696" s="219">
        <f t="shared" si="58"/>
        <v>0</v>
      </c>
      <c r="AD696" s="219">
        <f t="shared" si="59"/>
        <v>0</v>
      </c>
      <c r="AE696" s="220">
        <f t="shared" si="60"/>
        <v>0</v>
      </c>
      <c r="AF696" s="221">
        <f t="shared" si="61"/>
        <v>0</v>
      </c>
      <c r="AG696" s="204"/>
      <c r="AH696" s="178"/>
      <c r="AI696" s="174"/>
      <c r="AJ696" s="179"/>
      <c r="AK696" s="247"/>
      <c r="AL696" s="248"/>
      <c r="AM696" s="294" t="str">
        <f t="shared" si="65"/>
        <v/>
      </c>
      <c r="AN696" s="219" t="str">
        <f t="shared" si="56"/>
        <v/>
      </c>
      <c r="AO696" s="219">
        <f t="shared" si="66"/>
        <v>0</v>
      </c>
      <c r="AP696" s="219">
        <f t="shared" si="62"/>
        <v>0</v>
      </c>
      <c r="AQ696" s="220">
        <f t="shared" si="67"/>
        <v>0</v>
      </c>
      <c r="AR696" s="221">
        <f t="shared" si="68"/>
        <v>0</v>
      </c>
      <c r="AY696" s="628"/>
      <c r="AZ696" s="470">
        <v>0.75</v>
      </c>
      <c r="BA696" s="466">
        <v>8467225062</v>
      </c>
      <c r="BB696" s="211">
        <v>744</v>
      </c>
      <c r="BC696" s="211">
        <v>733</v>
      </c>
      <c r="BD696" s="211">
        <v>736</v>
      </c>
      <c r="BE696" s="211">
        <v>820</v>
      </c>
      <c r="BF696" s="211">
        <v>895</v>
      </c>
      <c r="BG696" s="211">
        <v>809</v>
      </c>
      <c r="BH696" s="211">
        <v>2089</v>
      </c>
      <c r="BI696" s="211">
        <v>2959</v>
      </c>
      <c r="BJ696" s="211">
        <v>2681</v>
      </c>
      <c r="BK696" s="211">
        <v>808</v>
      </c>
      <c r="BL696" s="211">
        <v>760</v>
      </c>
      <c r="BM696" s="211">
        <v>822</v>
      </c>
      <c r="BO696" s="28">
        <f t="shared" si="63"/>
        <v>1238</v>
      </c>
      <c r="BP696" s="28">
        <f t="shared" si="64"/>
        <v>14856</v>
      </c>
    </row>
    <row r="697" spans="22:68" x14ac:dyDescent="0.25">
      <c r="V697" s="178"/>
      <c r="W697" s="174"/>
      <c r="X697" s="179"/>
      <c r="Y697" s="247"/>
      <c r="Z697" s="248"/>
      <c r="AA697" s="294" t="str">
        <f t="shared" si="57"/>
        <v/>
      </c>
      <c r="AB697" s="219" t="str">
        <f t="shared" si="55"/>
        <v/>
      </c>
      <c r="AC697" s="219">
        <f t="shared" si="58"/>
        <v>0</v>
      </c>
      <c r="AD697" s="219">
        <f t="shared" si="59"/>
        <v>0</v>
      </c>
      <c r="AE697" s="220">
        <f t="shared" si="60"/>
        <v>0</v>
      </c>
      <c r="AF697" s="221">
        <f t="shared" si="61"/>
        <v>0</v>
      </c>
      <c r="AG697" s="204"/>
      <c r="AH697" s="178"/>
      <c r="AI697" s="174"/>
      <c r="AJ697" s="179"/>
      <c r="AK697" s="247"/>
      <c r="AL697" s="248"/>
      <c r="AM697" s="294" t="str">
        <f t="shared" si="65"/>
        <v/>
      </c>
      <c r="AN697" s="219" t="str">
        <f t="shared" si="56"/>
        <v/>
      </c>
      <c r="AO697" s="219">
        <f t="shared" si="66"/>
        <v>0</v>
      </c>
      <c r="AP697" s="219">
        <f t="shared" si="62"/>
        <v>0</v>
      </c>
      <c r="AQ697" s="220">
        <f t="shared" si="67"/>
        <v>0</v>
      </c>
      <c r="AR697" s="221">
        <f t="shared" si="68"/>
        <v>0</v>
      </c>
      <c r="AY697" s="628"/>
      <c r="AZ697" s="470">
        <v>0.75</v>
      </c>
      <c r="BA697" s="466">
        <v>8482176905</v>
      </c>
      <c r="BB697" s="211" t="s">
        <v>655</v>
      </c>
      <c r="BC697" s="211">
        <v>1071</v>
      </c>
      <c r="BD697" s="211">
        <v>387</v>
      </c>
      <c r="BE697" s="211">
        <v>194</v>
      </c>
      <c r="BF697" s="211">
        <v>377</v>
      </c>
      <c r="BG697" s="211">
        <v>443</v>
      </c>
      <c r="BH697" s="211">
        <v>1608</v>
      </c>
      <c r="BI697" s="211">
        <v>1574</v>
      </c>
      <c r="BJ697" s="211">
        <v>579</v>
      </c>
      <c r="BK697" s="211">
        <v>260</v>
      </c>
      <c r="BL697" s="211">
        <v>330</v>
      </c>
      <c r="BM697" s="211">
        <v>212</v>
      </c>
      <c r="BO697" s="28">
        <f t="shared" si="63"/>
        <v>639.5454545454545</v>
      </c>
      <c r="BP697" s="28">
        <f t="shared" si="64"/>
        <v>7035</v>
      </c>
    </row>
    <row r="698" spans="22:68" x14ac:dyDescent="0.25">
      <c r="V698" s="178"/>
      <c r="W698" s="174"/>
      <c r="X698" s="179"/>
      <c r="Y698" s="247"/>
      <c r="Z698" s="248"/>
      <c r="AA698" s="294" t="str">
        <f t="shared" si="57"/>
        <v/>
      </c>
      <c r="AB698" s="219" t="str">
        <f t="shared" si="55"/>
        <v/>
      </c>
      <c r="AC698" s="219">
        <f t="shared" si="58"/>
        <v>0</v>
      </c>
      <c r="AD698" s="219">
        <f t="shared" si="59"/>
        <v>0</v>
      </c>
      <c r="AE698" s="220">
        <f t="shared" si="60"/>
        <v>0</v>
      </c>
      <c r="AF698" s="221">
        <f t="shared" si="61"/>
        <v>0</v>
      </c>
      <c r="AG698" s="204"/>
      <c r="AH698" s="178"/>
      <c r="AI698" s="174"/>
      <c r="AJ698" s="179"/>
      <c r="AK698" s="247"/>
      <c r="AL698" s="248"/>
      <c r="AM698" s="294" t="str">
        <f t="shared" si="65"/>
        <v/>
      </c>
      <c r="AN698" s="219" t="str">
        <f t="shared" si="56"/>
        <v/>
      </c>
      <c r="AO698" s="219">
        <f t="shared" si="66"/>
        <v>0</v>
      </c>
      <c r="AP698" s="219">
        <f t="shared" si="62"/>
        <v>0</v>
      </c>
      <c r="AQ698" s="220">
        <f t="shared" si="67"/>
        <v>0</v>
      </c>
      <c r="AR698" s="221">
        <f t="shared" si="68"/>
        <v>0</v>
      </c>
      <c r="AY698" s="628"/>
      <c r="AZ698" s="470">
        <v>0.75</v>
      </c>
      <c r="BA698" s="466">
        <v>8507107465</v>
      </c>
      <c r="BB698" s="211">
        <v>144</v>
      </c>
      <c r="BC698" s="211">
        <v>123</v>
      </c>
      <c r="BD698" s="211">
        <v>164</v>
      </c>
      <c r="BE698" s="211">
        <v>220</v>
      </c>
      <c r="BF698" s="211">
        <v>385</v>
      </c>
      <c r="BG698" s="211">
        <v>1660</v>
      </c>
      <c r="BH698" s="211">
        <v>3255</v>
      </c>
      <c r="BI698" s="211">
        <v>3612</v>
      </c>
      <c r="BJ698" s="211">
        <v>1300</v>
      </c>
      <c r="BK698" s="211">
        <v>2400</v>
      </c>
      <c r="BL698" s="211">
        <v>237</v>
      </c>
      <c r="BM698" s="211">
        <v>563</v>
      </c>
      <c r="BO698" s="28">
        <f t="shared" si="63"/>
        <v>1171.9166666666667</v>
      </c>
      <c r="BP698" s="28">
        <f t="shared" si="64"/>
        <v>14063</v>
      </c>
    </row>
    <row r="699" spans="22:68" x14ac:dyDescent="0.25">
      <c r="V699" s="178"/>
      <c r="W699" s="174"/>
      <c r="X699" s="179"/>
      <c r="Y699" s="247"/>
      <c r="Z699" s="248"/>
      <c r="AA699" s="294" t="str">
        <f t="shared" si="57"/>
        <v/>
      </c>
      <c r="AB699" s="219" t="str">
        <f t="shared" si="55"/>
        <v/>
      </c>
      <c r="AC699" s="219">
        <f t="shared" si="58"/>
        <v>0</v>
      </c>
      <c r="AD699" s="219">
        <f t="shared" si="59"/>
        <v>0</v>
      </c>
      <c r="AE699" s="220">
        <f t="shared" si="60"/>
        <v>0</v>
      </c>
      <c r="AF699" s="221">
        <f t="shared" si="61"/>
        <v>0</v>
      </c>
      <c r="AG699" s="204"/>
      <c r="AH699" s="178"/>
      <c r="AI699" s="174"/>
      <c r="AJ699" s="179"/>
      <c r="AK699" s="247"/>
      <c r="AL699" s="248"/>
      <c r="AM699" s="294" t="str">
        <f t="shared" si="65"/>
        <v/>
      </c>
      <c r="AN699" s="219" t="str">
        <f t="shared" si="56"/>
        <v/>
      </c>
      <c r="AO699" s="219">
        <f t="shared" si="66"/>
        <v>0</v>
      </c>
      <c r="AP699" s="219">
        <f t="shared" si="62"/>
        <v>0</v>
      </c>
      <c r="AQ699" s="220">
        <f t="shared" si="67"/>
        <v>0</v>
      </c>
      <c r="AR699" s="221">
        <f t="shared" si="68"/>
        <v>0</v>
      </c>
      <c r="AY699" s="628"/>
      <c r="AZ699" s="471">
        <v>3</v>
      </c>
      <c r="BA699" s="466">
        <v>8528442524</v>
      </c>
      <c r="BB699" s="211">
        <v>3330</v>
      </c>
      <c r="BC699" s="211">
        <v>5990</v>
      </c>
      <c r="BD699" s="211">
        <v>5280</v>
      </c>
      <c r="BE699" s="211">
        <v>6050</v>
      </c>
      <c r="BF699" s="211">
        <v>8790</v>
      </c>
      <c r="BG699" s="211">
        <v>32530</v>
      </c>
      <c r="BH699" s="211">
        <v>61580</v>
      </c>
      <c r="BI699" s="211">
        <v>65280</v>
      </c>
      <c r="BJ699" s="211">
        <v>25920</v>
      </c>
      <c r="BK699" s="211">
        <v>17490</v>
      </c>
      <c r="BL699" s="211">
        <v>5450</v>
      </c>
      <c r="BM699" s="211" t="s">
        <v>655</v>
      </c>
      <c r="BO699" s="28">
        <f t="shared" si="63"/>
        <v>21608.18181818182</v>
      </c>
      <c r="BP699" s="28">
        <f t="shared" si="64"/>
        <v>237690</v>
      </c>
    </row>
    <row r="700" spans="22:68" x14ac:dyDescent="0.25">
      <c r="V700" s="178"/>
      <c r="W700" s="174"/>
      <c r="X700" s="179"/>
      <c r="Y700" s="247"/>
      <c r="Z700" s="248"/>
      <c r="AA700" s="294" t="str">
        <f t="shared" si="57"/>
        <v/>
      </c>
      <c r="AB700" s="219" t="str">
        <f t="shared" si="55"/>
        <v/>
      </c>
      <c r="AC700" s="219">
        <f t="shared" si="58"/>
        <v>0</v>
      </c>
      <c r="AD700" s="219">
        <f t="shared" si="59"/>
        <v>0</v>
      </c>
      <c r="AE700" s="220">
        <f t="shared" si="60"/>
        <v>0</v>
      </c>
      <c r="AF700" s="221">
        <f t="shared" si="61"/>
        <v>0</v>
      </c>
      <c r="AG700" s="204"/>
      <c r="AH700" s="178"/>
      <c r="AI700" s="174"/>
      <c r="AJ700" s="179"/>
      <c r="AK700" s="247"/>
      <c r="AL700" s="248"/>
      <c r="AM700" s="294" t="str">
        <f t="shared" si="65"/>
        <v/>
      </c>
      <c r="AN700" s="219" t="str">
        <f t="shared" si="56"/>
        <v/>
      </c>
      <c r="AO700" s="219">
        <f t="shared" si="66"/>
        <v>0</v>
      </c>
      <c r="AP700" s="219">
        <f t="shared" si="62"/>
        <v>0</v>
      </c>
      <c r="AQ700" s="220">
        <f t="shared" si="67"/>
        <v>0</v>
      </c>
      <c r="AR700" s="221">
        <f t="shared" si="68"/>
        <v>0</v>
      </c>
      <c r="AY700" s="628"/>
      <c r="AZ700" s="470">
        <v>0.75</v>
      </c>
      <c r="BA700" s="466">
        <v>8592154295</v>
      </c>
      <c r="BB700" s="211">
        <v>34</v>
      </c>
      <c r="BC700" s="211">
        <v>23</v>
      </c>
      <c r="BD700" s="211">
        <v>22</v>
      </c>
      <c r="BE700" s="211">
        <v>259</v>
      </c>
      <c r="BF700" s="211">
        <v>1224</v>
      </c>
      <c r="BG700" s="211">
        <v>962</v>
      </c>
      <c r="BH700" s="211">
        <v>5050</v>
      </c>
      <c r="BI700" s="211">
        <v>3542</v>
      </c>
      <c r="BJ700" s="211">
        <v>3461</v>
      </c>
      <c r="BK700" s="211">
        <v>313</v>
      </c>
      <c r="BL700" s="211">
        <v>85</v>
      </c>
      <c r="BM700" s="211">
        <v>4</v>
      </c>
      <c r="BO700" s="28">
        <f t="shared" si="63"/>
        <v>1248.25</v>
      </c>
      <c r="BP700" s="28">
        <f t="shared" si="64"/>
        <v>14979</v>
      </c>
    </row>
    <row r="701" spans="22:68" x14ac:dyDescent="0.25">
      <c r="V701" s="178"/>
      <c r="W701" s="174"/>
      <c r="X701" s="179"/>
      <c r="Y701" s="247"/>
      <c r="Z701" s="248"/>
      <c r="AA701" s="294" t="str">
        <f t="shared" si="57"/>
        <v/>
      </c>
      <c r="AB701" s="219" t="str">
        <f t="shared" si="55"/>
        <v/>
      </c>
      <c r="AC701" s="219">
        <f t="shared" si="58"/>
        <v>0</v>
      </c>
      <c r="AD701" s="219">
        <f t="shared" si="59"/>
        <v>0</v>
      </c>
      <c r="AE701" s="220">
        <f t="shared" si="60"/>
        <v>0</v>
      </c>
      <c r="AF701" s="221">
        <f t="shared" si="61"/>
        <v>0</v>
      </c>
      <c r="AG701" s="204"/>
      <c r="AH701" s="178"/>
      <c r="AI701" s="174"/>
      <c r="AJ701" s="179"/>
      <c r="AK701" s="247"/>
      <c r="AL701" s="248"/>
      <c r="AM701" s="294" t="str">
        <f t="shared" si="65"/>
        <v/>
      </c>
      <c r="AN701" s="219" t="str">
        <f t="shared" si="56"/>
        <v/>
      </c>
      <c r="AO701" s="219">
        <f t="shared" si="66"/>
        <v>0</v>
      </c>
      <c r="AP701" s="219">
        <f t="shared" si="62"/>
        <v>0</v>
      </c>
      <c r="AQ701" s="220">
        <f t="shared" si="67"/>
        <v>0</v>
      </c>
      <c r="AR701" s="221">
        <f t="shared" si="68"/>
        <v>0</v>
      </c>
      <c r="AY701" s="628"/>
      <c r="AZ701" s="470">
        <v>0.75</v>
      </c>
      <c r="BA701" s="466">
        <v>8593720384</v>
      </c>
      <c r="BB701" s="211">
        <v>439</v>
      </c>
      <c r="BC701" s="211">
        <v>261</v>
      </c>
      <c r="BD701" s="211">
        <v>206</v>
      </c>
      <c r="BE701" s="211">
        <v>408</v>
      </c>
      <c r="BF701" s="211">
        <v>246</v>
      </c>
      <c r="BG701" s="211">
        <v>269</v>
      </c>
      <c r="BH701" s="211">
        <v>273</v>
      </c>
      <c r="BI701" s="211">
        <v>574</v>
      </c>
      <c r="BJ701" s="211">
        <v>460</v>
      </c>
      <c r="BK701" s="211">
        <v>161</v>
      </c>
      <c r="BL701" s="211">
        <v>128</v>
      </c>
      <c r="BM701" s="211">
        <v>195</v>
      </c>
      <c r="BO701" s="28">
        <f t="shared" si="63"/>
        <v>301.66666666666669</v>
      </c>
      <c r="BP701" s="28">
        <f t="shared" si="64"/>
        <v>3620</v>
      </c>
    </row>
    <row r="702" spans="22:68" x14ac:dyDescent="0.25">
      <c r="V702" s="178"/>
      <c r="W702" s="174"/>
      <c r="X702" s="179"/>
      <c r="Y702" s="247"/>
      <c r="Z702" s="248"/>
      <c r="AA702" s="294" t="str">
        <f t="shared" si="57"/>
        <v/>
      </c>
      <c r="AB702" s="219" t="str">
        <f t="shared" si="55"/>
        <v/>
      </c>
      <c r="AC702" s="219">
        <f t="shared" si="58"/>
        <v>0</v>
      </c>
      <c r="AD702" s="219">
        <f t="shared" si="59"/>
        <v>0</v>
      </c>
      <c r="AE702" s="220">
        <f t="shared" si="60"/>
        <v>0</v>
      </c>
      <c r="AF702" s="221">
        <f t="shared" si="61"/>
        <v>0</v>
      </c>
      <c r="AG702" s="204"/>
      <c r="AH702" s="178"/>
      <c r="AI702" s="174"/>
      <c r="AJ702" s="179"/>
      <c r="AK702" s="247"/>
      <c r="AL702" s="248"/>
      <c r="AM702" s="294" t="str">
        <f t="shared" si="65"/>
        <v/>
      </c>
      <c r="AN702" s="219" t="str">
        <f t="shared" si="56"/>
        <v/>
      </c>
      <c r="AO702" s="219">
        <f t="shared" si="66"/>
        <v>0</v>
      </c>
      <c r="AP702" s="219">
        <f t="shared" si="62"/>
        <v>0</v>
      </c>
      <c r="AQ702" s="220">
        <f t="shared" si="67"/>
        <v>0</v>
      </c>
      <c r="AR702" s="221">
        <f t="shared" si="68"/>
        <v>0</v>
      </c>
      <c r="AY702" s="628"/>
      <c r="AZ702" s="470">
        <v>0.625</v>
      </c>
      <c r="BA702" s="466">
        <v>8616113619</v>
      </c>
      <c r="BB702" s="211">
        <v>260</v>
      </c>
      <c r="BC702" s="211">
        <v>269</v>
      </c>
      <c r="BD702" s="211">
        <v>67</v>
      </c>
      <c r="BE702" s="211">
        <v>367</v>
      </c>
      <c r="BF702" s="211">
        <v>419</v>
      </c>
      <c r="BG702" s="211">
        <v>1198</v>
      </c>
      <c r="BH702" s="211">
        <v>4679</v>
      </c>
      <c r="BI702" s="211">
        <v>4523</v>
      </c>
      <c r="BJ702" s="211">
        <v>1716</v>
      </c>
      <c r="BK702" s="211">
        <v>398</v>
      </c>
      <c r="BL702" s="211" t="s">
        <v>655</v>
      </c>
      <c r="BM702" s="211">
        <v>287</v>
      </c>
      <c r="BO702" s="28">
        <f t="shared" si="63"/>
        <v>1289.3636363636363</v>
      </c>
      <c r="BP702" s="28">
        <f t="shared" si="64"/>
        <v>14183</v>
      </c>
    </row>
    <row r="703" spans="22:68" x14ac:dyDescent="0.25">
      <c r="V703" s="178"/>
      <c r="W703" s="174"/>
      <c r="X703" s="179"/>
      <c r="Y703" s="247"/>
      <c r="Z703" s="248"/>
      <c r="AA703" s="294" t="str">
        <f t="shared" si="57"/>
        <v/>
      </c>
      <c r="AB703" s="219" t="str">
        <f t="shared" si="55"/>
        <v/>
      </c>
      <c r="AC703" s="219">
        <f t="shared" si="58"/>
        <v>0</v>
      </c>
      <c r="AD703" s="219">
        <f t="shared" si="59"/>
        <v>0</v>
      </c>
      <c r="AE703" s="220">
        <f t="shared" si="60"/>
        <v>0</v>
      </c>
      <c r="AF703" s="221">
        <f t="shared" si="61"/>
        <v>0</v>
      </c>
      <c r="AG703" s="204"/>
      <c r="AH703" s="178"/>
      <c r="AI703" s="174"/>
      <c r="AJ703" s="179"/>
      <c r="AK703" s="247"/>
      <c r="AL703" s="248"/>
      <c r="AM703" s="294" t="str">
        <f t="shared" si="65"/>
        <v/>
      </c>
      <c r="AN703" s="219" t="str">
        <f t="shared" si="56"/>
        <v/>
      </c>
      <c r="AO703" s="219">
        <f t="shared" si="66"/>
        <v>0</v>
      </c>
      <c r="AP703" s="219">
        <f t="shared" si="62"/>
        <v>0</v>
      </c>
      <c r="AQ703" s="220">
        <f t="shared" si="67"/>
        <v>0</v>
      </c>
      <c r="AR703" s="221">
        <f t="shared" si="68"/>
        <v>0</v>
      </c>
      <c r="AY703" s="628"/>
      <c r="AZ703" s="470">
        <v>0.75</v>
      </c>
      <c r="BA703" s="466">
        <v>8616586845</v>
      </c>
      <c r="BB703" s="211">
        <v>629</v>
      </c>
      <c r="BC703" s="211">
        <v>640</v>
      </c>
      <c r="BD703" s="211">
        <v>514</v>
      </c>
      <c r="BE703" s="211">
        <v>878</v>
      </c>
      <c r="BF703" s="211">
        <v>543</v>
      </c>
      <c r="BG703" s="211">
        <v>780</v>
      </c>
      <c r="BH703" s="211">
        <v>870</v>
      </c>
      <c r="BI703" s="211">
        <v>1059</v>
      </c>
      <c r="BJ703" s="211">
        <v>916</v>
      </c>
      <c r="BK703" s="211">
        <v>948</v>
      </c>
      <c r="BL703" s="211">
        <v>414</v>
      </c>
      <c r="BM703" s="211">
        <v>578</v>
      </c>
      <c r="BO703" s="28">
        <f t="shared" si="63"/>
        <v>730.75</v>
      </c>
      <c r="BP703" s="28">
        <f t="shared" si="64"/>
        <v>8769</v>
      </c>
    </row>
    <row r="704" spans="22:68" x14ac:dyDescent="0.25">
      <c r="V704" s="178"/>
      <c r="W704" s="174"/>
      <c r="X704" s="179"/>
      <c r="Y704" s="247"/>
      <c r="Z704" s="248"/>
      <c r="AA704" s="294" t="str">
        <f t="shared" si="57"/>
        <v/>
      </c>
      <c r="AB704" s="219" t="str">
        <f t="shared" si="55"/>
        <v/>
      </c>
      <c r="AC704" s="219">
        <f t="shared" si="58"/>
        <v>0</v>
      </c>
      <c r="AD704" s="219">
        <f t="shared" si="59"/>
        <v>0</v>
      </c>
      <c r="AE704" s="220">
        <f t="shared" si="60"/>
        <v>0</v>
      </c>
      <c r="AF704" s="221">
        <f t="shared" si="61"/>
        <v>0</v>
      </c>
      <c r="AG704" s="204"/>
      <c r="AH704" s="178"/>
      <c r="AI704" s="174"/>
      <c r="AJ704" s="179"/>
      <c r="AK704" s="247"/>
      <c r="AL704" s="248"/>
      <c r="AM704" s="294" t="str">
        <f t="shared" si="65"/>
        <v/>
      </c>
      <c r="AN704" s="219" t="str">
        <f t="shared" si="56"/>
        <v/>
      </c>
      <c r="AO704" s="219">
        <f t="shared" si="66"/>
        <v>0</v>
      </c>
      <c r="AP704" s="219">
        <f t="shared" si="62"/>
        <v>0</v>
      </c>
      <c r="AQ704" s="220">
        <f t="shared" si="67"/>
        <v>0</v>
      </c>
      <c r="AR704" s="221">
        <f t="shared" si="68"/>
        <v>0</v>
      </c>
      <c r="AY704" s="628"/>
      <c r="AZ704" s="470">
        <v>0.75</v>
      </c>
      <c r="BA704" s="466">
        <v>8624582296</v>
      </c>
      <c r="BB704" s="211" t="s">
        <v>655</v>
      </c>
      <c r="BC704" s="211">
        <v>1449</v>
      </c>
      <c r="BD704" s="211">
        <v>209</v>
      </c>
      <c r="BE704" s="211">
        <v>1029</v>
      </c>
      <c r="BF704" s="211">
        <v>1363</v>
      </c>
      <c r="BG704" s="211">
        <v>2476</v>
      </c>
      <c r="BH704" s="211">
        <v>4084</v>
      </c>
      <c r="BI704" s="211">
        <v>5165</v>
      </c>
      <c r="BJ704" s="211">
        <v>254</v>
      </c>
      <c r="BK704" s="211">
        <v>117</v>
      </c>
      <c r="BL704" s="211">
        <v>162</v>
      </c>
      <c r="BM704" s="211">
        <v>400</v>
      </c>
      <c r="BO704" s="28">
        <f t="shared" si="63"/>
        <v>1518.909090909091</v>
      </c>
      <c r="BP704" s="28">
        <f t="shared" si="64"/>
        <v>16708</v>
      </c>
    </row>
    <row r="705" spans="22:68" x14ac:dyDescent="0.25">
      <c r="V705" s="178"/>
      <c r="W705" s="174"/>
      <c r="X705" s="179"/>
      <c r="Y705" s="247"/>
      <c r="Z705" s="248"/>
      <c r="AA705" s="294" t="str">
        <f t="shared" si="57"/>
        <v/>
      </c>
      <c r="AB705" s="219" t="str">
        <f t="shared" si="55"/>
        <v/>
      </c>
      <c r="AC705" s="219">
        <f t="shared" si="58"/>
        <v>0</v>
      </c>
      <c r="AD705" s="219">
        <f t="shared" si="59"/>
        <v>0</v>
      </c>
      <c r="AE705" s="220">
        <f t="shared" si="60"/>
        <v>0</v>
      </c>
      <c r="AF705" s="221">
        <f t="shared" si="61"/>
        <v>0</v>
      </c>
      <c r="AG705" s="204"/>
      <c r="AH705" s="178"/>
      <c r="AI705" s="174"/>
      <c r="AJ705" s="179"/>
      <c r="AK705" s="247"/>
      <c r="AL705" s="248"/>
      <c r="AM705" s="294" t="str">
        <f t="shared" si="65"/>
        <v/>
      </c>
      <c r="AN705" s="219" t="str">
        <f t="shared" si="56"/>
        <v/>
      </c>
      <c r="AO705" s="219">
        <f t="shared" si="66"/>
        <v>0</v>
      </c>
      <c r="AP705" s="219">
        <f t="shared" si="62"/>
        <v>0</v>
      </c>
      <c r="AQ705" s="220">
        <f t="shared" si="67"/>
        <v>0</v>
      </c>
      <c r="AR705" s="221">
        <f t="shared" si="68"/>
        <v>0</v>
      </c>
      <c r="AY705" s="628"/>
      <c r="AZ705" s="470">
        <v>0.75</v>
      </c>
      <c r="BA705" s="466">
        <v>8638154678</v>
      </c>
      <c r="BB705" s="211">
        <v>486</v>
      </c>
      <c r="BC705" s="211">
        <v>429</v>
      </c>
      <c r="BD705" s="211">
        <v>349</v>
      </c>
      <c r="BE705" s="211">
        <v>402</v>
      </c>
      <c r="BF705" s="211">
        <v>1343</v>
      </c>
      <c r="BG705" s="211">
        <v>550</v>
      </c>
      <c r="BH705" s="211">
        <v>1295</v>
      </c>
      <c r="BI705" s="211">
        <v>1253</v>
      </c>
      <c r="BJ705" s="211">
        <v>1058</v>
      </c>
      <c r="BK705" s="211">
        <v>1644</v>
      </c>
      <c r="BL705" s="211" t="s">
        <v>655</v>
      </c>
      <c r="BM705" s="211">
        <v>23</v>
      </c>
      <c r="BO705" s="28">
        <f t="shared" si="63"/>
        <v>802.90909090909088</v>
      </c>
      <c r="BP705" s="28">
        <f t="shared" si="64"/>
        <v>8832</v>
      </c>
    </row>
    <row r="706" spans="22:68" x14ac:dyDescent="0.25">
      <c r="V706" s="178"/>
      <c r="W706" s="174"/>
      <c r="X706" s="179"/>
      <c r="Y706" s="247"/>
      <c r="Z706" s="248"/>
      <c r="AA706" s="294" t="str">
        <f t="shared" si="57"/>
        <v/>
      </c>
      <c r="AB706" s="219" t="str">
        <f t="shared" si="55"/>
        <v/>
      </c>
      <c r="AC706" s="219">
        <f t="shared" si="58"/>
        <v>0</v>
      </c>
      <c r="AD706" s="219">
        <f t="shared" si="59"/>
        <v>0</v>
      </c>
      <c r="AE706" s="220">
        <f t="shared" si="60"/>
        <v>0</v>
      </c>
      <c r="AF706" s="221">
        <f t="shared" si="61"/>
        <v>0</v>
      </c>
      <c r="AG706" s="204"/>
      <c r="AH706" s="178"/>
      <c r="AI706" s="174"/>
      <c r="AJ706" s="179"/>
      <c r="AK706" s="247"/>
      <c r="AL706" s="248"/>
      <c r="AM706" s="294" t="str">
        <f t="shared" si="65"/>
        <v/>
      </c>
      <c r="AN706" s="219" t="str">
        <f t="shared" si="56"/>
        <v/>
      </c>
      <c r="AO706" s="219">
        <f t="shared" si="66"/>
        <v>0</v>
      </c>
      <c r="AP706" s="219">
        <f t="shared" si="62"/>
        <v>0</v>
      </c>
      <c r="AQ706" s="220">
        <f t="shared" si="67"/>
        <v>0</v>
      </c>
      <c r="AR706" s="221">
        <f t="shared" si="68"/>
        <v>0</v>
      </c>
      <c r="AY706" s="628"/>
      <c r="AZ706" s="470">
        <v>0.625</v>
      </c>
      <c r="BA706" s="466">
        <v>8642239773</v>
      </c>
      <c r="BB706" s="211">
        <v>10</v>
      </c>
      <c r="BC706" s="211">
        <v>10</v>
      </c>
      <c r="BD706" s="211">
        <v>42</v>
      </c>
      <c r="BE706" s="211">
        <v>21</v>
      </c>
      <c r="BF706" s="211">
        <v>17</v>
      </c>
      <c r="BG706" s="211">
        <v>3923</v>
      </c>
      <c r="BH706" s="211">
        <v>21</v>
      </c>
      <c r="BI706" s="211">
        <v>6877</v>
      </c>
      <c r="BJ706" s="211">
        <v>25621</v>
      </c>
      <c r="BK706" s="211">
        <v>83</v>
      </c>
      <c r="BL706" s="211">
        <v>19</v>
      </c>
      <c r="BM706" s="211">
        <v>7</v>
      </c>
      <c r="BO706" s="28">
        <f t="shared" si="63"/>
        <v>3054.25</v>
      </c>
      <c r="BP706" s="28">
        <f t="shared" si="64"/>
        <v>36651</v>
      </c>
    </row>
    <row r="707" spans="22:68" x14ac:dyDescent="0.25">
      <c r="V707" s="178"/>
      <c r="W707" s="174"/>
      <c r="X707" s="179"/>
      <c r="Y707" s="247"/>
      <c r="Z707" s="248"/>
      <c r="AA707" s="294" t="str">
        <f t="shared" si="57"/>
        <v/>
      </c>
      <c r="AB707" s="219" t="str">
        <f t="shared" si="55"/>
        <v/>
      </c>
      <c r="AC707" s="219">
        <f t="shared" si="58"/>
        <v>0</v>
      </c>
      <c r="AD707" s="219">
        <f t="shared" si="59"/>
        <v>0</v>
      </c>
      <c r="AE707" s="220">
        <f t="shared" si="60"/>
        <v>0</v>
      </c>
      <c r="AF707" s="221">
        <f t="shared" si="61"/>
        <v>0</v>
      </c>
      <c r="AG707" s="204"/>
      <c r="AH707" s="178"/>
      <c r="AI707" s="174"/>
      <c r="AJ707" s="179"/>
      <c r="AK707" s="247"/>
      <c r="AL707" s="248"/>
      <c r="AM707" s="294" t="str">
        <f t="shared" si="65"/>
        <v/>
      </c>
      <c r="AN707" s="219" t="str">
        <f t="shared" si="56"/>
        <v/>
      </c>
      <c r="AO707" s="219">
        <f t="shared" si="66"/>
        <v>0</v>
      </c>
      <c r="AP707" s="219">
        <f t="shared" si="62"/>
        <v>0</v>
      </c>
      <c r="AQ707" s="220">
        <f t="shared" si="67"/>
        <v>0</v>
      </c>
      <c r="AR707" s="221">
        <f t="shared" si="68"/>
        <v>0</v>
      </c>
      <c r="AY707" s="628"/>
      <c r="AZ707" s="470">
        <v>0.625</v>
      </c>
      <c r="BA707" s="466">
        <v>8662791925</v>
      </c>
      <c r="BB707" s="211">
        <v>381</v>
      </c>
      <c r="BC707" s="211">
        <v>159</v>
      </c>
      <c r="BD707" s="211">
        <v>275</v>
      </c>
      <c r="BE707" s="211">
        <v>110</v>
      </c>
      <c r="BF707" s="211">
        <v>335</v>
      </c>
      <c r="BG707" s="211">
        <v>2395</v>
      </c>
      <c r="BH707" s="211">
        <v>4532</v>
      </c>
      <c r="BI707" s="211">
        <v>2665</v>
      </c>
      <c r="BJ707" s="211">
        <v>3864</v>
      </c>
      <c r="BK707" s="211">
        <v>2324</v>
      </c>
      <c r="BL707" s="211">
        <v>301</v>
      </c>
      <c r="BM707" s="211">
        <v>226</v>
      </c>
      <c r="BO707" s="28">
        <f t="shared" si="63"/>
        <v>1463.9166666666667</v>
      </c>
      <c r="BP707" s="28">
        <f t="shared" si="64"/>
        <v>17567</v>
      </c>
    </row>
    <row r="708" spans="22:68" x14ac:dyDescent="0.25">
      <c r="V708" s="178"/>
      <c r="W708" s="174"/>
      <c r="X708" s="179"/>
      <c r="Y708" s="247"/>
      <c r="Z708" s="248"/>
      <c r="AA708" s="294" t="str">
        <f t="shared" si="57"/>
        <v/>
      </c>
      <c r="AB708" s="219" t="str">
        <f t="shared" si="55"/>
        <v/>
      </c>
      <c r="AC708" s="219">
        <f t="shared" si="58"/>
        <v>0</v>
      </c>
      <c r="AD708" s="219">
        <f t="shared" si="59"/>
        <v>0</v>
      </c>
      <c r="AE708" s="220">
        <f t="shared" si="60"/>
        <v>0</v>
      </c>
      <c r="AF708" s="221">
        <f t="shared" si="61"/>
        <v>0</v>
      </c>
      <c r="AG708" s="204"/>
      <c r="AH708" s="178"/>
      <c r="AI708" s="174"/>
      <c r="AJ708" s="179"/>
      <c r="AK708" s="247"/>
      <c r="AL708" s="248"/>
      <c r="AM708" s="294" t="str">
        <f t="shared" si="65"/>
        <v/>
      </c>
      <c r="AN708" s="219" t="str">
        <f t="shared" si="56"/>
        <v/>
      </c>
      <c r="AO708" s="219">
        <f t="shared" si="66"/>
        <v>0</v>
      </c>
      <c r="AP708" s="219">
        <f t="shared" si="62"/>
        <v>0</v>
      </c>
      <c r="AQ708" s="220">
        <f t="shared" si="67"/>
        <v>0</v>
      </c>
      <c r="AR708" s="221">
        <f t="shared" si="68"/>
        <v>0</v>
      </c>
      <c r="AY708" s="628"/>
      <c r="AZ708" s="470">
        <v>0.75</v>
      </c>
      <c r="BA708" s="466">
        <v>8672769022</v>
      </c>
      <c r="BB708" s="211" t="s">
        <v>655</v>
      </c>
      <c r="BC708" s="211" t="s">
        <v>655</v>
      </c>
      <c r="BD708" s="211" t="s">
        <v>655</v>
      </c>
      <c r="BE708" s="211">
        <v>5</v>
      </c>
      <c r="BF708" s="211">
        <v>2581</v>
      </c>
      <c r="BG708" s="211">
        <v>3490</v>
      </c>
      <c r="BH708" s="211">
        <v>3565</v>
      </c>
      <c r="BI708" s="211">
        <v>3553</v>
      </c>
      <c r="BJ708" s="211">
        <v>4317</v>
      </c>
      <c r="BK708" s="211">
        <v>1978</v>
      </c>
      <c r="BL708" s="211">
        <v>33</v>
      </c>
      <c r="BM708" s="211" t="s">
        <v>655</v>
      </c>
      <c r="BO708" s="28">
        <f t="shared" si="63"/>
        <v>2440.25</v>
      </c>
      <c r="BP708" s="28">
        <f t="shared" si="64"/>
        <v>19522</v>
      </c>
    </row>
    <row r="709" spans="22:68" x14ac:dyDescent="0.25">
      <c r="V709" s="178"/>
      <c r="W709" s="174"/>
      <c r="X709" s="179"/>
      <c r="Y709" s="247"/>
      <c r="Z709" s="248"/>
      <c r="AA709" s="294" t="str">
        <f t="shared" si="57"/>
        <v/>
      </c>
      <c r="AB709" s="219" t="str">
        <f t="shared" si="55"/>
        <v/>
      </c>
      <c r="AC709" s="219">
        <f t="shared" si="58"/>
        <v>0</v>
      </c>
      <c r="AD709" s="219">
        <f t="shared" si="59"/>
        <v>0</v>
      </c>
      <c r="AE709" s="220">
        <f t="shared" si="60"/>
        <v>0</v>
      </c>
      <c r="AF709" s="221">
        <f t="shared" si="61"/>
        <v>0</v>
      </c>
      <c r="AG709" s="204"/>
      <c r="AH709" s="178"/>
      <c r="AI709" s="174"/>
      <c r="AJ709" s="179"/>
      <c r="AK709" s="247"/>
      <c r="AL709" s="248"/>
      <c r="AM709" s="294" t="str">
        <f t="shared" si="65"/>
        <v/>
      </c>
      <c r="AN709" s="219" t="str">
        <f t="shared" si="56"/>
        <v/>
      </c>
      <c r="AO709" s="219">
        <f t="shared" si="66"/>
        <v>0</v>
      </c>
      <c r="AP709" s="219">
        <f t="shared" si="62"/>
        <v>0</v>
      </c>
      <c r="AQ709" s="220">
        <f t="shared" si="67"/>
        <v>0</v>
      </c>
      <c r="AR709" s="221">
        <f t="shared" si="68"/>
        <v>0</v>
      </c>
      <c r="AY709" s="628"/>
      <c r="AZ709" s="470">
        <v>0.625</v>
      </c>
      <c r="BA709" s="466">
        <v>8753434809</v>
      </c>
      <c r="BB709" s="211">
        <v>660</v>
      </c>
      <c r="BC709" s="211">
        <v>621</v>
      </c>
      <c r="BD709" s="211">
        <v>145</v>
      </c>
      <c r="BE709" s="211">
        <v>1471</v>
      </c>
      <c r="BF709" s="211">
        <v>724</v>
      </c>
      <c r="BG709" s="211">
        <v>10042</v>
      </c>
      <c r="BH709" s="211">
        <v>6750</v>
      </c>
      <c r="BI709" s="211">
        <v>6181</v>
      </c>
      <c r="BJ709" s="211">
        <v>7051</v>
      </c>
      <c r="BK709" s="211">
        <v>5295</v>
      </c>
      <c r="BL709" s="211">
        <v>1454</v>
      </c>
      <c r="BM709" s="211">
        <v>203</v>
      </c>
      <c r="BO709" s="28">
        <f t="shared" si="63"/>
        <v>3383.0833333333335</v>
      </c>
      <c r="BP709" s="28">
        <f t="shared" si="64"/>
        <v>40597</v>
      </c>
    </row>
    <row r="710" spans="22:68" x14ac:dyDescent="0.25">
      <c r="V710" s="178"/>
      <c r="W710" s="174"/>
      <c r="X710" s="179"/>
      <c r="Y710" s="247"/>
      <c r="Z710" s="248"/>
      <c r="AA710" s="294" t="str">
        <f t="shared" si="57"/>
        <v/>
      </c>
      <c r="AB710" s="219" t="str">
        <f t="shared" si="55"/>
        <v/>
      </c>
      <c r="AC710" s="219">
        <f t="shared" si="58"/>
        <v>0</v>
      </c>
      <c r="AD710" s="219">
        <f t="shared" si="59"/>
        <v>0</v>
      </c>
      <c r="AE710" s="220">
        <f t="shared" si="60"/>
        <v>0</v>
      </c>
      <c r="AF710" s="221">
        <f t="shared" si="61"/>
        <v>0</v>
      </c>
      <c r="AG710" s="204"/>
      <c r="AH710" s="178"/>
      <c r="AI710" s="174"/>
      <c r="AJ710" s="179"/>
      <c r="AK710" s="247"/>
      <c r="AL710" s="248"/>
      <c r="AM710" s="294" t="str">
        <f t="shared" si="65"/>
        <v/>
      </c>
      <c r="AN710" s="219" t="str">
        <f t="shared" si="56"/>
        <v/>
      </c>
      <c r="AO710" s="219">
        <f t="shared" si="66"/>
        <v>0</v>
      </c>
      <c r="AP710" s="219">
        <f t="shared" si="62"/>
        <v>0</v>
      </c>
      <c r="AQ710" s="220">
        <f t="shared" si="67"/>
        <v>0</v>
      </c>
      <c r="AR710" s="221">
        <f t="shared" si="68"/>
        <v>0</v>
      </c>
      <c r="AY710" s="628"/>
      <c r="AZ710" s="470">
        <v>0.75</v>
      </c>
      <c r="BA710" s="466">
        <v>8764816518</v>
      </c>
      <c r="BB710" s="211">
        <v>1547</v>
      </c>
      <c r="BC710" s="211">
        <v>544</v>
      </c>
      <c r="BD710" s="211">
        <v>676</v>
      </c>
      <c r="BE710" s="211">
        <v>711</v>
      </c>
      <c r="BF710" s="211">
        <v>693</v>
      </c>
      <c r="BG710" s="211">
        <v>457</v>
      </c>
      <c r="BH710" s="211">
        <v>2660</v>
      </c>
      <c r="BI710" s="211">
        <v>2638</v>
      </c>
      <c r="BJ710" s="211">
        <v>650</v>
      </c>
      <c r="BK710" s="211">
        <v>600</v>
      </c>
      <c r="BL710" s="211">
        <v>500</v>
      </c>
      <c r="BM710" s="211">
        <v>604</v>
      </c>
      <c r="BO710" s="28">
        <f t="shared" si="63"/>
        <v>1023.3333333333334</v>
      </c>
      <c r="BP710" s="28">
        <f t="shared" si="64"/>
        <v>12280</v>
      </c>
    </row>
    <row r="711" spans="22:68" x14ac:dyDescent="0.25">
      <c r="V711" s="178"/>
      <c r="W711" s="174"/>
      <c r="X711" s="179"/>
      <c r="Y711" s="247"/>
      <c r="Z711" s="248"/>
      <c r="AA711" s="294" t="str">
        <f t="shared" si="57"/>
        <v/>
      </c>
      <c r="AB711" s="219" t="str">
        <f t="shared" si="55"/>
        <v/>
      </c>
      <c r="AC711" s="219">
        <f t="shared" si="58"/>
        <v>0</v>
      </c>
      <c r="AD711" s="219">
        <f t="shared" si="59"/>
        <v>0</v>
      </c>
      <c r="AE711" s="220">
        <f t="shared" si="60"/>
        <v>0</v>
      </c>
      <c r="AF711" s="221">
        <f t="shared" si="61"/>
        <v>0</v>
      </c>
      <c r="AG711" s="204"/>
      <c r="AH711" s="178"/>
      <c r="AI711" s="174"/>
      <c r="AJ711" s="179"/>
      <c r="AK711" s="247"/>
      <c r="AL711" s="248"/>
      <c r="AM711" s="294" t="str">
        <f t="shared" si="65"/>
        <v/>
      </c>
      <c r="AN711" s="219" t="str">
        <f t="shared" si="56"/>
        <v/>
      </c>
      <c r="AO711" s="219">
        <f t="shared" si="66"/>
        <v>0</v>
      </c>
      <c r="AP711" s="219">
        <f t="shared" si="62"/>
        <v>0</v>
      </c>
      <c r="AQ711" s="220">
        <f t="shared" si="67"/>
        <v>0</v>
      </c>
      <c r="AR711" s="221">
        <f t="shared" si="68"/>
        <v>0</v>
      </c>
      <c r="AY711" s="628"/>
      <c r="AZ711" s="470">
        <v>1</v>
      </c>
      <c r="BA711" s="466">
        <v>8805561464</v>
      </c>
      <c r="BB711" s="211">
        <v>321</v>
      </c>
      <c r="BC711" s="211">
        <v>321</v>
      </c>
      <c r="BD711" s="211">
        <v>384</v>
      </c>
      <c r="BE711" s="211">
        <v>342</v>
      </c>
      <c r="BF711" s="211">
        <v>844</v>
      </c>
      <c r="BG711" s="211">
        <v>2238</v>
      </c>
      <c r="BH711" s="211">
        <v>2485</v>
      </c>
      <c r="BI711" s="211">
        <v>2450</v>
      </c>
      <c r="BJ711" s="211">
        <v>2678</v>
      </c>
      <c r="BK711" s="211">
        <v>2157</v>
      </c>
      <c r="BL711" s="211">
        <v>334</v>
      </c>
      <c r="BM711" s="211">
        <v>348</v>
      </c>
      <c r="BO711" s="28">
        <f t="shared" si="63"/>
        <v>1241.8333333333333</v>
      </c>
      <c r="BP711" s="28">
        <f t="shared" si="64"/>
        <v>14902</v>
      </c>
    </row>
    <row r="712" spans="22:68" x14ac:dyDescent="0.25">
      <c r="V712" s="178"/>
      <c r="W712" s="174"/>
      <c r="X712" s="179"/>
      <c r="Y712" s="247"/>
      <c r="Z712" s="248"/>
      <c r="AA712" s="294" t="str">
        <f t="shared" si="57"/>
        <v/>
      </c>
      <c r="AB712" s="219" t="str">
        <f t="shared" ref="AB712:AB775" si="69">IF(Y712&gt;1,IF((TestEOY-X712)/365&gt;AA712,AA712,ROUNDUP(((TestEOY-X712)/365),0)),"")</f>
        <v/>
      </c>
      <c r="AC712" s="219">
        <f t="shared" si="58"/>
        <v>0</v>
      </c>
      <c r="AD712" s="219">
        <f t="shared" si="59"/>
        <v>0</v>
      </c>
      <c r="AE712" s="220">
        <f t="shared" si="60"/>
        <v>0</v>
      </c>
      <c r="AF712" s="221">
        <f t="shared" si="61"/>
        <v>0</v>
      </c>
      <c r="AG712" s="204"/>
      <c r="AH712" s="178"/>
      <c r="AI712" s="174"/>
      <c r="AJ712" s="179"/>
      <c r="AK712" s="247"/>
      <c r="AL712" s="248"/>
      <c r="AM712" s="294" t="str">
        <f t="shared" si="65"/>
        <v/>
      </c>
      <c r="AN712" s="219" t="str">
        <f t="shared" ref="AN712:AN775" si="70">IF(AK712&lt;&gt;"",IF((TestEOY-AJ712)/365&gt;AM712,AM712,ROUNDUP(((TestEOY-AJ712)/365),0)),"")</f>
        <v/>
      </c>
      <c r="AO712" s="219">
        <f t="shared" si="66"/>
        <v>0</v>
      </c>
      <c r="AP712" s="219">
        <f t="shared" si="62"/>
        <v>0</v>
      </c>
      <c r="AQ712" s="220">
        <f t="shared" si="67"/>
        <v>0</v>
      </c>
      <c r="AR712" s="221">
        <f t="shared" si="68"/>
        <v>0</v>
      </c>
      <c r="AY712" s="628"/>
      <c r="AZ712" s="470">
        <v>1</v>
      </c>
      <c r="BA712" s="466">
        <v>8818309891</v>
      </c>
      <c r="BB712" s="211">
        <v>651</v>
      </c>
      <c r="BC712" s="211">
        <v>458</v>
      </c>
      <c r="BD712" s="211">
        <v>364</v>
      </c>
      <c r="BE712" s="211">
        <v>2636</v>
      </c>
      <c r="BF712" s="211">
        <v>2441</v>
      </c>
      <c r="BG712" s="211">
        <v>2688</v>
      </c>
      <c r="BH712" s="211">
        <v>7329</v>
      </c>
      <c r="BI712" s="211">
        <v>10337</v>
      </c>
      <c r="BJ712" s="211">
        <v>7196</v>
      </c>
      <c r="BK712" s="211">
        <v>4203</v>
      </c>
      <c r="BL712" s="211">
        <v>1585</v>
      </c>
      <c r="BM712" s="211">
        <v>418</v>
      </c>
      <c r="BO712" s="28">
        <f t="shared" si="63"/>
        <v>3358.8333333333335</v>
      </c>
      <c r="BP712" s="28">
        <f t="shared" si="64"/>
        <v>40306</v>
      </c>
    </row>
    <row r="713" spans="22:68" x14ac:dyDescent="0.25">
      <c r="V713" s="178"/>
      <c r="W713" s="174"/>
      <c r="X713" s="179"/>
      <c r="Y713" s="247"/>
      <c r="Z713" s="248"/>
      <c r="AA713" s="294" t="str">
        <f t="shared" ref="AA713:AA776" si="71">IFERROR(INDEX($AU$8:$AU$23,MATCH(V713,$AT$8:$AT$23,0)),"")</f>
        <v/>
      </c>
      <c r="AB713" s="219" t="str">
        <f t="shared" si="69"/>
        <v/>
      </c>
      <c r="AC713" s="219">
        <f t="shared" ref="AC713:AC776" si="72">IFERROR(IF(AB713&gt;=AA713,0,IF(AA713&gt;AB713,SLN(Y713,Z713,AA713),0)),"")</f>
        <v>0</v>
      </c>
      <c r="AD713" s="219">
        <f t="shared" ref="AD713:AD776" si="73">AE713-AC713</f>
        <v>0</v>
      </c>
      <c r="AE713" s="220">
        <f t="shared" ref="AE713:AE776" si="74">IFERROR(IF(OR(AA713=0,AA713=""),
     0,
     IF(AB713&gt;=AA713,
          +Y713,
          (+AC713*AB713))),
"")</f>
        <v>0</v>
      </c>
      <c r="AF713" s="221">
        <f t="shared" ref="AF713:AF776" si="75">IFERROR(IF(AE713&gt;Y713,0,(+Y713-AE713))-Z713,"")</f>
        <v>0</v>
      </c>
      <c r="AG713" s="204"/>
      <c r="AH713" s="178"/>
      <c r="AI713" s="174"/>
      <c r="AJ713" s="179"/>
      <c r="AK713" s="247"/>
      <c r="AL713" s="248"/>
      <c r="AM713" s="294" t="str">
        <f t="shared" si="65"/>
        <v/>
      </c>
      <c r="AN713" s="219" t="str">
        <f t="shared" si="70"/>
        <v/>
      </c>
      <c r="AO713" s="219">
        <f t="shared" si="66"/>
        <v>0</v>
      </c>
      <c r="AP713" s="219">
        <f t="shared" ref="AP713:AP776" si="76">AQ713-AO713</f>
        <v>0</v>
      </c>
      <c r="AQ713" s="220">
        <f t="shared" si="67"/>
        <v>0</v>
      </c>
      <c r="AR713" s="221">
        <f t="shared" si="68"/>
        <v>0</v>
      </c>
      <c r="AY713" s="628"/>
      <c r="AZ713" s="470">
        <v>0.75</v>
      </c>
      <c r="BA713" s="466">
        <v>8829260170</v>
      </c>
      <c r="BB713" s="211">
        <v>740</v>
      </c>
      <c r="BC713" s="211">
        <v>476</v>
      </c>
      <c r="BD713" s="211">
        <v>484</v>
      </c>
      <c r="BE713" s="211">
        <v>590</v>
      </c>
      <c r="BF713" s="211" t="s">
        <v>655</v>
      </c>
      <c r="BG713" s="211">
        <v>956</v>
      </c>
      <c r="BH713" s="211">
        <v>409</v>
      </c>
      <c r="BI713" s="211" t="s">
        <v>655</v>
      </c>
      <c r="BJ713" s="211" t="s">
        <v>655</v>
      </c>
      <c r="BK713" s="211" t="s">
        <v>655</v>
      </c>
      <c r="BL713" s="211">
        <v>3856</v>
      </c>
      <c r="BM713" s="211">
        <v>1089</v>
      </c>
      <c r="BO713" s="28">
        <f t="shared" ref="BO713:BO776" si="77">AVERAGE(BB713:BM713)</f>
        <v>1075</v>
      </c>
      <c r="BP713" s="28">
        <f t="shared" ref="BP713:BP776" si="78">SUM(BB713:BM713)</f>
        <v>8600</v>
      </c>
    </row>
    <row r="714" spans="22:68" x14ac:dyDescent="0.25">
      <c r="V714" s="178"/>
      <c r="W714" s="174"/>
      <c r="X714" s="179"/>
      <c r="Y714" s="247"/>
      <c r="Z714" s="248"/>
      <c r="AA714" s="294" t="str">
        <f t="shared" si="71"/>
        <v/>
      </c>
      <c r="AB714" s="219" t="str">
        <f t="shared" si="69"/>
        <v/>
      </c>
      <c r="AC714" s="219">
        <f t="shared" si="72"/>
        <v>0</v>
      </c>
      <c r="AD714" s="219">
        <f t="shared" si="73"/>
        <v>0</v>
      </c>
      <c r="AE714" s="220">
        <f t="shared" si="74"/>
        <v>0</v>
      </c>
      <c r="AF714" s="221">
        <f t="shared" si="75"/>
        <v>0</v>
      </c>
      <c r="AG714" s="204"/>
      <c r="AH714" s="178"/>
      <c r="AI714" s="174"/>
      <c r="AJ714" s="179"/>
      <c r="AK714" s="247"/>
      <c r="AL714" s="248"/>
      <c r="AM714" s="294" t="str">
        <f t="shared" si="65"/>
        <v/>
      </c>
      <c r="AN714" s="219" t="str">
        <f t="shared" si="70"/>
        <v/>
      </c>
      <c r="AO714" s="219">
        <f t="shared" si="66"/>
        <v>0</v>
      </c>
      <c r="AP714" s="219">
        <f t="shared" si="76"/>
        <v>0</v>
      </c>
      <c r="AQ714" s="220">
        <f t="shared" si="67"/>
        <v>0</v>
      </c>
      <c r="AR714" s="221">
        <f t="shared" si="68"/>
        <v>0</v>
      </c>
      <c r="AY714" s="628"/>
      <c r="AZ714" s="470">
        <v>0.75</v>
      </c>
      <c r="BA714" s="466">
        <v>8839719810</v>
      </c>
      <c r="BB714" s="211">
        <v>586</v>
      </c>
      <c r="BC714" s="211">
        <v>428</v>
      </c>
      <c r="BD714" s="211">
        <v>623</v>
      </c>
      <c r="BE714" s="211">
        <v>1016</v>
      </c>
      <c r="BF714" s="211">
        <v>1638</v>
      </c>
      <c r="BG714" s="211">
        <v>1927</v>
      </c>
      <c r="BH714" s="211">
        <v>3824</v>
      </c>
      <c r="BI714" s="211">
        <v>4055</v>
      </c>
      <c r="BJ714" s="211">
        <v>2271</v>
      </c>
      <c r="BK714" s="211">
        <v>1416</v>
      </c>
      <c r="BL714" s="211">
        <v>472</v>
      </c>
      <c r="BM714" s="211">
        <v>654</v>
      </c>
      <c r="BO714" s="28">
        <f t="shared" si="77"/>
        <v>1575.8333333333333</v>
      </c>
      <c r="BP714" s="28">
        <f t="shared" si="78"/>
        <v>18910</v>
      </c>
    </row>
    <row r="715" spans="22:68" x14ac:dyDescent="0.25">
      <c r="V715" s="178"/>
      <c r="W715" s="174"/>
      <c r="X715" s="179"/>
      <c r="Y715" s="247"/>
      <c r="Z715" s="248"/>
      <c r="AA715" s="294" t="str">
        <f t="shared" si="71"/>
        <v/>
      </c>
      <c r="AB715" s="219" t="str">
        <f t="shared" si="69"/>
        <v/>
      </c>
      <c r="AC715" s="219">
        <f t="shared" si="72"/>
        <v>0</v>
      </c>
      <c r="AD715" s="219">
        <f t="shared" si="73"/>
        <v>0</v>
      </c>
      <c r="AE715" s="220">
        <f t="shared" si="74"/>
        <v>0</v>
      </c>
      <c r="AF715" s="221">
        <f t="shared" si="75"/>
        <v>0</v>
      </c>
      <c r="AG715" s="204"/>
      <c r="AH715" s="178"/>
      <c r="AI715" s="174"/>
      <c r="AJ715" s="179"/>
      <c r="AK715" s="247"/>
      <c r="AL715" s="248"/>
      <c r="AM715" s="294" t="str">
        <f t="shared" si="65"/>
        <v/>
      </c>
      <c r="AN715" s="219" t="str">
        <f t="shared" si="70"/>
        <v/>
      </c>
      <c r="AO715" s="219">
        <f t="shared" si="66"/>
        <v>0</v>
      </c>
      <c r="AP715" s="219">
        <f t="shared" si="76"/>
        <v>0</v>
      </c>
      <c r="AQ715" s="220">
        <f t="shared" si="67"/>
        <v>0</v>
      </c>
      <c r="AR715" s="221">
        <f t="shared" si="68"/>
        <v>0</v>
      </c>
      <c r="AY715" s="628"/>
      <c r="AZ715" s="470">
        <v>0.75</v>
      </c>
      <c r="BA715" s="466">
        <v>8849021984</v>
      </c>
      <c r="BB715" s="211">
        <v>256</v>
      </c>
      <c r="BC715" s="211">
        <v>286</v>
      </c>
      <c r="BD715" s="211">
        <v>312</v>
      </c>
      <c r="BE715" s="211">
        <v>307</v>
      </c>
      <c r="BF715" s="211">
        <v>266</v>
      </c>
      <c r="BG715" s="211">
        <v>243</v>
      </c>
      <c r="BH715" s="211">
        <v>319</v>
      </c>
      <c r="BI715" s="211">
        <v>279</v>
      </c>
      <c r="BJ715" s="211">
        <v>387</v>
      </c>
      <c r="BK715" s="211">
        <v>201</v>
      </c>
      <c r="BL715" s="211">
        <v>9</v>
      </c>
      <c r="BM715" s="211" t="s">
        <v>655</v>
      </c>
      <c r="BO715" s="28">
        <f t="shared" si="77"/>
        <v>260.45454545454544</v>
      </c>
      <c r="BP715" s="28">
        <f t="shared" si="78"/>
        <v>2865</v>
      </c>
    </row>
    <row r="716" spans="22:68" x14ac:dyDescent="0.25">
      <c r="V716" s="178"/>
      <c r="W716" s="174"/>
      <c r="X716" s="179"/>
      <c r="Y716" s="247"/>
      <c r="Z716" s="248"/>
      <c r="AA716" s="294" t="str">
        <f t="shared" si="71"/>
        <v/>
      </c>
      <c r="AB716" s="219" t="str">
        <f t="shared" si="69"/>
        <v/>
      </c>
      <c r="AC716" s="219">
        <f t="shared" si="72"/>
        <v>0</v>
      </c>
      <c r="AD716" s="219">
        <f t="shared" si="73"/>
        <v>0</v>
      </c>
      <c r="AE716" s="220">
        <f t="shared" si="74"/>
        <v>0</v>
      </c>
      <c r="AF716" s="221">
        <f t="shared" si="75"/>
        <v>0</v>
      </c>
      <c r="AG716" s="204"/>
      <c r="AH716" s="178"/>
      <c r="AI716" s="174"/>
      <c r="AJ716" s="179"/>
      <c r="AK716" s="247"/>
      <c r="AL716" s="248"/>
      <c r="AM716" s="294" t="str">
        <f t="shared" ref="AM716:AM779" si="79">IFERROR(INDEX($AU$8:$AU$23,MATCH(AH716,$AT$8:$AT$23,0)),"")</f>
        <v/>
      </c>
      <c r="AN716" s="219" t="str">
        <f t="shared" si="70"/>
        <v/>
      </c>
      <c r="AO716" s="219">
        <f t="shared" ref="AO716:AO779" si="80">IFERROR(IF(AN716&gt;=AM716,0,IF(AM716&gt;AN716,SLN(AK716,AL716,AM716),0)),"")</f>
        <v>0</v>
      </c>
      <c r="AP716" s="219">
        <f t="shared" si="76"/>
        <v>0</v>
      </c>
      <c r="AQ716" s="220">
        <f t="shared" ref="AQ716:AQ779" si="81">IFERROR(IF(OR(AM716=0,AM716=""),
     0,
     IF(AN716&gt;=AM716,
          +AK716,
          (+AO716*AN716))),
"")</f>
        <v>0</v>
      </c>
      <c r="AR716" s="221">
        <f t="shared" ref="AR716:AR779" si="82">IFERROR(IF(AQ716&gt;AK716,0,(+AK716-AQ716))-AL716,"")</f>
        <v>0</v>
      </c>
      <c r="AY716" s="628"/>
      <c r="AZ716" s="470">
        <v>1.5</v>
      </c>
      <c r="BA716" s="466">
        <v>8867205201</v>
      </c>
      <c r="BB716" s="211">
        <v>530</v>
      </c>
      <c r="BC716" s="211">
        <v>670</v>
      </c>
      <c r="BD716" s="211">
        <v>210</v>
      </c>
      <c r="BE716" s="211">
        <v>150</v>
      </c>
      <c r="BF716" s="211">
        <v>90</v>
      </c>
      <c r="BG716" s="211">
        <v>100</v>
      </c>
      <c r="BH716" s="211">
        <v>104</v>
      </c>
      <c r="BI716" s="211">
        <v>106</v>
      </c>
      <c r="BJ716" s="211">
        <v>200</v>
      </c>
      <c r="BK716" s="211">
        <v>130</v>
      </c>
      <c r="BL716" s="211">
        <v>150</v>
      </c>
      <c r="BM716" s="211">
        <v>10</v>
      </c>
      <c r="BO716" s="28">
        <f t="shared" si="77"/>
        <v>204.16666666666666</v>
      </c>
      <c r="BP716" s="28">
        <f t="shared" si="78"/>
        <v>2450</v>
      </c>
    </row>
    <row r="717" spans="22:68" x14ac:dyDescent="0.25">
      <c r="V717" s="178"/>
      <c r="W717" s="174"/>
      <c r="X717" s="179"/>
      <c r="Y717" s="247"/>
      <c r="Z717" s="248"/>
      <c r="AA717" s="294" t="str">
        <f t="shared" si="71"/>
        <v/>
      </c>
      <c r="AB717" s="219" t="str">
        <f t="shared" si="69"/>
        <v/>
      </c>
      <c r="AC717" s="219">
        <f t="shared" si="72"/>
        <v>0</v>
      </c>
      <c r="AD717" s="219">
        <f t="shared" si="73"/>
        <v>0</v>
      </c>
      <c r="AE717" s="220">
        <f t="shared" si="74"/>
        <v>0</v>
      </c>
      <c r="AF717" s="221">
        <f t="shared" si="75"/>
        <v>0</v>
      </c>
      <c r="AG717" s="204"/>
      <c r="AH717" s="178"/>
      <c r="AI717" s="174"/>
      <c r="AJ717" s="179"/>
      <c r="AK717" s="247"/>
      <c r="AL717" s="248"/>
      <c r="AM717" s="294" t="str">
        <f t="shared" si="79"/>
        <v/>
      </c>
      <c r="AN717" s="219" t="str">
        <f t="shared" si="70"/>
        <v/>
      </c>
      <c r="AO717" s="219">
        <f t="shared" si="80"/>
        <v>0</v>
      </c>
      <c r="AP717" s="219">
        <f t="shared" si="76"/>
        <v>0</v>
      </c>
      <c r="AQ717" s="220">
        <f t="shared" si="81"/>
        <v>0</v>
      </c>
      <c r="AR717" s="221">
        <f t="shared" si="82"/>
        <v>0</v>
      </c>
      <c r="AY717" s="628"/>
      <c r="AZ717" s="470">
        <v>0.75</v>
      </c>
      <c r="BA717" s="466">
        <v>8874161993</v>
      </c>
      <c r="BB717" s="211">
        <v>29</v>
      </c>
      <c r="BC717" s="211">
        <v>37</v>
      </c>
      <c r="BD717" s="211">
        <v>96</v>
      </c>
      <c r="BE717" s="211">
        <v>40</v>
      </c>
      <c r="BF717" s="211">
        <v>50</v>
      </c>
      <c r="BG717" s="211">
        <v>300</v>
      </c>
      <c r="BH717" s="211">
        <v>2150</v>
      </c>
      <c r="BI717" s="211">
        <v>2130</v>
      </c>
      <c r="BJ717" s="211">
        <v>2320</v>
      </c>
      <c r="BK717" s="211">
        <v>2129</v>
      </c>
      <c r="BL717" s="211">
        <v>1000</v>
      </c>
      <c r="BM717" s="211">
        <v>32</v>
      </c>
      <c r="BO717" s="28">
        <f t="shared" si="77"/>
        <v>859.41666666666663</v>
      </c>
      <c r="BP717" s="28">
        <f t="shared" si="78"/>
        <v>10313</v>
      </c>
    </row>
    <row r="718" spans="22:68" x14ac:dyDescent="0.25">
      <c r="V718" s="178"/>
      <c r="W718" s="174"/>
      <c r="X718" s="179"/>
      <c r="Y718" s="247"/>
      <c r="Z718" s="248"/>
      <c r="AA718" s="294" t="str">
        <f t="shared" si="71"/>
        <v/>
      </c>
      <c r="AB718" s="219" t="str">
        <f t="shared" si="69"/>
        <v/>
      </c>
      <c r="AC718" s="219">
        <f t="shared" si="72"/>
        <v>0</v>
      </c>
      <c r="AD718" s="219">
        <f t="shared" si="73"/>
        <v>0</v>
      </c>
      <c r="AE718" s="220">
        <f t="shared" si="74"/>
        <v>0</v>
      </c>
      <c r="AF718" s="221">
        <f t="shared" si="75"/>
        <v>0</v>
      </c>
      <c r="AG718" s="204"/>
      <c r="AH718" s="178"/>
      <c r="AI718" s="174"/>
      <c r="AJ718" s="179"/>
      <c r="AK718" s="247"/>
      <c r="AL718" s="248"/>
      <c r="AM718" s="294" t="str">
        <f t="shared" si="79"/>
        <v/>
      </c>
      <c r="AN718" s="219" t="str">
        <f t="shared" si="70"/>
        <v/>
      </c>
      <c r="AO718" s="219">
        <f t="shared" si="80"/>
        <v>0</v>
      </c>
      <c r="AP718" s="219">
        <f t="shared" si="76"/>
        <v>0</v>
      </c>
      <c r="AQ718" s="220">
        <f t="shared" si="81"/>
        <v>0</v>
      </c>
      <c r="AR718" s="221">
        <f t="shared" si="82"/>
        <v>0</v>
      </c>
      <c r="AY718" s="628"/>
      <c r="AZ718" s="470">
        <v>0.75</v>
      </c>
      <c r="BA718" s="466">
        <v>8877785584</v>
      </c>
      <c r="BB718" s="211">
        <v>622</v>
      </c>
      <c r="BC718" s="211">
        <v>744</v>
      </c>
      <c r="BD718" s="211">
        <v>551</v>
      </c>
      <c r="BE718" s="211">
        <v>1587</v>
      </c>
      <c r="BF718" s="211">
        <v>4155</v>
      </c>
      <c r="BG718" s="211">
        <v>5908</v>
      </c>
      <c r="BH718" s="211">
        <v>7864</v>
      </c>
      <c r="BI718" s="211" t="s">
        <v>655</v>
      </c>
      <c r="BJ718" s="211" t="s">
        <v>655</v>
      </c>
      <c r="BK718" s="211" t="s">
        <v>655</v>
      </c>
      <c r="BL718" s="211" t="s">
        <v>655</v>
      </c>
      <c r="BM718" s="211" t="s">
        <v>655</v>
      </c>
      <c r="BO718" s="28">
        <f t="shared" si="77"/>
        <v>3061.5714285714284</v>
      </c>
      <c r="BP718" s="28">
        <f t="shared" si="78"/>
        <v>21431</v>
      </c>
    </row>
    <row r="719" spans="22:68" x14ac:dyDescent="0.25">
      <c r="V719" s="178"/>
      <c r="W719" s="174"/>
      <c r="X719" s="179"/>
      <c r="Y719" s="247"/>
      <c r="Z719" s="248"/>
      <c r="AA719" s="294" t="str">
        <f t="shared" si="71"/>
        <v/>
      </c>
      <c r="AB719" s="219" t="str">
        <f t="shared" si="69"/>
        <v/>
      </c>
      <c r="AC719" s="219">
        <f t="shared" si="72"/>
        <v>0</v>
      </c>
      <c r="AD719" s="219">
        <f t="shared" si="73"/>
        <v>0</v>
      </c>
      <c r="AE719" s="220">
        <f t="shared" si="74"/>
        <v>0</v>
      </c>
      <c r="AF719" s="221">
        <f t="shared" si="75"/>
        <v>0</v>
      </c>
      <c r="AG719" s="204"/>
      <c r="AH719" s="178"/>
      <c r="AI719" s="174"/>
      <c r="AJ719" s="179"/>
      <c r="AK719" s="247"/>
      <c r="AL719" s="248"/>
      <c r="AM719" s="294" t="str">
        <f t="shared" si="79"/>
        <v/>
      </c>
      <c r="AN719" s="219" t="str">
        <f t="shared" si="70"/>
        <v/>
      </c>
      <c r="AO719" s="219">
        <f t="shared" si="80"/>
        <v>0</v>
      </c>
      <c r="AP719" s="219">
        <f t="shared" si="76"/>
        <v>0</v>
      </c>
      <c r="AQ719" s="220">
        <f t="shared" si="81"/>
        <v>0</v>
      </c>
      <c r="AR719" s="221">
        <f t="shared" si="82"/>
        <v>0</v>
      </c>
      <c r="AY719" s="628"/>
      <c r="AZ719" s="470">
        <v>0.75</v>
      </c>
      <c r="BA719" s="466">
        <v>8878794639</v>
      </c>
      <c r="BB719" s="211">
        <v>649</v>
      </c>
      <c r="BC719" s="211">
        <v>638</v>
      </c>
      <c r="BD719" s="211">
        <v>672</v>
      </c>
      <c r="BE719" s="211">
        <v>808</v>
      </c>
      <c r="BF719" s="211">
        <v>1118</v>
      </c>
      <c r="BG719" s="211">
        <v>1134</v>
      </c>
      <c r="BH719" s="211">
        <v>1819</v>
      </c>
      <c r="BI719" s="211">
        <v>1595</v>
      </c>
      <c r="BJ719" s="211">
        <v>1619</v>
      </c>
      <c r="BK719" s="211">
        <v>1674</v>
      </c>
      <c r="BL719" s="211">
        <v>800</v>
      </c>
      <c r="BM719" s="211">
        <v>1071</v>
      </c>
      <c r="BO719" s="28">
        <f t="shared" si="77"/>
        <v>1133.0833333333333</v>
      </c>
      <c r="BP719" s="28">
        <f t="shared" si="78"/>
        <v>13597</v>
      </c>
    </row>
    <row r="720" spans="22:68" x14ac:dyDescent="0.25">
      <c r="V720" s="178"/>
      <c r="W720" s="174"/>
      <c r="X720" s="179"/>
      <c r="Y720" s="247"/>
      <c r="Z720" s="248"/>
      <c r="AA720" s="294" t="str">
        <f t="shared" si="71"/>
        <v/>
      </c>
      <c r="AB720" s="219" t="str">
        <f t="shared" si="69"/>
        <v/>
      </c>
      <c r="AC720" s="219">
        <f t="shared" si="72"/>
        <v>0</v>
      </c>
      <c r="AD720" s="219">
        <f t="shared" si="73"/>
        <v>0</v>
      </c>
      <c r="AE720" s="220">
        <f t="shared" si="74"/>
        <v>0</v>
      </c>
      <c r="AF720" s="221">
        <f t="shared" si="75"/>
        <v>0</v>
      </c>
      <c r="AG720" s="204"/>
      <c r="AH720" s="178"/>
      <c r="AI720" s="174"/>
      <c r="AJ720" s="179"/>
      <c r="AK720" s="247"/>
      <c r="AL720" s="248"/>
      <c r="AM720" s="294" t="str">
        <f t="shared" si="79"/>
        <v/>
      </c>
      <c r="AN720" s="219" t="str">
        <f t="shared" si="70"/>
        <v/>
      </c>
      <c r="AO720" s="219">
        <f t="shared" si="80"/>
        <v>0</v>
      </c>
      <c r="AP720" s="219">
        <f t="shared" si="76"/>
        <v>0</v>
      </c>
      <c r="AQ720" s="220">
        <f t="shared" si="81"/>
        <v>0</v>
      </c>
      <c r="AR720" s="221">
        <f t="shared" si="82"/>
        <v>0</v>
      </c>
      <c r="AY720" s="628"/>
      <c r="AZ720" s="470">
        <v>0.75</v>
      </c>
      <c r="BA720" s="466">
        <v>8900946206</v>
      </c>
      <c r="BB720" s="211">
        <v>315</v>
      </c>
      <c r="BC720" s="211">
        <v>313</v>
      </c>
      <c r="BD720" s="211">
        <v>342</v>
      </c>
      <c r="BE720" s="211">
        <v>357</v>
      </c>
      <c r="BF720" s="211">
        <v>442</v>
      </c>
      <c r="BG720" s="211">
        <v>590</v>
      </c>
      <c r="BH720" s="211">
        <v>3402</v>
      </c>
      <c r="BI720" s="211">
        <v>3207</v>
      </c>
      <c r="BJ720" s="211">
        <v>2656</v>
      </c>
      <c r="BK720" s="211">
        <v>661</v>
      </c>
      <c r="BL720" s="211">
        <v>229</v>
      </c>
      <c r="BM720" s="211">
        <v>288</v>
      </c>
      <c r="BO720" s="28">
        <f t="shared" si="77"/>
        <v>1066.8333333333333</v>
      </c>
      <c r="BP720" s="28">
        <f t="shared" si="78"/>
        <v>12802</v>
      </c>
    </row>
    <row r="721" spans="22:68" x14ac:dyDescent="0.25">
      <c r="V721" s="178"/>
      <c r="W721" s="174"/>
      <c r="X721" s="179"/>
      <c r="Y721" s="247"/>
      <c r="Z721" s="248"/>
      <c r="AA721" s="294" t="str">
        <f t="shared" si="71"/>
        <v/>
      </c>
      <c r="AB721" s="219" t="str">
        <f t="shared" si="69"/>
        <v/>
      </c>
      <c r="AC721" s="219">
        <f t="shared" si="72"/>
        <v>0</v>
      </c>
      <c r="AD721" s="219">
        <f t="shared" si="73"/>
        <v>0</v>
      </c>
      <c r="AE721" s="220">
        <f t="shared" si="74"/>
        <v>0</v>
      </c>
      <c r="AF721" s="221">
        <f t="shared" si="75"/>
        <v>0</v>
      </c>
      <c r="AG721" s="204"/>
      <c r="AH721" s="178"/>
      <c r="AI721" s="174"/>
      <c r="AJ721" s="179"/>
      <c r="AK721" s="247"/>
      <c r="AL721" s="248"/>
      <c r="AM721" s="294" t="str">
        <f t="shared" si="79"/>
        <v/>
      </c>
      <c r="AN721" s="219" t="str">
        <f t="shared" si="70"/>
        <v/>
      </c>
      <c r="AO721" s="219">
        <f t="shared" si="80"/>
        <v>0</v>
      </c>
      <c r="AP721" s="219">
        <f t="shared" si="76"/>
        <v>0</v>
      </c>
      <c r="AQ721" s="220">
        <f t="shared" si="81"/>
        <v>0</v>
      </c>
      <c r="AR721" s="221">
        <f t="shared" si="82"/>
        <v>0</v>
      </c>
      <c r="AY721" s="628"/>
      <c r="AZ721" s="470">
        <v>0.625</v>
      </c>
      <c r="BA721" s="466">
        <v>8906496907</v>
      </c>
      <c r="BB721" s="211">
        <v>60</v>
      </c>
      <c r="BC721" s="211" t="s">
        <v>655</v>
      </c>
      <c r="BD721" s="211" t="s">
        <v>655</v>
      </c>
      <c r="BE721" s="211" t="s">
        <v>655</v>
      </c>
      <c r="BF721" s="211">
        <v>630</v>
      </c>
      <c r="BG721" s="211">
        <v>1401</v>
      </c>
      <c r="BH721" s="211" t="s">
        <v>655</v>
      </c>
      <c r="BI721" s="211" t="s">
        <v>655</v>
      </c>
      <c r="BJ721" s="211" t="s">
        <v>655</v>
      </c>
      <c r="BK721" s="211" t="s">
        <v>655</v>
      </c>
      <c r="BL721" s="211">
        <v>974</v>
      </c>
      <c r="BM721" s="211">
        <v>295</v>
      </c>
      <c r="BO721" s="28">
        <f t="shared" si="77"/>
        <v>672</v>
      </c>
      <c r="BP721" s="28">
        <f t="shared" si="78"/>
        <v>3360</v>
      </c>
    </row>
    <row r="722" spans="22:68" x14ac:dyDescent="0.25">
      <c r="V722" s="178"/>
      <c r="W722" s="174"/>
      <c r="X722" s="179"/>
      <c r="Y722" s="247"/>
      <c r="Z722" s="248"/>
      <c r="AA722" s="294" t="str">
        <f t="shared" si="71"/>
        <v/>
      </c>
      <c r="AB722" s="219" t="str">
        <f t="shared" si="69"/>
        <v/>
      </c>
      <c r="AC722" s="219">
        <f t="shared" si="72"/>
        <v>0</v>
      </c>
      <c r="AD722" s="219">
        <f t="shared" si="73"/>
        <v>0</v>
      </c>
      <c r="AE722" s="220">
        <f t="shared" si="74"/>
        <v>0</v>
      </c>
      <c r="AF722" s="221">
        <f t="shared" si="75"/>
        <v>0</v>
      </c>
      <c r="AG722" s="204"/>
      <c r="AH722" s="178"/>
      <c r="AI722" s="174"/>
      <c r="AJ722" s="179"/>
      <c r="AK722" s="247"/>
      <c r="AL722" s="248"/>
      <c r="AM722" s="294" t="str">
        <f t="shared" si="79"/>
        <v/>
      </c>
      <c r="AN722" s="219" t="str">
        <f t="shared" si="70"/>
        <v/>
      </c>
      <c r="AO722" s="219">
        <f t="shared" si="80"/>
        <v>0</v>
      </c>
      <c r="AP722" s="219">
        <f t="shared" si="76"/>
        <v>0</v>
      </c>
      <c r="AQ722" s="220">
        <f t="shared" si="81"/>
        <v>0</v>
      </c>
      <c r="AR722" s="221">
        <f t="shared" si="82"/>
        <v>0</v>
      </c>
      <c r="AY722" s="628"/>
      <c r="AZ722" s="470">
        <v>0.625</v>
      </c>
      <c r="BA722" s="466">
        <v>8932382718</v>
      </c>
      <c r="BB722" s="211">
        <v>790</v>
      </c>
      <c r="BC722" s="211">
        <v>2940</v>
      </c>
      <c r="BD722" s="211">
        <v>188</v>
      </c>
      <c r="BE722" s="211">
        <v>2080</v>
      </c>
      <c r="BF722" s="211">
        <v>3882</v>
      </c>
      <c r="BG722" s="211">
        <v>4967</v>
      </c>
      <c r="BH722" s="211">
        <v>7153</v>
      </c>
      <c r="BI722" s="211">
        <v>6533</v>
      </c>
      <c r="BJ722" s="211">
        <v>5846</v>
      </c>
      <c r="BK722" s="211">
        <v>1121</v>
      </c>
      <c r="BL722" s="211">
        <v>417</v>
      </c>
      <c r="BM722" s="211">
        <v>758</v>
      </c>
      <c r="BO722" s="28">
        <f t="shared" si="77"/>
        <v>3056.25</v>
      </c>
      <c r="BP722" s="28">
        <f t="shared" si="78"/>
        <v>36675</v>
      </c>
    </row>
    <row r="723" spans="22:68" x14ac:dyDescent="0.25">
      <c r="V723" s="178"/>
      <c r="W723" s="174"/>
      <c r="X723" s="179"/>
      <c r="Y723" s="247"/>
      <c r="Z723" s="248"/>
      <c r="AA723" s="294" t="str">
        <f t="shared" si="71"/>
        <v/>
      </c>
      <c r="AB723" s="219" t="str">
        <f t="shared" si="69"/>
        <v/>
      </c>
      <c r="AC723" s="219">
        <f t="shared" si="72"/>
        <v>0</v>
      </c>
      <c r="AD723" s="219">
        <f t="shared" si="73"/>
        <v>0</v>
      </c>
      <c r="AE723" s="220">
        <f t="shared" si="74"/>
        <v>0</v>
      </c>
      <c r="AF723" s="221">
        <f t="shared" si="75"/>
        <v>0</v>
      </c>
      <c r="AG723" s="204"/>
      <c r="AH723" s="178"/>
      <c r="AI723" s="174"/>
      <c r="AJ723" s="179"/>
      <c r="AK723" s="247"/>
      <c r="AL723" s="248"/>
      <c r="AM723" s="294" t="str">
        <f t="shared" si="79"/>
        <v/>
      </c>
      <c r="AN723" s="219" t="str">
        <f t="shared" si="70"/>
        <v/>
      </c>
      <c r="AO723" s="219">
        <f t="shared" si="80"/>
        <v>0</v>
      </c>
      <c r="AP723" s="219">
        <f t="shared" si="76"/>
        <v>0</v>
      </c>
      <c r="AQ723" s="220">
        <f t="shared" si="81"/>
        <v>0</v>
      </c>
      <c r="AR723" s="221">
        <f t="shared" si="82"/>
        <v>0</v>
      </c>
      <c r="AY723" s="628"/>
      <c r="AZ723" s="470">
        <v>0.75</v>
      </c>
      <c r="BA723" s="466">
        <v>8932834434</v>
      </c>
      <c r="BB723" s="211">
        <v>428</v>
      </c>
      <c r="BC723" s="211">
        <v>483</v>
      </c>
      <c r="BD723" s="211">
        <v>135</v>
      </c>
      <c r="BE723" s="211">
        <v>498</v>
      </c>
      <c r="BF723" s="211">
        <v>122</v>
      </c>
      <c r="BG723" s="211">
        <v>280</v>
      </c>
      <c r="BH723" s="211">
        <v>165</v>
      </c>
      <c r="BI723" s="211">
        <v>278</v>
      </c>
      <c r="BJ723" s="211">
        <v>357</v>
      </c>
      <c r="BK723" s="211">
        <v>324</v>
      </c>
      <c r="BL723" s="211">
        <v>413</v>
      </c>
      <c r="BM723" s="211">
        <v>240</v>
      </c>
      <c r="BO723" s="28">
        <f t="shared" si="77"/>
        <v>310.25</v>
      </c>
      <c r="BP723" s="28">
        <f t="shared" si="78"/>
        <v>3723</v>
      </c>
    </row>
    <row r="724" spans="22:68" x14ac:dyDescent="0.25">
      <c r="V724" s="178"/>
      <c r="W724" s="174"/>
      <c r="X724" s="179"/>
      <c r="Y724" s="247"/>
      <c r="Z724" s="248"/>
      <c r="AA724" s="294" t="str">
        <f t="shared" si="71"/>
        <v/>
      </c>
      <c r="AB724" s="219" t="str">
        <f t="shared" si="69"/>
        <v/>
      </c>
      <c r="AC724" s="219">
        <f t="shared" si="72"/>
        <v>0</v>
      </c>
      <c r="AD724" s="219">
        <f t="shared" si="73"/>
        <v>0</v>
      </c>
      <c r="AE724" s="220">
        <f t="shared" si="74"/>
        <v>0</v>
      </c>
      <c r="AF724" s="221">
        <f t="shared" si="75"/>
        <v>0</v>
      </c>
      <c r="AG724" s="204"/>
      <c r="AH724" s="178"/>
      <c r="AI724" s="174"/>
      <c r="AJ724" s="179"/>
      <c r="AK724" s="247"/>
      <c r="AL724" s="248"/>
      <c r="AM724" s="294" t="str">
        <f t="shared" si="79"/>
        <v/>
      </c>
      <c r="AN724" s="219" t="str">
        <f t="shared" si="70"/>
        <v/>
      </c>
      <c r="AO724" s="219">
        <f t="shared" si="80"/>
        <v>0</v>
      </c>
      <c r="AP724" s="219">
        <f t="shared" si="76"/>
        <v>0</v>
      </c>
      <c r="AQ724" s="220">
        <f t="shared" si="81"/>
        <v>0</v>
      </c>
      <c r="AR724" s="221">
        <f t="shared" si="82"/>
        <v>0</v>
      </c>
      <c r="AY724" s="628"/>
      <c r="AZ724" s="470">
        <v>0.625</v>
      </c>
      <c r="BA724" s="466">
        <v>8939910069</v>
      </c>
      <c r="BB724" s="211">
        <v>300</v>
      </c>
      <c r="BC724" s="211">
        <v>262</v>
      </c>
      <c r="BD724" s="211">
        <v>327</v>
      </c>
      <c r="BE724" s="211">
        <v>374</v>
      </c>
      <c r="BF724" s="211">
        <v>386</v>
      </c>
      <c r="BG724" s="211">
        <v>380</v>
      </c>
      <c r="BH724" s="211">
        <v>397</v>
      </c>
      <c r="BI724" s="211">
        <v>215</v>
      </c>
      <c r="BJ724" s="211">
        <v>462</v>
      </c>
      <c r="BK724" s="211">
        <v>336</v>
      </c>
      <c r="BL724" s="211">
        <v>374</v>
      </c>
      <c r="BM724" s="211">
        <v>292</v>
      </c>
      <c r="BO724" s="28">
        <f t="shared" si="77"/>
        <v>342.08333333333331</v>
      </c>
      <c r="BP724" s="28">
        <f t="shared" si="78"/>
        <v>4105</v>
      </c>
    </row>
    <row r="725" spans="22:68" x14ac:dyDescent="0.25">
      <c r="V725" s="178"/>
      <c r="W725" s="174"/>
      <c r="X725" s="179"/>
      <c r="Y725" s="247"/>
      <c r="Z725" s="248"/>
      <c r="AA725" s="294" t="str">
        <f t="shared" si="71"/>
        <v/>
      </c>
      <c r="AB725" s="219" t="str">
        <f t="shared" si="69"/>
        <v/>
      </c>
      <c r="AC725" s="219">
        <f t="shared" si="72"/>
        <v>0</v>
      </c>
      <c r="AD725" s="219">
        <f t="shared" si="73"/>
        <v>0</v>
      </c>
      <c r="AE725" s="220">
        <f t="shared" si="74"/>
        <v>0</v>
      </c>
      <c r="AF725" s="221">
        <f t="shared" si="75"/>
        <v>0</v>
      </c>
      <c r="AG725" s="204"/>
      <c r="AH725" s="178"/>
      <c r="AI725" s="174"/>
      <c r="AJ725" s="179"/>
      <c r="AK725" s="247"/>
      <c r="AL725" s="248"/>
      <c r="AM725" s="294" t="str">
        <f t="shared" si="79"/>
        <v/>
      </c>
      <c r="AN725" s="219" t="str">
        <f t="shared" si="70"/>
        <v/>
      </c>
      <c r="AO725" s="219">
        <f t="shared" si="80"/>
        <v>0</v>
      </c>
      <c r="AP725" s="219">
        <f t="shared" si="76"/>
        <v>0</v>
      </c>
      <c r="AQ725" s="220">
        <f t="shared" si="81"/>
        <v>0</v>
      </c>
      <c r="AR725" s="221">
        <f t="shared" si="82"/>
        <v>0</v>
      </c>
      <c r="AY725" s="628"/>
      <c r="AZ725" s="470">
        <v>0.75</v>
      </c>
      <c r="BA725" s="466">
        <v>8958627634</v>
      </c>
      <c r="BB725" s="211">
        <v>183</v>
      </c>
      <c r="BC725" s="211">
        <v>249</v>
      </c>
      <c r="BD725" s="211">
        <v>317</v>
      </c>
      <c r="BE725" s="211">
        <v>185</v>
      </c>
      <c r="BF725" s="211">
        <v>212</v>
      </c>
      <c r="BG725" s="211">
        <v>343</v>
      </c>
      <c r="BH725" s="211">
        <v>575</v>
      </c>
      <c r="BI725" s="211">
        <v>274</v>
      </c>
      <c r="BJ725" s="211">
        <v>324</v>
      </c>
      <c r="BK725" s="211">
        <v>112</v>
      </c>
      <c r="BL725" s="211">
        <v>85</v>
      </c>
      <c r="BM725" s="211">
        <v>125</v>
      </c>
      <c r="BO725" s="28">
        <f t="shared" si="77"/>
        <v>248.66666666666666</v>
      </c>
      <c r="BP725" s="28">
        <f t="shared" si="78"/>
        <v>2984</v>
      </c>
    </row>
    <row r="726" spans="22:68" x14ac:dyDescent="0.25">
      <c r="V726" s="178"/>
      <c r="W726" s="174"/>
      <c r="X726" s="179"/>
      <c r="Y726" s="247"/>
      <c r="Z726" s="248"/>
      <c r="AA726" s="294" t="str">
        <f t="shared" si="71"/>
        <v/>
      </c>
      <c r="AB726" s="219" t="str">
        <f t="shared" si="69"/>
        <v/>
      </c>
      <c r="AC726" s="219">
        <f t="shared" si="72"/>
        <v>0</v>
      </c>
      <c r="AD726" s="219">
        <f t="shared" si="73"/>
        <v>0</v>
      </c>
      <c r="AE726" s="220">
        <f t="shared" si="74"/>
        <v>0</v>
      </c>
      <c r="AF726" s="221">
        <f t="shared" si="75"/>
        <v>0</v>
      </c>
      <c r="AG726" s="204"/>
      <c r="AH726" s="178"/>
      <c r="AI726" s="174"/>
      <c r="AJ726" s="179"/>
      <c r="AK726" s="247"/>
      <c r="AL726" s="248"/>
      <c r="AM726" s="294" t="str">
        <f t="shared" si="79"/>
        <v/>
      </c>
      <c r="AN726" s="219" t="str">
        <f t="shared" si="70"/>
        <v/>
      </c>
      <c r="AO726" s="219">
        <f t="shared" si="80"/>
        <v>0</v>
      </c>
      <c r="AP726" s="219">
        <f t="shared" si="76"/>
        <v>0</v>
      </c>
      <c r="AQ726" s="220">
        <f t="shared" si="81"/>
        <v>0</v>
      </c>
      <c r="AR726" s="221">
        <f t="shared" si="82"/>
        <v>0</v>
      </c>
      <c r="AY726" s="628"/>
      <c r="AZ726" s="470">
        <v>0.75</v>
      </c>
      <c r="BA726" s="466">
        <v>8962369947</v>
      </c>
      <c r="BB726" s="211">
        <v>617</v>
      </c>
      <c r="BC726" s="211">
        <v>580</v>
      </c>
      <c r="BD726" s="211">
        <v>598</v>
      </c>
      <c r="BE726" s="211">
        <v>684</v>
      </c>
      <c r="BF726" s="211">
        <v>423</v>
      </c>
      <c r="BG726" s="211">
        <v>918</v>
      </c>
      <c r="BH726" s="211">
        <v>875</v>
      </c>
      <c r="BI726" s="211">
        <v>810</v>
      </c>
      <c r="BJ726" s="211">
        <v>635</v>
      </c>
      <c r="BK726" s="211" t="s">
        <v>655</v>
      </c>
      <c r="BL726" s="211" t="s">
        <v>655</v>
      </c>
      <c r="BM726" s="211">
        <v>100</v>
      </c>
      <c r="BO726" s="28">
        <f t="shared" si="77"/>
        <v>624</v>
      </c>
      <c r="BP726" s="28">
        <f t="shared" si="78"/>
        <v>6240</v>
      </c>
    </row>
    <row r="727" spans="22:68" x14ac:dyDescent="0.25">
      <c r="V727" s="178"/>
      <c r="W727" s="174"/>
      <c r="X727" s="179"/>
      <c r="Y727" s="247"/>
      <c r="Z727" s="248"/>
      <c r="AA727" s="294" t="str">
        <f t="shared" si="71"/>
        <v/>
      </c>
      <c r="AB727" s="219" t="str">
        <f t="shared" si="69"/>
        <v/>
      </c>
      <c r="AC727" s="219">
        <f t="shared" si="72"/>
        <v>0</v>
      </c>
      <c r="AD727" s="219">
        <f t="shared" si="73"/>
        <v>0</v>
      </c>
      <c r="AE727" s="220">
        <f t="shared" si="74"/>
        <v>0</v>
      </c>
      <c r="AF727" s="221">
        <f t="shared" si="75"/>
        <v>0</v>
      </c>
      <c r="AG727" s="204"/>
      <c r="AH727" s="178"/>
      <c r="AI727" s="174"/>
      <c r="AJ727" s="179"/>
      <c r="AK727" s="247"/>
      <c r="AL727" s="248"/>
      <c r="AM727" s="294" t="str">
        <f t="shared" si="79"/>
        <v/>
      </c>
      <c r="AN727" s="219" t="str">
        <f t="shared" si="70"/>
        <v/>
      </c>
      <c r="AO727" s="219">
        <f t="shared" si="80"/>
        <v>0</v>
      </c>
      <c r="AP727" s="219">
        <f t="shared" si="76"/>
        <v>0</v>
      </c>
      <c r="AQ727" s="220">
        <f t="shared" si="81"/>
        <v>0</v>
      </c>
      <c r="AR727" s="221">
        <f t="shared" si="82"/>
        <v>0</v>
      </c>
      <c r="AY727" s="628"/>
      <c r="AZ727" s="470">
        <v>0.75</v>
      </c>
      <c r="BA727" s="466">
        <v>8977239700</v>
      </c>
      <c r="BB727" s="211">
        <v>625</v>
      </c>
      <c r="BC727" s="211">
        <v>538</v>
      </c>
      <c r="BD727" s="211">
        <v>341</v>
      </c>
      <c r="BE727" s="211">
        <v>885</v>
      </c>
      <c r="BF727" s="211">
        <v>541</v>
      </c>
      <c r="BG727" s="211">
        <v>1493</v>
      </c>
      <c r="BH727" s="211">
        <v>3208</v>
      </c>
      <c r="BI727" s="211">
        <v>3283</v>
      </c>
      <c r="BJ727" s="211">
        <v>2517</v>
      </c>
      <c r="BK727" s="211">
        <v>443</v>
      </c>
      <c r="BL727" s="211">
        <v>465</v>
      </c>
      <c r="BM727" s="211">
        <v>564</v>
      </c>
      <c r="BO727" s="28">
        <f t="shared" si="77"/>
        <v>1241.9166666666667</v>
      </c>
      <c r="BP727" s="28">
        <f t="shared" si="78"/>
        <v>14903</v>
      </c>
    </row>
    <row r="728" spans="22:68" x14ac:dyDescent="0.25">
      <c r="V728" s="178"/>
      <c r="W728" s="174"/>
      <c r="X728" s="179"/>
      <c r="Y728" s="247"/>
      <c r="Z728" s="248"/>
      <c r="AA728" s="294" t="str">
        <f t="shared" si="71"/>
        <v/>
      </c>
      <c r="AB728" s="219" t="str">
        <f t="shared" si="69"/>
        <v/>
      </c>
      <c r="AC728" s="219">
        <f t="shared" si="72"/>
        <v>0</v>
      </c>
      <c r="AD728" s="219">
        <f t="shared" si="73"/>
        <v>0</v>
      </c>
      <c r="AE728" s="220">
        <f t="shared" si="74"/>
        <v>0</v>
      </c>
      <c r="AF728" s="221">
        <f t="shared" si="75"/>
        <v>0</v>
      </c>
      <c r="AG728" s="204"/>
      <c r="AH728" s="178"/>
      <c r="AI728" s="174"/>
      <c r="AJ728" s="179"/>
      <c r="AK728" s="247"/>
      <c r="AL728" s="248"/>
      <c r="AM728" s="294" t="str">
        <f t="shared" si="79"/>
        <v/>
      </c>
      <c r="AN728" s="219" t="str">
        <f t="shared" si="70"/>
        <v/>
      </c>
      <c r="AO728" s="219">
        <f t="shared" si="80"/>
        <v>0</v>
      </c>
      <c r="AP728" s="219">
        <f t="shared" si="76"/>
        <v>0</v>
      </c>
      <c r="AQ728" s="220">
        <f t="shared" si="81"/>
        <v>0</v>
      </c>
      <c r="AR728" s="221">
        <f t="shared" si="82"/>
        <v>0</v>
      </c>
      <c r="AY728" s="628"/>
      <c r="AZ728" s="470">
        <v>0.75</v>
      </c>
      <c r="BA728" s="466">
        <v>8984575008</v>
      </c>
      <c r="BB728" s="211" t="s">
        <v>655</v>
      </c>
      <c r="BC728" s="211" t="s">
        <v>655</v>
      </c>
      <c r="BD728" s="211" t="s">
        <v>655</v>
      </c>
      <c r="BE728" s="211" t="s">
        <v>655</v>
      </c>
      <c r="BF728" s="211" t="s">
        <v>655</v>
      </c>
      <c r="BG728" s="211" t="s">
        <v>655</v>
      </c>
      <c r="BH728" s="211" t="s">
        <v>655</v>
      </c>
      <c r="BI728" s="211" t="s">
        <v>655</v>
      </c>
      <c r="BJ728" s="211" t="s">
        <v>655</v>
      </c>
      <c r="BK728" s="211" t="s">
        <v>655</v>
      </c>
      <c r="BL728" s="211" t="s">
        <v>655</v>
      </c>
      <c r="BM728" s="211" t="s">
        <v>655</v>
      </c>
      <c r="BO728" s="28" t="e">
        <f t="shared" si="77"/>
        <v>#DIV/0!</v>
      </c>
      <c r="BP728" s="28">
        <f t="shared" si="78"/>
        <v>0</v>
      </c>
    </row>
    <row r="729" spans="22:68" x14ac:dyDescent="0.25">
      <c r="V729" s="178"/>
      <c r="W729" s="174"/>
      <c r="X729" s="179"/>
      <c r="Y729" s="247"/>
      <c r="Z729" s="248"/>
      <c r="AA729" s="294" t="str">
        <f t="shared" si="71"/>
        <v/>
      </c>
      <c r="AB729" s="219" t="str">
        <f t="shared" si="69"/>
        <v/>
      </c>
      <c r="AC729" s="219">
        <f t="shared" si="72"/>
        <v>0</v>
      </c>
      <c r="AD729" s="219">
        <f t="shared" si="73"/>
        <v>0</v>
      </c>
      <c r="AE729" s="220">
        <f t="shared" si="74"/>
        <v>0</v>
      </c>
      <c r="AF729" s="221">
        <f t="shared" si="75"/>
        <v>0</v>
      </c>
      <c r="AG729" s="204"/>
      <c r="AH729" s="178"/>
      <c r="AI729" s="174"/>
      <c r="AJ729" s="179"/>
      <c r="AK729" s="247"/>
      <c r="AL729" s="248"/>
      <c r="AM729" s="294" t="str">
        <f t="shared" si="79"/>
        <v/>
      </c>
      <c r="AN729" s="219" t="str">
        <f t="shared" si="70"/>
        <v/>
      </c>
      <c r="AO729" s="219">
        <f t="shared" si="80"/>
        <v>0</v>
      </c>
      <c r="AP729" s="219">
        <f t="shared" si="76"/>
        <v>0</v>
      </c>
      <c r="AQ729" s="220">
        <f t="shared" si="81"/>
        <v>0</v>
      </c>
      <c r="AR729" s="221">
        <f t="shared" si="82"/>
        <v>0</v>
      </c>
      <c r="AY729" s="628"/>
      <c r="AZ729" s="470">
        <v>0.75</v>
      </c>
      <c r="BA729" s="466">
        <v>8991803416</v>
      </c>
      <c r="BB729" s="211">
        <v>375</v>
      </c>
      <c r="BC729" s="211">
        <v>594</v>
      </c>
      <c r="BD729" s="211">
        <v>598</v>
      </c>
      <c r="BE729" s="211">
        <v>738</v>
      </c>
      <c r="BF729" s="211">
        <v>685</v>
      </c>
      <c r="BG729" s="211">
        <v>696</v>
      </c>
      <c r="BH729" s="211">
        <v>1567</v>
      </c>
      <c r="BI729" s="211" t="s">
        <v>655</v>
      </c>
      <c r="BJ729" s="211">
        <v>108</v>
      </c>
      <c r="BK729" s="211">
        <v>569</v>
      </c>
      <c r="BL729" s="211">
        <v>37</v>
      </c>
      <c r="BM729" s="211">
        <v>803</v>
      </c>
      <c r="BO729" s="28">
        <f t="shared" si="77"/>
        <v>615.4545454545455</v>
      </c>
      <c r="BP729" s="28">
        <f t="shared" si="78"/>
        <v>6770</v>
      </c>
    </row>
    <row r="730" spans="22:68" x14ac:dyDescent="0.25">
      <c r="V730" s="178"/>
      <c r="W730" s="174"/>
      <c r="X730" s="179"/>
      <c r="Y730" s="247"/>
      <c r="Z730" s="248"/>
      <c r="AA730" s="294" t="str">
        <f t="shared" si="71"/>
        <v/>
      </c>
      <c r="AB730" s="219" t="str">
        <f t="shared" si="69"/>
        <v/>
      </c>
      <c r="AC730" s="219">
        <f t="shared" si="72"/>
        <v>0</v>
      </c>
      <c r="AD730" s="219">
        <f t="shared" si="73"/>
        <v>0</v>
      </c>
      <c r="AE730" s="220">
        <f t="shared" si="74"/>
        <v>0</v>
      </c>
      <c r="AF730" s="221">
        <f t="shared" si="75"/>
        <v>0</v>
      </c>
      <c r="AG730" s="204"/>
      <c r="AH730" s="178"/>
      <c r="AI730" s="174"/>
      <c r="AJ730" s="179"/>
      <c r="AK730" s="247"/>
      <c r="AL730" s="248"/>
      <c r="AM730" s="294" t="str">
        <f t="shared" si="79"/>
        <v/>
      </c>
      <c r="AN730" s="219" t="str">
        <f t="shared" si="70"/>
        <v/>
      </c>
      <c r="AO730" s="219">
        <f t="shared" si="80"/>
        <v>0</v>
      </c>
      <c r="AP730" s="219">
        <f t="shared" si="76"/>
        <v>0</v>
      </c>
      <c r="AQ730" s="220">
        <f t="shared" si="81"/>
        <v>0</v>
      </c>
      <c r="AR730" s="221">
        <f t="shared" si="82"/>
        <v>0</v>
      </c>
      <c r="AY730" s="628"/>
      <c r="AZ730" s="470">
        <v>0.625</v>
      </c>
      <c r="BA730" s="466">
        <v>8997139546</v>
      </c>
      <c r="BB730" s="211">
        <v>455</v>
      </c>
      <c r="BC730" s="211">
        <v>518</v>
      </c>
      <c r="BD730" s="211">
        <v>605</v>
      </c>
      <c r="BE730" s="211" t="s">
        <v>655</v>
      </c>
      <c r="BF730" s="211" t="s">
        <v>655</v>
      </c>
      <c r="BG730" s="211" t="s">
        <v>655</v>
      </c>
      <c r="BH730" s="211" t="s">
        <v>655</v>
      </c>
      <c r="BI730" s="211" t="s">
        <v>655</v>
      </c>
      <c r="BJ730" s="211" t="s">
        <v>655</v>
      </c>
      <c r="BK730" s="211">
        <v>615</v>
      </c>
      <c r="BL730" s="211">
        <v>676</v>
      </c>
      <c r="BM730" s="211">
        <v>24</v>
      </c>
      <c r="BO730" s="28">
        <f t="shared" si="77"/>
        <v>482.16666666666669</v>
      </c>
      <c r="BP730" s="28">
        <f t="shared" si="78"/>
        <v>2893</v>
      </c>
    </row>
    <row r="731" spans="22:68" x14ac:dyDescent="0.25">
      <c r="V731" s="178"/>
      <c r="W731" s="174"/>
      <c r="X731" s="179"/>
      <c r="Y731" s="247"/>
      <c r="Z731" s="248"/>
      <c r="AA731" s="294" t="str">
        <f t="shared" si="71"/>
        <v/>
      </c>
      <c r="AB731" s="219" t="str">
        <f t="shared" si="69"/>
        <v/>
      </c>
      <c r="AC731" s="219">
        <f t="shared" si="72"/>
        <v>0</v>
      </c>
      <c r="AD731" s="219">
        <f t="shared" si="73"/>
        <v>0</v>
      </c>
      <c r="AE731" s="220">
        <f t="shared" si="74"/>
        <v>0</v>
      </c>
      <c r="AF731" s="221">
        <f t="shared" si="75"/>
        <v>0</v>
      </c>
      <c r="AG731" s="204"/>
      <c r="AH731" s="178"/>
      <c r="AI731" s="174"/>
      <c r="AJ731" s="179"/>
      <c r="AK731" s="247"/>
      <c r="AL731" s="248"/>
      <c r="AM731" s="294" t="str">
        <f t="shared" si="79"/>
        <v/>
      </c>
      <c r="AN731" s="219" t="str">
        <f t="shared" si="70"/>
        <v/>
      </c>
      <c r="AO731" s="219">
        <f t="shared" si="80"/>
        <v>0</v>
      </c>
      <c r="AP731" s="219">
        <f t="shared" si="76"/>
        <v>0</v>
      </c>
      <c r="AQ731" s="220">
        <f t="shared" si="81"/>
        <v>0</v>
      </c>
      <c r="AR731" s="221">
        <f t="shared" si="82"/>
        <v>0</v>
      </c>
      <c r="AY731" s="628"/>
      <c r="AZ731" s="470">
        <v>0.75</v>
      </c>
      <c r="BA731" s="466">
        <v>9017703123</v>
      </c>
      <c r="BB731" s="211">
        <v>110</v>
      </c>
      <c r="BC731" s="211">
        <v>120</v>
      </c>
      <c r="BD731" s="211">
        <v>286</v>
      </c>
      <c r="BE731" s="211">
        <v>142</v>
      </c>
      <c r="BF731" s="211">
        <v>127</v>
      </c>
      <c r="BG731" s="211">
        <v>224</v>
      </c>
      <c r="BH731" s="211">
        <v>18</v>
      </c>
      <c r="BI731" s="211">
        <v>255</v>
      </c>
      <c r="BJ731" s="211">
        <v>29</v>
      </c>
      <c r="BK731" s="211">
        <v>115</v>
      </c>
      <c r="BL731" s="211">
        <v>149</v>
      </c>
      <c r="BM731" s="211">
        <v>129</v>
      </c>
      <c r="BO731" s="28">
        <f t="shared" si="77"/>
        <v>142</v>
      </c>
      <c r="BP731" s="28">
        <f t="shared" si="78"/>
        <v>1704</v>
      </c>
    </row>
    <row r="732" spans="22:68" x14ac:dyDescent="0.25">
      <c r="V732" s="178"/>
      <c r="W732" s="174"/>
      <c r="X732" s="179"/>
      <c r="Y732" s="247"/>
      <c r="Z732" s="248"/>
      <c r="AA732" s="294" t="str">
        <f t="shared" si="71"/>
        <v/>
      </c>
      <c r="AB732" s="219" t="str">
        <f t="shared" si="69"/>
        <v/>
      </c>
      <c r="AC732" s="219">
        <f t="shared" si="72"/>
        <v>0</v>
      </c>
      <c r="AD732" s="219">
        <f t="shared" si="73"/>
        <v>0</v>
      </c>
      <c r="AE732" s="220">
        <f t="shared" si="74"/>
        <v>0</v>
      </c>
      <c r="AF732" s="221">
        <f t="shared" si="75"/>
        <v>0</v>
      </c>
      <c r="AG732" s="204"/>
      <c r="AH732" s="178"/>
      <c r="AI732" s="174"/>
      <c r="AJ732" s="179"/>
      <c r="AK732" s="247"/>
      <c r="AL732" s="248"/>
      <c r="AM732" s="294" t="str">
        <f t="shared" si="79"/>
        <v/>
      </c>
      <c r="AN732" s="219" t="str">
        <f t="shared" si="70"/>
        <v/>
      </c>
      <c r="AO732" s="219">
        <f t="shared" si="80"/>
        <v>0</v>
      </c>
      <c r="AP732" s="219">
        <f t="shared" si="76"/>
        <v>0</v>
      </c>
      <c r="AQ732" s="220">
        <f t="shared" si="81"/>
        <v>0</v>
      </c>
      <c r="AR732" s="221">
        <f t="shared" si="82"/>
        <v>0</v>
      </c>
      <c r="AY732" s="628"/>
      <c r="AZ732" s="470">
        <v>0.75</v>
      </c>
      <c r="BA732" s="466">
        <v>9042520786</v>
      </c>
      <c r="BB732" s="211">
        <v>157</v>
      </c>
      <c r="BC732" s="211">
        <v>172</v>
      </c>
      <c r="BD732" s="211">
        <v>274</v>
      </c>
      <c r="BE732" s="211">
        <v>210</v>
      </c>
      <c r="BF732" s="211">
        <v>223</v>
      </c>
      <c r="BG732" s="211">
        <v>247</v>
      </c>
      <c r="BH732" s="211">
        <v>222</v>
      </c>
      <c r="BI732" s="211">
        <v>273</v>
      </c>
      <c r="BJ732" s="211">
        <v>223</v>
      </c>
      <c r="BK732" s="211">
        <v>195</v>
      </c>
      <c r="BL732" s="211">
        <v>198</v>
      </c>
      <c r="BM732" s="211">
        <v>131</v>
      </c>
      <c r="BO732" s="28">
        <f t="shared" si="77"/>
        <v>210.41666666666666</v>
      </c>
      <c r="BP732" s="28">
        <f t="shared" si="78"/>
        <v>2525</v>
      </c>
    </row>
    <row r="733" spans="22:68" x14ac:dyDescent="0.25">
      <c r="V733" s="178"/>
      <c r="W733" s="174"/>
      <c r="X733" s="179"/>
      <c r="Y733" s="247"/>
      <c r="Z733" s="248"/>
      <c r="AA733" s="294" t="str">
        <f t="shared" si="71"/>
        <v/>
      </c>
      <c r="AB733" s="219" t="str">
        <f t="shared" si="69"/>
        <v/>
      </c>
      <c r="AC733" s="219">
        <f t="shared" si="72"/>
        <v>0</v>
      </c>
      <c r="AD733" s="219">
        <f t="shared" si="73"/>
        <v>0</v>
      </c>
      <c r="AE733" s="220">
        <f t="shared" si="74"/>
        <v>0</v>
      </c>
      <c r="AF733" s="221">
        <f t="shared" si="75"/>
        <v>0</v>
      </c>
      <c r="AG733" s="204"/>
      <c r="AH733" s="178"/>
      <c r="AI733" s="174"/>
      <c r="AJ733" s="179"/>
      <c r="AK733" s="247"/>
      <c r="AL733" s="248"/>
      <c r="AM733" s="294" t="str">
        <f t="shared" si="79"/>
        <v/>
      </c>
      <c r="AN733" s="219" t="str">
        <f t="shared" si="70"/>
        <v/>
      </c>
      <c r="AO733" s="219">
        <f t="shared" si="80"/>
        <v>0</v>
      </c>
      <c r="AP733" s="219">
        <f t="shared" si="76"/>
        <v>0</v>
      </c>
      <c r="AQ733" s="220">
        <f t="shared" si="81"/>
        <v>0</v>
      </c>
      <c r="AR733" s="221">
        <f t="shared" si="82"/>
        <v>0</v>
      </c>
      <c r="AY733" s="628"/>
      <c r="AZ733" s="470">
        <v>0.625</v>
      </c>
      <c r="BA733" s="466">
        <v>9078594637</v>
      </c>
      <c r="BB733" s="211">
        <v>181</v>
      </c>
      <c r="BC733" s="211">
        <v>182</v>
      </c>
      <c r="BD733" s="211">
        <v>181</v>
      </c>
      <c r="BE733" s="211">
        <v>218</v>
      </c>
      <c r="BF733" s="211">
        <v>745</v>
      </c>
      <c r="BG733" s="211">
        <v>729</v>
      </c>
      <c r="BH733" s="211">
        <v>1516</v>
      </c>
      <c r="BI733" s="211">
        <v>2165</v>
      </c>
      <c r="BJ733" s="211">
        <v>831</v>
      </c>
      <c r="BK733" s="211">
        <v>441</v>
      </c>
      <c r="BL733" s="211">
        <v>189</v>
      </c>
      <c r="BM733" s="211">
        <v>195</v>
      </c>
      <c r="BO733" s="28">
        <f t="shared" si="77"/>
        <v>631.08333333333337</v>
      </c>
      <c r="BP733" s="28">
        <f t="shared" si="78"/>
        <v>7573</v>
      </c>
    </row>
    <row r="734" spans="22:68" x14ac:dyDescent="0.25">
      <c r="V734" s="178"/>
      <c r="W734" s="174"/>
      <c r="X734" s="179"/>
      <c r="Y734" s="247"/>
      <c r="Z734" s="248"/>
      <c r="AA734" s="294" t="str">
        <f t="shared" si="71"/>
        <v/>
      </c>
      <c r="AB734" s="219" t="str">
        <f t="shared" si="69"/>
        <v/>
      </c>
      <c r="AC734" s="219">
        <f t="shared" si="72"/>
        <v>0</v>
      </c>
      <c r="AD734" s="219">
        <f t="shared" si="73"/>
        <v>0</v>
      </c>
      <c r="AE734" s="220">
        <f t="shared" si="74"/>
        <v>0</v>
      </c>
      <c r="AF734" s="221">
        <f t="shared" si="75"/>
        <v>0</v>
      </c>
      <c r="AG734" s="204"/>
      <c r="AH734" s="178"/>
      <c r="AI734" s="174"/>
      <c r="AJ734" s="179"/>
      <c r="AK734" s="247"/>
      <c r="AL734" s="248"/>
      <c r="AM734" s="294" t="str">
        <f t="shared" si="79"/>
        <v/>
      </c>
      <c r="AN734" s="219" t="str">
        <f t="shared" si="70"/>
        <v/>
      </c>
      <c r="AO734" s="219">
        <f t="shared" si="80"/>
        <v>0</v>
      </c>
      <c r="AP734" s="219">
        <f t="shared" si="76"/>
        <v>0</v>
      </c>
      <c r="AQ734" s="220">
        <f t="shared" si="81"/>
        <v>0</v>
      </c>
      <c r="AR734" s="221">
        <f t="shared" si="82"/>
        <v>0</v>
      </c>
      <c r="AY734" s="628"/>
      <c r="AZ734" s="470">
        <v>0.75</v>
      </c>
      <c r="BA734" s="466">
        <v>9105331442</v>
      </c>
      <c r="BB734" s="211">
        <v>112</v>
      </c>
      <c r="BC734" s="211">
        <v>321</v>
      </c>
      <c r="BD734" s="211">
        <v>326</v>
      </c>
      <c r="BE734" s="211">
        <v>397</v>
      </c>
      <c r="BF734" s="211">
        <v>329</v>
      </c>
      <c r="BG734" s="211">
        <v>174</v>
      </c>
      <c r="BH734" s="211">
        <v>68</v>
      </c>
      <c r="BI734" s="211">
        <v>80</v>
      </c>
      <c r="BJ734" s="211">
        <v>48</v>
      </c>
      <c r="BK734" s="211" t="s">
        <v>655</v>
      </c>
      <c r="BL734" s="211" t="s">
        <v>655</v>
      </c>
      <c r="BM734" s="211" t="s">
        <v>655</v>
      </c>
      <c r="BO734" s="28">
        <f t="shared" si="77"/>
        <v>206.11111111111111</v>
      </c>
      <c r="BP734" s="28">
        <f t="shared" si="78"/>
        <v>1855</v>
      </c>
    </row>
    <row r="735" spans="22:68" x14ac:dyDescent="0.25">
      <c r="V735" s="178"/>
      <c r="W735" s="174"/>
      <c r="X735" s="179"/>
      <c r="Y735" s="247"/>
      <c r="Z735" s="248"/>
      <c r="AA735" s="294" t="str">
        <f t="shared" si="71"/>
        <v/>
      </c>
      <c r="AB735" s="219" t="str">
        <f t="shared" si="69"/>
        <v/>
      </c>
      <c r="AC735" s="219">
        <f t="shared" si="72"/>
        <v>0</v>
      </c>
      <c r="AD735" s="219">
        <f t="shared" si="73"/>
        <v>0</v>
      </c>
      <c r="AE735" s="220">
        <f t="shared" si="74"/>
        <v>0</v>
      </c>
      <c r="AF735" s="221">
        <f t="shared" si="75"/>
        <v>0</v>
      </c>
      <c r="AG735" s="204"/>
      <c r="AH735" s="178"/>
      <c r="AI735" s="174"/>
      <c r="AJ735" s="179"/>
      <c r="AK735" s="247"/>
      <c r="AL735" s="248"/>
      <c r="AM735" s="294" t="str">
        <f t="shared" si="79"/>
        <v/>
      </c>
      <c r="AN735" s="219" t="str">
        <f t="shared" si="70"/>
        <v/>
      </c>
      <c r="AO735" s="219">
        <f t="shared" si="80"/>
        <v>0</v>
      </c>
      <c r="AP735" s="219">
        <f t="shared" si="76"/>
        <v>0</v>
      </c>
      <c r="AQ735" s="220">
        <f t="shared" si="81"/>
        <v>0</v>
      </c>
      <c r="AR735" s="221">
        <f t="shared" si="82"/>
        <v>0</v>
      </c>
      <c r="AY735" s="628"/>
      <c r="AZ735" s="470">
        <v>0.75</v>
      </c>
      <c r="BA735" s="466">
        <v>9136418518</v>
      </c>
      <c r="BB735" s="211">
        <v>515</v>
      </c>
      <c r="BC735" s="211">
        <v>549</v>
      </c>
      <c r="BD735" s="211">
        <v>419</v>
      </c>
      <c r="BE735" s="211">
        <v>462</v>
      </c>
      <c r="BF735" s="211">
        <v>464</v>
      </c>
      <c r="BG735" s="211">
        <v>562</v>
      </c>
      <c r="BH735" s="211">
        <v>681</v>
      </c>
      <c r="BI735" s="211">
        <v>632</v>
      </c>
      <c r="BJ735" s="211">
        <v>918</v>
      </c>
      <c r="BK735" s="211">
        <v>166</v>
      </c>
      <c r="BL735" s="211">
        <v>377</v>
      </c>
      <c r="BM735" s="211">
        <v>440</v>
      </c>
      <c r="BO735" s="28">
        <f t="shared" si="77"/>
        <v>515.41666666666663</v>
      </c>
      <c r="BP735" s="28">
        <f t="shared" si="78"/>
        <v>6185</v>
      </c>
    </row>
    <row r="736" spans="22:68" x14ac:dyDescent="0.25">
      <c r="V736" s="178"/>
      <c r="W736" s="174"/>
      <c r="X736" s="179"/>
      <c r="Y736" s="247"/>
      <c r="Z736" s="248"/>
      <c r="AA736" s="294" t="str">
        <f t="shared" si="71"/>
        <v/>
      </c>
      <c r="AB736" s="219" t="str">
        <f t="shared" si="69"/>
        <v/>
      </c>
      <c r="AC736" s="219">
        <f t="shared" si="72"/>
        <v>0</v>
      </c>
      <c r="AD736" s="219">
        <f t="shared" si="73"/>
        <v>0</v>
      </c>
      <c r="AE736" s="220">
        <f t="shared" si="74"/>
        <v>0</v>
      </c>
      <c r="AF736" s="221">
        <f t="shared" si="75"/>
        <v>0</v>
      </c>
      <c r="AG736" s="204"/>
      <c r="AH736" s="178"/>
      <c r="AI736" s="174"/>
      <c r="AJ736" s="179"/>
      <c r="AK736" s="247"/>
      <c r="AL736" s="248"/>
      <c r="AM736" s="294" t="str">
        <f t="shared" si="79"/>
        <v/>
      </c>
      <c r="AN736" s="219" t="str">
        <f t="shared" si="70"/>
        <v/>
      </c>
      <c r="AO736" s="219">
        <f t="shared" si="80"/>
        <v>0</v>
      </c>
      <c r="AP736" s="219">
        <f t="shared" si="76"/>
        <v>0</v>
      </c>
      <c r="AQ736" s="220">
        <f t="shared" si="81"/>
        <v>0</v>
      </c>
      <c r="AR736" s="221">
        <f t="shared" si="82"/>
        <v>0</v>
      </c>
      <c r="AY736" s="628"/>
      <c r="AZ736" s="470">
        <v>0.625</v>
      </c>
      <c r="BA736" s="466">
        <v>9137686572</v>
      </c>
      <c r="BB736" s="211">
        <v>397</v>
      </c>
      <c r="BC736" s="211">
        <v>377</v>
      </c>
      <c r="BD736" s="211">
        <v>700</v>
      </c>
      <c r="BE736" s="211">
        <v>499</v>
      </c>
      <c r="BF736" s="211">
        <v>348</v>
      </c>
      <c r="BG736" s="211">
        <v>469</v>
      </c>
      <c r="BH736" s="211">
        <v>630</v>
      </c>
      <c r="BI736" s="211">
        <v>1279</v>
      </c>
      <c r="BJ736" s="211">
        <v>623</v>
      </c>
      <c r="BK736" s="211">
        <v>392</v>
      </c>
      <c r="BL736" s="211">
        <v>383</v>
      </c>
      <c r="BM736" s="211">
        <v>367</v>
      </c>
      <c r="BO736" s="28">
        <f t="shared" si="77"/>
        <v>538.66666666666663</v>
      </c>
      <c r="BP736" s="28">
        <f t="shared" si="78"/>
        <v>6464</v>
      </c>
    </row>
    <row r="737" spans="22:68" x14ac:dyDescent="0.25">
      <c r="V737" s="178"/>
      <c r="W737" s="174"/>
      <c r="X737" s="179"/>
      <c r="Y737" s="247"/>
      <c r="Z737" s="248"/>
      <c r="AA737" s="294" t="str">
        <f t="shared" si="71"/>
        <v/>
      </c>
      <c r="AB737" s="219" t="str">
        <f t="shared" si="69"/>
        <v/>
      </c>
      <c r="AC737" s="219">
        <f t="shared" si="72"/>
        <v>0</v>
      </c>
      <c r="AD737" s="219">
        <f t="shared" si="73"/>
        <v>0</v>
      </c>
      <c r="AE737" s="220">
        <f t="shared" si="74"/>
        <v>0</v>
      </c>
      <c r="AF737" s="221">
        <f t="shared" si="75"/>
        <v>0</v>
      </c>
      <c r="AG737" s="204"/>
      <c r="AH737" s="178"/>
      <c r="AI737" s="174"/>
      <c r="AJ737" s="179"/>
      <c r="AK737" s="247"/>
      <c r="AL737" s="248"/>
      <c r="AM737" s="294" t="str">
        <f t="shared" si="79"/>
        <v/>
      </c>
      <c r="AN737" s="219" t="str">
        <f t="shared" si="70"/>
        <v/>
      </c>
      <c r="AO737" s="219">
        <f t="shared" si="80"/>
        <v>0</v>
      </c>
      <c r="AP737" s="219">
        <f t="shared" si="76"/>
        <v>0</v>
      </c>
      <c r="AQ737" s="220">
        <f t="shared" si="81"/>
        <v>0</v>
      </c>
      <c r="AR737" s="221">
        <f t="shared" si="82"/>
        <v>0</v>
      </c>
      <c r="AY737" s="628"/>
      <c r="AZ737" s="470">
        <v>0.75</v>
      </c>
      <c r="BA737" s="466">
        <v>9152165966</v>
      </c>
      <c r="BB737" s="211">
        <v>833</v>
      </c>
      <c r="BC737" s="211">
        <v>208</v>
      </c>
      <c r="BD737" s="211">
        <v>1066</v>
      </c>
      <c r="BE737" s="211">
        <v>635</v>
      </c>
      <c r="BF737" s="211">
        <v>604</v>
      </c>
      <c r="BG737" s="211">
        <v>770</v>
      </c>
      <c r="BH737" s="211">
        <v>758</v>
      </c>
      <c r="BI737" s="211">
        <v>1437</v>
      </c>
      <c r="BJ737" s="211">
        <v>626</v>
      </c>
      <c r="BK737" s="211" t="s">
        <v>655</v>
      </c>
      <c r="BL737" s="211">
        <v>1142</v>
      </c>
      <c r="BM737" s="211">
        <v>540</v>
      </c>
      <c r="BO737" s="28">
        <f t="shared" si="77"/>
        <v>783.5454545454545</v>
      </c>
      <c r="BP737" s="28">
        <f t="shared" si="78"/>
        <v>8619</v>
      </c>
    </row>
    <row r="738" spans="22:68" x14ac:dyDescent="0.25">
      <c r="V738" s="178"/>
      <c r="W738" s="174"/>
      <c r="X738" s="179"/>
      <c r="Y738" s="247"/>
      <c r="Z738" s="248"/>
      <c r="AA738" s="294" t="str">
        <f t="shared" si="71"/>
        <v/>
      </c>
      <c r="AB738" s="219" t="str">
        <f t="shared" si="69"/>
        <v/>
      </c>
      <c r="AC738" s="219">
        <f t="shared" si="72"/>
        <v>0</v>
      </c>
      <c r="AD738" s="219">
        <f t="shared" si="73"/>
        <v>0</v>
      </c>
      <c r="AE738" s="220">
        <f t="shared" si="74"/>
        <v>0</v>
      </c>
      <c r="AF738" s="221">
        <f t="shared" si="75"/>
        <v>0</v>
      </c>
      <c r="AG738" s="204"/>
      <c r="AH738" s="178"/>
      <c r="AI738" s="174"/>
      <c r="AJ738" s="179"/>
      <c r="AK738" s="247"/>
      <c r="AL738" s="248"/>
      <c r="AM738" s="294" t="str">
        <f t="shared" si="79"/>
        <v/>
      </c>
      <c r="AN738" s="219" t="str">
        <f t="shared" si="70"/>
        <v/>
      </c>
      <c r="AO738" s="219">
        <f t="shared" si="80"/>
        <v>0</v>
      </c>
      <c r="AP738" s="219">
        <f t="shared" si="76"/>
        <v>0</v>
      </c>
      <c r="AQ738" s="220">
        <f t="shared" si="81"/>
        <v>0</v>
      </c>
      <c r="AR738" s="221">
        <f t="shared" si="82"/>
        <v>0</v>
      </c>
      <c r="AY738" s="628"/>
      <c r="AZ738" s="470">
        <v>0.75</v>
      </c>
      <c r="BA738" s="466">
        <v>9157712075</v>
      </c>
      <c r="BB738" s="211">
        <v>289</v>
      </c>
      <c r="BC738" s="211">
        <v>574</v>
      </c>
      <c r="BD738" s="211">
        <v>898</v>
      </c>
      <c r="BE738" s="211">
        <v>750</v>
      </c>
      <c r="BF738" s="211">
        <v>626</v>
      </c>
      <c r="BG738" s="211">
        <v>672</v>
      </c>
      <c r="BH738" s="211">
        <v>4294</v>
      </c>
      <c r="BI738" s="211">
        <v>4281</v>
      </c>
      <c r="BJ738" s="211">
        <v>540</v>
      </c>
      <c r="BK738" s="211">
        <v>2193</v>
      </c>
      <c r="BL738" s="211">
        <v>394</v>
      </c>
      <c r="BM738" s="211">
        <v>589</v>
      </c>
      <c r="BO738" s="28">
        <f t="shared" si="77"/>
        <v>1341.6666666666667</v>
      </c>
      <c r="BP738" s="28">
        <f t="shared" si="78"/>
        <v>16100</v>
      </c>
    </row>
    <row r="739" spans="22:68" x14ac:dyDescent="0.25">
      <c r="V739" s="178"/>
      <c r="W739" s="174"/>
      <c r="X739" s="179"/>
      <c r="Y739" s="247"/>
      <c r="Z739" s="248"/>
      <c r="AA739" s="294" t="str">
        <f t="shared" si="71"/>
        <v/>
      </c>
      <c r="AB739" s="219" t="str">
        <f t="shared" si="69"/>
        <v/>
      </c>
      <c r="AC739" s="219">
        <f t="shared" si="72"/>
        <v>0</v>
      </c>
      <c r="AD739" s="219">
        <f t="shared" si="73"/>
        <v>0</v>
      </c>
      <c r="AE739" s="220">
        <f t="shared" si="74"/>
        <v>0</v>
      </c>
      <c r="AF739" s="221">
        <f t="shared" si="75"/>
        <v>0</v>
      </c>
      <c r="AG739" s="204"/>
      <c r="AH739" s="178"/>
      <c r="AI739" s="174"/>
      <c r="AJ739" s="179"/>
      <c r="AK739" s="247"/>
      <c r="AL739" s="248"/>
      <c r="AM739" s="294" t="str">
        <f t="shared" si="79"/>
        <v/>
      </c>
      <c r="AN739" s="219" t="str">
        <f t="shared" si="70"/>
        <v/>
      </c>
      <c r="AO739" s="219">
        <f t="shared" si="80"/>
        <v>0</v>
      </c>
      <c r="AP739" s="219">
        <f t="shared" si="76"/>
        <v>0</v>
      </c>
      <c r="AQ739" s="220">
        <f t="shared" si="81"/>
        <v>0</v>
      </c>
      <c r="AR739" s="221">
        <f t="shared" si="82"/>
        <v>0</v>
      </c>
      <c r="AY739" s="628"/>
      <c r="AZ739" s="470">
        <v>0.75</v>
      </c>
      <c r="BA739" s="466">
        <v>9189891754</v>
      </c>
      <c r="BB739" s="211">
        <v>281</v>
      </c>
      <c r="BC739" s="211">
        <v>264</v>
      </c>
      <c r="BD739" s="211">
        <v>276</v>
      </c>
      <c r="BE739" s="211">
        <v>320</v>
      </c>
      <c r="BF739" s="211">
        <v>255</v>
      </c>
      <c r="BG739" s="211">
        <v>276</v>
      </c>
      <c r="BH739" s="211">
        <v>488</v>
      </c>
      <c r="BI739" s="211">
        <v>135</v>
      </c>
      <c r="BJ739" s="211">
        <v>374</v>
      </c>
      <c r="BK739" s="211">
        <v>391</v>
      </c>
      <c r="BL739" s="211">
        <v>310</v>
      </c>
      <c r="BM739" s="211">
        <v>303</v>
      </c>
      <c r="BO739" s="28">
        <f t="shared" si="77"/>
        <v>306.08333333333331</v>
      </c>
      <c r="BP739" s="28">
        <f t="shared" si="78"/>
        <v>3673</v>
      </c>
    </row>
    <row r="740" spans="22:68" x14ac:dyDescent="0.25">
      <c r="V740" s="178"/>
      <c r="W740" s="174"/>
      <c r="X740" s="179"/>
      <c r="Y740" s="247"/>
      <c r="Z740" s="248"/>
      <c r="AA740" s="294" t="str">
        <f t="shared" si="71"/>
        <v/>
      </c>
      <c r="AB740" s="219" t="str">
        <f t="shared" si="69"/>
        <v/>
      </c>
      <c r="AC740" s="219">
        <f t="shared" si="72"/>
        <v>0</v>
      </c>
      <c r="AD740" s="219">
        <f t="shared" si="73"/>
        <v>0</v>
      </c>
      <c r="AE740" s="220">
        <f t="shared" si="74"/>
        <v>0</v>
      </c>
      <c r="AF740" s="221">
        <f t="shared" si="75"/>
        <v>0</v>
      </c>
      <c r="AG740" s="204"/>
      <c r="AH740" s="178"/>
      <c r="AI740" s="174"/>
      <c r="AJ740" s="179"/>
      <c r="AK740" s="247"/>
      <c r="AL740" s="248"/>
      <c r="AM740" s="294" t="str">
        <f t="shared" si="79"/>
        <v/>
      </c>
      <c r="AN740" s="219" t="str">
        <f t="shared" si="70"/>
        <v/>
      </c>
      <c r="AO740" s="219">
        <f t="shared" si="80"/>
        <v>0</v>
      </c>
      <c r="AP740" s="219">
        <f t="shared" si="76"/>
        <v>0</v>
      </c>
      <c r="AQ740" s="220">
        <f t="shared" si="81"/>
        <v>0</v>
      </c>
      <c r="AR740" s="221">
        <f t="shared" si="82"/>
        <v>0</v>
      </c>
      <c r="AY740" s="628"/>
      <c r="AZ740" s="470">
        <v>0.75</v>
      </c>
      <c r="BA740" s="466">
        <v>9216906775</v>
      </c>
      <c r="BB740" s="211">
        <v>720</v>
      </c>
      <c r="BC740" s="211">
        <v>220</v>
      </c>
      <c r="BD740" s="211">
        <v>282</v>
      </c>
      <c r="BE740" s="211">
        <v>853</v>
      </c>
      <c r="BF740" s="211">
        <v>693</v>
      </c>
      <c r="BG740" s="211">
        <v>487</v>
      </c>
      <c r="BH740" s="211">
        <v>135</v>
      </c>
      <c r="BI740" s="211">
        <v>825</v>
      </c>
      <c r="BJ740" s="211">
        <v>2680</v>
      </c>
      <c r="BK740" s="211">
        <v>540</v>
      </c>
      <c r="BL740" s="211">
        <v>500</v>
      </c>
      <c r="BM740" s="211">
        <v>601</v>
      </c>
      <c r="BO740" s="28">
        <f t="shared" si="77"/>
        <v>711.33333333333337</v>
      </c>
      <c r="BP740" s="28">
        <f t="shared" si="78"/>
        <v>8536</v>
      </c>
    </row>
    <row r="741" spans="22:68" x14ac:dyDescent="0.25">
      <c r="V741" s="178"/>
      <c r="W741" s="174"/>
      <c r="X741" s="179"/>
      <c r="Y741" s="247"/>
      <c r="Z741" s="248"/>
      <c r="AA741" s="294" t="str">
        <f t="shared" si="71"/>
        <v/>
      </c>
      <c r="AB741" s="219" t="str">
        <f t="shared" si="69"/>
        <v/>
      </c>
      <c r="AC741" s="219">
        <f t="shared" si="72"/>
        <v>0</v>
      </c>
      <c r="AD741" s="219">
        <f t="shared" si="73"/>
        <v>0</v>
      </c>
      <c r="AE741" s="220">
        <f t="shared" si="74"/>
        <v>0</v>
      </c>
      <c r="AF741" s="221">
        <f t="shared" si="75"/>
        <v>0</v>
      </c>
      <c r="AG741" s="204"/>
      <c r="AH741" s="178"/>
      <c r="AI741" s="174"/>
      <c r="AJ741" s="179"/>
      <c r="AK741" s="247"/>
      <c r="AL741" s="248"/>
      <c r="AM741" s="294" t="str">
        <f t="shared" si="79"/>
        <v/>
      </c>
      <c r="AN741" s="219" t="str">
        <f t="shared" si="70"/>
        <v/>
      </c>
      <c r="AO741" s="219">
        <f t="shared" si="80"/>
        <v>0</v>
      </c>
      <c r="AP741" s="219">
        <f t="shared" si="76"/>
        <v>0</v>
      </c>
      <c r="AQ741" s="220">
        <f t="shared" si="81"/>
        <v>0</v>
      </c>
      <c r="AR741" s="221">
        <f t="shared" si="82"/>
        <v>0</v>
      </c>
      <c r="AY741" s="628"/>
      <c r="AZ741" s="470">
        <v>0.625</v>
      </c>
      <c r="BA741" s="466">
        <v>9226093554</v>
      </c>
      <c r="BB741" s="211">
        <v>307</v>
      </c>
      <c r="BC741" s="211">
        <v>243</v>
      </c>
      <c r="BD741" s="211">
        <v>342</v>
      </c>
      <c r="BE741" s="211">
        <v>317</v>
      </c>
      <c r="BF741" s="211">
        <v>409</v>
      </c>
      <c r="BG741" s="211">
        <v>94</v>
      </c>
      <c r="BH741" s="211">
        <v>427</v>
      </c>
      <c r="BI741" s="211">
        <v>279</v>
      </c>
      <c r="BJ741" s="211">
        <v>392</v>
      </c>
      <c r="BK741" s="211">
        <v>289</v>
      </c>
      <c r="BL741" s="211">
        <v>374</v>
      </c>
      <c r="BM741" s="211">
        <v>250</v>
      </c>
      <c r="BO741" s="28">
        <f t="shared" si="77"/>
        <v>310.25</v>
      </c>
      <c r="BP741" s="28">
        <f t="shared" si="78"/>
        <v>3723</v>
      </c>
    </row>
    <row r="742" spans="22:68" x14ac:dyDescent="0.25">
      <c r="V742" s="178"/>
      <c r="W742" s="174"/>
      <c r="X742" s="179"/>
      <c r="Y742" s="247"/>
      <c r="Z742" s="248"/>
      <c r="AA742" s="294" t="str">
        <f t="shared" si="71"/>
        <v/>
      </c>
      <c r="AB742" s="219" t="str">
        <f t="shared" si="69"/>
        <v/>
      </c>
      <c r="AC742" s="219">
        <f t="shared" si="72"/>
        <v>0</v>
      </c>
      <c r="AD742" s="219">
        <f t="shared" si="73"/>
        <v>0</v>
      </c>
      <c r="AE742" s="220">
        <f t="shared" si="74"/>
        <v>0</v>
      </c>
      <c r="AF742" s="221">
        <f t="shared" si="75"/>
        <v>0</v>
      </c>
      <c r="AG742" s="204"/>
      <c r="AH742" s="178"/>
      <c r="AI742" s="174"/>
      <c r="AJ742" s="179"/>
      <c r="AK742" s="247"/>
      <c r="AL742" s="248"/>
      <c r="AM742" s="294" t="str">
        <f t="shared" si="79"/>
        <v/>
      </c>
      <c r="AN742" s="219" t="str">
        <f t="shared" si="70"/>
        <v/>
      </c>
      <c r="AO742" s="219">
        <f t="shared" si="80"/>
        <v>0</v>
      </c>
      <c r="AP742" s="219">
        <f t="shared" si="76"/>
        <v>0</v>
      </c>
      <c r="AQ742" s="220">
        <f t="shared" si="81"/>
        <v>0</v>
      </c>
      <c r="AR742" s="221">
        <f t="shared" si="82"/>
        <v>0</v>
      </c>
      <c r="AY742" s="628"/>
      <c r="AZ742" s="470">
        <v>0.75</v>
      </c>
      <c r="BA742" s="466">
        <v>9227215308</v>
      </c>
      <c r="BB742" s="211">
        <v>1039</v>
      </c>
      <c r="BC742" s="211">
        <v>1039</v>
      </c>
      <c r="BD742" s="211">
        <v>1112</v>
      </c>
      <c r="BE742" s="211">
        <v>1455</v>
      </c>
      <c r="BF742" s="211">
        <v>1892</v>
      </c>
      <c r="BG742" s="211">
        <v>3374</v>
      </c>
      <c r="BH742" s="211">
        <v>5793</v>
      </c>
      <c r="BI742" s="211">
        <v>8217</v>
      </c>
      <c r="BJ742" s="211">
        <v>3392</v>
      </c>
      <c r="BK742" s="211">
        <v>1844</v>
      </c>
      <c r="BL742" s="211">
        <v>1300</v>
      </c>
      <c r="BM742" s="211">
        <v>350</v>
      </c>
      <c r="BO742" s="28">
        <f t="shared" si="77"/>
        <v>2567.25</v>
      </c>
      <c r="BP742" s="28">
        <f t="shared" si="78"/>
        <v>30807</v>
      </c>
    </row>
    <row r="743" spans="22:68" x14ac:dyDescent="0.25">
      <c r="V743" s="178"/>
      <c r="W743" s="174"/>
      <c r="X743" s="179"/>
      <c r="Y743" s="247"/>
      <c r="Z743" s="248"/>
      <c r="AA743" s="294" t="str">
        <f t="shared" si="71"/>
        <v/>
      </c>
      <c r="AB743" s="219" t="str">
        <f t="shared" si="69"/>
        <v/>
      </c>
      <c r="AC743" s="219">
        <f t="shared" si="72"/>
        <v>0</v>
      </c>
      <c r="AD743" s="219">
        <f t="shared" si="73"/>
        <v>0</v>
      </c>
      <c r="AE743" s="220">
        <f t="shared" si="74"/>
        <v>0</v>
      </c>
      <c r="AF743" s="221">
        <f t="shared" si="75"/>
        <v>0</v>
      </c>
      <c r="AG743" s="204"/>
      <c r="AH743" s="178"/>
      <c r="AI743" s="174"/>
      <c r="AJ743" s="179"/>
      <c r="AK743" s="247"/>
      <c r="AL743" s="248"/>
      <c r="AM743" s="294" t="str">
        <f t="shared" si="79"/>
        <v/>
      </c>
      <c r="AN743" s="219" t="str">
        <f t="shared" si="70"/>
        <v/>
      </c>
      <c r="AO743" s="219">
        <f t="shared" si="80"/>
        <v>0</v>
      </c>
      <c r="AP743" s="219">
        <f t="shared" si="76"/>
        <v>0</v>
      </c>
      <c r="AQ743" s="220">
        <f t="shared" si="81"/>
        <v>0</v>
      </c>
      <c r="AR743" s="221">
        <f t="shared" si="82"/>
        <v>0</v>
      </c>
      <c r="AY743" s="628"/>
      <c r="AZ743" s="470">
        <v>1.5</v>
      </c>
      <c r="BA743" s="466">
        <v>9230943919</v>
      </c>
      <c r="BB743" s="211">
        <v>4007</v>
      </c>
      <c r="BC743" s="211">
        <v>3786</v>
      </c>
      <c r="BD743" s="211">
        <v>4886</v>
      </c>
      <c r="BE743" s="211">
        <v>5421</v>
      </c>
      <c r="BF743" s="211">
        <v>5774</v>
      </c>
      <c r="BG743" s="211">
        <v>5837</v>
      </c>
      <c r="BH743" s="211">
        <v>6339</v>
      </c>
      <c r="BI743" s="211">
        <v>5544</v>
      </c>
      <c r="BJ743" s="211">
        <v>8969</v>
      </c>
      <c r="BK743" s="211">
        <v>5722</v>
      </c>
      <c r="BL743" s="211">
        <v>6034</v>
      </c>
      <c r="BM743" s="211">
        <v>6351</v>
      </c>
      <c r="BO743" s="28">
        <f t="shared" si="77"/>
        <v>5722.5</v>
      </c>
      <c r="BP743" s="28">
        <f t="shared" si="78"/>
        <v>68670</v>
      </c>
    </row>
    <row r="744" spans="22:68" x14ac:dyDescent="0.25">
      <c r="V744" s="178"/>
      <c r="W744" s="174"/>
      <c r="X744" s="179"/>
      <c r="Y744" s="247"/>
      <c r="Z744" s="248"/>
      <c r="AA744" s="294" t="str">
        <f t="shared" si="71"/>
        <v/>
      </c>
      <c r="AB744" s="219" t="str">
        <f t="shared" si="69"/>
        <v/>
      </c>
      <c r="AC744" s="219">
        <f t="shared" si="72"/>
        <v>0</v>
      </c>
      <c r="AD744" s="219">
        <f t="shared" si="73"/>
        <v>0</v>
      </c>
      <c r="AE744" s="220">
        <f t="shared" si="74"/>
        <v>0</v>
      </c>
      <c r="AF744" s="221">
        <f t="shared" si="75"/>
        <v>0</v>
      </c>
      <c r="AG744" s="204"/>
      <c r="AH744" s="178"/>
      <c r="AI744" s="174"/>
      <c r="AJ744" s="179"/>
      <c r="AK744" s="247"/>
      <c r="AL744" s="248"/>
      <c r="AM744" s="294" t="str">
        <f t="shared" si="79"/>
        <v/>
      </c>
      <c r="AN744" s="219" t="str">
        <f t="shared" si="70"/>
        <v/>
      </c>
      <c r="AO744" s="219">
        <f t="shared" si="80"/>
        <v>0</v>
      </c>
      <c r="AP744" s="219">
        <f t="shared" si="76"/>
        <v>0</v>
      </c>
      <c r="AQ744" s="220">
        <f t="shared" si="81"/>
        <v>0</v>
      </c>
      <c r="AR744" s="221">
        <f t="shared" si="82"/>
        <v>0</v>
      </c>
      <c r="AY744" s="628"/>
      <c r="AZ744" s="470">
        <v>0.75</v>
      </c>
      <c r="BA744" s="466">
        <v>9235269618</v>
      </c>
      <c r="BB744" s="211" t="s">
        <v>655</v>
      </c>
      <c r="BC744" s="211">
        <v>727</v>
      </c>
      <c r="BD744" s="211">
        <v>529</v>
      </c>
      <c r="BE744" s="211">
        <v>629</v>
      </c>
      <c r="BF744" s="211">
        <v>793</v>
      </c>
      <c r="BG744" s="211">
        <v>860</v>
      </c>
      <c r="BH744" s="211">
        <v>1394</v>
      </c>
      <c r="BI744" s="211" t="s">
        <v>655</v>
      </c>
      <c r="BJ744" s="211" t="s">
        <v>655</v>
      </c>
      <c r="BK744" s="211" t="s">
        <v>655</v>
      </c>
      <c r="BL744" s="211">
        <v>281</v>
      </c>
      <c r="BM744" s="211" t="s">
        <v>655</v>
      </c>
      <c r="BO744" s="28">
        <f t="shared" si="77"/>
        <v>744.71428571428567</v>
      </c>
      <c r="BP744" s="28">
        <f t="shared" si="78"/>
        <v>5213</v>
      </c>
    </row>
    <row r="745" spans="22:68" x14ac:dyDescent="0.25">
      <c r="V745" s="178"/>
      <c r="W745" s="174"/>
      <c r="X745" s="179"/>
      <c r="Y745" s="247"/>
      <c r="Z745" s="248"/>
      <c r="AA745" s="294" t="str">
        <f t="shared" si="71"/>
        <v/>
      </c>
      <c r="AB745" s="219" t="str">
        <f t="shared" si="69"/>
        <v/>
      </c>
      <c r="AC745" s="219">
        <f t="shared" si="72"/>
        <v>0</v>
      </c>
      <c r="AD745" s="219">
        <f t="shared" si="73"/>
        <v>0</v>
      </c>
      <c r="AE745" s="220">
        <f t="shared" si="74"/>
        <v>0</v>
      </c>
      <c r="AF745" s="221">
        <f t="shared" si="75"/>
        <v>0</v>
      </c>
      <c r="AG745" s="204"/>
      <c r="AH745" s="178"/>
      <c r="AI745" s="174"/>
      <c r="AJ745" s="179"/>
      <c r="AK745" s="247"/>
      <c r="AL745" s="248"/>
      <c r="AM745" s="294" t="str">
        <f t="shared" si="79"/>
        <v/>
      </c>
      <c r="AN745" s="219" t="str">
        <f t="shared" si="70"/>
        <v/>
      </c>
      <c r="AO745" s="219">
        <f t="shared" si="80"/>
        <v>0</v>
      </c>
      <c r="AP745" s="219">
        <f t="shared" si="76"/>
        <v>0</v>
      </c>
      <c r="AQ745" s="220">
        <f t="shared" si="81"/>
        <v>0</v>
      </c>
      <c r="AR745" s="221">
        <f t="shared" si="82"/>
        <v>0</v>
      </c>
      <c r="AY745" s="628"/>
      <c r="AZ745" s="470">
        <v>0.75</v>
      </c>
      <c r="BA745" s="466">
        <v>9244392347</v>
      </c>
      <c r="BB745" s="211">
        <v>594</v>
      </c>
      <c r="BC745" s="211">
        <v>369</v>
      </c>
      <c r="BD745" s="211">
        <v>247</v>
      </c>
      <c r="BE745" s="211" t="s">
        <v>655</v>
      </c>
      <c r="BF745" s="211">
        <v>3199</v>
      </c>
      <c r="BG745" s="211">
        <v>2182</v>
      </c>
      <c r="BH745" s="211">
        <v>4442</v>
      </c>
      <c r="BI745" s="211">
        <v>3332</v>
      </c>
      <c r="BJ745" s="211">
        <v>721</v>
      </c>
      <c r="BK745" s="211">
        <v>3979</v>
      </c>
      <c r="BL745" s="211">
        <v>155</v>
      </c>
      <c r="BM745" s="211">
        <v>356</v>
      </c>
      <c r="BO745" s="28">
        <f t="shared" si="77"/>
        <v>1779.6363636363637</v>
      </c>
      <c r="BP745" s="28">
        <f t="shared" si="78"/>
        <v>19576</v>
      </c>
    </row>
    <row r="746" spans="22:68" x14ac:dyDescent="0.25">
      <c r="V746" s="178"/>
      <c r="W746" s="174"/>
      <c r="X746" s="179"/>
      <c r="Y746" s="247"/>
      <c r="Z746" s="248"/>
      <c r="AA746" s="294" t="str">
        <f t="shared" si="71"/>
        <v/>
      </c>
      <c r="AB746" s="219" t="str">
        <f t="shared" si="69"/>
        <v/>
      </c>
      <c r="AC746" s="219">
        <f t="shared" si="72"/>
        <v>0</v>
      </c>
      <c r="AD746" s="219">
        <f t="shared" si="73"/>
        <v>0</v>
      </c>
      <c r="AE746" s="220">
        <f t="shared" si="74"/>
        <v>0</v>
      </c>
      <c r="AF746" s="221">
        <f t="shared" si="75"/>
        <v>0</v>
      </c>
      <c r="AG746" s="204"/>
      <c r="AH746" s="178"/>
      <c r="AI746" s="174"/>
      <c r="AJ746" s="179"/>
      <c r="AK746" s="247"/>
      <c r="AL746" s="248"/>
      <c r="AM746" s="294" t="str">
        <f t="shared" si="79"/>
        <v/>
      </c>
      <c r="AN746" s="219" t="str">
        <f t="shared" si="70"/>
        <v/>
      </c>
      <c r="AO746" s="219">
        <f t="shared" si="80"/>
        <v>0</v>
      </c>
      <c r="AP746" s="219">
        <f t="shared" si="76"/>
        <v>0</v>
      </c>
      <c r="AQ746" s="220">
        <f t="shared" si="81"/>
        <v>0</v>
      </c>
      <c r="AR746" s="221">
        <f t="shared" si="82"/>
        <v>0</v>
      </c>
      <c r="AY746" s="628"/>
      <c r="AZ746" s="470">
        <v>0.75</v>
      </c>
      <c r="BA746" s="466">
        <v>9248081965</v>
      </c>
      <c r="BB746" s="211">
        <v>384</v>
      </c>
      <c r="BC746" s="211">
        <v>304</v>
      </c>
      <c r="BD746" s="211">
        <v>403</v>
      </c>
      <c r="BE746" s="211">
        <v>379</v>
      </c>
      <c r="BF746" s="211">
        <v>937</v>
      </c>
      <c r="BG746" s="211">
        <v>1825</v>
      </c>
      <c r="BH746" s="211">
        <v>4397</v>
      </c>
      <c r="BI746" s="211">
        <v>4011</v>
      </c>
      <c r="BJ746" s="211">
        <v>2858</v>
      </c>
      <c r="BK746" s="211">
        <v>387</v>
      </c>
      <c r="BL746" s="211">
        <v>329</v>
      </c>
      <c r="BM746" s="211">
        <v>353</v>
      </c>
      <c r="BO746" s="28">
        <f t="shared" si="77"/>
        <v>1380.5833333333333</v>
      </c>
      <c r="BP746" s="28">
        <f t="shared" si="78"/>
        <v>16567</v>
      </c>
    </row>
    <row r="747" spans="22:68" x14ac:dyDescent="0.25">
      <c r="V747" s="178"/>
      <c r="W747" s="174"/>
      <c r="X747" s="179"/>
      <c r="Y747" s="247"/>
      <c r="Z747" s="248"/>
      <c r="AA747" s="294" t="str">
        <f t="shared" si="71"/>
        <v/>
      </c>
      <c r="AB747" s="219" t="str">
        <f t="shared" si="69"/>
        <v/>
      </c>
      <c r="AC747" s="219">
        <f t="shared" si="72"/>
        <v>0</v>
      </c>
      <c r="AD747" s="219">
        <f t="shared" si="73"/>
        <v>0</v>
      </c>
      <c r="AE747" s="220">
        <f t="shared" si="74"/>
        <v>0</v>
      </c>
      <c r="AF747" s="221">
        <f t="shared" si="75"/>
        <v>0</v>
      </c>
      <c r="AG747" s="204"/>
      <c r="AH747" s="178"/>
      <c r="AI747" s="174"/>
      <c r="AJ747" s="179"/>
      <c r="AK747" s="247"/>
      <c r="AL747" s="248"/>
      <c r="AM747" s="294" t="str">
        <f t="shared" si="79"/>
        <v/>
      </c>
      <c r="AN747" s="219" t="str">
        <f t="shared" si="70"/>
        <v/>
      </c>
      <c r="AO747" s="219">
        <f t="shared" si="80"/>
        <v>0</v>
      </c>
      <c r="AP747" s="219">
        <f t="shared" si="76"/>
        <v>0</v>
      </c>
      <c r="AQ747" s="220">
        <f t="shared" si="81"/>
        <v>0</v>
      </c>
      <c r="AR747" s="221">
        <f t="shared" si="82"/>
        <v>0</v>
      </c>
      <c r="AY747" s="628"/>
      <c r="AZ747" s="470">
        <v>0.625</v>
      </c>
      <c r="BA747" s="466">
        <v>9251194502</v>
      </c>
      <c r="BB747" s="211">
        <v>145</v>
      </c>
      <c r="BC747" s="211">
        <v>75</v>
      </c>
      <c r="BD747" s="211">
        <v>163</v>
      </c>
      <c r="BE747" s="211">
        <v>162</v>
      </c>
      <c r="BF747" s="211">
        <v>897</v>
      </c>
      <c r="BG747" s="211">
        <v>968</v>
      </c>
      <c r="BH747" s="211">
        <v>619</v>
      </c>
      <c r="BI747" s="211">
        <v>717</v>
      </c>
      <c r="BJ747" s="211">
        <v>224</v>
      </c>
      <c r="BK747" s="211">
        <v>14</v>
      </c>
      <c r="BL747" s="211">
        <v>76</v>
      </c>
      <c r="BM747" s="211">
        <v>112</v>
      </c>
      <c r="BO747" s="28">
        <f t="shared" si="77"/>
        <v>347.66666666666669</v>
      </c>
      <c r="BP747" s="28">
        <f t="shared" si="78"/>
        <v>4172</v>
      </c>
    </row>
    <row r="748" spans="22:68" x14ac:dyDescent="0.25">
      <c r="V748" s="178"/>
      <c r="W748" s="174"/>
      <c r="X748" s="179"/>
      <c r="Y748" s="247"/>
      <c r="Z748" s="248"/>
      <c r="AA748" s="294" t="str">
        <f t="shared" si="71"/>
        <v/>
      </c>
      <c r="AB748" s="219" t="str">
        <f t="shared" si="69"/>
        <v/>
      </c>
      <c r="AC748" s="219">
        <f t="shared" si="72"/>
        <v>0</v>
      </c>
      <c r="AD748" s="219">
        <f t="shared" si="73"/>
        <v>0</v>
      </c>
      <c r="AE748" s="220">
        <f t="shared" si="74"/>
        <v>0</v>
      </c>
      <c r="AF748" s="221">
        <f t="shared" si="75"/>
        <v>0</v>
      </c>
      <c r="AG748" s="204"/>
      <c r="AH748" s="178"/>
      <c r="AI748" s="174"/>
      <c r="AJ748" s="179"/>
      <c r="AK748" s="247"/>
      <c r="AL748" s="248"/>
      <c r="AM748" s="294" t="str">
        <f t="shared" si="79"/>
        <v/>
      </c>
      <c r="AN748" s="219" t="str">
        <f t="shared" si="70"/>
        <v/>
      </c>
      <c r="AO748" s="219">
        <f t="shared" si="80"/>
        <v>0</v>
      </c>
      <c r="AP748" s="219">
        <f t="shared" si="76"/>
        <v>0</v>
      </c>
      <c r="AQ748" s="220">
        <f t="shared" si="81"/>
        <v>0</v>
      </c>
      <c r="AR748" s="221">
        <f t="shared" si="82"/>
        <v>0</v>
      </c>
      <c r="AY748" s="628"/>
      <c r="AZ748" s="470">
        <v>1</v>
      </c>
      <c r="BA748" s="466">
        <v>9255011061</v>
      </c>
      <c r="BB748" s="211">
        <v>449</v>
      </c>
      <c r="BC748" s="211">
        <v>435</v>
      </c>
      <c r="BD748" s="211">
        <v>379</v>
      </c>
      <c r="BE748" s="211">
        <v>628</v>
      </c>
      <c r="BF748" s="211">
        <v>3221</v>
      </c>
      <c r="BG748" s="211">
        <v>6102</v>
      </c>
      <c r="BH748" s="211">
        <v>18996</v>
      </c>
      <c r="BI748" s="211">
        <v>14003</v>
      </c>
      <c r="BJ748" s="211">
        <v>12253</v>
      </c>
      <c r="BK748" s="211">
        <v>4291</v>
      </c>
      <c r="BL748" s="211">
        <v>476</v>
      </c>
      <c r="BM748" s="211">
        <v>452</v>
      </c>
      <c r="BO748" s="28">
        <f t="shared" si="77"/>
        <v>5140.416666666667</v>
      </c>
      <c r="BP748" s="28">
        <f t="shared" si="78"/>
        <v>61685</v>
      </c>
    </row>
    <row r="749" spans="22:68" x14ac:dyDescent="0.25">
      <c r="V749" s="178"/>
      <c r="W749" s="174"/>
      <c r="X749" s="179"/>
      <c r="Y749" s="247"/>
      <c r="Z749" s="248"/>
      <c r="AA749" s="294" t="str">
        <f t="shared" si="71"/>
        <v/>
      </c>
      <c r="AB749" s="219" t="str">
        <f t="shared" si="69"/>
        <v/>
      </c>
      <c r="AC749" s="219">
        <f t="shared" si="72"/>
        <v>0</v>
      </c>
      <c r="AD749" s="219">
        <f t="shared" si="73"/>
        <v>0</v>
      </c>
      <c r="AE749" s="220">
        <f t="shared" si="74"/>
        <v>0</v>
      </c>
      <c r="AF749" s="221">
        <f t="shared" si="75"/>
        <v>0</v>
      </c>
      <c r="AG749" s="204"/>
      <c r="AH749" s="178"/>
      <c r="AI749" s="174"/>
      <c r="AJ749" s="179"/>
      <c r="AK749" s="247"/>
      <c r="AL749" s="248"/>
      <c r="AM749" s="294" t="str">
        <f t="shared" si="79"/>
        <v/>
      </c>
      <c r="AN749" s="219" t="str">
        <f t="shared" si="70"/>
        <v/>
      </c>
      <c r="AO749" s="219">
        <f t="shared" si="80"/>
        <v>0</v>
      </c>
      <c r="AP749" s="219">
        <f t="shared" si="76"/>
        <v>0</v>
      </c>
      <c r="AQ749" s="220">
        <f t="shared" si="81"/>
        <v>0</v>
      </c>
      <c r="AR749" s="221">
        <f t="shared" si="82"/>
        <v>0</v>
      </c>
      <c r="AY749" s="628"/>
      <c r="AZ749" s="470">
        <v>0.75</v>
      </c>
      <c r="BA749" s="466">
        <v>9280593430</v>
      </c>
      <c r="BB749" s="211">
        <v>223</v>
      </c>
      <c r="BC749" s="211">
        <v>182</v>
      </c>
      <c r="BD749" s="211">
        <v>167</v>
      </c>
      <c r="BE749" s="211">
        <v>257</v>
      </c>
      <c r="BF749" s="211">
        <v>332</v>
      </c>
      <c r="BG749" s="211">
        <v>274</v>
      </c>
      <c r="BH749" s="211">
        <v>390</v>
      </c>
      <c r="BI749" s="211">
        <v>268</v>
      </c>
      <c r="BJ749" s="211">
        <v>276</v>
      </c>
      <c r="BK749" s="211">
        <v>206</v>
      </c>
      <c r="BL749" s="211">
        <v>145</v>
      </c>
      <c r="BM749" s="211">
        <v>179</v>
      </c>
      <c r="BO749" s="28">
        <f t="shared" si="77"/>
        <v>241.58333333333334</v>
      </c>
      <c r="BP749" s="28">
        <f t="shared" si="78"/>
        <v>2899</v>
      </c>
    </row>
    <row r="750" spans="22:68" x14ac:dyDescent="0.25">
      <c r="V750" s="178"/>
      <c r="W750" s="174"/>
      <c r="X750" s="179"/>
      <c r="Y750" s="247"/>
      <c r="Z750" s="248"/>
      <c r="AA750" s="294" t="str">
        <f t="shared" si="71"/>
        <v/>
      </c>
      <c r="AB750" s="219" t="str">
        <f t="shared" si="69"/>
        <v/>
      </c>
      <c r="AC750" s="219">
        <f t="shared" si="72"/>
        <v>0</v>
      </c>
      <c r="AD750" s="219">
        <f t="shared" si="73"/>
        <v>0</v>
      </c>
      <c r="AE750" s="220">
        <f t="shared" si="74"/>
        <v>0</v>
      </c>
      <c r="AF750" s="221">
        <f t="shared" si="75"/>
        <v>0</v>
      </c>
      <c r="AG750" s="204"/>
      <c r="AH750" s="178"/>
      <c r="AI750" s="174"/>
      <c r="AJ750" s="179"/>
      <c r="AK750" s="247"/>
      <c r="AL750" s="248"/>
      <c r="AM750" s="294" t="str">
        <f t="shared" si="79"/>
        <v/>
      </c>
      <c r="AN750" s="219" t="str">
        <f t="shared" si="70"/>
        <v/>
      </c>
      <c r="AO750" s="219">
        <f t="shared" si="80"/>
        <v>0</v>
      </c>
      <c r="AP750" s="219">
        <f t="shared" si="76"/>
        <v>0</v>
      </c>
      <c r="AQ750" s="220">
        <f t="shared" si="81"/>
        <v>0</v>
      </c>
      <c r="AR750" s="221">
        <f t="shared" si="82"/>
        <v>0</v>
      </c>
      <c r="AY750" s="628"/>
      <c r="AZ750" s="470">
        <v>0.625</v>
      </c>
      <c r="BA750" s="466">
        <v>9284153923</v>
      </c>
      <c r="BB750" s="211">
        <v>230</v>
      </c>
      <c r="BC750" s="211">
        <v>139</v>
      </c>
      <c r="BD750" s="211">
        <v>277</v>
      </c>
      <c r="BE750" s="211">
        <v>1248</v>
      </c>
      <c r="BF750" s="211" t="s">
        <v>655</v>
      </c>
      <c r="BG750" s="211" t="s">
        <v>655</v>
      </c>
      <c r="BH750" s="211">
        <v>3966</v>
      </c>
      <c r="BI750" s="211">
        <v>4111</v>
      </c>
      <c r="BJ750" s="211">
        <v>891</v>
      </c>
      <c r="BK750" s="211">
        <v>1325</v>
      </c>
      <c r="BL750" s="211">
        <v>273</v>
      </c>
      <c r="BM750" s="211">
        <v>340</v>
      </c>
      <c r="BO750" s="28">
        <f t="shared" si="77"/>
        <v>1280</v>
      </c>
      <c r="BP750" s="28">
        <f t="shared" si="78"/>
        <v>12800</v>
      </c>
    </row>
    <row r="751" spans="22:68" x14ac:dyDescent="0.25">
      <c r="V751" s="178"/>
      <c r="W751" s="174"/>
      <c r="X751" s="179"/>
      <c r="Y751" s="247"/>
      <c r="Z751" s="248"/>
      <c r="AA751" s="294" t="str">
        <f t="shared" si="71"/>
        <v/>
      </c>
      <c r="AB751" s="219" t="str">
        <f t="shared" si="69"/>
        <v/>
      </c>
      <c r="AC751" s="219">
        <f t="shared" si="72"/>
        <v>0</v>
      </c>
      <c r="AD751" s="219">
        <f t="shared" si="73"/>
        <v>0</v>
      </c>
      <c r="AE751" s="220">
        <f t="shared" si="74"/>
        <v>0</v>
      </c>
      <c r="AF751" s="221">
        <f t="shared" si="75"/>
        <v>0</v>
      </c>
      <c r="AG751" s="204"/>
      <c r="AH751" s="178"/>
      <c r="AI751" s="174"/>
      <c r="AJ751" s="179"/>
      <c r="AK751" s="247"/>
      <c r="AL751" s="248"/>
      <c r="AM751" s="294" t="str">
        <f t="shared" si="79"/>
        <v/>
      </c>
      <c r="AN751" s="219" t="str">
        <f t="shared" si="70"/>
        <v/>
      </c>
      <c r="AO751" s="219">
        <f t="shared" si="80"/>
        <v>0</v>
      </c>
      <c r="AP751" s="219">
        <f t="shared" si="76"/>
        <v>0</v>
      </c>
      <c r="AQ751" s="220">
        <f t="shared" si="81"/>
        <v>0</v>
      </c>
      <c r="AR751" s="221">
        <f t="shared" si="82"/>
        <v>0</v>
      </c>
      <c r="AY751" s="628"/>
      <c r="AZ751" s="470">
        <v>0.75</v>
      </c>
      <c r="BA751" s="466">
        <v>9292687013</v>
      </c>
      <c r="BB751" s="211">
        <v>453</v>
      </c>
      <c r="BC751" s="211">
        <v>304</v>
      </c>
      <c r="BD751" s="211">
        <v>576</v>
      </c>
      <c r="BE751" s="211">
        <v>702</v>
      </c>
      <c r="BF751" s="211">
        <v>1118</v>
      </c>
      <c r="BG751" s="211">
        <v>344</v>
      </c>
      <c r="BH751" s="211">
        <v>4190</v>
      </c>
      <c r="BI751" s="211">
        <v>1128</v>
      </c>
      <c r="BJ751" s="211">
        <v>716</v>
      </c>
      <c r="BK751" s="211">
        <v>451</v>
      </c>
      <c r="BL751" s="211">
        <v>318</v>
      </c>
      <c r="BM751" s="211">
        <v>247</v>
      </c>
      <c r="BO751" s="28">
        <f t="shared" si="77"/>
        <v>878.91666666666663</v>
      </c>
      <c r="BP751" s="28">
        <f t="shared" si="78"/>
        <v>10547</v>
      </c>
    </row>
    <row r="752" spans="22:68" x14ac:dyDescent="0.25">
      <c r="V752" s="178"/>
      <c r="W752" s="174"/>
      <c r="X752" s="179"/>
      <c r="Y752" s="247"/>
      <c r="Z752" s="248"/>
      <c r="AA752" s="294" t="str">
        <f t="shared" si="71"/>
        <v/>
      </c>
      <c r="AB752" s="219" t="str">
        <f t="shared" si="69"/>
        <v/>
      </c>
      <c r="AC752" s="219">
        <f t="shared" si="72"/>
        <v>0</v>
      </c>
      <c r="AD752" s="219">
        <f t="shared" si="73"/>
        <v>0</v>
      </c>
      <c r="AE752" s="220">
        <f t="shared" si="74"/>
        <v>0</v>
      </c>
      <c r="AF752" s="221">
        <f t="shared" si="75"/>
        <v>0</v>
      </c>
      <c r="AG752" s="204"/>
      <c r="AH752" s="178"/>
      <c r="AI752" s="174"/>
      <c r="AJ752" s="179"/>
      <c r="AK752" s="247"/>
      <c r="AL752" s="248"/>
      <c r="AM752" s="294" t="str">
        <f t="shared" si="79"/>
        <v/>
      </c>
      <c r="AN752" s="219" t="str">
        <f t="shared" si="70"/>
        <v/>
      </c>
      <c r="AO752" s="219">
        <f t="shared" si="80"/>
        <v>0</v>
      </c>
      <c r="AP752" s="219">
        <f t="shared" si="76"/>
        <v>0</v>
      </c>
      <c r="AQ752" s="220">
        <f t="shared" si="81"/>
        <v>0</v>
      </c>
      <c r="AR752" s="221">
        <f t="shared" si="82"/>
        <v>0</v>
      </c>
      <c r="AY752" s="628"/>
      <c r="AZ752" s="470">
        <v>0.75</v>
      </c>
      <c r="BA752" s="466">
        <v>9295390967</v>
      </c>
      <c r="BB752" s="211">
        <v>406</v>
      </c>
      <c r="BC752" s="211">
        <v>38</v>
      </c>
      <c r="BD752" s="211">
        <v>747</v>
      </c>
      <c r="BE752" s="211">
        <v>683</v>
      </c>
      <c r="BF752" s="211">
        <v>135</v>
      </c>
      <c r="BG752" s="211">
        <v>389</v>
      </c>
      <c r="BH752" s="211">
        <v>3832</v>
      </c>
      <c r="BI752" s="211">
        <v>3607</v>
      </c>
      <c r="BJ752" s="211">
        <v>4593</v>
      </c>
      <c r="BK752" s="211">
        <v>54</v>
      </c>
      <c r="BL752" s="211">
        <v>146</v>
      </c>
      <c r="BM752" s="211">
        <v>486</v>
      </c>
      <c r="BO752" s="28">
        <f t="shared" si="77"/>
        <v>1259.6666666666667</v>
      </c>
      <c r="BP752" s="28">
        <f t="shared" si="78"/>
        <v>15116</v>
      </c>
    </row>
    <row r="753" spans="22:68" x14ac:dyDescent="0.25">
      <c r="V753" s="178"/>
      <c r="W753" s="174"/>
      <c r="X753" s="179"/>
      <c r="Y753" s="247"/>
      <c r="Z753" s="248"/>
      <c r="AA753" s="294" t="str">
        <f t="shared" si="71"/>
        <v/>
      </c>
      <c r="AB753" s="219" t="str">
        <f t="shared" si="69"/>
        <v/>
      </c>
      <c r="AC753" s="219">
        <f t="shared" si="72"/>
        <v>0</v>
      </c>
      <c r="AD753" s="219">
        <f t="shared" si="73"/>
        <v>0</v>
      </c>
      <c r="AE753" s="220">
        <f t="shared" si="74"/>
        <v>0</v>
      </c>
      <c r="AF753" s="221">
        <f t="shared" si="75"/>
        <v>0</v>
      </c>
      <c r="AG753" s="204"/>
      <c r="AH753" s="178"/>
      <c r="AI753" s="174"/>
      <c r="AJ753" s="179"/>
      <c r="AK753" s="247"/>
      <c r="AL753" s="248"/>
      <c r="AM753" s="294" t="str">
        <f t="shared" si="79"/>
        <v/>
      </c>
      <c r="AN753" s="219" t="str">
        <f t="shared" si="70"/>
        <v/>
      </c>
      <c r="AO753" s="219">
        <f t="shared" si="80"/>
        <v>0</v>
      </c>
      <c r="AP753" s="219">
        <f t="shared" si="76"/>
        <v>0</v>
      </c>
      <c r="AQ753" s="220">
        <f t="shared" si="81"/>
        <v>0</v>
      </c>
      <c r="AR753" s="221">
        <f t="shared" si="82"/>
        <v>0</v>
      </c>
      <c r="AY753" s="628"/>
      <c r="AZ753" s="470">
        <v>0.75</v>
      </c>
      <c r="BA753" s="466">
        <v>9297611939</v>
      </c>
      <c r="BB753" s="211">
        <v>136</v>
      </c>
      <c r="BC753" s="211">
        <v>129</v>
      </c>
      <c r="BD753" s="211">
        <v>127</v>
      </c>
      <c r="BE753" s="211">
        <v>149</v>
      </c>
      <c r="BF753" s="211">
        <v>248</v>
      </c>
      <c r="BG753" s="211">
        <v>268</v>
      </c>
      <c r="BH753" s="211">
        <v>1289</v>
      </c>
      <c r="BI753" s="211">
        <v>1307</v>
      </c>
      <c r="BJ753" s="211">
        <v>566</v>
      </c>
      <c r="BK753" s="211">
        <v>151</v>
      </c>
      <c r="BL753" s="211">
        <v>129</v>
      </c>
      <c r="BM753" s="211">
        <v>108</v>
      </c>
      <c r="BO753" s="28">
        <f t="shared" si="77"/>
        <v>383.91666666666669</v>
      </c>
      <c r="BP753" s="28">
        <f t="shared" si="78"/>
        <v>4607</v>
      </c>
    </row>
    <row r="754" spans="22:68" x14ac:dyDescent="0.25">
      <c r="V754" s="178"/>
      <c r="W754" s="174"/>
      <c r="X754" s="179"/>
      <c r="Y754" s="247"/>
      <c r="Z754" s="248"/>
      <c r="AA754" s="294" t="str">
        <f t="shared" si="71"/>
        <v/>
      </c>
      <c r="AB754" s="219" t="str">
        <f t="shared" si="69"/>
        <v/>
      </c>
      <c r="AC754" s="219">
        <f t="shared" si="72"/>
        <v>0</v>
      </c>
      <c r="AD754" s="219">
        <f t="shared" si="73"/>
        <v>0</v>
      </c>
      <c r="AE754" s="220">
        <f t="shared" si="74"/>
        <v>0</v>
      </c>
      <c r="AF754" s="221">
        <f t="shared" si="75"/>
        <v>0</v>
      </c>
      <c r="AG754" s="204"/>
      <c r="AH754" s="178"/>
      <c r="AI754" s="174"/>
      <c r="AJ754" s="179"/>
      <c r="AK754" s="247"/>
      <c r="AL754" s="248"/>
      <c r="AM754" s="294" t="str">
        <f t="shared" si="79"/>
        <v/>
      </c>
      <c r="AN754" s="219" t="str">
        <f t="shared" si="70"/>
        <v/>
      </c>
      <c r="AO754" s="219">
        <f t="shared" si="80"/>
        <v>0</v>
      </c>
      <c r="AP754" s="219">
        <f t="shared" si="76"/>
        <v>0</v>
      </c>
      <c r="AQ754" s="220">
        <f t="shared" si="81"/>
        <v>0</v>
      </c>
      <c r="AR754" s="221">
        <f t="shared" si="82"/>
        <v>0</v>
      </c>
      <c r="AY754" s="628"/>
      <c r="AZ754" s="470">
        <v>0.75</v>
      </c>
      <c r="BA754" s="466">
        <v>9301321486</v>
      </c>
      <c r="BB754" s="211">
        <v>138</v>
      </c>
      <c r="BC754" s="211">
        <v>137</v>
      </c>
      <c r="BD754" s="211">
        <v>174</v>
      </c>
      <c r="BE754" s="211">
        <v>170</v>
      </c>
      <c r="BF754" s="211">
        <v>131</v>
      </c>
      <c r="BG754" s="211">
        <v>168</v>
      </c>
      <c r="BH754" s="211">
        <v>1549</v>
      </c>
      <c r="BI754" s="211">
        <v>1043</v>
      </c>
      <c r="BJ754" s="211">
        <v>689</v>
      </c>
      <c r="BK754" s="211">
        <v>148</v>
      </c>
      <c r="BL754" s="211">
        <v>130</v>
      </c>
      <c r="BM754" s="211">
        <v>233</v>
      </c>
      <c r="BO754" s="28">
        <f t="shared" si="77"/>
        <v>392.5</v>
      </c>
      <c r="BP754" s="28">
        <f t="shared" si="78"/>
        <v>4710</v>
      </c>
    </row>
    <row r="755" spans="22:68" x14ac:dyDescent="0.25">
      <c r="V755" s="178"/>
      <c r="W755" s="174"/>
      <c r="X755" s="179"/>
      <c r="Y755" s="247"/>
      <c r="Z755" s="248"/>
      <c r="AA755" s="294" t="str">
        <f t="shared" si="71"/>
        <v/>
      </c>
      <c r="AB755" s="219" t="str">
        <f t="shared" si="69"/>
        <v/>
      </c>
      <c r="AC755" s="219">
        <f t="shared" si="72"/>
        <v>0</v>
      </c>
      <c r="AD755" s="219">
        <f t="shared" si="73"/>
        <v>0</v>
      </c>
      <c r="AE755" s="220">
        <f t="shared" si="74"/>
        <v>0</v>
      </c>
      <c r="AF755" s="221">
        <f t="shared" si="75"/>
        <v>0</v>
      </c>
      <c r="AG755" s="204"/>
      <c r="AH755" s="178"/>
      <c r="AI755" s="174"/>
      <c r="AJ755" s="179"/>
      <c r="AK755" s="247"/>
      <c r="AL755" s="248"/>
      <c r="AM755" s="294" t="str">
        <f t="shared" si="79"/>
        <v/>
      </c>
      <c r="AN755" s="219" t="str">
        <f t="shared" si="70"/>
        <v/>
      </c>
      <c r="AO755" s="219">
        <f t="shared" si="80"/>
        <v>0</v>
      </c>
      <c r="AP755" s="219">
        <f t="shared" si="76"/>
        <v>0</v>
      </c>
      <c r="AQ755" s="220">
        <f t="shared" si="81"/>
        <v>0</v>
      </c>
      <c r="AR755" s="221">
        <f t="shared" si="82"/>
        <v>0</v>
      </c>
      <c r="AY755" s="628"/>
      <c r="AZ755" s="470">
        <v>0.75</v>
      </c>
      <c r="BA755" s="466">
        <v>9342234979</v>
      </c>
      <c r="BB755" s="211">
        <v>272</v>
      </c>
      <c r="BC755" s="211">
        <v>251</v>
      </c>
      <c r="BD755" s="211">
        <v>528</v>
      </c>
      <c r="BE755" s="211" t="s">
        <v>655</v>
      </c>
      <c r="BF755" s="211">
        <v>92</v>
      </c>
      <c r="BG755" s="211">
        <v>204</v>
      </c>
      <c r="BH755" s="211">
        <v>260</v>
      </c>
      <c r="BI755" s="211">
        <v>236</v>
      </c>
      <c r="BJ755" s="211">
        <v>188</v>
      </c>
      <c r="BK755" s="211">
        <v>208</v>
      </c>
      <c r="BL755" s="211">
        <v>112</v>
      </c>
      <c r="BM755" s="211">
        <v>200</v>
      </c>
      <c r="BO755" s="28">
        <f t="shared" si="77"/>
        <v>231.90909090909091</v>
      </c>
      <c r="BP755" s="28">
        <f t="shared" si="78"/>
        <v>2551</v>
      </c>
    </row>
    <row r="756" spans="22:68" x14ac:dyDescent="0.25">
      <c r="V756" s="178"/>
      <c r="W756" s="174"/>
      <c r="X756" s="179"/>
      <c r="Y756" s="247"/>
      <c r="Z756" s="248"/>
      <c r="AA756" s="294" t="str">
        <f t="shared" si="71"/>
        <v/>
      </c>
      <c r="AB756" s="219" t="str">
        <f t="shared" si="69"/>
        <v/>
      </c>
      <c r="AC756" s="219">
        <f t="shared" si="72"/>
        <v>0</v>
      </c>
      <c r="AD756" s="219">
        <f t="shared" si="73"/>
        <v>0</v>
      </c>
      <c r="AE756" s="220">
        <f t="shared" si="74"/>
        <v>0</v>
      </c>
      <c r="AF756" s="221">
        <f t="shared" si="75"/>
        <v>0</v>
      </c>
      <c r="AG756" s="204"/>
      <c r="AH756" s="178"/>
      <c r="AI756" s="174"/>
      <c r="AJ756" s="179"/>
      <c r="AK756" s="247"/>
      <c r="AL756" s="248"/>
      <c r="AM756" s="294" t="str">
        <f t="shared" si="79"/>
        <v/>
      </c>
      <c r="AN756" s="219" t="str">
        <f t="shared" si="70"/>
        <v/>
      </c>
      <c r="AO756" s="219">
        <f t="shared" si="80"/>
        <v>0</v>
      </c>
      <c r="AP756" s="219">
        <f t="shared" si="76"/>
        <v>0</v>
      </c>
      <c r="AQ756" s="220">
        <f t="shared" si="81"/>
        <v>0</v>
      </c>
      <c r="AR756" s="221">
        <f t="shared" si="82"/>
        <v>0</v>
      </c>
      <c r="AY756" s="628"/>
      <c r="AZ756" s="470">
        <v>0.75</v>
      </c>
      <c r="BA756" s="466">
        <v>9345736992</v>
      </c>
      <c r="BB756" s="211">
        <v>359</v>
      </c>
      <c r="BC756" s="211">
        <v>387</v>
      </c>
      <c r="BD756" s="211">
        <v>471</v>
      </c>
      <c r="BE756" s="211">
        <v>362</v>
      </c>
      <c r="BF756" s="211">
        <v>308</v>
      </c>
      <c r="BG756" s="211">
        <v>481</v>
      </c>
      <c r="BH756" s="211">
        <v>3006</v>
      </c>
      <c r="BI756" s="211">
        <v>2220</v>
      </c>
      <c r="BJ756" s="211">
        <v>1659</v>
      </c>
      <c r="BK756" s="211">
        <v>584</v>
      </c>
      <c r="BL756" s="211">
        <v>378</v>
      </c>
      <c r="BM756" s="211">
        <v>400</v>
      </c>
      <c r="BO756" s="28">
        <f t="shared" si="77"/>
        <v>884.58333333333337</v>
      </c>
      <c r="BP756" s="28">
        <f t="shared" si="78"/>
        <v>10615</v>
      </c>
    </row>
    <row r="757" spans="22:68" x14ac:dyDescent="0.25">
      <c r="V757" s="178"/>
      <c r="W757" s="174"/>
      <c r="X757" s="179"/>
      <c r="Y757" s="247"/>
      <c r="Z757" s="248"/>
      <c r="AA757" s="294" t="str">
        <f t="shared" si="71"/>
        <v/>
      </c>
      <c r="AB757" s="219" t="str">
        <f t="shared" si="69"/>
        <v/>
      </c>
      <c r="AC757" s="219">
        <f t="shared" si="72"/>
        <v>0</v>
      </c>
      <c r="AD757" s="219">
        <f t="shared" si="73"/>
        <v>0</v>
      </c>
      <c r="AE757" s="220">
        <f t="shared" si="74"/>
        <v>0</v>
      </c>
      <c r="AF757" s="221">
        <f t="shared" si="75"/>
        <v>0</v>
      </c>
      <c r="AG757" s="204"/>
      <c r="AH757" s="178"/>
      <c r="AI757" s="174"/>
      <c r="AJ757" s="179"/>
      <c r="AK757" s="247"/>
      <c r="AL757" s="248"/>
      <c r="AM757" s="294" t="str">
        <f t="shared" si="79"/>
        <v/>
      </c>
      <c r="AN757" s="219" t="str">
        <f t="shared" si="70"/>
        <v/>
      </c>
      <c r="AO757" s="219">
        <f t="shared" si="80"/>
        <v>0</v>
      </c>
      <c r="AP757" s="219">
        <f t="shared" si="76"/>
        <v>0</v>
      </c>
      <c r="AQ757" s="220">
        <f t="shared" si="81"/>
        <v>0</v>
      </c>
      <c r="AR757" s="221">
        <f t="shared" si="82"/>
        <v>0</v>
      </c>
      <c r="AY757" s="628"/>
      <c r="AZ757" s="470">
        <v>0.625</v>
      </c>
      <c r="BA757" s="466">
        <v>9346415037</v>
      </c>
      <c r="BB757" s="211">
        <v>640</v>
      </c>
      <c r="BC757" s="211">
        <v>682</v>
      </c>
      <c r="BD757" s="211">
        <v>621</v>
      </c>
      <c r="BE757" s="211">
        <v>738</v>
      </c>
      <c r="BF757" s="211">
        <v>703</v>
      </c>
      <c r="BG757" s="211">
        <v>738</v>
      </c>
      <c r="BH757" s="211">
        <v>278</v>
      </c>
      <c r="BI757" s="211" t="s">
        <v>655</v>
      </c>
      <c r="BJ757" s="211" t="s">
        <v>655</v>
      </c>
      <c r="BK757" s="211" t="s">
        <v>655</v>
      </c>
      <c r="BL757" s="211" t="s">
        <v>655</v>
      </c>
      <c r="BM757" s="211" t="s">
        <v>655</v>
      </c>
      <c r="BO757" s="28">
        <f t="shared" si="77"/>
        <v>628.57142857142856</v>
      </c>
      <c r="BP757" s="28">
        <f t="shared" si="78"/>
        <v>4400</v>
      </c>
    </row>
    <row r="758" spans="22:68" x14ac:dyDescent="0.25">
      <c r="V758" s="178"/>
      <c r="W758" s="174"/>
      <c r="X758" s="179"/>
      <c r="Y758" s="247"/>
      <c r="Z758" s="248"/>
      <c r="AA758" s="294" t="str">
        <f t="shared" si="71"/>
        <v/>
      </c>
      <c r="AB758" s="219" t="str">
        <f t="shared" si="69"/>
        <v/>
      </c>
      <c r="AC758" s="219">
        <f t="shared" si="72"/>
        <v>0</v>
      </c>
      <c r="AD758" s="219">
        <f t="shared" si="73"/>
        <v>0</v>
      </c>
      <c r="AE758" s="220">
        <f t="shared" si="74"/>
        <v>0</v>
      </c>
      <c r="AF758" s="221">
        <f t="shared" si="75"/>
        <v>0</v>
      </c>
      <c r="AG758" s="204"/>
      <c r="AH758" s="178"/>
      <c r="AI758" s="174"/>
      <c r="AJ758" s="179"/>
      <c r="AK758" s="247"/>
      <c r="AL758" s="248"/>
      <c r="AM758" s="294" t="str">
        <f t="shared" si="79"/>
        <v/>
      </c>
      <c r="AN758" s="219" t="str">
        <f t="shared" si="70"/>
        <v/>
      </c>
      <c r="AO758" s="219">
        <f t="shared" si="80"/>
        <v>0</v>
      </c>
      <c r="AP758" s="219">
        <f t="shared" si="76"/>
        <v>0</v>
      </c>
      <c r="AQ758" s="220">
        <f t="shared" si="81"/>
        <v>0</v>
      </c>
      <c r="AR758" s="221">
        <f t="shared" si="82"/>
        <v>0</v>
      </c>
      <c r="AY758" s="628"/>
      <c r="AZ758" s="470">
        <v>0.75</v>
      </c>
      <c r="BA758" s="466">
        <v>9348636885</v>
      </c>
      <c r="BB758" s="211">
        <v>529</v>
      </c>
      <c r="BC758" s="211">
        <v>511</v>
      </c>
      <c r="BD758" s="211">
        <v>447</v>
      </c>
      <c r="BE758" s="211">
        <v>552</v>
      </c>
      <c r="BF758" s="211">
        <v>521</v>
      </c>
      <c r="BG758" s="211">
        <v>528</v>
      </c>
      <c r="BH758" s="211">
        <v>1532</v>
      </c>
      <c r="BI758" s="211">
        <v>1174</v>
      </c>
      <c r="BJ758" s="211">
        <v>1045</v>
      </c>
      <c r="BK758" s="211">
        <v>456</v>
      </c>
      <c r="BL758" s="211">
        <v>600</v>
      </c>
      <c r="BM758" s="211">
        <v>548</v>
      </c>
      <c r="BO758" s="28">
        <f t="shared" si="77"/>
        <v>703.58333333333337</v>
      </c>
      <c r="BP758" s="28">
        <f t="shared" si="78"/>
        <v>8443</v>
      </c>
    </row>
    <row r="759" spans="22:68" x14ac:dyDescent="0.25">
      <c r="V759" s="178"/>
      <c r="W759" s="174"/>
      <c r="X759" s="179"/>
      <c r="Y759" s="247"/>
      <c r="Z759" s="248"/>
      <c r="AA759" s="294" t="str">
        <f t="shared" si="71"/>
        <v/>
      </c>
      <c r="AB759" s="219" t="str">
        <f t="shared" si="69"/>
        <v/>
      </c>
      <c r="AC759" s="219">
        <f t="shared" si="72"/>
        <v>0</v>
      </c>
      <c r="AD759" s="219">
        <f t="shared" si="73"/>
        <v>0</v>
      </c>
      <c r="AE759" s="220">
        <f t="shared" si="74"/>
        <v>0</v>
      </c>
      <c r="AF759" s="221">
        <f t="shared" si="75"/>
        <v>0</v>
      </c>
      <c r="AG759" s="204"/>
      <c r="AH759" s="178"/>
      <c r="AI759" s="174"/>
      <c r="AJ759" s="179"/>
      <c r="AK759" s="247"/>
      <c r="AL759" s="248"/>
      <c r="AM759" s="294" t="str">
        <f t="shared" si="79"/>
        <v/>
      </c>
      <c r="AN759" s="219" t="str">
        <f t="shared" si="70"/>
        <v/>
      </c>
      <c r="AO759" s="219">
        <f t="shared" si="80"/>
        <v>0</v>
      </c>
      <c r="AP759" s="219">
        <f t="shared" si="76"/>
        <v>0</v>
      </c>
      <c r="AQ759" s="220">
        <f t="shared" si="81"/>
        <v>0</v>
      </c>
      <c r="AR759" s="221">
        <f t="shared" si="82"/>
        <v>0</v>
      </c>
      <c r="AY759" s="628"/>
      <c r="AZ759" s="470">
        <v>0.75</v>
      </c>
      <c r="BA759" s="466">
        <v>9363268811</v>
      </c>
      <c r="BB759" s="211">
        <v>544</v>
      </c>
      <c r="BC759" s="211">
        <v>508</v>
      </c>
      <c r="BD759" s="211">
        <v>549</v>
      </c>
      <c r="BE759" s="211">
        <v>100</v>
      </c>
      <c r="BF759" s="211">
        <v>1472</v>
      </c>
      <c r="BG759" s="211">
        <v>930</v>
      </c>
      <c r="BH759" s="211">
        <v>322</v>
      </c>
      <c r="BI759" s="211">
        <v>3179</v>
      </c>
      <c r="BJ759" s="211">
        <v>385</v>
      </c>
      <c r="BK759" s="211">
        <v>1583</v>
      </c>
      <c r="BL759" s="211">
        <v>772</v>
      </c>
      <c r="BM759" s="211">
        <v>288</v>
      </c>
      <c r="BO759" s="28">
        <f t="shared" si="77"/>
        <v>886</v>
      </c>
      <c r="BP759" s="28">
        <f t="shared" si="78"/>
        <v>10632</v>
      </c>
    </row>
    <row r="760" spans="22:68" x14ac:dyDescent="0.25">
      <c r="V760" s="178"/>
      <c r="W760" s="174"/>
      <c r="X760" s="179"/>
      <c r="Y760" s="247"/>
      <c r="Z760" s="248"/>
      <c r="AA760" s="294" t="str">
        <f t="shared" si="71"/>
        <v/>
      </c>
      <c r="AB760" s="219" t="str">
        <f t="shared" si="69"/>
        <v/>
      </c>
      <c r="AC760" s="219">
        <f t="shared" si="72"/>
        <v>0</v>
      </c>
      <c r="AD760" s="219">
        <f t="shared" si="73"/>
        <v>0</v>
      </c>
      <c r="AE760" s="220">
        <f t="shared" si="74"/>
        <v>0</v>
      </c>
      <c r="AF760" s="221">
        <f t="shared" si="75"/>
        <v>0</v>
      </c>
      <c r="AG760" s="204"/>
      <c r="AH760" s="178"/>
      <c r="AI760" s="174"/>
      <c r="AJ760" s="179"/>
      <c r="AK760" s="247"/>
      <c r="AL760" s="248"/>
      <c r="AM760" s="294" t="str">
        <f t="shared" si="79"/>
        <v/>
      </c>
      <c r="AN760" s="219" t="str">
        <f t="shared" si="70"/>
        <v/>
      </c>
      <c r="AO760" s="219">
        <f t="shared" si="80"/>
        <v>0</v>
      </c>
      <c r="AP760" s="219">
        <f t="shared" si="76"/>
        <v>0</v>
      </c>
      <c r="AQ760" s="220">
        <f t="shared" si="81"/>
        <v>0</v>
      </c>
      <c r="AR760" s="221">
        <f t="shared" si="82"/>
        <v>0</v>
      </c>
      <c r="AY760" s="628"/>
      <c r="AZ760" s="470">
        <v>0.75</v>
      </c>
      <c r="BA760" s="466">
        <v>9375527521</v>
      </c>
      <c r="BB760" s="211">
        <v>595</v>
      </c>
      <c r="BC760" s="211" t="s">
        <v>655</v>
      </c>
      <c r="BD760" s="211">
        <v>308</v>
      </c>
      <c r="BE760" s="211">
        <v>433</v>
      </c>
      <c r="BF760" s="211">
        <v>533</v>
      </c>
      <c r="BG760" s="211">
        <v>465</v>
      </c>
      <c r="BH760" s="211">
        <v>1368</v>
      </c>
      <c r="BI760" s="211">
        <v>1399</v>
      </c>
      <c r="BJ760" s="211">
        <v>580</v>
      </c>
      <c r="BK760" s="211">
        <v>322</v>
      </c>
      <c r="BL760" s="211">
        <v>278</v>
      </c>
      <c r="BM760" s="211">
        <v>150</v>
      </c>
      <c r="BO760" s="28">
        <f t="shared" si="77"/>
        <v>584.63636363636363</v>
      </c>
      <c r="BP760" s="28">
        <f t="shared" si="78"/>
        <v>6431</v>
      </c>
    </row>
    <row r="761" spans="22:68" x14ac:dyDescent="0.25">
      <c r="V761" s="178"/>
      <c r="W761" s="174"/>
      <c r="X761" s="179"/>
      <c r="Y761" s="247"/>
      <c r="Z761" s="248"/>
      <c r="AA761" s="294" t="str">
        <f t="shared" si="71"/>
        <v/>
      </c>
      <c r="AB761" s="219" t="str">
        <f t="shared" si="69"/>
        <v/>
      </c>
      <c r="AC761" s="219">
        <f t="shared" si="72"/>
        <v>0</v>
      </c>
      <c r="AD761" s="219">
        <f t="shared" si="73"/>
        <v>0</v>
      </c>
      <c r="AE761" s="220">
        <f t="shared" si="74"/>
        <v>0</v>
      </c>
      <c r="AF761" s="221">
        <f t="shared" si="75"/>
        <v>0</v>
      </c>
      <c r="AG761" s="204"/>
      <c r="AH761" s="178"/>
      <c r="AI761" s="174"/>
      <c r="AJ761" s="179"/>
      <c r="AK761" s="247"/>
      <c r="AL761" s="248"/>
      <c r="AM761" s="294" t="str">
        <f t="shared" si="79"/>
        <v/>
      </c>
      <c r="AN761" s="219" t="str">
        <f t="shared" si="70"/>
        <v/>
      </c>
      <c r="AO761" s="219">
        <f t="shared" si="80"/>
        <v>0</v>
      </c>
      <c r="AP761" s="219">
        <f t="shared" si="76"/>
        <v>0</v>
      </c>
      <c r="AQ761" s="220">
        <f t="shared" si="81"/>
        <v>0</v>
      </c>
      <c r="AR761" s="221">
        <f t="shared" si="82"/>
        <v>0</v>
      </c>
      <c r="AY761" s="628"/>
      <c r="AZ761" s="470">
        <v>0.75</v>
      </c>
      <c r="BA761" s="466">
        <v>9375955317</v>
      </c>
      <c r="BB761" s="211">
        <v>564</v>
      </c>
      <c r="BC761" s="211">
        <v>442</v>
      </c>
      <c r="BD761" s="211">
        <v>539</v>
      </c>
      <c r="BE761" s="211">
        <v>728</v>
      </c>
      <c r="BF761" s="211">
        <v>484</v>
      </c>
      <c r="BG761" s="211">
        <v>457</v>
      </c>
      <c r="BH761" s="211">
        <v>1168</v>
      </c>
      <c r="BI761" s="211" t="s">
        <v>655</v>
      </c>
      <c r="BJ761" s="211">
        <v>428</v>
      </c>
      <c r="BK761" s="211">
        <v>213</v>
      </c>
      <c r="BL761" s="211" t="s">
        <v>655</v>
      </c>
      <c r="BM761" s="211">
        <v>1301</v>
      </c>
      <c r="BO761" s="28">
        <f t="shared" si="77"/>
        <v>632.4</v>
      </c>
      <c r="BP761" s="28">
        <f t="shared" si="78"/>
        <v>6324</v>
      </c>
    </row>
    <row r="762" spans="22:68" x14ac:dyDescent="0.25">
      <c r="V762" s="178"/>
      <c r="W762" s="174"/>
      <c r="X762" s="179"/>
      <c r="Y762" s="247"/>
      <c r="Z762" s="248"/>
      <c r="AA762" s="294" t="str">
        <f t="shared" si="71"/>
        <v/>
      </c>
      <c r="AB762" s="219" t="str">
        <f t="shared" si="69"/>
        <v/>
      </c>
      <c r="AC762" s="219">
        <f t="shared" si="72"/>
        <v>0</v>
      </c>
      <c r="AD762" s="219">
        <f t="shared" si="73"/>
        <v>0</v>
      </c>
      <c r="AE762" s="220">
        <f t="shared" si="74"/>
        <v>0</v>
      </c>
      <c r="AF762" s="221">
        <f t="shared" si="75"/>
        <v>0</v>
      </c>
      <c r="AG762" s="204"/>
      <c r="AH762" s="178"/>
      <c r="AI762" s="174"/>
      <c r="AJ762" s="179"/>
      <c r="AK762" s="247"/>
      <c r="AL762" s="248"/>
      <c r="AM762" s="294" t="str">
        <f t="shared" si="79"/>
        <v/>
      </c>
      <c r="AN762" s="219" t="str">
        <f t="shared" si="70"/>
        <v/>
      </c>
      <c r="AO762" s="219">
        <f t="shared" si="80"/>
        <v>0</v>
      </c>
      <c r="AP762" s="219">
        <f t="shared" si="76"/>
        <v>0</v>
      </c>
      <c r="AQ762" s="220">
        <f t="shared" si="81"/>
        <v>0</v>
      </c>
      <c r="AR762" s="221">
        <f t="shared" si="82"/>
        <v>0</v>
      </c>
      <c r="AY762" s="628"/>
      <c r="AZ762" s="470">
        <v>0.75</v>
      </c>
      <c r="BA762" s="466">
        <v>9391731713</v>
      </c>
      <c r="BB762" s="211">
        <v>179</v>
      </c>
      <c r="BC762" s="211">
        <v>146</v>
      </c>
      <c r="BD762" s="211">
        <v>113</v>
      </c>
      <c r="BE762" s="211">
        <v>165</v>
      </c>
      <c r="BF762" s="211">
        <v>202</v>
      </c>
      <c r="BG762" s="211">
        <v>224</v>
      </c>
      <c r="BH762" s="211">
        <v>388</v>
      </c>
      <c r="BI762" s="211">
        <v>492</v>
      </c>
      <c r="BJ762" s="211">
        <v>223</v>
      </c>
      <c r="BK762" s="211">
        <v>97</v>
      </c>
      <c r="BL762" s="211">
        <v>150</v>
      </c>
      <c r="BM762" s="211">
        <v>125</v>
      </c>
      <c r="BO762" s="28">
        <f t="shared" si="77"/>
        <v>208.66666666666666</v>
      </c>
      <c r="BP762" s="28">
        <f t="shared" si="78"/>
        <v>2504</v>
      </c>
    </row>
    <row r="763" spans="22:68" x14ac:dyDescent="0.25">
      <c r="V763" s="178"/>
      <c r="W763" s="174"/>
      <c r="X763" s="179"/>
      <c r="Y763" s="247"/>
      <c r="Z763" s="248"/>
      <c r="AA763" s="294" t="str">
        <f t="shared" si="71"/>
        <v/>
      </c>
      <c r="AB763" s="219" t="str">
        <f t="shared" si="69"/>
        <v/>
      </c>
      <c r="AC763" s="219">
        <f t="shared" si="72"/>
        <v>0</v>
      </c>
      <c r="AD763" s="219">
        <f t="shared" si="73"/>
        <v>0</v>
      </c>
      <c r="AE763" s="220">
        <f t="shared" si="74"/>
        <v>0</v>
      </c>
      <c r="AF763" s="221">
        <f t="shared" si="75"/>
        <v>0</v>
      </c>
      <c r="AG763" s="204"/>
      <c r="AH763" s="178"/>
      <c r="AI763" s="174"/>
      <c r="AJ763" s="179"/>
      <c r="AK763" s="247"/>
      <c r="AL763" s="248"/>
      <c r="AM763" s="294" t="str">
        <f t="shared" si="79"/>
        <v/>
      </c>
      <c r="AN763" s="219" t="str">
        <f t="shared" si="70"/>
        <v/>
      </c>
      <c r="AO763" s="219">
        <f t="shared" si="80"/>
        <v>0</v>
      </c>
      <c r="AP763" s="219">
        <f t="shared" si="76"/>
        <v>0</v>
      </c>
      <c r="AQ763" s="220">
        <f t="shared" si="81"/>
        <v>0</v>
      </c>
      <c r="AR763" s="221">
        <f t="shared" si="82"/>
        <v>0</v>
      </c>
      <c r="AY763" s="628"/>
      <c r="AZ763" s="470">
        <v>0.75</v>
      </c>
      <c r="BA763" s="466">
        <v>9410181239</v>
      </c>
      <c r="BB763" s="211">
        <v>129</v>
      </c>
      <c r="BC763" s="211">
        <v>108</v>
      </c>
      <c r="BD763" s="211">
        <v>250</v>
      </c>
      <c r="BE763" s="211">
        <v>142</v>
      </c>
      <c r="BF763" s="211">
        <v>482</v>
      </c>
      <c r="BG763" s="211">
        <v>683</v>
      </c>
      <c r="BH763" s="211">
        <v>953</v>
      </c>
      <c r="BI763" s="211">
        <v>904</v>
      </c>
      <c r="BJ763" s="211">
        <v>465</v>
      </c>
      <c r="BK763" s="211">
        <v>393</v>
      </c>
      <c r="BL763" s="211" t="s">
        <v>655</v>
      </c>
      <c r="BM763" s="211">
        <v>85</v>
      </c>
      <c r="BO763" s="28">
        <f t="shared" si="77"/>
        <v>417.63636363636363</v>
      </c>
      <c r="BP763" s="28">
        <f t="shared" si="78"/>
        <v>4594</v>
      </c>
    </row>
    <row r="764" spans="22:68" x14ac:dyDescent="0.25">
      <c r="V764" s="178"/>
      <c r="W764" s="174"/>
      <c r="X764" s="179"/>
      <c r="Y764" s="247"/>
      <c r="Z764" s="248"/>
      <c r="AA764" s="294" t="str">
        <f t="shared" si="71"/>
        <v/>
      </c>
      <c r="AB764" s="219" t="str">
        <f t="shared" si="69"/>
        <v/>
      </c>
      <c r="AC764" s="219">
        <f t="shared" si="72"/>
        <v>0</v>
      </c>
      <c r="AD764" s="219">
        <f t="shared" si="73"/>
        <v>0</v>
      </c>
      <c r="AE764" s="220">
        <f t="shared" si="74"/>
        <v>0</v>
      </c>
      <c r="AF764" s="221">
        <f t="shared" si="75"/>
        <v>0</v>
      </c>
      <c r="AG764" s="204"/>
      <c r="AH764" s="178"/>
      <c r="AI764" s="174"/>
      <c r="AJ764" s="179"/>
      <c r="AK764" s="247"/>
      <c r="AL764" s="248"/>
      <c r="AM764" s="294" t="str">
        <f t="shared" si="79"/>
        <v/>
      </c>
      <c r="AN764" s="219" t="str">
        <f t="shared" si="70"/>
        <v/>
      </c>
      <c r="AO764" s="219">
        <f t="shared" si="80"/>
        <v>0</v>
      </c>
      <c r="AP764" s="219">
        <f t="shared" si="76"/>
        <v>0</v>
      </c>
      <c r="AQ764" s="220">
        <f t="shared" si="81"/>
        <v>0</v>
      </c>
      <c r="AR764" s="221">
        <f t="shared" si="82"/>
        <v>0</v>
      </c>
      <c r="AY764" s="628"/>
      <c r="AZ764" s="470">
        <v>0.75</v>
      </c>
      <c r="BA764" s="466">
        <v>9427096171</v>
      </c>
      <c r="BB764" s="211">
        <v>302</v>
      </c>
      <c r="BC764" s="211">
        <v>230</v>
      </c>
      <c r="BD764" s="211">
        <v>332</v>
      </c>
      <c r="BE764" s="211">
        <v>332</v>
      </c>
      <c r="BF764" s="211">
        <v>995</v>
      </c>
      <c r="BG764" s="211">
        <v>404</v>
      </c>
      <c r="BH764" s="211">
        <v>9606</v>
      </c>
      <c r="BI764" s="211">
        <v>5763</v>
      </c>
      <c r="BJ764" s="211">
        <v>4716</v>
      </c>
      <c r="BK764" s="211">
        <v>2735</v>
      </c>
      <c r="BL764" s="211">
        <v>188</v>
      </c>
      <c r="BM764" s="211">
        <v>220</v>
      </c>
      <c r="BO764" s="28">
        <f t="shared" si="77"/>
        <v>2151.9166666666665</v>
      </c>
      <c r="BP764" s="28">
        <f t="shared" si="78"/>
        <v>25823</v>
      </c>
    </row>
    <row r="765" spans="22:68" x14ac:dyDescent="0.25">
      <c r="V765" s="178"/>
      <c r="W765" s="174"/>
      <c r="X765" s="179"/>
      <c r="Y765" s="247"/>
      <c r="Z765" s="248"/>
      <c r="AA765" s="294" t="str">
        <f t="shared" si="71"/>
        <v/>
      </c>
      <c r="AB765" s="219" t="str">
        <f t="shared" si="69"/>
        <v/>
      </c>
      <c r="AC765" s="219">
        <f t="shared" si="72"/>
        <v>0</v>
      </c>
      <c r="AD765" s="219">
        <f t="shared" si="73"/>
        <v>0</v>
      </c>
      <c r="AE765" s="220">
        <f t="shared" si="74"/>
        <v>0</v>
      </c>
      <c r="AF765" s="221">
        <f t="shared" si="75"/>
        <v>0</v>
      </c>
      <c r="AG765" s="204"/>
      <c r="AH765" s="178"/>
      <c r="AI765" s="174"/>
      <c r="AJ765" s="179"/>
      <c r="AK765" s="247"/>
      <c r="AL765" s="248"/>
      <c r="AM765" s="294" t="str">
        <f t="shared" si="79"/>
        <v/>
      </c>
      <c r="AN765" s="219" t="str">
        <f t="shared" si="70"/>
        <v/>
      </c>
      <c r="AO765" s="219">
        <f t="shared" si="80"/>
        <v>0</v>
      </c>
      <c r="AP765" s="219">
        <f t="shared" si="76"/>
        <v>0</v>
      </c>
      <c r="AQ765" s="220">
        <f t="shared" si="81"/>
        <v>0</v>
      </c>
      <c r="AR765" s="221">
        <f t="shared" si="82"/>
        <v>0</v>
      </c>
      <c r="AY765" s="628"/>
      <c r="AZ765" s="470">
        <v>1.5</v>
      </c>
      <c r="BA765" s="466">
        <v>9431303146</v>
      </c>
      <c r="BB765" s="211">
        <v>580</v>
      </c>
      <c r="BC765" s="211">
        <v>880</v>
      </c>
      <c r="BD765" s="211">
        <v>880</v>
      </c>
      <c r="BE765" s="211">
        <v>830</v>
      </c>
      <c r="BF765" s="211">
        <v>1040</v>
      </c>
      <c r="BG765" s="211">
        <v>2710</v>
      </c>
      <c r="BH765" s="211">
        <v>3830</v>
      </c>
      <c r="BI765" s="211">
        <v>3490</v>
      </c>
      <c r="BJ765" s="211">
        <v>3970</v>
      </c>
      <c r="BK765" s="211">
        <v>3370</v>
      </c>
      <c r="BL765" s="211">
        <v>630</v>
      </c>
      <c r="BM765" s="211">
        <v>660</v>
      </c>
      <c r="BO765" s="28">
        <f t="shared" si="77"/>
        <v>1905.8333333333333</v>
      </c>
      <c r="BP765" s="28">
        <f t="shared" si="78"/>
        <v>22870</v>
      </c>
    </row>
    <row r="766" spans="22:68" x14ac:dyDescent="0.25">
      <c r="V766" s="178"/>
      <c r="W766" s="174"/>
      <c r="X766" s="179"/>
      <c r="Y766" s="247"/>
      <c r="Z766" s="248"/>
      <c r="AA766" s="294" t="str">
        <f t="shared" si="71"/>
        <v/>
      </c>
      <c r="AB766" s="219" t="str">
        <f t="shared" si="69"/>
        <v/>
      </c>
      <c r="AC766" s="219">
        <f t="shared" si="72"/>
        <v>0</v>
      </c>
      <c r="AD766" s="219">
        <f t="shared" si="73"/>
        <v>0</v>
      </c>
      <c r="AE766" s="220">
        <f t="shared" si="74"/>
        <v>0</v>
      </c>
      <c r="AF766" s="221">
        <f t="shared" si="75"/>
        <v>0</v>
      </c>
      <c r="AG766" s="204"/>
      <c r="AH766" s="178"/>
      <c r="AI766" s="174"/>
      <c r="AJ766" s="179"/>
      <c r="AK766" s="247"/>
      <c r="AL766" s="248"/>
      <c r="AM766" s="294" t="str">
        <f t="shared" si="79"/>
        <v/>
      </c>
      <c r="AN766" s="219" t="str">
        <f t="shared" si="70"/>
        <v/>
      </c>
      <c r="AO766" s="219">
        <f t="shared" si="80"/>
        <v>0</v>
      </c>
      <c r="AP766" s="219">
        <f t="shared" si="76"/>
        <v>0</v>
      </c>
      <c r="AQ766" s="220">
        <f t="shared" si="81"/>
        <v>0</v>
      </c>
      <c r="AR766" s="221">
        <f t="shared" si="82"/>
        <v>0</v>
      </c>
      <c r="AY766" s="628"/>
      <c r="AZ766" s="470">
        <v>0.75</v>
      </c>
      <c r="BA766" s="466">
        <v>9431940564</v>
      </c>
      <c r="BB766" s="211">
        <v>1647</v>
      </c>
      <c r="BC766" s="211">
        <v>1267</v>
      </c>
      <c r="BD766" s="211">
        <v>264</v>
      </c>
      <c r="BE766" s="211">
        <v>2844</v>
      </c>
      <c r="BF766" s="211">
        <v>1594</v>
      </c>
      <c r="BG766" s="211">
        <v>389</v>
      </c>
      <c r="BH766" s="211">
        <v>4870</v>
      </c>
      <c r="BI766" s="211">
        <v>618</v>
      </c>
      <c r="BJ766" s="211">
        <v>1060</v>
      </c>
      <c r="BK766" s="211">
        <v>295</v>
      </c>
      <c r="BL766" s="211">
        <v>220</v>
      </c>
      <c r="BM766" s="211">
        <v>579</v>
      </c>
      <c r="BO766" s="28">
        <f t="shared" si="77"/>
        <v>1303.9166666666667</v>
      </c>
      <c r="BP766" s="28">
        <f t="shared" si="78"/>
        <v>15647</v>
      </c>
    </row>
    <row r="767" spans="22:68" x14ac:dyDescent="0.25">
      <c r="V767" s="178"/>
      <c r="W767" s="174"/>
      <c r="X767" s="179"/>
      <c r="Y767" s="247"/>
      <c r="Z767" s="248"/>
      <c r="AA767" s="294" t="str">
        <f t="shared" si="71"/>
        <v/>
      </c>
      <c r="AB767" s="219" t="str">
        <f t="shared" si="69"/>
        <v/>
      </c>
      <c r="AC767" s="219">
        <f t="shared" si="72"/>
        <v>0</v>
      </c>
      <c r="AD767" s="219">
        <f t="shared" si="73"/>
        <v>0</v>
      </c>
      <c r="AE767" s="220">
        <f t="shared" si="74"/>
        <v>0</v>
      </c>
      <c r="AF767" s="221">
        <f t="shared" si="75"/>
        <v>0</v>
      </c>
      <c r="AG767" s="204"/>
      <c r="AH767" s="178"/>
      <c r="AI767" s="174"/>
      <c r="AJ767" s="179"/>
      <c r="AK767" s="247"/>
      <c r="AL767" s="248"/>
      <c r="AM767" s="294" t="str">
        <f t="shared" si="79"/>
        <v/>
      </c>
      <c r="AN767" s="219" t="str">
        <f t="shared" si="70"/>
        <v/>
      </c>
      <c r="AO767" s="219">
        <f t="shared" si="80"/>
        <v>0</v>
      </c>
      <c r="AP767" s="219">
        <f t="shared" si="76"/>
        <v>0</v>
      </c>
      <c r="AQ767" s="220">
        <f t="shared" si="81"/>
        <v>0</v>
      </c>
      <c r="AR767" s="221">
        <f t="shared" si="82"/>
        <v>0</v>
      </c>
      <c r="AY767" s="628"/>
      <c r="AZ767" s="470">
        <v>0.625</v>
      </c>
      <c r="BA767" s="466">
        <v>9440413525</v>
      </c>
      <c r="BB767" s="211">
        <v>511</v>
      </c>
      <c r="BC767" s="211">
        <v>631</v>
      </c>
      <c r="BD767" s="211">
        <v>480</v>
      </c>
      <c r="BE767" s="211">
        <v>794</v>
      </c>
      <c r="BF767" s="211">
        <v>1114</v>
      </c>
      <c r="BG767" s="211">
        <v>2494</v>
      </c>
      <c r="BH767" s="211">
        <v>5759</v>
      </c>
      <c r="BI767" s="211">
        <v>4047</v>
      </c>
      <c r="BJ767" s="211">
        <v>4119</v>
      </c>
      <c r="BK767" s="211">
        <v>967</v>
      </c>
      <c r="BL767" s="211">
        <v>430</v>
      </c>
      <c r="BM767" s="211">
        <v>569</v>
      </c>
      <c r="BO767" s="28">
        <f t="shared" si="77"/>
        <v>1826.25</v>
      </c>
      <c r="BP767" s="28">
        <f t="shared" si="78"/>
        <v>21915</v>
      </c>
    </row>
    <row r="768" spans="22:68" x14ac:dyDescent="0.25">
      <c r="V768" s="178"/>
      <c r="W768" s="174"/>
      <c r="X768" s="179"/>
      <c r="Y768" s="247"/>
      <c r="Z768" s="248"/>
      <c r="AA768" s="294" t="str">
        <f t="shared" si="71"/>
        <v/>
      </c>
      <c r="AB768" s="219" t="str">
        <f t="shared" si="69"/>
        <v/>
      </c>
      <c r="AC768" s="219">
        <f t="shared" si="72"/>
        <v>0</v>
      </c>
      <c r="AD768" s="219">
        <f t="shared" si="73"/>
        <v>0</v>
      </c>
      <c r="AE768" s="220">
        <f t="shared" si="74"/>
        <v>0</v>
      </c>
      <c r="AF768" s="221">
        <f t="shared" si="75"/>
        <v>0</v>
      </c>
      <c r="AG768" s="204"/>
      <c r="AH768" s="178"/>
      <c r="AI768" s="174"/>
      <c r="AJ768" s="179"/>
      <c r="AK768" s="247"/>
      <c r="AL768" s="248"/>
      <c r="AM768" s="294" t="str">
        <f t="shared" si="79"/>
        <v/>
      </c>
      <c r="AN768" s="219" t="str">
        <f t="shared" si="70"/>
        <v/>
      </c>
      <c r="AO768" s="219">
        <f t="shared" si="80"/>
        <v>0</v>
      </c>
      <c r="AP768" s="219">
        <f t="shared" si="76"/>
        <v>0</v>
      </c>
      <c r="AQ768" s="220">
        <f t="shared" si="81"/>
        <v>0</v>
      </c>
      <c r="AR768" s="221">
        <f t="shared" si="82"/>
        <v>0</v>
      </c>
      <c r="AY768" s="628"/>
      <c r="AZ768" s="470">
        <v>0.75</v>
      </c>
      <c r="BA768" s="466">
        <v>9448716120</v>
      </c>
      <c r="BB768" s="211">
        <v>2161</v>
      </c>
      <c r="BC768" s="211">
        <v>2095</v>
      </c>
      <c r="BD768" s="211">
        <v>2218</v>
      </c>
      <c r="BE768" s="211">
        <v>3263</v>
      </c>
      <c r="BF768" s="211">
        <v>4241</v>
      </c>
      <c r="BG768" s="211">
        <v>5964</v>
      </c>
      <c r="BH768" s="211">
        <v>11289</v>
      </c>
      <c r="BI768" s="211">
        <v>10690</v>
      </c>
      <c r="BJ768" s="211">
        <v>6821</v>
      </c>
      <c r="BK768" s="211">
        <v>3764</v>
      </c>
      <c r="BL768" s="211">
        <v>2439</v>
      </c>
      <c r="BM768" s="211">
        <v>2700</v>
      </c>
      <c r="BO768" s="28">
        <f t="shared" si="77"/>
        <v>4803.75</v>
      </c>
      <c r="BP768" s="28">
        <f t="shared" si="78"/>
        <v>57645</v>
      </c>
    </row>
    <row r="769" spans="22:68" x14ac:dyDescent="0.25">
      <c r="V769" s="178"/>
      <c r="W769" s="174"/>
      <c r="X769" s="179"/>
      <c r="Y769" s="247"/>
      <c r="Z769" s="248"/>
      <c r="AA769" s="294" t="str">
        <f t="shared" si="71"/>
        <v/>
      </c>
      <c r="AB769" s="219" t="str">
        <f t="shared" si="69"/>
        <v/>
      </c>
      <c r="AC769" s="219">
        <f t="shared" si="72"/>
        <v>0</v>
      </c>
      <c r="AD769" s="219">
        <f t="shared" si="73"/>
        <v>0</v>
      </c>
      <c r="AE769" s="220">
        <f t="shared" si="74"/>
        <v>0</v>
      </c>
      <c r="AF769" s="221">
        <f t="shared" si="75"/>
        <v>0</v>
      </c>
      <c r="AG769" s="204"/>
      <c r="AH769" s="178"/>
      <c r="AI769" s="174"/>
      <c r="AJ769" s="179"/>
      <c r="AK769" s="247"/>
      <c r="AL769" s="248"/>
      <c r="AM769" s="294" t="str">
        <f t="shared" si="79"/>
        <v/>
      </c>
      <c r="AN769" s="219" t="str">
        <f t="shared" si="70"/>
        <v/>
      </c>
      <c r="AO769" s="219">
        <f t="shared" si="80"/>
        <v>0</v>
      </c>
      <c r="AP769" s="219">
        <f t="shared" si="76"/>
        <v>0</v>
      </c>
      <c r="AQ769" s="220">
        <f t="shared" si="81"/>
        <v>0</v>
      </c>
      <c r="AR769" s="221">
        <f t="shared" si="82"/>
        <v>0</v>
      </c>
      <c r="AY769" s="628"/>
      <c r="AZ769" s="470">
        <v>1</v>
      </c>
      <c r="BA769" s="466">
        <v>9479587737</v>
      </c>
      <c r="BB769" s="211">
        <v>1512</v>
      </c>
      <c r="BC769" s="211">
        <v>1651</v>
      </c>
      <c r="BD769" s="211">
        <v>1826</v>
      </c>
      <c r="BE769" s="211">
        <v>1859</v>
      </c>
      <c r="BF769" s="211">
        <v>1946</v>
      </c>
      <c r="BG769" s="211">
        <v>1928</v>
      </c>
      <c r="BH769" s="211">
        <v>2436</v>
      </c>
      <c r="BI769" s="211">
        <v>2545</v>
      </c>
      <c r="BJ769" s="211">
        <v>2502</v>
      </c>
      <c r="BK769" s="211">
        <v>2000</v>
      </c>
      <c r="BL769" s="211">
        <v>1790</v>
      </c>
      <c r="BM769" s="211">
        <v>2023</v>
      </c>
      <c r="BO769" s="28">
        <f t="shared" si="77"/>
        <v>2001.5</v>
      </c>
      <c r="BP769" s="28">
        <f t="shared" si="78"/>
        <v>24018</v>
      </c>
    </row>
    <row r="770" spans="22:68" x14ac:dyDescent="0.25">
      <c r="V770" s="178"/>
      <c r="W770" s="174"/>
      <c r="X770" s="179"/>
      <c r="Y770" s="247"/>
      <c r="Z770" s="248"/>
      <c r="AA770" s="294" t="str">
        <f t="shared" si="71"/>
        <v/>
      </c>
      <c r="AB770" s="219" t="str">
        <f t="shared" si="69"/>
        <v/>
      </c>
      <c r="AC770" s="219">
        <f t="shared" si="72"/>
        <v>0</v>
      </c>
      <c r="AD770" s="219">
        <f t="shared" si="73"/>
        <v>0</v>
      </c>
      <c r="AE770" s="220">
        <f t="shared" si="74"/>
        <v>0</v>
      </c>
      <c r="AF770" s="221">
        <f t="shared" si="75"/>
        <v>0</v>
      </c>
      <c r="AG770" s="204"/>
      <c r="AH770" s="178"/>
      <c r="AI770" s="174"/>
      <c r="AJ770" s="179"/>
      <c r="AK770" s="247"/>
      <c r="AL770" s="248"/>
      <c r="AM770" s="294" t="str">
        <f t="shared" si="79"/>
        <v/>
      </c>
      <c r="AN770" s="219" t="str">
        <f t="shared" si="70"/>
        <v/>
      </c>
      <c r="AO770" s="219">
        <f t="shared" si="80"/>
        <v>0</v>
      </c>
      <c r="AP770" s="219">
        <f t="shared" si="76"/>
        <v>0</v>
      </c>
      <c r="AQ770" s="220">
        <f t="shared" si="81"/>
        <v>0</v>
      </c>
      <c r="AR770" s="221">
        <f t="shared" si="82"/>
        <v>0</v>
      </c>
      <c r="AY770" s="628"/>
      <c r="AZ770" s="470">
        <v>0.625</v>
      </c>
      <c r="BA770" s="466">
        <v>9481540261</v>
      </c>
      <c r="BB770" s="211">
        <v>154</v>
      </c>
      <c r="BC770" s="211">
        <v>144</v>
      </c>
      <c r="BD770" s="211">
        <v>143</v>
      </c>
      <c r="BE770" s="211">
        <v>154</v>
      </c>
      <c r="BF770" s="211">
        <v>140</v>
      </c>
      <c r="BG770" s="211">
        <v>135</v>
      </c>
      <c r="BH770" s="211">
        <v>145</v>
      </c>
      <c r="BI770" s="211">
        <v>140</v>
      </c>
      <c r="BJ770" s="211">
        <v>195</v>
      </c>
      <c r="BK770" s="211">
        <v>158</v>
      </c>
      <c r="BL770" s="211">
        <v>155</v>
      </c>
      <c r="BM770" s="211">
        <v>137</v>
      </c>
      <c r="BO770" s="28">
        <f t="shared" si="77"/>
        <v>150</v>
      </c>
      <c r="BP770" s="28">
        <f t="shared" si="78"/>
        <v>1800</v>
      </c>
    </row>
    <row r="771" spans="22:68" x14ac:dyDescent="0.25">
      <c r="V771" s="178"/>
      <c r="W771" s="174"/>
      <c r="X771" s="179"/>
      <c r="Y771" s="247"/>
      <c r="Z771" s="248"/>
      <c r="AA771" s="294" t="str">
        <f t="shared" si="71"/>
        <v/>
      </c>
      <c r="AB771" s="219" t="str">
        <f t="shared" si="69"/>
        <v/>
      </c>
      <c r="AC771" s="219">
        <f t="shared" si="72"/>
        <v>0</v>
      </c>
      <c r="AD771" s="219">
        <f t="shared" si="73"/>
        <v>0</v>
      </c>
      <c r="AE771" s="220">
        <f t="shared" si="74"/>
        <v>0</v>
      </c>
      <c r="AF771" s="221">
        <f t="shared" si="75"/>
        <v>0</v>
      </c>
      <c r="AG771" s="204"/>
      <c r="AH771" s="178"/>
      <c r="AI771" s="174"/>
      <c r="AJ771" s="179"/>
      <c r="AK771" s="247"/>
      <c r="AL771" s="248"/>
      <c r="AM771" s="294" t="str">
        <f t="shared" si="79"/>
        <v/>
      </c>
      <c r="AN771" s="219" t="str">
        <f t="shared" si="70"/>
        <v/>
      </c>
      <c r="AO771" s="219">
        <f t="shared" si="80"/>
        <v>0</v>
      </c>
      <c r="AP771" s="219">
        <f t="shared" si="76"/>
        <v>0</v>
      </c>
      <c r="AQ771" s="220">
        <f t="shared" si="81"/>
        <v>0</v>
      </c>
      <c r="AR771" s="221">
        <f t="shared" si="82"/>
        <v>0</v>
      </c>
      <c r="AY771" s="628"/>
      <c r="AZ771" s="470">
        <v>0.75</v>
      </c>
      <c r="BA771" s="466">
        <v>9491663882</v>
      </c>
      <c r="BB771" s="211">
        <v>441</v>
      </c>
      <c r="BC771" s="211">
        <v>548</v>
      </c>
      <c r="BD771" s="211">
        <v>524</v>
      </c>
      <c r="BE771" s="211">
        <v>589</v>
      </c>
      <c r="BF771" s="211">
        <v>617</v>
      </c>
      <c r="BG771" s="211">
        <v>750</v>
      </c>
      <c r="BH771" s="211">
        <v>786</v>
      </c>
      <c r="BI771" s="211">
        <v>876</v>
      </c>
      <c r="BJ771" s="211">
        <v>814</v>
      </c>
      <c r="BK771" s="211">
        <v>517</v>
      </c>
      <c r="BL771" s="211">
        <v>395</v>
      </c>
      <c r="BM771" s="211">
        <v>586</v>
      </c>
      <c r="BO771" s="28">
        <f t="shared" si="77"/>
        <v>620.25</v>
      </c>
      <c r="BP771" s="28">
        <f t="shared" si="78"/>
        <v>7443</v>
      </c>
    </row>
    <row r="772" spans="22:68" x14ac:dyDescent="0.25">
      <c r="V772" s="178"/>
      <c r="W772" s="174"/>
      <c r="X772" s="179"/>
      <c r="Y772" s="247"/>
      <c r="Z772" s="248"/>
      <c r="AA772" s="294" t="str">
        <f t="shared" si="71"/>
        <v/>
      </c>
      <c r="AB772" s="219" t="str">
        <f t="shared" si="69"/>
        <v/>
      </c>
      <c r="AC772" s="219">
        <f t="shared" si="72"/>
        <v>0</v>
      </c>
      <c r="AD772" s="219">
        <f t="shared" si="73"/>
        <v>0</v>
      </c>
      <c r="AE772" s="220">
        <f t="shared" si="74"/>
        <v>0</v>
      </c>
      <c r="AF772" s="221">
        <f t="shared" si="75"/>
        <v>0</v>
      </c>
      <c r="AG772" s="204"/>
      <c r="AH772" s="178"/>
      <c r="AI772" s="174"/>
      <c r="AJ772" s="179"/>
      <c r="AK772" s="247"/>
      <c r="AL772" s="248"/>
      <c r="AM772" s="294" t="str">
        <f t="shared" si="79"/>
        <v/>
      </c>
      <c r="AN772" s="219" t="str">
        <f t="shared" si="70"/>
        <v/>
      </c>
      <c r="AO772" s="219">
        <f t="shared" si="80"/>
        <v>0</v>
      </c>
      <c r="AP772" s="219">
        <f t="shared" si="76"/>
        <v>0</v>
      </c>
      <c r="AQ772" s="220">
        <f t="shared" si="81"/>
        <v>0</v>
      </c>
      <c r="AR772" s="221">
        <f t="shared" si="82"/>
        <v>0</v>
      </c>
      <c r="AY772" s="628"/>
      <c r="AZ772" s="470">
        <v>0.75</v>
      </c>
      <c r="BA772" s="466">
        <v>9493540764</v>
      </c>
      <c r="BB772" s="211">
        <v>110</v>
      </c>
      <c r="BC772" s="211">
        <v>102</v>
      </c>
      <c r="BD772" s="211">
        <v>153</v>
      </c>
      <c r="BE772" s="211">
        <v>116</v>
      </c>
      <c r="BF772" s="211">
        <v>117</v>
      </c>
      <c r="BG772" s="211">
        <v>97</v>
      </c>
      <c r="BH772" s="211">
        <v>605</v>
      </c>
      <c r="BI772" s="211">
        <v>799</v>
      </c>
      <c r="BJ772" s="211">
        <v>275</v>
      </c>
      <c r="BK772" s="211">
        <v>126</v>
      </c>
      <c r="BL772" s="211">
        <v>98</v>
      </c>
      <c r="BM772" s="211">
        <v>112</v>
      </c>
      <c r="BO772" s="28">
        <f t="shared" si="77"/>
        <v>225.83333333333334</v>
      </c>
      <c r="BP772" s="28">
        <f t="shared" si="78"/>
        <v>2710</v>
      </c>
    </row>
    <row r="773" spans="22:68" x14ac:dyDescent="0.25">
      <c r="V773" s="178"/>
      <c r="W773" s="174"/>
      <c r="X773" s="179"/>
      <c r="Y773" s="247"/>
      <c r="Z773" s="248"/>
      <c r="AA773" s="294" t="str">
        <f t="shared" si="71"/>
        <v/>
      </c>
      <c r="AB773" s="219" t="str">
        <f t="shared" si="69"/>
        <v/>
      </c>
      <c r="AC773" s="219">
        <f t="shared" si="72"/>
        <v>0</v>
      </c>
      <c r="AD773" s="219">
        <f t="shared" si="73"/>
        <v>0</v>
      </c>
      <c r="AE773" s="220">
        <f t="shared" si="74"/>
        <v>0</v>
      </c>
      <c r="AF773" s="221">
        <f t="shared" si="75"/>
        <v>0</v>
      </c>
      <c r="AG773" s="204"/>
      <c r="AH773" s="178"/>
      <c r="AI773" s="174"/>
      <c r="AJ773" s="179"/>
      <c r="AK773" s="247"/>
      <c r="AL773" s="248"/>
      <c r="AM773" s="294" t="str">
        <f t="shared" si="79"/>
        <v/>
      </c>
      <c r="AN773" s="219" t="str">
        <f t="shared" si="70"/>
        <v/>
      </c>
      <c r="AO773" s="219">
        <f t="shared" si="80"/>
        <v>0</v>
      </c>
      <c r="AP773" s="219">
        <f t="shared" si="76"/>
        <v>0</v>
      </c>
      <c r="AQ773" s="220">
        <f t="shared" si="81"/>
        <v>0</v>
      </c>
      <c r="AR773" s="221">
        <f t="shared" si="82"/>
        <v>0</v>
      </c>
      <c r="AY773" s="628"/>
      <c r="AZ773" s="470">
        <v>0.75</v>
      </c>
      <c r="BA773" s="466">
        <v>9504734316</v>
      </c>
      <c r="BB773" s="211">
        <v>176</v>
      </c>
      <c r="BC773" s="211">
        <v>191</v>
      </c>
      <c r="BD773" s="211">
        <v>178</v>
      </c>
      <c r="BE773" s="211">
        <v>218</v>
      </c>
      <c r="BF773" s="211">
        <v>285</v>
      </c>
      <c r="BG773" s="211">
        <v>295</v>
      </c>
      <c r="BH773" s="211">
        <v>87</v>
      </c>
      <c r="BI773" s="211">
        <v>91</v>
      </c>
      <c r="BJ773" s="211">
        <v>552</v>
      </c>
      <c r="BK773" s="211">
        <v>312</v>
      </c>
      <c r="BL773" s="211">
        <v>178</v>
      </c>
      <c r="BM773" s="211">
        <v>100</v>
      </c>
      <c r="BO773" s="28">
        <f t="shared" si="77"/>
        <v>221.91666666666666</v>
      </c>
      <c r="BP773" s="28">
        <f t="shared" si="78"/>
        <v>2663</v>
      </c>
    </row>
    <row r="774" spans="22:68" x14ac:dyDescent="0.25">
      <c r="V774" s="178"/>
      <c r="W774" s="174"/>
      <c r="X774" s="179"/>
      <c r="Y774" s="247"/>
      <c r="Z774" s="248"/>
      <c r="AA774" s="294" t="str">
        <f t="shared" si="71"/>
        <v/>
      </c>
      <c r="AB774" s="219" t="str">
        <f t="shared" si="69"/>
        <v/>
      </c>
      <c r="AC774" s="219">
        <f t="shared" si="72"/>
        <v>0</v>
      </c>
      <c r="AD774" s="219">
        <f t="shared" si="73"/>
        <v>0</v>
      </c>
      <c r="AE774" s="220">
        <f t="shared" si="74"/>
        <v>0</v>
      </c>
      <c r="AF774" s="221">
        <f t="shared" si="75"/>
        <v>0</v>
      </c>
      <c r="AG774" s="204"/>
      <c r="AH774" s="178"/>
      <c r="AI774" s="174"/>
      <c r="AJ774" s="179"/>
      <c r="AK774" s="247"/>
      <c r="AL774" s="248"/>
      <c r="AM774" s="294" t="str">
        <f t="shared" si="79"/>
        <v/>
      </c>
      <c r="AN774" s="219" t="str">
        <f t="shared" si="70"/>
        <v/>
      </c>
      <c r="AO774" s="219">
        <f t="shared" si="80"/>
        <v>0</v>
      </c>
      <c r="AP774" s="219">
        <f t="shared" si="76"/>
        <v>0</v>
      </c>
      <c r="AQ774" s="220">
        <f t="shared" si="81"/>
        <v>0</v>
      </c>
      <c r="AR774" s="221">
        <f t="shared" si="82"/>
        <v>0</v>
      </c>
      <c r="AY774" s="628"/>
      <c r="AZ774" s="470">
        <v>1</v>
      </c>
      <c r="BA774" s="466">
        <v>9507042785</v>
      </c>
      <c r="BB774" s="211">
        <v>416</v>
      </c>
      <c r="BC774" s="211">
        <v>251</v>
      </c>
      <c r="BD774" s="211">
        <v>273</v>
      </c>
      <c r="BE774" s="211">
        <v>441</v>
      </c>
      <c r="BF774" s="211">
        <v>191</v>
      </c>
      <c r="BG774" s="211">
        <v>1460</v>
      </c>
      <c r="BH774" s="211">
        <v>1982</v>
      </c>
      <c r="BI774" s="211">
        <v>1990</v>
      </c>
      <c r="BJ774" s="211">
        <v>803</v>
      </c>
      <c r="BK774" s="211">
        <v>407</v>
      </c>
      <c r="BL774" s="211">
        <v>393</v>
      </c>
      <c r="BM774" s="211">
        <v>301</v>
      </c>
      <c r="BO774" s="28">
        <f t="shared" si="77"/>
        <v>742.33333333333337</v>
      </c>
      <c r="BP774" s="28">
        <f t="shared" si="78"/>
        <v>8908</v>
      </c>
    </row>
    <row r="775" spans="22:68" x14ac:dyDescent="0.25">
      <c r="V775" s="178"/>
      <c r="W775" s="174"/>
      <c r="X775" s="179"/>
      <c r="Y775" s="247"/>
      <c r="Z775" s="248"/>
      <c r="AA775" s="294" t="str">
        <f t="shared" si="71"/>
        <v/>
      </c>
      <c r="AB775" s="219" t="str">
        <f t="shared" si="69"/>
        <v/>
      </c>
      <c r="AC775" s="219">
        <f t="shared" si="72"/>
        <v>0</v>
      </c>
      <c r="AD775" s="219">
        <f t="shared" si="73"/>
        <v>0</v>
      </c>
      <c r="AE775" s="220">
        <f t="shared" si="74"/>
        <v>0</v>
      </c>
      <c r="AF775" s="221">
        <f t="shared" si="75"/>
        <v>0</v>
      </c>
      <c r="AG775" s="204"/>
      <c r="AH775" s="178"/>
      <c r="AI775" s="174"/>
      <c r="AJ775" s="179"/>
      <c r="AK775" s="247"/>
      <c r="AL775" s="248"/>
      <c r="AM775" s="294" t="str">
        <f t="shared" si="79"/>
        <v/>
      </c>
      <c r="AN775" s="219" t="str">
        <f t="shared" si="70"/>
        <v/>
      </c>
      <c r="AO775" s="219">
        <f t="shared" si="80"/>
        <v>0</v>
      </c>
      <c r="AP775" s="219">
        <f t="shared" si="76"/>
        <v>0</v>
      </c>
      <c r="AQ775" s="220">
        <f t="shared" si="81"/>
        <v>0</v>
      </c>
      <c r="AR775" s="221">
        <f t="shared" si="82"/>
        <v>0</v>
      </c>
      <c r="AY775" s="628"/>
      <c r="AZ775" s="470">
        <v>0.75</v>
      </c>
      <c r="BA775" s="466">
        <v>9524404490</v>
      </c>
      <c r="BB775" s="211">
        <v>890</v>
      </c>
      <c r="BC775" s="211">
        <v>808</v>
      </c>
      <c r="BD775" s="211">
        <v>873</v>
      </c>
      <c r="BE775" s="211">
        <v>1141</v>
      </c>
      <c r="BF775" s="211">
        <v>796</v>
      </c>
      <c r="BG775" s="211">
        <v>690</v>
      </c>
      <c r="BH775" s="211">
        <v>2340</v>
      </c>
      <c r="BI775" s="211">
        <v>2848</v>
      </c>
      <c r="BJ775" s="211">
        <v>1510</v>
      </c>
      <c r="BK775" s="211">
        <v>900</v>
      </c>
      <c r="BL775" s="211">
        <v>500</v>
      </c>
      <c r="BM775" s="211">
        <v>1213</v>
      </c>
      <c r="BO775" s="28">
        <f t="shared" si="77"/>
        <v>1209.0833333333333</v>
      </c>
      <c r="BP775" s="28">
        <f t="shared" si="78"/>
        <v>14509</v>
      </c>
    </row>
    <row r="776" spans="22:68" x14ac:dyDescent="0.25">
      <c r="V776" s="178"/>
      <c r="W776" s="174"/>
      <c r="X776" s="179"/>
      <c r="Y776" s="247"/>
      <c r="Z776" s="248"/>
      <c r="AA776" s="294" t="str">
        <f t="shared" si="71"/>
        <v/>
      </c>
      <c r="AB776" s="219" t="str">
        <f t="shared" ref="AB776:AB839" si="83">IF(Y776&gt;1,IF((TestEOY-X776)/365&gt;AA776,AA776,ROUNDUP(((TestEOY-X776)/365),0)),"")</f>
        <v/>
      </c>
      <c r="AC776" s="219">
        <f t="shared" si="72"/>
        <v>0</v>
      </c>
      <c r="AD776" s="219">
        <f t="shared" si="73"/>
        <v>0</v>
      </c>
      <c r="AE776" s="220">
        <f t="shared" si="74"/>
        <v>0</v>
      </c>
      <c r="AF776" s="221">
        <f t="shared" si="75"/>
        <v>0</v>
      </c>
      <c r="AG776" s="204"/>
      <c r="AH776" s="178"/>
      <c r="AI776" s="174"/>
      <c r="AJ776" s="179"/>
      <c r="AK776" s="247"/>
      <c r="AL776" s="248"/>
      <c r="AM776" s="294" t="str">
        <f t="shared" si="79"/>
        <v/>
      </c>
      <c r="AN776" s="219" t="str">
        <f t="shared" ref="AN776:AN839" si="84">IF(AK776&lt;&gt;"",IF((TestEOY-AJ776)/365&gt;AM776,AM776,ROUNDUP(((TestEOY-AJ776)/365),0)),"")</f>
        <v/>
      </c>
      <c r="AO776" s="219">
        <f t="shared" si="80"/>
        <v>0</v>
      </c>
      <c r="AP776" s="219">
        <f t="shared" si="76"/>
        <v>0</v>
      </c>
      <c r="AQ776" s="220">
        <f t="shared" si="81"/>
        <v>0</v>
      </c>
      <c r="AR776" s="221">
        <f t="shared" si="82"/>
        <v>0</v>
      </c>
      <c r="AY776" s="628"/>
      <c r="AZ776" s="470">
        <v>1</v>
      </c>
      <c r="BA776" s="466">
        <v>9526748543</v>
      </c>
      <c r="BB776" s="211">
        <v>206</v>
      </c>
      <c r="BC776" s="211">
        <v>451</v>
      </c>
      <c r="BD776" s="211">
        <v>353</v>
      </c>
      <c r="BE776" s="211">
        <v>413</v>
      </c>
      <c r="BF776" s="211">
        <v>1069</v>
      </c>
      <c r="BG776" s="211">
        <v>13553</v>
      </c>
      <c r="BH776" s="211">
        <v>18107</v>
      </c>
      <c r="BI776" s="211">
        <v>17688</v>
      </c>
      <c r="BJ776" s="211">
        <v>19715</v>
      </c>
      <c r="BK776" s="211">
        <v>3287</v>
      </c>
      <c r="BL776" s="211">
        <v>1554</v>
      </c>
      <c r="BM776" s="211">
        <v>1304</v>
      </c>
      <c r="BO776" s="28">
        <f t="shared" si="77"/>
        <v>6475</v>
      </c>
      <c r="BP776" s="28">
        <f t="shared" si="78"/>
        <v>77700</v>
      </c>
    </row>
    <row r="777" spans="22:68" x14ac:dyDescent="0.25">
      <c r="V777" s="178"/>
      <c r="W777" s="174"/>
      <c r="X777" s="179"/>
      <c r="Y777" s="247"/>
      <c r="Z777" s="248"/>
      <c r="AA777" s="294" t="str">
        <f t="shared" ref="AA777:AA840" si="85">IFERROR(INDEX($AU$8:$AU$23,MATCH(V777,$AT$8:$AT$23,0)),"")</f>
        <v/>
      </c>
      <c r="AB777" s="219" t="str">
        <f t="shared" si="83"/>
        <v/>
      </c>
      <c r="AC777" s="219">
        <f t="shared" ref="AC777:AC840" si="86">IFERROR(IF(AB777&gt;=AA777,0,IF(AA777&gt;AB777,SLN(Y777,Z777,AA777),0)),"")</f>
        <v>0</v>
      </c>
      <c r="AD777" s="219">
        <f t="shared" ref="AD777:AD840" si="87">AE777-AC777</f>
        <v>0</v>
      </c>
      <c r="AE777" s="220">
        <f t="shared" ref="AE777:AE840" si="88">IFERROR(IF(OR(AA777=0,AA777=""),
     0,
     IF(AB777&gt;=AA777,
          +Y777,
          (+AC777*AB777))),
"")</f>
        <v>0</v>
      </c>
      <c r="AF777" s="221">
        <f t="shared" ref="AF777:AF840" si="89">IFERROR(IF(AE777&gt;Y777,0,(+Y777-AE777))-Z777,"")</f>
        <v>0</v>
      </c>
      <c r="AG777" s="204"/>
      <c r="AH777" s="178"/>
      <c r="AI777" s="174"/>
      <c r="AJ777" s="179"/>
      <c r="AK777" s="247"/>
      <c r="AL777" s="248"/>
      <c r="AM777" s="294" t="str">
        <f t="shared" si="79"/>
        <v/>
      </c>
      <c r="AN777" s="219" t="str">
        <f t="shared" si="84"/>
        <v/>
      </c>
      <c r="AO777" s="219">
        <f t="shared" si="80"/>
        <v>0</v>
      </c>
      <c r="AP777" s="219">
        <f t="shared" ref="AP777:AP840" si="90">AQ777-AO777</f>
        <v>0</v>
      </c>
      <c r="AQ777" s="220">
        <f t="shared" si="81"/>
        <v>0</v>
      </c>
      <c r="AR777" s="221">
        <f t="shared" si="82"/>
        <v>0</v>
      </c>
      <c r="AY777" s="628"/>
      <c r="AZ777" s="470">
        <v>0.75</v>
      </c>
      <c r="BA777" s="466">
        <v>9529392825</v>
      </c>
      <c r="BB777" s="211">
        <v>822</v>
      </c>
      <c r="BC777" s="211">
        <v>571</v>
      </c>
      <c r="BD777" s="211">
        <v>445</v>
      </c>
      <c r="BE777" s="211">
        <v>1034</v>
      </c>
      <c r="BF777" s="211">
        <v>3639</v>
      </c>
      <c r="BG777" s="211">
        <v>2409</v>
      </c>
      <c r="BH777" s="211">
        <v>4057</v>
      </c>
      <c r="BI777" s="211">
        <v>4481</v>
      </c>
      <c r="BJ777" s="211">
        <v>3550</v>
      </c>
      <c r="BK777" s="211">
        <v>1849</v>
      </c>
      <c r="BL777" s="211">
        <v>401</v>
      </c>
      <c r="BM777" s="211">
        <v>410</v>
      </c>
      <c r="BO777" s="28">
        <f t="shared" ref="BO777:BO840" si="91">AVERAGE(BB777:BM777)</f>
        <v>1972.3333333333333</v>
      </c>
      <c r="BP777" s="28">
        <f t="shared" ref="BP777:BP840" si="92">SUM(BB777:BM777)</f>
        <v>23668</v>
      </c>
    </row>
    <row r="778" spans="22:68" x14ac:dyDescent="0.25">
      <c r="V778" s="178"/>
      <c r="W778" s="174"/>
      <c r="X778" s="179"/>
      <c r="Y778" s="247"/>
      <c r="Z778" s="248"/>
      <c r="AA778" s="294" t="str">
        <f t="shared" si="85"/>
        <v/>
      </c>
      <c r="AB778" s="219" t="str">
        <f t="shared" si="83"/>
        <v/>
      </c>
      <c r="AC778" s="219">
        <f t="shared" si="86"/>
        <v>0</v>
      </c>
      <c r="AD778" s="219">
        <f t="shared" si="87"/>
        <v>0</v>
      </c>
      <c r="AE778" s="220">
        <f t="shared" si="88"/>
        <v>0</v>
      </c>
      <c r="AF778" s="221">
        <f t="shared" si="89"/>
        <v>0</v>
      </c>
      <c r="AG778" s="204"/>
      <c r="AH778" s="178"/>
      <c r="AI778" s="174"/>
      <c r="AJ778" s="179"/>
      <c r="AK778" s="247"/>
      <c r="AL778" s="248"/>
      <c r="AM778" s="294" t="str">
        <f t="shared" si="79"/>
        <v/>
      </c>
      <c r="AN778" s="219" t="str">
        <f t="shared" si="84"/>
        <v/>
      </c>
      <c r="AO778" s="219">
        <f t="shared" si="80"/>
        <v>0</v>
      </c>
      <c r="AP778" s="219">
        <f t="shared" si="90"/>
        <v>0</v>
      </c>
      <c r="AQ778" s="220">
        <f t="shared" si="81"/>
        <v>0</v>
      </c>
      <c r="AR778" s="221">
        <f t="shared" si="82"/>
        <v>0</v>
      </c>
      <c r="AY778" s="628"/>
      <c r="AZ778" s="470">
        <v>0.75</v>
      </c>
      <c r="BA778" s="466">
        <v>9545931941</v>
      </c>
      <c r="BB778" s="211">
        <v>332</v>
      </c>
      <c r="BC778" s="211">
        <v>235</v>
      </c>
      <c r="BD778" s="211">
        <v>176</v>
      </c>
      <c r="BE778" s="211">
        <v>263</v>
      </c>
      <c r="BF778" s="211">
        <v>230</v>
      </c>
      <c r="BG778" s="211">
        <v>189</v>
      </c>
      <c r="BH778" s="211">
        <v>834</v>
      </c>
      <c r="BI778" s="211">
        <v>1872</v>
      </c>
      <c r="BJ778" s="211">
        <v>553</v>
      </c>
      <c r="BK778" s="211">
        <v>1520</v>
      </c>
      <c r="BL778" s="211">
        <v>180</v>
      </c>
      <c r="BM778" s="211">
        <v>145</v>
      </c>
      <c r="BO778" s="28">
        <f t="shared" si="91"/>
        <v>544.08333333333337</v>
      </c>
      <c r="BP778" s="28">
        <f t="shared" si="92"/>
        <v>6529</v>
      </c>
    </row>
    <row r="779" spans="22:68" x14ac:dyDescent="0.25">
      <c r="V779" s="178"/>
      <c r="W779" s="174"/>
      <c r="X779" s="179"/>
      <c r="Y779" s="247"/>
      <c r="Z779" s="248"/>
      <c r="AA779" s="294" t="str">
        <f t="shared" si="85"/>
        <v/>
      </c>
      <c r="AB779" s="219" t="str">
        <f t="shared" si="83"/>
        <v/>
      </c>
      <c r="AC779" s="219">
        <f t="shared" si="86"/>
        <v>0</v>
      </c>
      <c r="AD779" s="219">
        <f t="shared" si="87"/>
        <v>0</v>
      </c>
      <c r="AE779" s="220">
        <f t="shared" si="88"/>
        <v>0</v>
      </c>
      <c r="AF779" s="221">
        <f t="shared" si="89"/>
        <v>0</v>
      </c>
      <c r="AG779" s="204"/>
      <c r="AH779" s="178"/>
      <c r="AI779" s="174"/>
      <c r="AJ779" s="179"/>
      <c r="AK779" s="247"/>
      <c r="AL779" s="248"/>
      <c r="AM779" s="294" t="str">
        <f t="shared" si="79"/>
        <v/>
      </c>
      <c r="AN779" s="219" t="str">
        <f t="shared" si="84"/>
        <v/>
      </c>
      <c r="AO779" s="219">
        <f t="shared" si="80"/>
        <v>0</v>
      </c>
      <c r="AP779" s="219">
        <f t="shared" si="90"/>
        <v>0</v>
      </c>
      <c r="AQ779" s="220">
        <f t="shared" si="81"/>
        <v>0</v>
      </c>
      <c r="AR779" s="221">
        <f t="shared" si="82"/>
        <v>0</v>
      </c>
      <c r="AY779" s="628"/>
      <c r="AZ779" s="470">
        <v>0.75</v>
      </c>
      <c r="BA779" s="466">
        <v>9548285149</v>
      </c>
      <c r="BB779" s="211">
        <v>584</v>
      </c>
      <c r="BC779" s="211">
        <v>304</v>
      </c>
      <c r="BD779" s="211">
        <v>399</v>
      </c>
      <c r="BE779" s="211">
        <v>421</v>
      </c>
      <c r="BF779" s="211">
        <v>646</v>
      </c>
      <c r="BG779" s="211">
        <v>436</v>
      </c>
      <c r="BH779" s="211">
        <v>642</v>
      </c>
      <c r="BI779" s="211">
        <v>415</v>
      </c>
      <c r="BJ779" s="211">
        <v>477</v>
      </c>
      <c r="BK779" s="211">
        <v>324</v>
      </c>
      <c r="BL779" s="211">
        <v>523</v>
      </c>
      <c r="BM779" s="211">
        <v>456</v>
      </c>
      <c r="BO779" s="28">
        <f t="shared" si="91"/>
        <v>468.91666666666669</v>
      </c>
      <c r="BP779" s="28">
        <f t="shared" si="92"/>
        <v>5627</v>
      </c>
    </row>
    <row r="780" spans="22:68" x14ac:dyDescent="0.25">
      <c r="V780" s="178"/>
      <c r="W780" s="174"/>
      <c r="X780" s="179"/>
      <c r="Y780" s="247"/>
      <c r="Z780" s="248"/>
      <c r="AA780" s="294" t="str">
        <f t="shared" si="85"/>
        <v/>
      </c>
      <c r="AB780" s="219" t="str">
        <f t="shared" si="83"/>
        <v/>
      </c>
      <c r="AC780" s="219">
        <f t="shared" si="86"/>
        <v>0</v>
      </c>
      <c r="AD780" s="219">
        <f t="shared" si="87"/>
        <v>0</v>
      </c>
      <c r="AE780" s="220">
        <f t="shared" si="88"/>
        <v>0</v>
      </c>
      <c r="AF780" s="221">
        <f t="shared" si="89"/>
        <v>0</v>
      </c>
      <c r="AG780" s="204"/>
      <c r="AH780" s="178"/>
      <c r="AI780" s="174"/>
      <c r="AJ780" s="179"/>
      <c r="AK780" s="247"/>
      <c r="AL780" s="248"/>
      <c r="AM780" s="294" t="str">
        <f t="shared" ref="AM780:AM843" si="93">IFERROR(INDEX($AU$8:$AU$23,MATCH(AH780,$AT$8:$AT$23,0)),"")</f>
        <v/>
      </c>
      <c r="AN780" s="219" t="str">
        <f t="shared" si="84"/>
        <v/>
      </c>
      <c r="AO780" s="219">
        <f t="shared" ref="AO780:AO843" si="94">IFERROR(IF(AN780&gt;=AM780,0,IF(AM780&gt;AN780,SLN(AK780,AL780,AM780),0)),"")</f>
        <v>0</v>
      </c>
      <c r="AP780" s="219">
        <f t="shared" si="90"/>
        <v>0</v>
      </c>
      <c r="AQ780" s="220">
        <f t="shared" ref="AQ780:AQ843" si="95">IFERROR(IF(OR(AM780=0,AM780=""),
     0,
     IF(AN780&gt;=AM780,
          +AK780,
          (+AO780*AN780))),
"")</f>
        <v>0</v>
      </c>
      <c r="AR780" s="221">
        <f t="shared" ref="AR780:AR843" si="96">IFERROR(IF(AQ780&gt;AK780,0,(+AK780-AQ780))-AL780,"")</f>
        <v>0</v>
      </c>
      <c r="AY780" s="628"/>
      <c r="AZ780" s="470">
        <v>0.75</v>
      </c>
      <c r="BA780" s="466">
        <v>9552598714</v>
      </c>
      <c r="BB780" s="211">
        <v>351</v>
      </c>
      <c r="BC780" s="211">
        <v>277</v>
      </c>
      <c r="BD780" s="211">
        <v>308</v>
      </c>
      <c r="BE780" s="211">
        <v>347</v>
      </c>
      <c r="BF780" s="211">
        <v>340</v>
      </c>
      <c r="BG780" s="211">
        <v>1244</v>
      </c>
      <c r="BH780" s="211">
        <v>3564</v>
      </c>
      <c r="BI780" s="211">
        <v>3633</v>
      </c>
      <c r="BJ780" s="211">
        <v>2701</v>
      </c>
      <c r="BK780" s="211">
        <v>378</v>
      </c>
      <c r="BL780" s="211">
        <v>290</v>
      </c>
      <c r="BM780" s="211">
        <v>371</v>
      </c>
      <c r="BO780" s="28">
        <f t="shared" si="91"/>
        <v>1150.3333333333333</v>
      </c>
      <c r="BP780" s="28">
        <f t="shared" si="92"/>
        <v>13804</v>
      </c>
    </row>
    <row r="781" spans="22:68" x14ac:dyDescent="0.25">
      <c r="V781" s="178"/>
      <c r="W781" s="174"/>
      <c r="X781" s="179"/>
      <c r="Y781" s="247"/>
      <c r="Z781" s="248"/>
      <c r="AA781" s="294" t="str">
        <f t="shared" si="85"/>
        <v/>
      </c>
      <c r="AB781" s="219" t="str">
        <f t="shared" si="83"/>
        <v/>
      </c>
      <c r="AC781" s="219">
        <f t="shared" si="86"/>
        <v>0</v>
      </c>
      <c r="AD781" s="219">
        <f t="shared" si="87"/>
        <v>0</v>
      </c>
      <c r="AE781" s="220">
        <f t="shared" si="88"/>
        <v>0</v>
      </c>
      <c r="AF781" s="221">
        <f t="shared" si="89"/>
        <v>0</v>
      </c>
      <c r="AG781" s="204"/>
      <c r="AH781" s="178"/>
      <c r="AI781" s="174"/>
      <c r="AJ781" s="179"/>
      <c r="AK781" s="247"/>
      <c r="AL781" s="248"/>
      <c r="AM781" s="294" t="str">
        <f t="shared" si="93"/>
        <v/>
      </c>
      <c r="AN781" s="219" t="str">
        <f t="shared" si="84"/>
        <v/>
      </c>
      <c r="AO781" s="219">
        <f t="shared" si="94"/>
        <v>0</v>
      </c>
      <c r="AP781" s="219">
        <f t="shared" si="90"/>
        <v>0</v>
      </c>
      <c r="AQ781" s="220">
        <f t="shared" si="95"/>
        <v>0</v>
      </c>
      <c r="AR781" s="221">
        <f t="shared" si="96"/>
        <v>0</v>
      </c>
      <c r="AY781" s="628"/>
      <c r="AZ781" s="470">
        <v>0.75</v>
      </c>
      <c r="BA781" s="466">
        <v>9557902971</v>
      </c>
      <c r="BB781" s="211">
        <v>3087</v>
      </c>
      <c r="BC781" s="211">
        <v>679</v>
      </c>
      <c r="BD781" s="211">
        <v>604</v>
      </c>
      <c r="BE781" s="211">
        <v>570</v>
      </c>
      <c r="BF781" s="211">
        <v>355</v>
      </c>
      <c r="BG781" s="211">
        <v>860</v>
      </c>
      <c r="BH781" s="211">
        <v>320</v>
      </c>
      <c r="BI781" s="211">
        <v>270</v>
      </c>
      <c r="BJ781" s="211">
        <v>214</v>
      </c>
      <c r="BK781" s="211">
        <v>113</v>
      </c>
      <c r="BL781" s="211">
        <v>227</v>
      </c>
      <c r="BM781" s="211">
        <v>296</v>
      </c>
      <c r="BO781" s="28">
        <f t="shared" si="91"/>
        <v>632.91666666666663</v>
      </c>
      <c r="BP781" s="28">
        <f t="shared" si="92"/>
        <v>7595</v>
      </c>
    </row>
    <row r="782" spans="22:68" x14ac:dyDescent="0.25">
      <c r="V782" s="178"/>
      <c r="W782" s="174"/>
      <c r="X782" s="179"/>
      <c r="Y782" s="247"/>
      <c r="Z782" s="248"/>
      <c r="AA782" s="294" t="str">
        <f t="shared" si="85"/>
        <v/>
      </c>
      <c r="AB782" s="219" t="str">
        <f t="shared" si="83"/>
        <v/>
      </c>
      <c r="AC782" s="219">
        <f t="shared" si="86"/>
        <v>0</v>
      </c>
      <c r="AD782" s="219">
        <f t="shared" si="87"/>
        <v>0</v>
      </c>
      <c r="AE782" s="220">
        <f t="shared" si="88"/>
        <v>0</v>
      </c>
      <c r="AF782" s="221">
        <f t="shared" si="89"/>
        <v>0</v>
      </c>
      <c r="AG782" s="204"/>
      <c r="AH782" s="178"/>
      <c r="AI782" s="174"/>
      <c r="AJ782" s="179"/>
      <c r="AK782" s="247"/>
      <c r="AL782" s="248"/>
      <c r="AM782" s="294" t="str">
        <f t="shared" si="93"/>
        <v/>
      </c>
      <c r="AN782" s="219" t="str">
        <f t="shared" si="84"/>
        <v/>
      </c>
      <c r="AO782" s="219">
        <f t="shared" si="94"/>
        <v>0</v>
      </c>
      <c r="AP782" s="219">
        <f t="shared" si="90"/>
        <v>0</v>
      </c>
      <c r="AQ782" s="220">
        <f t="shared" si="95"/>
        <v>0</v>
      </c>
      <c r="AR782" s="221">
        <f t="shared" si="96"/>
        <v>0</v>
      </c>
      <c r="AY782" s="628"/>
      <c r="AZ782" s="470">
        <v>1.5</v>
      </c>
      <c r="BA782" s="466">
        <v>9565223845</v>
      </c>
      <c r="BB782" s="211">
        <v>2734</v>
      </c>
      <c r="BC782" s="211">
        <v>3164</v>
      </c>
      <c r="BD782" s="211">
        <v>3451</v>
      </c>
      <c r="BE782" s="211">
        <v>3428</v>
      </c>
      <c r="BF782" s="211">
        <v>3350</v>
      </c>
      <c r="BG782" s="211">
        <v>3258</v>
      </c>
      <c r="BH782" s="211">
        <v>3260</v>
      </c>
      <c r="BI782" s="211">
        <v>3808</v>
      </c>
      <c r="BJ782" s="211">
        <v>3709</v>
      </c>
      <c r="BK782" s="211">
        <v>3793</v>
      </c>
      <c r="BL782" s="211">
        <v>3978</v>
      </c>
      <c r="BM782" s="211">
        <v>6497</v>
      </c>
      <c r="BO782" s="28">
        <f t="shared" si="91"/>
        <v>3702.5</v>
      </c>
      <c r="BP782" s="28">
        <f t="shared" si="92"/>
        <v>44430</v>
      </c>
    </row>
    <row r="783" spans="22:68" x14ac:dyDescent="0.25">
      <c r="V783" s="178"/>
      <c r="W783" s="174"/>
      <c r="X783" s="179"/>
      <c r="Y783" s="247"/>
      <c r="Z783" s="248"/>
      <c r="AA783" s="294" t="str">
        <f t="shared" si="85"/>
        <v/>
      </c>
      <c r="AB783" s="219" t="str">
        <f t="shared" si="83"/>
        <v/>
      </c>
      <c r="AC783" s="219">
        <f t="shared" si="86"/>
        <v>0</v>
      </c>
      <c r="AD783" s="219">
        <f t="shared" si="87"/>
        <v>0</v>
      </c>
      <c r="AE783" s="220">
        <f t="shared" si="88"/>
        <v>0</v>
      </c>
      <c r="AF783" s="221">
        <f t="shared" si="89"/>
        <v>0</v>
      </c>
      <c r="AG783" s="204"/>
      <c r="AH783" s="178"/>
      <c r="AI783" s="174"/>
      <c r="AJ783" s="179"/>
      <c r="AK783" s="247"/>
      <c r="AL783" s="248"/>
      <c r="AM783" s="294" t="str">
        <f t="shared" si="93"/>
        <v/>
      </c>
      <c r="AN783" s="219" t="str">
        <f t="shared" si="84"/>
        <v/>
      </c>
      <c r="AO783" s="219">
        <f t="shared" si="94"/>
        <v>0</v>
      </c>
      <c r="AP783" s="219">
        <f t="shared" si="90"/>
        <v>0</v>
      </c>
      <c r="AQ783" s="220">
        <f t="shared" si="95"/>
        <v>0</v>
      </c>
      <c r="AR783" s="221">
        <f t="shared" si="96"/>
        <v>0</v>
      </c>
      <c r="AY783" s="628"/>
      <c r="AZ783" s="470">
        <v>0.75</v>
      </c>
      <c r="BA783" s="466">
        <v>9601658220</v>
      </c>
      <c r="BB783" s="211">
        <v>610</v>
      </c>
      <c r="BC783" s="211">
        <v>293</v>
      </c>
      <c r="BD783" s="211">
        <v>293</v>
      </c>
      <c r="BE783" s="211">
        <v>393</v>
      </c>
      <c r="BF783" s="211">
        <v>321</v>
      </c>
      <c r="BG783" s="211">
        <v>352</v>
      </c>
      <c r="BH783" s="211">
        <v>522</v>
      </c>
      <c r="BI783" s="211">
        <v>1060</v>
      </c>
      <c r="BJ783" s="211">
        <v>582</v>
      </c>
      <c r="BK783" s="211">
        <v>311</v>
      </c>
      <c r="BL783" s="211">
        <v>237</v>
      </c>
      <c r="BM783" s="211">
        <v>337</v>
      </c>
      <c r="BO783" s="28">
        <f t="shared" si="91"/>
        <v>442.58333333333331</v>
      </c>
      <c r="BP783" s="28">
        <f t="shared" si="92"/>
        <v>5311</v>
      </c>
    </row>
    <row r="784" spans="22:68" x14ac:dyDescent="0.25">
      <c r="V784" s="178"/>
      <c r="W784" s="174"/>
      <c r="X784" s="179"/>
      <c r="Y784" s="247"/>
      <c r="Z784" s="248"/>
      <c r="AA784" s="294" t="str">
        <f t="shared" si="85"/>
        <v/>
      </c>
      <c r="AB784" s="219" t="str">
        <f t="shared" si="83"/>
        <v/>
      </c>
      <c r="AC784" s="219">
        <f t="shared" si="86"/>
        <v>0</v>
      </c>
      <c r="AD784" s="219">
        <f t="shared" si="87"/>
        <v>0</v>
      </c>
      <c r="AE784" s="220">
        <f t="shared" si="88"/>
        <v>0</v>
      </c>
      <c r="AF784" s="221">
        <f t="shared" si="89"/>
        <v>0</v>
      </c>
      <c r="AG784" s="204"/>
      <c r="AH784" s="178"/>
      <c r="AI784" s="174"/>
      <c r="AJ784" s="179"/>
      <c r="AK784" s="247"/>
      <c r="AL784" s="248"/>
      <c r="AM784" s="294" t="str">
        <f t="shared" si="93"/>
        <v/>
      </c>
      <c r="AN784" s="219" t="str">
        <f t="shared" si="84"/>
        <v/>
      </c>
      <c r="AO784" s="219">
        <f t="shared" si="94"/>
        <v>0</v>
      </c>
      <c r="AP784" s="219">
        <f t="shared" si="90"/>
        <v>0</v>
      </c>
      <c r="AQ784" s="220">
        <f t="shared" si="95"/>
        <v>0</v>
      </c>
      <c r="AR784" s="221">
        <f t="shared" si="96"/>
        <v>0</v>
      </c>
      <c r="AY784" s="628"/>
      <c r="AZ784" s="470">
        <v>0.625</v>
      </c>
      <c r="BA784" s="466">
        <v>9616440220</v>
      </c>
      <c r="BB784" s="211">
        <v>1</v>
      </c>
      <c r="BC784" s="211">
        <v>110</v>
      </c>
      <c r="BD784" s="211">
        <v>168</v>
      </c>
      <c r="BE784" s="211">
        <v>848</v>
      </c>
      <c r="BF784" s="211">
        <v>6385</v>
      </c>
      <c r="BG784" s="211">
        <v>6600</v>
      </c>
      <c r="BH784" s="211">
        <v>7583</v>
      </c>
      <c r="BI784" s="211">
        <v>6444</v>
      </c>
      <c r="BJ784" s="211">
        <v>4253</v>
      </c>
      <c r="BK784" s="211">
        <v>152</v>
      </c>
      <c r="BL784" s="211">
        <v>95</v>
      </c>
      <c r="BM784" s="211">
        <v>112</v>
      </c>
      <c r="BO784" s="28">
        <f t="shared" si="91"/>
        <v>2729.25</v>
      </c>
      <c r="BP784" s="28">
        <f t="shared" si="92"/>
        <v>32751</v>
      </c>
    </row>
    <row r="785" spans="22:68" x14ac:dyDescent="0.25">
      <c r="V785" s="178"/>
      <c r="W785" s="174"/>
      <c r="X785" s="179"/>
      <c r="Y785" s="247"/>
      <c r="Z785" s="248"/>
      <c r="AA785" s="294" t="str">
        <f t="shared" si="85"/>
        <v/>
      </c>
      <c r="AB785" s="219" t="str">
        <f t="shared" si="83"/>
        <v/>
      </c>
      <c r="AC785" s="219">
        <f t="shared" si="86"/>
        <v>0</v>
      </c>
      <c r="AD785" s="219">
        <f t="shared" si="87"/>
        <v>0</v>
      </c>
      <c r="AE785" s="220">
        <f t="shared" si="88"/>
        <v>0</v>
      </c>
      <c r="AF785" s="221">
        <f t="shared" si="89"/>
        <v>0</v>
      </c>
      <c r="AG785" s="204"/>
      <c r="AH785" s="178"/>
      <c r="AI785" s="174"/>
      <c r="AJ785" s="179"/>
      <c r="AK785" s="247"/>
      <c r="AL785" s="248"/>
      <c r="AM785" s="294" t="str">
        <f t="shared" si="93"/>
        <v/>
      </c>
      <c r="AN785" s="219" t="str">
        <f t="shared" si="84"/>
        <v/>
      </c>
      <c r="AO785" s="219">
        <f t="shared" si="94"/>
        <v>0</v>
      </c>
      <c r="AP785" s="219">
        <f t="shared" si="90"/>
        <v>0</v>
      </c>
      <c r="AQ785" s="220">
        <f t="shared" si="95"/>
        <v>0</v>
      </c>
      <c r="AR785" s="221">
        <f t="shared" si="96"/>
        <v>0</v>
      </c>
      <c r="AY785" s="628"/>
      <c r="AZ785" s="470">
        <v>0.75</v>
      </c>
      <c r="BA785" s="466">
        <v>9640255727</v>
      </c>
      <c r="BB785" s="211">
        <v>385</v>
      </c>
      <c r="BC785" s="211">
        <v>339</v>
      </c>
      <c r="BD785" s="211">
        <v>425</v>
      </c>
      <c r="BE785" s="211">
        <v>527</v>
      </c>
      <c r="BF785" s="211">
        <v>449</v>
      </c>
      <c r="BG785" s="211">
        <v>1176</v>
      </c>
      <c r="BH785" s="211">
        <v>2644</v>
      </c>
      <c r="BI785" s="211">
        <v>1936</v>
      </c>
      <c r="BJ785" s="211">
        <v>1499</v>
      </c>
      <c r="BK785" s="211">
        <v>940</v>
      </c>
      <c r="BL785" s="211">
        <v>64</v>
      </c>
      <c r="BM785" s="211">
        <v>337</v>
      </c>
      <c r="BO785" s="28">
        <f t="shared" si="91"/>
        <v>893.41666666666663</v>
      </c>
      <c r="BP785" s="28">
        <f t="shared" si="92"/>
        <v>10721</v>
      </c>
    </row>
    <row r="786" spans="22:68" x14ac:dyDescent="0.25">
      <c r="V786" s="178"/>
      <c r="W786" s="174"/>
      <c r="X786" s="179"/>
      <c r="Y786" s="247"/>
      <c r="Z786" s="248"/>
      <c r="AA786" s="294" t="str">
        <f t="shared" si="85"/>
        <v/>
      </c>
      <c r="AB786" s="219" t="str">
        <f t="shared" si="83"/>
        <v/>
      </c>
      <c r="AC786" s="219">
        <f t="shared" si="86"/>
        <v>0</v>
      </c>
      <c r="AD786" s="219">
        <f t="shared" si="87"/>
        <v>0</v>
      </c>
      <c r="AE786" s="220">
        <f t="shared" si="88"/>
        <v>0</v>
      </c>
      <c r="AF786" s="221">
        <f t="shared" si="89"/>
        <v>0</v>
      </c>
      <c r="AG786" s="204"/>
      <c r="AH786" s="178"/>
      <c r="AI786" s="174"/>
      <c r="AJ786" s="179"/>
      <c r="AK786" s="247"/>
      <c r="AL786" s="248"/>
      <c r="AM786" s="294" t="str">
        <f t="shared" si="93"/>
        <v/>
      </c>
      <c r="AN786" s="219" t="str">
        <f t="shared" si="84"/>
        <v/>
      </c>
      <c r="AO786" s="219">
        <f t="shared" si="94"/>
        <v>0</v>
      </c>
      <c r="AP786" s="219">
        <f t="shared" si="90"/>
        <v>0</v>
      </c>
      <c r="AQ786" s="220">
        <f t="shared" si="95"/>
        <v>0</v>
      </c>
      <c r="AR786" s="221">
        <f t="shared" si="96"/>
        <v>0</v>
      </c>
      <c r="AY786" s="628"/>
      <c r="AZ786" s="470">
        <v>0.75</v>
      </c>
      <c r="BA786" s="466">
        <v>9652400679</v>
      </c>
      <c r="BB786" s="211">
        <v>178</v>
      </c>
      <c r="BC786" s="211">
        <v>182</v>
      </c>
      <c r="BD786" s="211">
        <v>220</v>
      </c>
      <c r="BE786" s="211">
        <v>257</v>
      </c>
      <c r="BF786" s="211">
        <v>302</v>
      </c>
      <c r="BG786" s="211">
        <v>295</v>
      </c>
      <c r="BH786" s="211">
        <v>342</v>
      </c>
      <c r="BI786" s="211">
        <v>192</v>
      </c>
      <c r="BJ786" s="211">
        <v>417</v>
      </c>
      <c r="BK786" s="211">
        <v>182</v>
      </c>
      <c r="BL786" s="211">
        <v>222</v>
      </c>
      <c r="BM786" s="211">
        <v>350</v>
      </c>
      <c r="BO786" s="28">
        <f t="shared" si="91"/>
        <v>261.58333333333331</v>
      </c>
      <c r="BP786" s="28">
        <f t="shared" si="92"/>
        <v>3139</v>
      </c>
    </row>
    <row r="787" spans="22:68" x14ac:dyDescent="0.25">
      <c r="V787" s="178"/>
      <c r="W787" s="174"/>
      <c r="X787" s="179"/>
      <c r="Y787" s="247"/>
      <c r="Z787" s="248"/>
      <c r="AA787" s="294" t="str">
        <f t="shared" si="85"/>
        <v/>
      </c>
      <c r="AB787" s="219" t="str">
        <f t="shared" si="83"/>
        <v/>
      </c>
      <c r="AC787" s="219">
        <f t="shared" si="86"/>
        <v>0</v>
      </c>
      <c r="AD787" s="219">
        <f t="shared" si="87"/>
        <v>0</v>
      </c>
      <c r="AE787" s="220">
        <f t="shared" si="88"/>
        <v>0</v>
      </c>
      <c r="AF787" s="221">
        <f t="shared" si="89"/>
        <v>0</v>
      </c>
      <c r="AG787" s="204"/>
      <c r="AH787" s="178"/>
      <c r="AI787" s="174"/>
      <c r="AJ787" s="179"/>
      <c r="AK787" s="247"/>
      <c r="AL787" s="248"/>
      <c r="AM787" s="294" t="str">
        <f t="shared" si="93"/>
        <v/>
      </c>
      <c r="AN787" s="219" t="str">
        <f t="shared" si="84"/>
        <v/>
      </c>
      <c r="AO787" s="219">
        <f t="shared" si="94"/>
        <v>0</v>
      </c>
      <c r="AP787" s="219">
        <f t="shared" si="90"/>
        <v>0</v>
      </c>
      <c r="AQ787" s="220">
        <f t="shared" si="95"/>
        <v>0</v>
      </c>
      <c r="AR787" s="221">
        <f t="shared" si="96"/>
        <v>0</v>
      </c>
      <c r="AY787" s="628"/>
      <c r="AZ787" s="470">
        <v>0.625</v>
      </c>
      <c r="BA787" s="466">
        <v>9653109562</v>
      </c>
      <c r="BB787" s="211">
        <v>393</v>
      </c>
      <c r="BC787" s="211">
        <v>1482</v>
      </c>
      <c r="BD787" s="211">
        <v>571</v>
      </c>
      <c r="BE787" s="211">
        <v>599</v>
      </c>
      <c r="BF787" s="211">
        <v>976</v>
      </c>
      <c r="BG787" s="211">
        <v>656</v>
      </c>
      <c r="BH787" s="211">
        <v>1416</v>
      </c>
      <c r="BI787" s="211">
        <v>892</v>
      </c>
      <c r="BJ787" s="211" t="s">
        <v>655</v>
      </c>
      <c r="BK787" s="211">
        <v>475</v>
      </c>
      <c r="BL787" s="211">
        <v>1681</v>
      </c>
      <c r="BM787" s="211">
        <v>494</v>
      </c>
      <c r="BO787" s="28">
        <f t="shared" si="91"/>
        <v>875.90909090909088</v>
      </c>
      <c r="BP787" s="28">
        <f t="shared" si="92"/>
        <v>9635</v>
      </c>
    </row>
    <row r="788" spans="22:68" x14ac:dyDescent="0.25">
      <c r="V788" s="178"/>
      <c r="W788" s="174"/>
      <c r="X788" s="179"/>
      <c r="Y788" s="247"/>
      <c r="Z788" s="248"/>
      <c r="AA788" s="294" t="str">
        <f t="shared" si="85"/>
        <v/>
      </c>
      <c r="AB788" s="219" t="str">
        <f t="shared" si="83"/>
        <v/>
      </c>
      <c r="AC788" s="219">
        <f t="shared" si="86"/>
        <v>0</v>
      </c>
      <c r="AD788" s="219">
        <f t="shared" si="87"/>
        <v>0</v>
      </c>
      <c r="AE788" s="220">
        <f t="shared" si="88"/>
        <v>0</v>
      </c>
      <c r="AF788" s="221">
        <f t="shared" si="89"/>
        <v>0</v>
      </c>
      <c r="AG788" s="204"/>
      <c r="AH788" s="178"/>
      <c r="AI788" s="174"/>
      <c r="AJ788" s="179"/>
      <c r="AK788" s="247"/>
      <c r="AL788" s="248"/>
      <c r="AM788" s="294" t="str">
        <f t="shared" si="93"/>
        <v/>
      </c>
      <c r="AN788" s="219" t="str">
        <f t="shared" si="84"/>
        <v/>
      </c>
      <c r="AO788" s="219">
        <f t="shared" si="94"/>
        <v>0</v>
      </c>
      <c r="AP788" s="219">
        <f t="shared" si="90"/>
        <v>0</v>
      </c>
      <c r="AQ788" s="220">
        <f t="shared" si="95"/>
        <v>0</v>
      </c>
      <c r="AR788" s="221">
        <f t="shared" si="96"/>
        <v>0</v>
      </c>
      <c r="AY788" s="628"/>
      <c r="AZ788" s="470">
        <v>0.75</v>
      </c>
      <c r="BA788" s="466">
        <v>9661691753</v>
      </c>
      <c r="BB788" s="211" t="s">
        <v>655</v>
      </c>
      <c r="BC788" s="211" t="s">
        <v>655</v>
      </c>
      <c r="BD788" s="211" t="s">
        <v>655</v>
      </c>
      <c r="BE788" s="211">
        <v>637</v>
      </c>
      <c r="BF788" s="211">
        <v>236</v>
      </c>
      <c r="BG788" s="211">
        <v>355</v>
      </c>
      <c r="BH788" s="211">
        <v>1092</v>
      </c>
      <c r="BI788" s="211">
        <v>702</v>
      </c>
      <c r="BJ788" s="211">
        <v>144</v>
      </c>
      <c r="BK788" s="211">
        <v>249</v>
      </c>
      <c r="BL788" s="211">
        <v>198</v>
      </c>
      <c r="BM788" s="211">
        <v>238</v>
      </c>
      <c r="BO788" s="28">
        <f t="shared" si="91"/>
        <v>427.88888888888891</v>
      </c>
      <c r="BP788" s="28">
        <f t="shared" si="92"/>
        <v>3851</v>
      </c>
    </row>
    <row r="789" spans="22:68" x14ac:dyDescent="0.25">
      <c r="V789" s="178"/>
      <c r="W789" s="174"/>
      <c r="X789" s="179"/>
      <c r="Y789" s="247"/>
      <c r="Z789" s="248"/>
      <c r="AA789" s="294" t="str">
        <f t="shared" si="85"/>
        <v/>
      </c>
      <c r="AB789" s="219" t="str">
        <f t="shared" si="83"/>
        <v/>
      </c>
      <c r="AC789" s="219">
        <f t="shared" si="86"/>
        <v>0</v>
      </c>
      <c r="AD789" s="219">
        <f t="shared" si="87"/>
        <v>0</v>
      </c>
      <c r="AE789" s="220">
        <f t="shared" si="88"/>
        <v>0</v>
      </c>
      <c r="AF789" s="221">
        <f t="shared" si="89"/>
        <v>0</v>
      </c>
      <c r="AG789" s="204"/>
      <c r="AH789" s="178"/>
      <c r="AI789" s="174"/>
      <c r="AJ789" s="179"/>
      <c r="AK789" s="247"/>
      <c r="AL789" s="248"/>
      <c r="AM789" s="294" t="str">
        <f t="shared" si="93"/>
        <v/>
      </c>
      <c r="AN789" s="219" t="str">
        <f t="shared" si="84"/>
        <v/>
      </c>
      <c r="AO789" s="219">
        <f t="shared" si="94"/>
        <v>0</v>
      </c>
      <c r="AP789" s="219">
        <f t="shared" si="90"/>
        <v>0</v>
      </c>
      <c r="AQ789" s="220">
        <f t="shared" si="95"/>
        <v>0</v>
      </c>
      <c r="AR789" s="221">
        <f t="shared" si="96"/>
        <v>0</v>
      </c>
      <c r="AY789" s="628"/>
      <c r="AZ789" s="470">
        <v>0.625</v>
      </c>
      <c r="BA789" s="466">
        <v>9681200722</v>
      </c>
      <c r="BB789" s="211">
        <v>205</v>
      </c>
      <c r="BC789" s="211">
        <v>306</v>
      </c>
      <c r="BD789" s="211">
        <v>422</v>
      </c>
      <c r="BE789" s="211">
        <v>549</v>
      </c>
      <c r="BF789" s="211">
        <v>683</v>
      </c>
      <c r="BG789" s="211">
        <v>615</v>
      </c>
      <c r="BH789" s="211">
        <v>1616</v>
      </c>
      <c r="BI789" s="211">
        <v>1525</v>
      </c>
      <c r="BJ789" s="211">
        <v>949</v>
      </c>
      <c r="BK789" s="211">
        <v>388</v>
      </c>
      <c r="BL789" s="211">
        <v>272</v>
      </c>
      <c r="BM789" s="211">
        <v>442</v>
      </c>
      <c r="BO789" s="28">
        <f t="shared" si="91"/>
        <v>664.33333333333337</v>
      </c>
      <c r="BP789" s="28">
        <f t="shared" si="92"/>
        <v>7972</v>
      </c>
    </row>
    <row r="790" spans="22:68" x14ac:dyDescent="0.25">
      <c r="V790" s="178"/>
      <c r="W790" s="174"/>
      <c r="X790" s="179"/>
      <c r="Y790" s="247"/>
      <c r="Z790" s="248"/>
      <c r="AA790" s="294" t="str">
        <f t="shared" si="85"/>
        <v/>
      </c>
      <c r="AB790" s="219" t="str">
        <f t="shared" si="83"/>
        <v/>
      </c>
      <c r="AC790" s="219">
        <f t="shared" si="86"/>
        <v>0</v>
      </c>
      <c r="AD790" s="219">
        <f t="shared" si="87"/>
        <v>0</v>
      </c>
      <c r="AE790" s="220">
        <f t="shared" si="88"/>
        <v>0</v>
      </c>
      <c r="AF790" s="221">
        <f t="shared" si="89"/>
        <v>0</v>
      </c>
      <c r="AG790" s="204"/>
      <c r="AH790" s="178"/>
      <c r="AI790" s="174"/>
      <c r="AJ790" s="179"/>
      <c r="AK790" s="247"/>
      <c r="AL790" s="248"/>
      <c r="AM790" s="294" t="str">
        <f t="shared" si="93"/>
        <v/>
      </c>
      <c r="AN790" s="219" t="str">
        <f t="shared" si="84"/>
        <v/>
      </c>
      <c r="AO790" s="219">
        <f t="shared" si="94"/>
        <v>0</v>
      </c>
      <c r="AP790" s="219">
        <f t="shared" si="90"/>
        <v>0</v>
      </c>
      <c r="AQ790" s="220">
        <f t="shared" si="95"/>
        <v>0</v>
      </c>
      <c r="AR790" s="221">
        <f t="shared" si="96"/>
        <v>0</v>
      </c>
      <c r="AY790" s="628"/>
      <c r="AZ790" s="470">
        <v>0.625</v>
      </c>
      <c r="BA790" s="466">
        <v>9682299936</v>
      </c>
      <c r="BB790" s="211">
        <v>725</v>
      </c>
      <c r="BC790" s="211">
        <v>865</v>
      </c>
      <c r="BD790" s="211">
        <v>977</v>
      </c>
      <c r="BE790" s="211">
        <v>1063</v>
      </c>
      <c r="BF790" s="211">
        <v>816</v>
      </c>
      <c r="BG790" s="211">
        <v>915</v>
      </c>
      <c r="BH790" s="211" t="s">
        <v>655</v>
      </c>
      <c r="BI790" s="211" t="s">
        <v>655</v>
      </c>
      <c r="BJ790" s="211" t="s">
        <v>655</v>
      </c>
      <c r="BK790" s="211" t="s">
        <v>655</v>
      </c>
      <c r="BL790" s="211">
        <v>7761</v>
      </c>
      <c r="BM790" s="211">
        <v>1634</v>
      </c>
      <c r="BO790" s="28">
        <f t="shared" si="91"/>
        <v>1844.5</v>
      </c>
      <c r="BP790" s="28">
        <f t="shared" si="92"/>
        <v>14756</v>
      </c>
    </row>
    <row r="791" spans="22:68" x14ac:dyDescent="0.25">
      <c r="V791" s="178"/>
      <c r="W791" s="174"/>
      <c r="X791" s="179"/>
      <c r="Y791" s="247"/>
      <c r="Z791" s="248"/>
      <c r="AA791" s="294" t="str">
        <f t="shared" si="85"/>
        <v/>
      </c>
      <c r="AB791" s="219" t="str">
        <f t="shared" si="83"/>
        <v/>
      </c>
      <c r="AC791" s="219">
        <f t="shared" si="86"/>
        <v>0</v>
      </c>
      <c r="AD791" s="219">
        <f t="shared" si="87"/>
        <v>0</v>
      </c>
      <c r="AE791" s="220">
        <f t="shared" si="88"/>
        <v>0</v>
      </c>
      <c r="AF791" s="221">
        <f t="shared" si="89"/>
        <v>0</v>
      </c>
      <c r="AG791" s="204"/>
      <c r="AH791" s="178"/>
      <c r="AI791" s="174"/>
      <c r="AJ791" s="179"/>
      <c r="AK791" s="247"/>
      <c r="AL791" s="248"/>
      <c r="AM791" s="294" t="str">
        <f t="shared" si="93"/>
        <v/>
      </c>
      <c r="AN791" s="219" t="str">
        <f t="shared" si="84"/>
        <v/>
      </c>
      <c r="AO791" s="219">
        <f t="shared" si="94"/>
        <v>0</v>
      </c>
      <c r="AP791" s="219">
        <f t="shared" si="90"/>
        <v>0</v>
      </c>
      <c r="AQ791" s="220">
        <f t="shared" si="95"/>
        <v>0</v>
      </c>
      <c r="AR791" s="221">
        <f t="shared" si="96"/>
        <v>0</v>
      </c>
      <c r="AY791" s="628"/>
      <c r="AZ791" s="470">
        <v>0.75</v>
      </c>
      <c r="BA791" s="466">
        <v>9686340428</v>
      </c>
      <c r="BB791" s="211">
        <v>490</v>
      </c>
      <c r="BC791" s="211">
        <v>542</v>
      </c>
      <c r="BD791" s="211">
        <v>624</v>
      </c>
      <c r="BE791" s="211">
        <v>662</v>
      </c>
      <c r="BF791" s="211">
        <v>610</v>
      </c>
      <c r="BG791" s="211">
        <v>661</v>
      </c>
      <c r="BH791" s="211">
        <v>617</v>
      </c>
      <c r="BI791" s="211">
        <v>656</v>
      </c>
      <c r="BJ791" s="211">
        <v>720</v>
      </c>
      <c r="BK791" s="211">
        <v>549</v>
      </c>
      <c r="BL791" s="211">
        <v>530</v>
      </c>
      <c r="BM791" s="211">
        <v>603</v>
      </c>
      <c r="BO791" s="28">
        <f t="shared" si="91"/>
        <v>605.33333333333337</v>
      </c>
      <c r="BP791" s="28">
        <f t="shared" si="92"/>
        <v>7264</v>
      </c>
    </row>
    <row r="792" spans="22:68" x14ac:dyDescent="0.25">
      <c r="V792" s="178"/>
      <c r="W792" s="174"/>
      <c r="X792" s="179"/>
      <c r="Y792" s="247"/>
      <c r="Z792" s="248"/>
      <c r="AA792" s="294" t="str">
        <f t="shared" si="85"/>
        <v/>
      </c>
      <c r="AB792" s="219" t="str">
        <f t="shared" si="83"/>
        <v/>
      </c>
      <c r="AC792" s="219">
        <f t="shared" si="86"/>
        <v>0</v>
      </c>
      <c r="AD792" s="219">
        <f t="shared" si="87"/>
        <v>0</v>
      </c>
      <c r="AE792" s="220">
        <f t="shared" si="88"/>
        <v>0</v>
      </c>
      <c r="AF792" s="221">
        <f t="shared" si="89"/>
        <v>0</v>
      </c>
      <c r="AG792" s="204"/>
      <c r="AH792" s="178"/>
      <c r="AI792" s="174"/>
      <c r="AJ792" s="179"/>
      <c r="AK792" s="247"/>
      <c r="AL792" s="248"/>
      <c r="AM792" s="294" t="str">
        <f t="shared" si="93"/>
        <v/>
      </c>
      <c r="AN792" s="219" t="str">
        <f t="shared" si="84"/>
        <v/>
      </c>
      <c r="AO792" s="219">
        <f t="shared" si="94"/>
        <v>0</v>
      </c>
      <c r="AP792" s="219">
        <f t="shared" si="90"/>
        <v>0</v>
      </c>
      <c r="AQ792" s="220">
        <f t="shared" si="95"/>
        <v>0</v>
      </c>
      <c r="AR792" s="221">
        <f t="shared" si="96"/>
        <v>0</v>
      </c>
      <c r="AY792" s="628"/>
      <c r="AZ792" s="470">
        <v>0.75</v>
      </c>
      <c r="BA792" s="466">
        <v>9692203260</v>
      </c>
      <c r="BB792" s="211">
        <v>405</v>
      </c>
      <c r="BC792" s="211">
        <v>176</v>
      </c>
      <c r="BD792" s="211">
        <v>104</v>
      </c>
      <c r="BE792" s="211">
        <v>136</v>
      </c>
      <c r="BF792" s="211">
        <v>602</v>
      </c>
      <c r="BG792" s="211">
        <v>438</v>
      </c>
      <c r="BH792" s="211">
        <v>4467</v>
      </c>
      <c r="BI792" s="211">
        <v>2339</v>
      </c>
      <c r="BJ792" s="211">
        <v>1541</v>
      </c>
      <c r="BK792" s="211">
        <v>296</v>
      </c>
      <c r="BL792" s="211">
        <v>250</v>
      </c>
      <c r="BM792" s="211">
        <v>260</v>
      </c>
      <c r="BO792" s="28">
        <f t="shared" si="91"/>
        <v>917.83333333333337</v>
      </c>
      <c r="BP792" s="28">
        <f t="shared" si="92"/>
        <v>11014</v>
      </c>
    </row>
    <row r="793" spans="22:68" x14ac:dyDescent="0.25">
      <c r="V793" s="178"/>
      <c r="W793" s="174"/>
      <c r="X793" s="179"/>
      <c r="Y793" s="247"/>
      <c r="Z793" s="248"/>
      <c r="AA793" s="294" t="str">
        <f t="shared" si="85"/>
        <v/>
      </c>
      <c r="AB793" s="219" t="str">
        <f t="shared" si="83"/>
        <v/>
      </c>
      <c r="AC793" s="219">
        <f t="shared" si="86"/>
        <v>0</v>
      </c>
      <c r="AD793" s="219">
        <f t="shared" si="87"/>
        <v>0</v>
      </c>
      <c r="AE793" s="220">
        <f t="shared" si="88"/>
        <v>0</v>
      </c>
      <c r="AF793" s="221">
        <f t="shared" si="89"/>
        <v>0</v>
      </c>
      <c r="AG793" s="204"/>
      <c r="AH793" s="178"/>
      <c r="AI793" s="174"/>
      <c r="AJ793" s="179"/>
      <c r="AK793" s="247"/>
      <c r="AL793" s="248"/>
      <c r="AM793" s="294" t="str">
        <f t="shared" si="93"/>
        <v/>
      </c>
      <c r="AN793" s="219" t="str">
        <f t="shared" si="84"/>
        <v/>
      </c>
      <c r="AO793" s="219">
        <f t="shared" si="94"/>
        <v>0</v>
      </c>
      <c r="AP793" s="219">
        <f t="shared" si="90"/>
        <v>0</v>
      </c>
      <c r="AQ793" s="220">
        <f t="shared" si="95"/>
        <v>0</v>
      </c>
      <c r="AR793" s="221">
        <f t="shared" si="96"/>
        <v>0</v>
      </c>
      <c r="AY793" s="628"/>
      <c r="AZ793" s="470">
        <v>0.75</v>
      </c>
      <c r="BA793" s="466">
        <v>9712796455</v>
      </c>
      <c r="BB793" s="211">
        <v>242</v>
      </c>
      <c r="BC793" s="211">
        <v>145</v>
      </c>
      <c r="BD793" s="211">
        <v>220</v>
      </c>
      <c r="BE793" s="211">
        <v>227</v>
      </c>
      <c r="BF793" s="211">
        <v>603</v>
      </c>
      <c r="BG793" s="211">
        <v>774</v>
      </c>
      <c r="BH793" s="211">
        <v>3098</v>
      </c>
      <c r="BI793" s="211">
        <v>3334</v>
      </c>
      <c r="BJ793" s="211">
        <v>1715</v>
      </c>
      <c r="BK793" s="211">
        <v>102</v>
      </c>
      <c r="BL793" s="211">
        <v>88</v>
      </c>
      <c r="BM793" s="211">
        <v>156</v>
      </c>
      <c r="BO793" s="28">
        <f t="shared" si="91"/>
        <v>892</v>
      </c>
      <c r="BP793" s="28">
        <f t="shared" si="92"/>
        <v>10704</v>
      </c>
    </row>
    <row r="794" spans="22:68" x14ac:dyDescent="0.25">
      <c r="V794" s="178"/>
      <c r="W794" s="174"/>
      <c r="X794" s="179"/>
      <c r="Y794" s="247"/>
      <c r="Z794" s="248"/>
      <c r="AA794" s="294" t="str">
        <f t="shared" si="85"/>
        <v/>
      </c>
      <c r="AB794" s="219" t="str">
        <f t="shared" si="83"/>
        <v/>
      </c>
      <c r="AC794" s="219">
        <f t="shared" si="86"/>
        <v>0</v>
      </c>
      <c r="AD794" s="219">
        <f t="shared" si="87"/>
        <v>0</v>
      </c>
      <c r="AE794" s="220">
        <f t="shared" si="88"/>
        <v>0</v>
      </c>
      <c r="AF794" s="221">
        <f t="shared" si="89"/>
        <v>0</v>
      </c>
      <c r="AG794" s="204"/>
      <c r="AH794" s="178"/>
      <c r="AI794" s="174"/>
      <c r="AJ794" s="179"/>
      <c r="AK794" s="247"/>
      <c r="AL794" s="248"/>
      <c r="AM794" s="294" t="str">
        <f t="shared" si="93"/>
        <v/>
      </c>
      <c r="AN794" s="219" t="str">
        <f t="shared" si="84"/>
        <v/>
      </c>
      <c r="AO794" s="219">
        <f t="shared" si="94"/>
        <v>0</v>
      </c>
      <c r="AP794" s="219">
        <f t="shared" si="90"/>
        <v>0</v>
      </c>
      <c r="AQ794" s="220">
        <f t="shared" si="95"/>
        <v>0</v>
      </c>
      <c r="AR794" s="221">
        <f t="shared" si="96"/>
        <v>0</v>
      </c>
      <c r="AY794" s="628"/>
      <c r="AZ794" s="470">
        <v>0.625</v>
      </c>
      <c r="BA794" s="466">
        <v>9743919479</v>
      </c>
      <c r="BB794" s="211">
        <v>609</v>
      </c>
      <c r="BC794" s="211">
        <v>500</v>
      </c>
      <c r="BD794" s="211">
        <v>599</v>
      </c>
      <c r="BE794" s="211">
        <v>582</v>
      </c>
      <c r="BF794" s="211">
        <v>685</v>
      </c>
      <c r="BG794" s="211">
        <v>585</v>
      </c>
      <c r="BH794" s="211">
        <v>822</v>
      </c>
      <c r="BI794" s="211">
        <v>604</v>
      </c>
      <c r="BJ794" s="211">
        <v>675</v>
      </c>
      <c r="BK794" s="211">
        <v>506</v>
      </c>
      <c r="BL794" s="211">
        <v>448</v>
      </c>
      <c r="BM794" s="211">
        <v>600</v>
      </c>
      <c r="BO794" s="28">
        <f t="shared" si="91"/>
        <v>601.25</v>
      </c>
      <c r="BP794" s="28">
        <f t="shared" si="92"/>
        <v>7215</v>
      </c>
    </row>
    <row r="795" spans="22:68" x14ac:dyDescent="0.25">
      <c r="V795" s="178"/>
      <c r="W795" s="174"/>
      <c r="X795" s="179"/>
      <c r="Y795" s="247"/>
      <c r="Z795" s="248"/>
      <c r="AA795" s="294" t="str">
        <f t="shared" si="85"/>
        <v/>
      </c>
      <c r="AB795" s="219" t="str">
        <f t="shared" si="83"/>
        <v/>
      </c>
      <c r="AC795" s="219">
        <f t="shared" si="86"/>
        <v>0</v>
      </c>
      <c r="AD795" s="219">
        <f t="shared" si="87"/>
        <v>0</v>
      </c>
      <c r="AE795" s="220">
        <f t="shared" si="88"/>
        <v>0</v>
      </c>
      <c r="AF795" s="221">
        <f t="shared" si="89"/>
        <v>0</v>
      </c>
      <c r="AG795" s="204"/>
      <c r="AH795" s="178"/>
      <c r="AI795" s="174"/>
      <c r="AJ795" s="179"/>
      <c r="AK795" s="247"/>
      <c r="AL795" s="248"/>
      <c r="AM795" s="294" t="str">
        <f t="shared" si="93"/>
        <v/>
      </c>
      <c r="AN795" s="219" t="str">
        <f t="shared" si="84"/>
        <v/>
      </c>
      <c r="AO795" s="219">
        <f t="shared" si="94"/>
        <v>0</v>
      </c>
      <c r="AP795" s="219">
        <f t="shared" si="90"/>
        <v>0</v>
      </c>
      <c r="AQ795" s="220">
        <f t="shared" si="95"/>
        <v>0</v>
      </c>
      <c r="AR795" s="221">
        <f t="shared" si="96"/>
        <v>0</v>
      </c>
      <c r="AY795" s="628"/>
      <c r="AZ795" s="470">
        <v>0.625</v>
      </c>
      <c r="BA795" s="466">
        <v>9768262221</v>
      </c>
      <c r="BB795" s="211">
        <v>490</v>
      </c>
      <c r="BC795" s="211">
        <v>320</v>
      </c>
      <c r="BD795" s="211">
        <v>252</v>
      </c>
      <c r="BE795" s="211">
        <v>361</v>
      </c>
      <c r="BF795" s="211">
        <v>956</v>
      </c>
      <c r="BG795" s="211">
        <v>1270</v>
      </c>
      <c r="BH795" s="211">
        <v>3425</v>
      </c>
      <c r="BI795" s="211">
        <v>314</v>
      </c>
      <c r="BJ795" s="211">
        <v>5738</v>
      </c>
      <c r="BK795" s="211">
        <v>587</v>
      </c>
      <c r="BL795" s="211">
        <v>75</v>
      </c>
      <c r="BM795" s="211">
        <v>375</v>
      </c>
      <c r="BO795" s="28">
        <f t="shared" si="91"/>
        <v>1180.25</v>
      </c>
      <c r="BP795" s="28">
        <f t="shared" si="92"/>
        <v>14163</v>
      </c>
    </row>
    <row r="796" spans="22:68" x14ac:dyDescent="0.25">
      <c r="V796" s="178"/>
      <c r="W796" s="174"/>
      <c r="X796" s="179"/>
      <c r="Y796" s="247"/>
      <c r="Z796" s="248"/>
      <c r="AA796" s="294" t="str">
        <f t="shared" si="85"/>
        <v/>
      </c>
      <c r="AB796" s="219" t="str">
        <f t="shared" si="83"/>
        <v/>
      </c>
      <c r="AC796" s="219">
        <f t="shared" si="86"/>
        <v>0</v>
      </c>
      <c r="AD796" s="219">
        <f t="shared" si="87"/>
        <v>0</v>
      </c>
      <c r="AE796" s="220">
        <f t="shared" si="88"/>
        <v>0</v>
      </c>
      <c r="AF796" s="221">
        <f t="shared" si="89"/>
        <v>0</v>
      </c>
      <c r="AG796" s="204"/>
      <c r="AH796" s="178"/>
      <c r="AI796" s="174"/>
      <c r="AJ796" s="179"/>
      <c r="AK796" s="247"/>
      <c r="AL796" s="248"/>
      <c r="AM796" s="294" t="str">
        <f t="shared" si="93"/>
        <v/>
      </c>
      <c r="AN796" s="219" t="str">
        <f t="shared" si="84"/>
        <v/>
      </c>
      <c r="AO796" s="219">
        <f t="shared" si="94"/>
        <v>0</v>
      </c>
      <c r="AP796" s="219">
        <f t="shared" si="90"/>
        <v>0</v>
      </c>
      <c r="AQ796" s="220">
        <f t="shared" si="95"/>
        <v>0</v>
      </c>
      <c r="AR796" s="221">
        <f t="shared" si="96"/>
        <v>0</v>
      </c>
      <c r="AY796" s="628"/>
      <c r="AZ796" s="470">
        <v>0.75</v>
      </c>
      <c r="BA796" s="466">
        <v>9773809371</v>
      </c>
      <c r="BB796" s="211">
        <v>232</v>
      </c>
      <c r="BC796" s="211">
        <v>204</v>
      </c>
      <c r="BD796" s="211">
        <v>244</v>
      </c>
      <c r="BE796" s="211">
        <v>262</v>
      </c>
      <c r="BF796" s="211">
        <v>229</v>
      </c>
      <c r="BG796" s="211">
        <v>426</v>
      </c>
      <c r="BH796" s="211">
        <v>601</v>
      </c>
      <c r="BI796" s="211">
        <v>798</v>
      </c>
      <c r="BJ796" s="211">
        <v>1217</v>
      </c>
      <c r="BK796" s="211">
        <v>132</v>
      </c>
      <c r="BL796" s="211">
        <v>250</v>
      </c>
      <c r="BM796" s="211">
        <v>186</v>
      </c>
      <c r="BO796" s="28">
        <f t="shared" si="91"/>
        <v>398.41666666666669</v>
      </c>
      <c r="BP796" s="28">
        <f t="shared" si="92"/>
        <v>4781</v>
      </c>
    </row>
    <row r="797" spans="22:68" x14ac:dyDescent="0.25">
      <c r="V797" s="178"/>
      <c r="W797" s="174"/>
      <c r="X797" s="179"/>
      <c r="Y797" s="247"/>
      <c r="Z797" s="248"/>
      <c r="AA797" s="294" t="str">
        <f t="shared" si="85"/>
        <v/>
      </c>
      <c r="AB797" s="219" t="str">
        <f t="shared" si="83"/>
        <v/>
      </c>
      <c r="AC797" s="219">
        <f t="shared" si="86"/>
        <v>0</v>
      </c>
      <c r="AD797" s="219">
        <f t="shared" si="87"/>
        <v>0</v>
      </c>
      <c r="AE797" s="220">
        <f t="shared" si="88"/>
        <v>0</v>
      </c>
      <c r="AF797" s="221">
        <f t="shared" si="89"/>
        <v>0</v>
      </c>
      <c r="AG797" s="204"/>
      <c r="AH797" s="178"/>
      <c r="AI797" s="174"/>
      <c r="AJ797" s="179"/>
      <c r="AK797" s="247"/>
      <c r="AL797" s="248"/>
      <c r="AM797" s="294" t="str">
        <f t="shared" si="93"/>
        <v/>
      </c>
      <c r="AN797" s="219" t="str">
        <f t="shared" si="84"/>
        <v/>
      </c>
      <c r="AO797" s="219">
        <f t="shared" si="94"/>
        <v>0</v>
      </c>
      <c r="AP797" s="219">
        <f t="shared" si="90"/>
        <v>0</v>
      </c>
      <c r="AQ797" s="220">
        <f t="shared" si="95"/>
        <v>0</v>
      </c>
      <c r="AR797" s="221">
        <f t="shared" si="96"/>
        <v>0</v>
      </c>
      <c r="AY797" s="628"/>
      <c r="AZ797" s="470">
        <v>0.625</v>
      </c>
      <c r="BA797" s="466">
        <v>9774834299</v>
      </c>
      <c r="BB797" s="211">
        <v>141</v>
      </c>
      <c r="BC797" s="211">
        <v>130</v>
      </c>
      <c r="BD797" s="211">
        <v>139</v>
      </c>
      <c r="BE797" s="211" t="s">
        <v>655</v>
      </c>
      <c r="BF797" s="211" t="s">
        <v>655</v>
      </c>
      <c r="BG797" s="211" t="s">
        <v>655</v>
      </c>
      <c r="BH797" s="211" t="s">
        <v>655</v>
      </c>
      <c r="BI797" s="211" t="s">
        <v>655</v>
      </c>
      <c r="BJ797" s="211">
        <v>269</v>
      </c>
      <c r="BK797" s="211">
        <v>269</v>
      </c>
      <c r="BL797" s="211">
        <v>547</v>
      </c>
      <c r="BM797" s="211">
        <v>199</v>
      </c>
      <c r="BO797" s="28">
        <f t="shared" si="91"/>
        <v>242</v>
      </c>
      <c r="BP797" s="28">
        <f t="shared" si="92"/>
        <v>1694</v>
      </c>
    </row>
    <row r="798" spans="22:68" x14ac:dyDescent="0.25">
      <c r="V798" s="178"/>
      <c r="W798" s="174"/>
      <c r="X798" s="179"/>
      <c r="Y798" s="247"/>
      <c r="Z798" s="248"/>
      <c r="AA798" s="294" t="str">
        <f t="shared" si="85"/>
        <v/>
      </c>
      <c r="AB798" s="219" t="str">
        <f t="shared" si="83"/>
        <v/>
      </c>
      <c r="AC798" s="219">
        <f t="shared" si="86"/>
        <v>0</v>
      </c>
      <c r="AD798" s="219">
        <f t="shared" si="87"/>
        <v>0</v>
      </c>
      <c r="AE798" s="220">
        <f t="shared" si="88"/>
        <v>0</v>
      </c>
      <c r="AF798" s="221">
        <f t="shared" si="89"/>
        <v>0</v>
      </c>
      <c r="AG798" s="204"/>
      <c r="AH798" s="178"/>
      <c r="AI798" s="174"/>
      <c r="AJ798" s="179"/>
      <c r="AK798" s="247"/>
      <c r="AL798" s="248"/>
      <c r="AM798" s="294" t="str">
        <f t="shared" si="93"/>
        <v/>
      </c>
      <c r="AN798" s="219" t="str">
        <f t="shared" si="84"/>
        <v/>
      </c>
      <c r="AO798" s="219">
        <f t="shared" si="94"/>
        <v>0</v>
      </c>
      <c r="AP798" s="219">
        <f t="shared" si="90"/>
        <v>0</v>
      </c>
      <c r="AQ798" s="220">
        <f t="shared" si="95"/>
        <v>0</v>
      </c>
      <c r="AR798" s="221">
        <f t="shared" si="96"/>
        <v>0</v>
      </c>
      <c r="AY798" s="628"/>
      <c r="AZ798" s="470">
        <v>1.5</v>
      </c>
      <c r="BA798" s="466">
        <v>9776348040</v>
      </c>
      <c r="BB798" s="211">
        <v>8221</v>
      </c>
      <c r="BC798" s="211">
        <v>8169</v>
      </c>
      <c r="BD798" s="211">
        <v>8350</v>
      </c>
      <c r="BE798" s="211">
        <v>8296</v>
      </c>
      <c r="BF798" s="211">
        <v>5302</v>
      </c>
      <c r="BG798" s="211">
        <v>9009</v>
      </c>
      <c r="BH798" s="211">
        <v>7963</v>
      </c>
      <c r="BI798" s="211">
        <v>7377</v>
      </c>
      <c r="BJ798" s="211">
        <v>11678</v>
      </c>
      <c r="BK798" s="211">
        <v>8832</v>
      </c>
      <c r="BL798" s="211">
        <v>7613</v>
      </c>
      <c r="BM798" s="211">
        <v>8233</v>
      </c>
      <c r="BO798" s="28">
        <f t="shared" si="91"/>
        <v>8253.5833333333339</v>
      </c>
      <c r="BP798" s="28">
        <f t="shared" si="92"/>
        <v>99043</v>
      </c>
    </row>
    <row r="799" spans="22:68" x14ac:dyDescent="0.25">
      <c r="V799" s="178"/>
      <c r="W799" s="174"/>
      <c r="X799" s="179"/>
      <c r="Y799" s="247"/>
      <c r="Z799" s="248"/>
      <c r="AA799" s="294" t="str">
        <f t="shared" si="85"/>
        <v/>
      </c>
      <c r="AB799" s="219" t="str">
        <f t="shared" si="83"/>
        <v/>
      </c>
      <c r="AC799" s="219">
        <f t="shared" si="86"/>
        <v>0</v>
      </c>
      <c r="AD799" s="219">
        <f t="shared" si="87"/>
        <v>0</v>
      </c>
      <c r="AE799" s="220">
        <f t="shared" si="88"/>
        <v>0</v>
      </c>
      <c r="AF799" s="221">
        <f t="shared" si="89"/>
        <v>0</v>
      </c>
      <c r="AG799" s="204"/>
      <c r="AH799" s="178"/>
      <c r="AI799" s="174"/>
      <c r="AJ799" s="179"/>
      <c r="AK799" s="247"/>
      <c r="AL799" s="248"/>
      <c r="AM799" s="294" t="str">
        <f t="shared" si="93"/>
        <v/>
      </c>
      <c r="AN799" s="219" t="str">
        <f t="shared" si="84"/>
        <v/>
      </c>
      <c r="AO799" s="219">
        <f t="shared" si="94"/>
        <v>0</v>
      </c>
      <c r="AP799" s="219">
        <f t="shared" si="90"/>
        <v>0</v>
      </c>
      <c r="AQ799" s="220">
        <f t="shared" si="95"/>
        <v>0</v>
      </c>
      <c r="AR799" s="221">
        <f t="shared" si="96"/>
        <v>0</v>
      </c>
      <c r="AY799" s="628"/>
      <c r="AZ799" s="470">
        <v>0.75</v>
      </c>
      <c r="BA799" s="466">
        <v>9781760291</v>
      </c>
      <c r="BB799" s="211">
        <v>46</v>
      </c>
      <c r="BC799" s="211">
        <v>8</v>
      </c>
      <c r="BD799" s="211">
        <v>65</v>
      </c>
      <c r="BE799" s="211">
        <v>25</v>
      </c>
      <c r="BF799" s="211">
        <v>255</v>
      </c>
      <c r="BG799" s="211">
        <v>988</v>
      </c>
      <c r="BH799" s="211">
        <v>1534</v>
      </c>
      <c r="BI799" s="211">
        <v>1328</v>
      </c>
      <c r="BJ799" s="211">
        <v>1628</v>
      </c>
      <c r="BK799" s="211">
        <v>574</v>
      </c>
      <c r="BL799" s="211">
        <v>190</v>
      </c>
      <c r="BM799" s="211">
        <v>288</v>
      </c>
      <c r="BO799" s="28">
        <f t="shared" si="91"/>
        <v>577.41666666666663</v>
      </c>
      <c r="BP799" s="28">
        <f t="shared" si="92"/>
        <v>6929</v>
      </c>
    </row>
    <row r="800" spans="22:68" x14ac:dyDescent="0.25">
      <c r="V800" s="178"/>
      <c r="W800" s="174"/>
      <c r="X800" s="179"/>
      <c r="Y800" s="247"/>
      <c r="Z800" s="248"/>
      <c r="AA800" s="294" t="str">
        <f t="shared" si="85"/>
        <v/>
      </c>
      <c r="AB800" s="219" t="str">
        <f t="shared" si="83"/>
        <v/>
      </c>
      <c r="AC800" s="219">
        <f t="shared" si="86"/>
        <v>0</v>
      </c>
      <c r="AD800" s="219">
        <f t="shared" si="87"/>
        <v>0</v>
      </c>
      <c r="AE800" s="220">
        <f t="shared" si="88"/>
        <v>0</v>
      </c>
      <c r="AF800" s="221">
        <f t="shared" si="89"/>
        <v>0</v>
      </c>
      <c r="AG800" s="204"/>
      <c r="AH800" s="178"/>
      <c r="AI800" s="174"/>
      <c r="AJ800" s="179"/>
      <c r="AK800" s="247"/>
      <c r="AL800" s="248"/>
      <c r="AM800" s="294" t="str">
        <f t="shared" si="93"/>
        <v/>
      </c>
      <c r="AN800" s="219" t="str">
        <f t="shared" si="84"/>
        <v/>
      </c>
      <c r="AO800" s="219">
        <f t="shared" si="94"/>
        <v>0</v>
      </c>
      <c r="AP800" s="219">
        <f t="shared" si="90"/>
        <v>0</v>
      </c>
      <c r="AQ800" s="220">
        <f t="shared" si="95"/>
        <v>0</v>
      </c>
      <c r="AR800" s="221">
        <f t="shared" si="96"/>
        <v>0</v>
      </c>
      <c r="AY800" s="628"/>
      <c r="AZ800" s="470">
        <v>1</v>
      </c>
      <c r="BA800" s="466">
        <v>9808061666</v>
      </c>
      <c r="BB800" s="211">
        <v>38</v>
      </c>
      <c r="BC800" s="211">
        <v>109</v>
      </c>
      <c r="BD800" s="211">
        <v>23</v>
      </c>
      <c r="BE800" s="211" t="s">
        <v>655</v>
      </c>
      <c r="BF800" s="211" t="s">
        <v>655</v>
      </c>
      <c r="BG800" s="211">
        <v>716</v>
      </c>
      <c r="BH800" s="211">
        <v>202</v>
      </c>
      <c r="BI800" s="211">
        <v>263</v>
      </c>
      <c r="BJ800" s="211">
        <v>2809</v>
      </c>
      <c r="BK800" s="211">
        <v>944</v>
      </c>
      <c r="BL800" s="211">
        <v>180</v>
      </c>
      <c r="BM800" s="211">
        <v>1190</v>
      </c>
      <c r="BO800" s="28">
        <f t="shared" si="91"/>
        <v>647.4</v>
      </c>
      <c r="BP800" s="28">
        <f t="shared" si="92"/>
        <v>6474</v>
      </c>
    </row>
    <row r="801" spans="22:68" x14ac:dyDescent="0.25">
      <c r="V801" s="178"/>
      <c r="W801" s="174"/>
      <c r="X801" s="179"/>
      <c r="Y801" s="247"/>
      <c r="Z801" s="248"/>
      <c r="AA801" s="294" t="str">
        <f t="shared" si="85"/>
        <v/>
      </c>
      <c r="AB801" s="219" t="str">
        <f t="shared" si="83"/>
        <v/>
      </c>
      <c r="AC801" s="219">
        <f t="shared" si="86"/>
        <v>0</v>
      </c>
      <c r="AD801" s="219">
        <f t="shared" si="87"/>
        <v>0</v>
      </c>
      <c r="AE801" s="220">
        <f t="shared" si="88"/>
        <v>0</v>
      </c>
      <c r="AF801" s="221">
        <f t="shared" si="89"/>
        <v>0</v>
      </c>
      <c r="AG801" s="204"/>
      <c r="AH801" s="178"/>
      <c r="AI801" s="174"/>
      <c r="AJ801" s="179"/>
      <c r="AK801" s="247"/>
      <c r="AL801" s="248"/>
      <c r="AM801" s="294" t="str">
        <f t="shared" si="93"/>
        <v/>
      </c>
      <c r="AN801" s="219" t="str">
        <f t="shared" si="84"/>
        <v/>
      </c>
      <c r="AO801" s="219">
        <f t="shared" si="94"/>
        <v>0</v>
      </c>
      <c r="AP801" s="219">
        <f t="shared" si="90"/>
        <v>0</v>
      </c>
      <c r="AQ801" s="220">
        <f t="shared" si="95"/>
        <v>0</v>
      </c>
      <c r="AR801" s="221">
        <f t="shared" si="96"/>
        <v>0</v>
      </c>
      <c r="AY801" s="628"/>
      <c r="AZ801" s="470">
        <v>0.75</v>
      </c>
      <c r="BA801" s="466">
        <v>9811779715</v>
      </c>
      <c r="BB801" s="211">
        <v>593</v>
      </c>
      <c r="BC801" s="211">
        <v>532</v>
      </c>
      <c r="BD801" s="211">
        <v>739</v>
      </c>
      <c r="BE801" s="211">
        <v>564</v>
      </c>
      <c r="BF801" s="211" t="s">
        <v>655</v>
      </c>
      <c r="BG801" s="211" t="s">
        <v>655</v>
      </c>
      <c r="BH801" s="211" t="s">
        <v>655</v>
      </c>
      <c r="BI801" s="211" t="s">
        <v>655</v>
      </c>
      <c r="BJ801" s="211" t="s">
        <v>655</v>
      </c>
      <c r="BK801" s="211" t="s">
        <v>655</v>
      </c>
      <c r="BL801" s="211" t="s">
        <v>655</v>
      </c>
      <c r="BM801" s="211" t="s">
        <v>655</v>
      </c>
      <c r="BO801" s="28">
        <f t="shared" si="91"/>
        <v>607</v>
      </c>
      <c r="BP801" s="28">
        <f t="shared" si="92"/>
        <v>2428</v>
      </c>
    </row>
    <row r="802" spans="22:68" x14ac:dyDescent="0.25">
      <c r="V802" s="178"/>
      <c r="W802" s="174"/>
      <c r="X802" s="179"/>
      <c r="Y802" s="247"/>
      <c r="Z802" s="248"/>
      <c r="AA802" s="294" t="str">
        <f t="shared" si="85"/>
        <v/>
      </c>
      <c r="AB802" s="219" t="str">
        <f t="shared" si="83"/>
        <v/>
      </c>
      <c r="AC802" s="219">
        <f t="shared" si="86"/>
        <v>0</v>
      </c>
      <c r="AD802" s="219">
        <f t="shared" si="87"/>
        <v>0</v>
      </c>
      <c r="AE802" s="220">
        <f t="shared" si="88"/>
        <v>0</v>
      </c>
      <c r="AF802" s="221">
        <f t="shared" si="89"/>
        <v>0</v>
      </c>
      <c r="AG802" s="204"/>
      <c r="AH802" s="178"/>
      <c r="AI802" s="174"/>
      <c r="AJ802" s="179"/>
      <c r="AK802" s="247"/>
      <c r="AL802" s="248"/>
      <c r="AM802" s="294" t="str">
        <f t="shared" si="93"/>
        <v/>
      </c>
      <c r="AN802" s="219" t="str">
        <f t="shared" si="84"/>
        <v/>
      </c>
      <c r="AO802" s="219">
        <f t="shared" si="94"/>
        <v>0</v>
      </c>
      <c r="AP802" s="219">
        <f t="shared" si="90"/>
        <v>0</v>
      </c>
      <c r="AQ802" s="220">
        <f t="shared" si="95"/>
        <v>0</v>
      </c>
      <c r="AR802" s="221">
        <f t="shared" si="96"/>
        <v>0</v>
      </c>
      <c r="AY802" s="628"/>
      <c r="AZ802" s="470">
        <v>0.75</v>
      </c>
      <c r="BA802" s="466">
        <v>9822617646</v>
      </c>
      <c r="BB802" s="211">
        <v>591</v>
      </c>
      <c r="BC802" s="211">
        <v>537</v>
      </c>
      <c r="BD802" s="211">
        <v>595</v>
      </c>
      <c r="BE802" s="211">
        <v>1013</v>
      </c>
      <c r="BF802" s="211">
        <v>787</v>
      </c>
      <c r="BG802" s="211">
        <v>601</v>
      </c>
      <c r="BH802" s="211">
        <v>594</v>
      </c>
      <c r="BI802" s="211">
        <v>720</v>
      </c>
      <c r="BJ802" s="211">
        <v>556</v>
      </c>
      <c r="BK802" s="211">
        <v>264</v>
      </c>
      <c r="BL802" s="211">
        <v>326</v>
      </c>
      <c r="BM802" s="211">
        <v>324</v>
      </c>
      <c r="BO802" s="28">
        <f t="shared" si="91"/>
        <v>575.66666666666663</v>
      </c>
      <c r="BP802" s="28">
        <f t="shared" si="92"/>
        <v>6908</v>
      </c>
    </row>
    <row r="803" spans="22:68" x14ac:dyDescent="0.25">
      <c r="V803" s="178"/>
      <c r="W803" s="174"/>
      <c r="X803" s="179"/>
      <c r="Y803" s="247"/>
      <c r="Z803" s="248"/>
      <c r="AA803" s="294" t="str">
        <f t="shared" si="85"/>
        <v/>
      </c>
      <c r="AB803" s="219" t="str">
        <f t="shared" si="83"/>
        <v/>
      </c>
      <c r="AC803" s="219">
        <f t="shared" si="86"/>
        <v>0</v>
      </c>
      <c r="AD803" s="219">
        <f t="shared" si="87"/>
        <v>0</v>
      </c>
      <c r="AE803" s="220">
        <f t="shared" si="88"/>
        <v>0</v>
      </c>
      <c r="AF803" s="221">
        <f t="shared" si="89"/>
        <v>0</v>
      </c>
      <c r="AG803" s="204"/>
      <c r="AH803" s="178"/>
      <c r="AI803" s="174"/>
      <c r="AJ803" s="179"/>
      <c r="AK803" s="247"/>
      <c r="AL803" s="248"/>
      <c r="AM803" s="294" t="str">
        <f t="shared" si="93"/>
        <v/>
      </c>
      <c r="AN803" s="219" t="str">
        <f t="shared" si="84"/>
        <v/>
      </c>
      <c r="AO803" s="219">
        <f t="shared" si="94"/>
        <v>0</v>
      </c>
      <c r="AP803" s="219">
        <f t="shared" si="90"/>
        <v>0</v>
      </c>
      <c r="AQ803" s="220">
        <f t="shared" si="95"/>
        <v>0</v>
      </c>
      <c r="AR803" s="221">
        <f t="shared" si="96"/>
        <v>0</v>
      </c>
      <c r="AY803" s="628"/>
      <c r="AZ803" s="470">
        <v>1</v>
      </c>
      <c r="BA803" s="466">
        <v>9837624864</v>
      </c>
      <c r="BB803" s="211">
        <v>657</v>
      </c>
      <c r="BC803" s="211">
        <v>589</v>
      </c>
      <c r="BD803" s="211">
        <v>681</v>
      </c>
      <c r="BE803" s="211">
        <v>759</v>
      </c>
      <c r="BF803" s="211">
        <v>665</v>
      </c>
      <c r="BG803" s="211">
        <v>1043</v>
      </c>
      <c r="BH803" s="211">
        <v>2024</v>
      </c>
      <c r="BI803" s="211">
        <v>2697</v>
      </c>
      <c r="BJ803" s="211">
        <v>3044</v>
      </c>
      <c r="BK803" s="211">
        <v>587</v>
      </c>
      <c r="BL803" s="211">
        <v>606</v>
      </c>
      <c r="BM803" s="211">
        <v>633</v>
      </c>
      <c r="BO803" s="28">
        <f t="shared" si="91"/>
        <v>1165.4166666666667</v>
      </c>
      <c r="BP803" s="28">
        <f t="shared" si="92"/>
        <v>13985</v>
      </c>
    </row>
    <row r="804" spans="22:68" x14ac:dyDescent="0.25">
      <c r="V804" s="178"/>
      <c r="W804" s="174"/>
      <c r="X804" s="179"/>
      <c r="Y804" s="247"/>
      <c r="Z804" s="248"/>
      <c r="AA804" s="294" t="str">
        <f t="shared" si="85"/>
        <v/>
      </c>
      <c r="AB804" s="219" t="str">
        <f t="shared" si="83"/>
        <v/>
      </c>
      <c r="AC804" s="219">
        <f t="shared" si="86"/>
        <v>0</v>
      </c>
      <c r="AD804" s="219">
        <f t="shared" si="87"/>
        <v>0</v>
      </c>
      <c r="AE804" s="220">
        <f t="shared" si="88"/>
        <v>0</v>
      </c>
      <c r="AF804" s="221">
        <f t="shared" si="89"/>
        <v>0</v>
      </c>
      <c r="AG804" s="204"/>
      <c r="AH804" s="178"/>
      <c r="AI804" s="174"/>
      <c r="AJ804" s="179"/>
      <c r="AK804" s="247"/>
      <c r="AL804" s="248"/>
      <c r="AM804" s="294" t="str">
        <f t="shared" si="93"/>
        <v/>
      </c>
      <c r="AN804" s="219" t="str">
        <f t="shared" si="84"/>
        <v/>
      </c>
      <c r="AO804" s="219">
        <f t="shared" si="94"/>
        <v>0</v>
      </c>
      <c r="AP804" s="219">
        <f t="shared" si="90"/>
        <v>0</v>
      </c>
      <c r="AQ804" s="220">
        <f t="shared" si="95"/>
        <v>0</v>
      </c>
      <c r="AR804" s="221">
        <f t="shared" si="96"/>
        <v>0</v>
      </c>
      <c r="AY804" s="628"/>
      <c r="AZ804" s="470">
        <v>0.75</v>
      </c>
      <c r="BA804" s="466">
        <v>9853682679</v>
      </c>
      <c r="BB804" s="211">
        <v>1392</v>
      </c>
      <c r="BC804" s="211">
        <v>1179</v>
      </c>
      <c r="BD804" s="211">
        <v>1289</v>
      </c>
      <c r="BE804" s="211">
        <v>2110</v>
      </c>
      <c r="BF804" s="211">
        <v>996</v>
      </c>
      <c r="BG804" s="211">
        <v>1039</v>
      </c>
      <c r="BH804" s="211">
        <v>1094</v>
      </c>
      <c r="BI804" s="211">
        <v>954</v>
      </c>
      <c r="BJ804" s="211">
        <v>402</v>
      </c>
      <c r="BK804" s="211">
        <v>365</v>
      </c>
      <c r="BL804" s="211">
        <v>2017</v>
      </c>
      <c r="BM804" s="211">
        <v>862</v>
      </c>
      <c r="BO804" s="28">
        <f t="shared" si="91"/>
        <v>1141.5833333333333</v>
      </c>
      <c r="BP804" s="28">
        <f t="shared" si="92"/>
        <v>13699</v>
      </c>
    </row>
    <row r="805" spans="22:68" x14ac:dyDescent="0.25">
      <c r="V805" s="178"/>
      <c r="W805" s="174"/>
      <c r="X805" s="179"/>
      <c r="Y805" s="247"/>
      <c r="Z805" s="248"/>
      <c r="AA805" s="294" t="str">
        <f t="shared" si="85"/>
        <v/>
      </c>
      <c r="AB805" s="219" t="str">
        <f t="shared" si="83"/>
        <v/>
      </c>
      <c r="AC805" s="219">
        <f t="shared" si="86"/>
        <v>0</v>
      </c>
      <c r="AD805" s="219">
        <f t="shared" si="87"/>
        <v>0</v>
      </c>
      <c r="AE805" s="220">
        <f t="shared" si="88"/>
        <v>0</v>
      </c>
      <c r="AF805" s="221">
        <f t="shared" si="89"/>
        <v>0</v>
      </c>
      <c r="AG805" s="204"/>
      <c r="AH805" s="178"/>
      <c r="AI805" s="174"/>
      <c r="AJ805" s="179"/>
      <c r="AK805" s="247"/>
      <c r="AL805" s="248"/>
      <c r="AM805" s="294" t="str">
        <f t="shared" si="93"/>
        <v/>
      </c>
      <c r="AN805" s="219" t="str">
        <f t="shared" si="84"/>
        <v/>
      </c>
      <c r="AO805" s="219">
        <f t="shared" si="94"/>
        <v>0</v>
      </c>
      <c r="AP805" s="219">
        <f t="shared" si="90"/>
        <v>0</v>
      </c>
      <c r="AQ805" s="220">
        <f t="shared" si="95"/>
        <v>0</v>
      </c>
      <c r="AR805" s="221">
        <f t="shared" si="96"/>
        <v>0</v>
      </c>
      <c r="AY805" s="628"/>
      <c r="AZ805" s="470">
        <v>0.625</v>
      </c>
      <c r="BA805" s="466">
        <v>9854959555</v>
      </c>
      <c r="BB805" s="211">
        <v>805</v>
      </c>
      <c r="BC805" s="211">
        <v>718</v>
      </c>
      <c r="BD805" s="211">
        <v>710</v>
      </c>
      <c r="BE805" s="211">
        <v>869</v>
      </c>
      <c r="BF805" s="211">
        <v>777</v>
      </c>
      <c r="BG805" s="211">
        <v>791</v>
      </c>
      <c r="BH805" s="211">
        <v>3697</v>
      </c>
      <c r="BI805" s="211">
        <v>4964</v>
      </c>
      <c r="BJ805" s="211">
        <v>941</v>
      </c>
      <c r="BK805" s="211">
        <v>789</v>
      </c>
      <c r="BL805" s="211">
        <v>709</v>
      </c>
      <c r="BM805" s="211">
        <v>714</v>
      </c>
      <c r="BO805" s="28">
        <f t="shared" si="91"/>
        <v>1373.6666666666667</v>
      </c>
      <c r="BP805" s="28">
        <f t="shared" si="92"/>
        <v>16484</v>
      </c>
    </row>
    <row r="806" spans="22:68" x14ac:dyDescent="0.25">
      <c r="V806" s="178"/>
      <c r="W806" s="174"/>
      <c r="X806" s="179"/>
      <c r="Y806" s="247"/>
      <c r="Z806" s="248"/>
      <c r="AA806" s="294" t="str">
        <f t="shared" si="85"/>
        <v/>
      </c>
      <c r="AB806" s="219" t="str">
        <f t="shared" si="83"/>
        <v/>
      </c>
      <c r="AC806" s="219">
        <f t="shared" si="86"/>
        <v>0</v>
      </c>
      <c r="AD806" s="219">
        <f t="shared" si="87"/>
        <v>0</v>
      </c>
      <c r="AE806" s="220">
        <f t="shared" si="88"/>
        <v>0</v>
      </c>
      <c r="AF806" s="221">
        <f t="shared" si="89"/>
        <v>0</v>
      </c>
      <c r="AG806" s="204"/>
      <c r="AH806" s="178"/>
      <c r="AI806" s="174"/>
      <c r="AJ806" s="179"/>
      <c r="AK806" s="247"/>
      <c r="AL806" s="248"/>
      <c r="AM806" s="294" t="str">
        <f t="shared" si="93"/>
        <v/>
      </c>
      <c r="AN806" s="219" t="str">
        <f t="shared" si="84"/>
        <v/>
      </c>
      <c r="AO806" s="219">
        <f t="shared" si="94"/>
        <v>0</v>
      </c>
      <c r="AP806" s="219">
        <f t="shared" si="90"/>
        <v>0</v>
      </c>
      <c r="AQ806" s="220">
        <f t="shared" si="95"/>
        <v>0</v>
      </c>
      <c r="AR806" s="221">
        <f t="shared" si="96"/>
        <v>0</v>
      </c>
      <c r="AY806" s="628"/>
      <c r="AZ806" s="470">
        <v>0.75</v>
      </c>
      <c r="BA806" s="466">
        <v>9861281278</v>
      </c>
      <c r="BB806" s="211">
        <v>1070</v>
      </c>
      <c r="BC806" s="211">
        <v>117</v>
      </c>
      <c r="BD806" s="211">
        <v>1934</v>
      </c>
      <c r="BE806" s="211">
        <v>1267</v>
      </c>
      <c r="BF806" s="211">
        <v>1273</v>
      </c>
      <c r="BG806" s="211">
        <v>3025</v>
      </c>
      <c r="BH806" s="211">
        <v>4827</v>
      </c>
      <c r="BI806" s="211">
        <v>4271</v>
      </c>
      <c r="BJ806" s="211">
        <v>3404</v>
      </c>
      <c r="BK806" s="211">
        <v>700</v>
      </c>
      <c r="BL806" s="211">
        <v>246</v>
      </c>
      <c r="BM806" s="211">
        <v>1492</v>
      </c>
      <c r="BO806" s="28">
        <f t="shared" si="91"/>
        <v>1968.8333333333333</v>
      </c>
      <c r="BP806" s="28">
        <f t="shared" si="92"/>
        <v>23626</v>
      </c>
    </row>
    <row r="807" spans="22:68" x14ac:dyDescent="0.25">
      <c r="V807" s="178"/>
      <c r="W807" s="174"/>
      <c r="X807" s="179"/>
      <c r="Y807" s="247"/>
      <c r="Z807" s="248"/>
      <c r="AA807" s="294" t="str">
        <f t="shared" si="85"/>
        <v/>
      </c>
      <c r="AB807" s="219" t="str">
        <f t="shared" si="83"/>
        <v/>
      </c>
      <c r="AC807" s="219">
        <f t="shared" si="86"/>
        <v>0</v>
      </c>
      <c r="AD807" s="219">
        <f t="shared" si="87"/>
        <v>0</v>
      </c>
      <c r="AE807" s="220">
        <f t="shared" si="88"/>
        <v>0</v>
      </c>
      <c r="AF807" s="221">
        <f t="shared" si="89"/>
        <v>0</v>
      </c>
      <c r="AG807" s="204"/>
      <c r="AH807" s="178"/>
      <c r="AI807" s="174"/>
      <c r="AJ807" s="179"/>
      <c r="AK807" s="247"/>
      <c r="AL807" s="248"/>
      <c r="AM807" s="294" t="str">
        <f t="shared" si="93"/>
        <v/>
      </c>
      <c r="AN807" s="219" t="str">
        <f t="shared" si="84"/>
        <v/>
      </c>
      <c r="AO807" s="219">
        <f t="shared" si="94"/>
        <v>0</v>
      </c>
      <c r="AP807" s="219">
        <f t="shared" si="90"/>
        <v>0</v>
      </c>
      <c r="AQ807" s="220">
        <f t="shared" si="95"/>
        <v>0</v>
      </c>
      <c r="AR807" s="221">
        <f t="shared" si="96"/>
        <v>0</v>
      </c>
      <c r="AY807" s="628"/>
      <c r="AZ807" s="470">
        <v>0.75</v>
      </c>
      <c r="BA807" s="466">
        <v>9883657613</v>
      </c>
      <c r="BB807" s="211">
        <v>335</v>
      </c>
      <c r="BC807" s="211">
        <v>3176</v>
      </c>
      <c r="BD807" s="211">
        <v>250</v>
      </c>
      <c r="BE807" s="211">
        <v>302</v>
      </c>
      <c r="BF807" s="211">
        <v>446</v>
      </c>
      <c r="BG807" s="211">
        <v>1559</v>
      </c>
      <c r="BH807" s="211">
        <v>3274</v>
      </c>
      <c r="BI807" s="211">
        <v>2944</v>
      </c>
      <c r="BJ807" s="211">
        <v>1432</v>
      </c>
      <c r="BK807" s="211">
        <v>2807</v>
      </c>
      <c r="BL807" s="211">
        <v>1378</v>
      </c>
      <c r="BM807" s="211">
        <v>1300</v>
      </c>
      <c r="BO807" s="28">
        <f t="shared" si="91"/>
        <v>1600.25</v>
      </c>
      <c r="BP807" s="28">
        <f t="shared" si="92"/>
        <v>19203</v>
      </c>
    </row>
    <row r="808" spans="22:68" x14ac:dyDescent="0.25">
      <c r="V808" s="178"/>
      <c r="W808" s="174"/>
      <c r="X808" s="179"/>
      <c r="Y808" s="247"/>
      <c r="Z808" s="248"/>
      <c r="AA808" s="294" t="str">
        <f t="shared" si="85"/>
        <v/>
      </c>
      <c r="AB808" s="219" t="str">
        <f t="shared" si="83"/>
        <v/>
      </c>
      <c r="AC808" s="219">
        <f t="shared" si="86"/>
        <v>0</v>
      </c>
      <c r="AD808" s="219">
        <f t="shared" si="87"/>
        <v>0</v>
      </c>
      <c r="AE808" s="220">
        <f t="shared" si="88"/>
        <v>0</v>
      </c>
      <c r="AF808" s="221">
        <f t="shared" si="89"/>
        <v>0</v>
      </c>
      <c r="AG808" s="204"/>
      <c r="AH808" s="178"/>
      <c r="AI808" s="174"/>
      <c r="AJ808" s="179"/>
      <c r="AK808" s="247"/>
      <c r="AL808" s="248"/>
      <c r="AM808" s="294" t="str">
        <f t="shared" si="93"/>
        <v/>
      </c>
      <c r="AN808" s="219" t="str">
        <f t="shared" si="84"/>
        <v/>
      </c>
      <c r="AO808" s="219">
        <f t="shared" si="94"/>
        <v>0</v>
      </c>
      <c r="AP808" s="219">
        <f t="shared" si="90"/>
        <v>0</v>
      </c>
      <c r="AQ808" s="220">
        <f t="shared" si="95"/>
        <v>0</v>
      </c>
      <c r="AR808" s="221">
        <f t="shared" si="96"/>
        <v>0</v>
      </c>
      <c r="AY808" s="628"/>
      <c r="AZ808" s="470">
        <v>0.75</v>
      </c>
      <c r="BA808" s="466">
        <v>9897585383</v>
      </c>
      <c r="BB808" s="211">
        <v>550</v>
      </c>
      <c r="BC808" s="211">
        <v>478</v>
      </c>
      <c r="BD808" s="211">
        <v>490</v>
      </c>
      <c r="BE808" s="211">
        <v>608</v>
      </c>
      <c r="BF808" s="211">
        <v>851</v>
      </c>
      <c r="BG808" s="211">
        <v>2718</v>
      </c>
      <c r="BH808" s="211">
        <v>5682</v>
      </c>
      <c r="BI808" s="211">
        <v>4659</v>
      </c>
      <c r="BJ808" s="211">
        <v>2632</v>
      </c>
      <c r="BK808" s="211">
        <v>742</v>
      </c>
      <c r="BL808" s="211">
        <v>466</v>
      </c>
      <c r="BM808" s="211">
        <v>400</v>
      </c>
      <c r="BO808" s="28">
        <f t="shared" si="91"/>
        <v>1689.6666666666667</v>
      </c>
      <c r="BP808" s="28">
        <f t="shared" si="92"/>
        <v>20276</v>
      </c>
    </row>
    <row r="809" spans="22:68" x14ac:dyDescent="0.25">
      <c r="V809" s="178"/>
      <c r="W809" s="174"/>
      <c r="X809" s="179"/>
      <c r="Y809" s="247"/>
      <c r="Z809" s="248"/>
      <c r="AA809" s="294" t="str">
        <f t="shared" si="85"/>
        <v/>
      </c>
      <c r="AB809" s="219" t="str">
        <f t="shared" si="83"/>
        <v/>
      </c>
      <c r="AC809" s="219">
        <f t="shared" si="86"/>
        <v>0</v>
      </c>
      <c r="AD809" s="219">
        <f t="shared" si="87"/>
        <v>0</v>
      </c>
      <c r="AE809" s="220">
        <f t="shared" si="88"/>
        <v>0</v>
      </c>
      <c r="AF809" s="221">
        <f t="shared" si="89"/>
        <v>0</v>
      </c>
      <c r="AG809" s="204"/>
      <c r="AH809" s="178"/>
      <c r="AI809" s="174"/>
      <c r="AJ809" s="179"/>
      <c r="AK809" s="247"/>
      <c r="AL809" s="248"/>
      <c r="AM809" s="294" t="str">
        <f t="shared" si="93"/>
        <v/>
      </c>
      <c r="AN809" s="219" t="str">
        <f t="shared" si="84"/>
        <v/>
      </c>
      <c r="AO809" s="219">
        <f t="shared" si="94"/>
        <v>0</v>
      </c>
      <c r="AP809" s="219">
        <f t="shared" si="90"/>
        <v>0</v>
      </c>
      <c r="AQ809" s="220">
        <f t="shared" si="95"/>
        <v>0</v>
      </c>
      <c r="AR809" s="221">
        <f t="shared" si="96"/>
        <v>0</v>
      </c>
      <c r="AY809" s="628"/>
      <c r="AZ809" s="470">
        <v>0.75</v>
      </c>
      <c r="BA809" s="466">
        <v>9907694458</v>
      </c>
      <c r="BB809" s="211">
        <v>139</v>
      </c>
      <c r="BC809" s="211">
        <v>533</v>
      </c>
      <c r="BD809" s="211">
        <v>414</v>
      </c>
      <c r="BE809" s="211">
        <v>807</v>
      </c>
      <c r="BF809" s="211">
        <v>829</v>
      </c>
      <c r="BG809" s="211">
        <v>596</v>
      </c>
      <c r="BH809" s="211">
        <v>2834</v>
      </c>
      <c r="BI809" s="211">
        <v>967</v>
      </c>
      <c r="BJ809" s="211">
        <v>2578</v>
      </c>
      <c r="BK809" s="211">
        <v>296</v>
      </c>
      <c r="BL809" s="211">
        <v>229</v>
      </c>
      <c r="BM809" s="211">
        <v>270</v>
      </c>
      <c r="BO809" s="28">
        <f t="shared" si="91"/>
        <v>874.33333333333337</v>
      </c>
      <c r="BP809" s="28">
        <f t="shared" si="92"/>
        <v>10492</v>
      </c>
    </row>
    <row r="810" spans="22:68" x14ac:dyDescent="0.25">
      <c r="V810" s="178"/>
      <c r="W810" s="174"/>
      <c r="X810" s="179"/>
      <c r="Y810" s="247"/>
      <c r="Z810" s="248"/>
      <c r="AA810" s="294" t="str">
        <f t="shared" si="85"/>
        <v/>
      </c>
      <c r="AB810" s="219" t="str">
        <f t="shared" si="83"/>
        <v/>
      </c>
      <c r="AC810" s="219">
        <f t="shared" si="86"/>
        <v>0</v>
      </c>
      <c r="AD810" s="219">
        <f t="shared" si="87"/>
        <v>0</v>
      </c>
      <c r="AE810" s="220">
        <f t="shared" si="88"/>
        <v>0</v>
      </c>
      <c r="AF810" s="221">
        <f t="shared" si="89"/>
        <v>0</v>
      </c>
      <c r="AG810" s="204"/>
      <c r="AH810" s="178"/>
      <c r="AI810" s="174"/>
      <c r="AJ810" s="179"/>
      <c r="AK810" s="247"/>
      <c r="AL810" s="248"/>
      <c r="AM810" s="294" t="str">
        <f t="shared" si="93"/>
        <v/>
      </c>
      <c r="AN810" s="219" t="str">
        <f t="shared" si="84"/>
        <v/>
      </c>
      <c r="AO810" s="219">
        <f t="shared" si="94"/>
        <v>0</v>
      </c>
      <c r="AP810" s="219">
        <f t="shared" si="90"/>
        <v>0</v>
      </c>
      <c r="AQ810" s="220">
        <f t="shared" si="95"/>
        <v>0</v>
      </c>
      <c r="AR810" s="221">
        <f t="shared" si="96"/>
        <v>0</v>
      </c>
      <c r="AY810" s="628"/>
      <c r="AZ810" s="471">
        <v>2</v>
      </c>
      <c r="BA810" s="466">
        <v>9908301128</v>
      </c>
      <c r="BB810" s="211" t="s">
        <v>655</v>
      </c>
      <c r="BC810" s="211" t="s">
        <v>655</v>
      </c>
      <c r="BD810" s="211" t="s">
        <v>655</v>
      </c>
      <c r="BE810" s="211" t="s">
        <v>655</v>
      </c>
      <c r="BF810" s="211">
        <v>840</v>
      </c>
      <c r="BG810" s="211" t="s">
        <v>655</v>
      </c>
      <c r="BH810" s="211" t="s">
        <v>655</v>
      </c>
      <c r="BI810" s="211" t="s">
        <v>655</v>
      </c>
      <c r="BJ810" s="211" t="s">
        <v>655</v>
      </c>
      <c r="BK810" s="211" t="s">
        <v>655</v>
      </c>
      <c r="BL810" s="211" t="s">
        <v>655</v>
      </c>
      <c r="BM810" s="211" t="s">
        <v>655</v>
      </c>
      <c r="BO810" s="28">
        <f t="shared" si="91"/>
        <v>840</v>
      </c>
      <c r="BP810" s="28">
        <f t="shared" si="92"/>
        <v>840</v>
      </c>
    </row>
    <row r="811" spans="22:68" x14ac:dyDescent="0.25">
      <c r="V811" s="178"/>
      <c r="W811" s="174"/>
      <c r="X811" s="179"/>
      <c r="Y811" s="247"/>
      <c r="Z811" s="248"/>
      <c r="AA811" s="294" t="str">
        <f t="shared" si="85"/>
        <v/>
      </c>
      <c r="AB811" s="219" t="str">
        <f t="shared" si="83"/>
        <v/>
      </c>
      <c r="AC811" s="219">
        <f t="shared" si="86"/>
        <v>0</v>
      </c>
      <c r="AD811" s="219">
        <f t="shared" si="87"/>
        <v>0</v>
      </c>
      <c r="AE811" s="220">
        <f t="shared" si="88"/>
        <v>0</v>
      </c>
      <c r="AF811" s="221">
        <f t="shared" si="89"/>
        <v>0</v>
      </c>
      <c r="AG811" s="204"/>
      <c r="AH811" s="178"/>
      <c r="AI811" s="174"/>
      <c r="AJ811" s="179"/>
      <c r="AK811" s="247"/>
      <c r="AL811" s="248"/>
      <c r="AM811" s="294" t="str">
        <f t="shared" si="93"/>
        <v/>
      </c>
      <c r="AN811" s="219" t="str">
        <f t="shared" si="84"/>
        <v/>
      </c>
      <c r="AO811" s="219">
        <f t="shared" si="94"/>
        <v>0</v>
      </c>
      <c r="AP811" s="219">
        <f t="shared" si="90"/>
        <v>0</v>
      </c>
      <c r="AQ811" s="220">
        <f t="shared" si="95"/>
        <v>0</v>
      </c>
      <c r="AR811" s="221">
        <f t="shared" si="96"/>
        <v>0</v>
      </c>
      <c r="AY811" s="628"/>
      <c r="AZ811" s="470">
        <v>0.75</v>
      </c>
      <c r="BA811" s="466">
        <v>9915001194</v>
      </c>
      <c r="BB811" s="211">
        <v>640</v>
      </c>
      <c r="BC811" s="211">
        <v>644</v>
      </c>
      <c r="BD811" s="211">
        <v>601</v>
      </c>
      <c r="BE811" s="211">
        <v>638</v>
      </c>
      <c r="BF811" s="211" t="s">
        <v>655</v>
      </c>
      <c r="BG811" s="211">
        <v>1482</v>
      </c>
      <c r="BH811" s="211" t="s">
        <v>655</v>
      </c>
      <c r="BI811" s="211">
        <v>864</v>
      </c>
      <c r="BJ811" s="211">
        <v>1123</v>
      </c>
      <c r="BK811" s="211">
        <v>943</v>
      </c>
      <c r="BL811" s="211">
        <v>738</v>
      </c>
      <c r="BM811" s="211">
        <v>575</v>
      </c>
      <c r="BO811" s="28">
        <f t="shared" si="91"/>
        <v>824.8</v>
      </c>
      <c r="BP811" s="28">
        <f t="shared" si="92"/>
        <v>8248</v>
      </c>
    </row>
    <row r="812" spans="22:68" x14ac:dyDescent="0.25">
      <c r="V812" s="178"/>
      <c r="W812" s="174"/>
      <c r="X812" s="179"/>
      <c r="Y812" s="247"/>
      <c r="Z812" s="248"/>
      <c r="AA812" s="294" t="str">
        <f t="shared" si="85"/>
        <v/>
      </c>
      <c r="AB812" s="219" t="str">
        <f t="shared" si="83"/>
        <v/>
      </c>
      <c r="AC812" s="219">
        <f t="shared" si="86"/>
        <v>0</v>
      </c>
      <c r="AD812" s="219">
        <f t="shared" si="87"/>
        <v>0</v>
      </c>
      <c r="AE812" s="220">
        <f t="shared" si="88"/>
        <v>0</v>
      </c>
      <c r="AF812" s="221">
        <f t="shared" si="89"/>
        <v>0</v>
      </c>
      <c r="AG812" s="204"/>
      <c r="AH812" s="178"/>
      <c r="AI812" s="174"/>
      <c r="AJ812" s="179"/>
      <c r="AK812" s="247"/>
      <c r="AL812" s="248"/>
      <c r="AM812" s="294" t="str">
        <f t="shared" si="93"/>
        <v/>
      </c>
      <c r="AN812" s="219" t="str">
        <f t="shared" si="84"/>
        <v/>
      </c>
      <c r="AO812" s="219">
        <f t="shared" si="94"/>
        <v>0</v>
      </c>
      <c r="AP812" s="219">
        <f t="shared" si="90"/>
        <v>0</v>
      </c>
      <c r="AQ812" s="220">
        <f t="shared" si="95"/>
        <v>0</v>
      </c>
      <c r="AR812" s="221">
        <f t="shared" si="96"/>
        <v>0</v>
      </c>
      <c r="AY812" s="628"/>
      <c r="AZ812" s="470">
        <v>0.75</v>
      </c>
      <c r="BA812" s="466">
        <v>9924351936</v>
      </c>
      <c r="BB812" s="211">
        <v>433</v>
      </c>
      <c r="BC812" s="211">
        <v>253</v>
      </c>
      <c r="BD812" s="211">
        <v>419</v>
      </c>
      <c r="BE812" s="211">
        <v>553</v>
      </c>
      <c r="BF812" s="211">
        <v>595</v>
      </c>
      <c r="BG812" s="211">
        <v>613</v>
      </c>
      <c r="BH812" s="211">
        <v>4475</v>
      </c>
      <c r="BI812" s="211">
        <v>5859</v>
      </c>
      <c r="BJ812" s="211">
        <v>2040</v>
      </c>
      <c r="BK812" s="211">
        <v>738</v>
      </c>
      <c r="BL812" s="211">
        <v>200</v>
      </c>
      <c r="BM812" s="211">
        <v>301</v>
      </c>
      <c r="BO812" s="28">
        <f t="shared" si="91"/>
        <v>1373.25</v>
      </c>
      <c r="BP812" s="28">
        <f t="shared" si="92"/>
        <v>16479</v>
      </c>
    </row>
    <row r="813" spans="22:68" x14ac:dyDescent="0.25">
      <c r="V813" s="178"/>
      <c r="W813" s="174"/>
      <c r="X813" s="179"/>
      <c r="Y813" s="247"/>
      <c r="Z813" s="248"/>
      <c r="AA813" s="294" t="str">
        <f t="shared" si="85"/>
        <v/>
      </c>
      <c r="AB813" s="219" t="str">
        <f t="shared" si="83"/>
        <v/>
      </c>
      <c r="AC813" s="219">
        <f t="shared" si="86"/>
        <v>0</v>
      </c>
      <c r="AD813" s="219">
        <f t="shared" si="87"/>
        <v>0</v>
      </c>
      <c r="AE813" s="220">
        <f t="shared" si="88"/>
        <v>0</v>
      </c>
      <c r="AF813" s="221">
        <f t="shared" si="89"/>
        <v>0</v>
      </c>
      <c r="AG813" s="204"/>
      <c r="AH813" s="178"/>
      <c r="AI813" s="174"/>
      <c r="AJ813" s="179"/>
      <c r="AK813" s="247"/>
      <c r="AL813" s="248"/>
      <c r="AM813" s="294" t="str">
        <f t="shared" si="93"/>
        <v/>
      </c>
      <c r="AN813" s="219" t="str">
        <f t="shared" si="84"/>
        <v/>
      </c>
      <c r="AO813" s="219">
        <f t="shared" si="94"/>
        <v>0</v>
      </c>
      <c r="AP813" s="219">
        <f t="shared" si="90"/>
        <v>0</v>
      </c>
      <c r="AQ813" s="220">
        <f t="shared" si="95"/>
        <v>0</v>
      </c>
      <c r="AR813" s="221">
        <f t="shared" si="96"/>
        <v>0</v>
      </c>
      <c r="AY813" s="628"/>
      <c r="AZ813" s="470">
        <v>1</v>
      </c>
      <c r="BA813" s="466">
        <v>9940485218</v>
      </c>
      <c r="BB813" s="211">
        <v>1350</v>
      </c>
      <c r="BC813" s="211">
        <v>1480</v>
      </c>
      <c r="BD813" s="211">
        <v>1792</v>
      </c>
      <c r="BE813" s="211">
        <v>2723</v>
      </c>
      <c r="BF813" s="211">
        <v>20365</v>
      </c>
      <c r="BG813" s="211">
        <v>11945</v>
      </c>
      <c r="BH813" s="211">
        <v>19957</v>
      </c>
      <c r="BI813" s="211">
        <v>17200</v>
      </c>
      <c r="BJ813" s="211">
        <v>8838</v>
      </c>
      <c r="BK813" s="211">
        <v>63370</v>
      </c>
      <c r="BL813" s="211">
        <v>1490</v>
      </c>
      <c r="BM813" s="211">
        <v>2910</v>
      </c>
      <c r="BO813" s="28">
        <f t="shared" si="91"/>
        <v>12785</v>
      </c>
      <c r="BP813" s="28">
        <f t="shared" si="92"/>
        <v>153420</v>
      </c>
    </row>
    <row r="814" spans="22:68" x14ac:dyDescent="0.25">
      <c r="V814" s="178"/>
      <c r="W814" s="174"/>
      <c r="X814" s="179"/>
      <c r="Y814" s="247"/>
      <c r="Z814" s="248"/>
      <c r="AA814" s="294" t="str">
        <f t="shared" si="85"/>
        <v/>
      </c>
      <c r="AB814" s="219" t="str">
        <f t="shared" si="83"/>
        <v/>
      </c>
      <c r="AC814" s="219">
        <f t="shared" si="86"/>
        <v>0</v>
      </c>
      <c r="AD814" s="219">
        <f t="shared" si="87"/>
        <v>0</v>
      </c>
      <c r="AE814" s="220">
        <f t="shared" si="88"/>
        <v>0</v>
      </c>
      <c r="AF814" s="221">
        <f t="shared" si="89"/>
        <v>0</v>
      </c>
      <c r="AG814" s="204"/>
      <c r="AH814" s="178"/>
      <c r="AI814" s="174"/>
      <c r="AJ814" s="179"/>
      <c r="AK814" s="247"/>
      <c r="AL814" s="248"/>
      <c r="AM814" s="294" t="str">
        <f t="shared" si="93"/>
        <v/>
      </c>
      <c r="AN814" s="219" t="str">
        <f t="shared" si="84"/>
        <v/>
      </c>
      <c r="AO814" s="219">
        <f t="shared" si="94"/>
        <v>0</v>
      </c>
      <c r="AP814" s="219">
        <f t="shared" si="90"/>
        <v>0</v>
      </c>
      <c r="AQ814" s="220">
        <f t="shared" si="95"/>
        <v>0</v>
      </c>
      <c r="AR814" s="221">
        <f t="shared" si="96"/>
        <v>0</v>
      </c>
      <c r="AY814" s="628"/>
      <c r="AZ814" s="470">
        <v>0.75</v>
      </c>
      <c r="BA814" s="466">
        <v>9963850096</v>
      </c>
      <c r="BB814" s="211">
        <v>123</v>
      </c>
      <c r="BC814" s="211">
        <v>156</v>
      </c>
      <c r="BD814" s="211">
        <v>77</v>
      </c>
      <c r="BE814" s="211">
        <v>272</v>
      </c>
      <c r="BF814" s="211">
        <v>1</v>
      </c>
      <c r="BG814" s="211">
        <v>215</v>
      </c>
      <c r="BH814" s="211">
        <v>131</v>
      </c>
      <c r="BI814" s="211">
        <v>435</v>
      </c>
      <c r="BJ814" s="211">
        <v>123</v>
      </c>
      <c r="BK814" s="211">
        <v>115</v>
      </c>
      <c r="BL814" s="211">
        <v>97</v>
      </c>
      <c r="BM814" s="211">
        <v>83</v>
      </c>
      <c r="BO814" s="28">
        <f t="shared" si="91"/>
        <v>152.33333333333334</v>
      </c>
      <c r="BP814" s="28">
        <f t="shared" si="92"/>
        <v>1828</v>
      </c>
    </row>
    <row r="815" spans="22:68" x14ac:dyDescent="0.25">
      <c r="V815" s="178"/>
      <c r="W815" s="174"/>
      <c r="X815" s="179"/>
      <c r="Y815" s="247"/>
      <c r="Z815" s="248"/>
      <c r="AA815" s="294" t="str">
        <f t="shared" si="85"/>
        <v/>
      </c>
      <c r="AB815" s="219" t="str">
        <f t="shared" si="83"/>
        <v/>
      </c>
      <c r="AC815" s="219">
        <f t="shared" si="86"/>
        <v>0</v>
      </c>
      <c r="AD815" s="219">
        <f t="shared" si="87"/>
        <v>0</v>
      </c>
      <c r="AE815" s="220">
        <f t="shared" si="88"/>
        <v>0</v>
      </c>
      <c r="AF815" s="221">
        <f t="shared" si="89"/>
        <v>0</v>
      </c>
      <c r="AG815" s="204"/>
      <c r="AH815" s="178"/>
      <c r="AI815" s="174"/>
      <c r="AJ815" s="179"/>
      <c r="AK815" s="247"/>
      <c r="AL815" s="248"/>
      <c r="AM815" s="294" t="str">
        <f t="shared" si="93"/>
        <v/>
      </c>
      <c r="AN815" s="219" t="str">
        <f t="shared" si="84"/>
        <v/>
      </c>
      <c r="AO815" s="219">
        <f t="shared" si="94"/>
        <v>0</v>
      </c>
      <c r="AP815" s="219">
        <f t="shared" si="90"/>
        <v>0</v>
      </c>
      <c r="AQ815" s="220">
        <f t="shared" si="95"/>
        <v>0</v>
      </c>
      <c r="AR815" s="221">
        <f t="shared" si="96"/>
        <v>0</v>
      </c>
      <c r="AY815" s="628"/>
      <c r="AZ815" s="470">
        <v>0.625</v>
      </c>
      <c r="BA815" s="466">
        <v>9981609617</v>
      </c>
      <c r="BB815" s="211">
        <v>817</v>
      </c>
      <c r="BC815" s="211">
        <v>252</v>
      </c>
      <c r="BD815" s="211">
        <v>425</v>
      </c>
      <c r="BE815" s="211">
        <v>299</v>
      </c>
      <c r="BF815" s="211" t="s">
        <v>655</v>
      </c>
      <c r="BG815" s="211">
        <v>552</v>
      </c>
      <c r="BH815" s="211" t="s">
        <v>655</v>
      </c>
      <c r="BI815" s="211">
        <v>385</v>
      </c>
      <c r="BJ815" s="211" t="s">
        <v>655</v>
      </c>
      <c r="BK815" s="211">
        <v>385</v>
      </c>
      <c r="BL815" s="211" t="s">
        <v>655</v>
      </c>
      <c r="BM815" s="211" t="s">
        <v>655</v>
      </c>
      <c r="BO815" s="28">
        <f t="shared" si="91"/>
        <v>445</v>
      </c>
      <c r="BP815" s="28">
        <f t="shared" si="92"/>
        <v>3115</v>
      </c>
    </row>
    <row r="816" spans="22:68" x14ac:dyDescent="0.25">
      <c r="V816" s="178"/>
      <c r="W816" s="174"/>
      <c r="X816" s="179"/>
      <c r="Y816" s="247"/>
      <c r="Z816" s="248"/>
      <c r="AA816" s="294" t="str">
        <f t="shared" si="85"/>
        <v/>
      </c>
      <c r="AB816" s="219" t="str">
        <f t="shared" si="83"/>
        <v/>
      </c>
      <c r="AC816" s="219">
        <f t="shared" si="86"/>
        <v>0</v>
      </c>
      <c r="AD816" s="219">
        <f t="shared" si="87"/>
        <v>0</v>
      </c>
      <c r="AE816" s="220">
        <f t="shared" si="88"/>
        <v>0</v>
      </c>
      <c r="AF816" s="221">
        <f t="shared" si="89"/>
        <v>0</v>
      </c>
      <c r="AG816" s="204"/>
      <c r="AH816" s="178"/>
      <c r="AI816" s="174"/>
      <c r="AJ816" s="179"/>
      <c r="AK816" s="247"/>
      <c r="AL816" s="248"/>
      <c r="AM816" s="294" t="str">
        <f t="shared" si="93"/>
        <v/>
      </c>
      <c r="AN816" s="219" t="str">
        <f t="shared" si="84"/>
        <v/>
      </c>
      <c r="AO816" s="219">
        <f t="shared" si="94"/>
        <v>0</v>
      </c>
      <c r="AP816" s="219">
        <f t="shared" si="90"/>
        <v>0</v>
      </c>
      <c r="AQ816" s="220">
        <f t="shared" si="95"/>
        <v>0</v>
      </c>
      <c r="AR816" s="221">
        <f t="shared" si="96"/>
        <v>0</v>
      </c>
      <c r="AY816" s="628"/>
      <c r="AZ816" s="470">
        <v>0.625</v>
      </c>
      <c r="BA816" s="466">
        <v>5743680819</v>
      </c>
      <c r="BB816" s="211">
        <v>2</v>
      </c>
      <c r="BC816" s="211">
        <v>5</v>
      </c>
      <c r="BD816" s="211">
        <v>100</v>
      </c>
      <c r="BE816" s="211" t="s">
        <v>655</v>
      </c>
      <c r="BF816" s="211" t="s">
        <v>655</v>
      </c>
      <c r="BG816" s="211" t="s">
        <v>655</v>
      </c>
      <c r="BH816" s="211" t="s">
        <v>655</v>
      </c>
      <c r="BI816" s="211" t="s">
        <v>655</v>
      </c>
      <c r="BJ816" s="211" t="s">
        <v>655</v>
      </c>
      <c r="BK816" s="211" t="s">
        <v>655</v>
      </c>
      <c r="BL816" s="211" t="s">
        <v>655</v>
      </c>
      <c r="BM816" s="211" t="s">
        <v>655</v>
      </c>
      <c r="BO816" s="28">
        <f t="shared" si="91"/>
        <v>35.666666666666664</v>
      </c>
      <c r="BP816" s="28">
        <f t="shared" si="92"/>
        <v>107</v>
      </c>
    </row>
    <row r="817" spans="22:68" x14ac:dyDescent="0.25">
      <c r="V817" s="178"/>
      <c r="W817" s="174"/>
      <c r="X817" s="179"/>
      <c r="Y817" s="247"/>
      <c r="Z817" s="248"/>
      <c r="AA817" s="294" t="str">
        <f t="shared" si="85"/>
        <v/>
      </c>
      <c r="AB817" s="219" t="str">
        <f t="shared" si="83"/>
        <v/>
      </c>
      <c r="AC817" s="219">
        <f t="shared" si="86"/>
        <v>0</v>
      </c>
      <c r="AD817" s="219">
        <f t="shared" si="87"/>
        <v>0</v>
      </c>
      <c r="AE817" s="220">
        <f t="shared" si="88"/>
        <v>0</v>
      </c>
      <c r="AF817" s="221">
        <f t="shared" si="89"/>
        <v>0</v>
      </c>
      <c r="AG817" s="204"/>
      <c r="AH817" s="178"/>
      <c r="AI817" s="174"/>
      <c r="AJ817" s="179"/>
      <c r="AK817" s="247"/>
      <c r="AL817" s="248"/>
      <c r="AM817" s="294" t="str">
        <f t="shared" si="93"/>
        <v/>
      </c>
      <c r="AN817" s="219" t="str">
        <f t="shared" si="84"/>
        <v/>
      </c>
      <c r="AO817" s="219">
        <f t="shared" si="94"/>
        <v>0</v>
      </c>
      <c r="AP817" s="219">
        <f t="shared" si="90"/>
        <v>0</v>
      </c>
      <c r="AQ817" s="220">
        <f t="shared" si="95"/>
        <v>0</v>
      </c>
      <c r="AR817" s="221">
        <f t="shared" si="96"/>
        <v>0</v>
      </c>
      <c r="AY817" s="628"/>
      <c r="AZ817" s="470">
        <v>0.75</v>
      </c>
      <c r="BA817" s="466">
        <v>2558316845</v>
      </c>
      <c r="BB817" s="211">
        <v>1044</v>
      </c>
      <c r="BC817" s="211">
        <v>1106</v>
      </c>
      <c r="BD817" s="211">
        <v>631</v>
      </c>
      <c r="BE817" s="211">
        <v>1804</v>
      </c>
      <c r="BF817" s="211">
        <v>1120</v>
      </c>
      <c r="BG817" s="211">
        <v>1157</v>
      </c>
      <c r="BH817" s="211">
        <v>1272</v>
      </c>
      <c r="BI817" s="211">
        <v>1068</v>
      </c>
      <c r="BJ817" s="211">
        <v>998</v>
      </c>
      <c r="BK817" s="211">
        <v>557</v>
      </c>
      <c r="BL817" s="211">
        <v>305</v>
      </c>
      <c r="BM817" s="211">
        <v>505</v>
      </c>
      <c r="BO817" s="28">
        <f t="shared" si="91"/>
        <v>963.91666666666663</v>
      </c>
      <c r="BP817" s="28">
        <f t="shared" si="92"/>
        <v>11567</v>
      </c>
    </row>
    <row r="818" spans="22:68" x14ac:dyDescent="0.25">
      <c r="V818" s="178"/>
      <c r="W818" s="174"/>
      <c r="X818" s="179"/>
      <c r="Y818" s="247"/>
      <c r="Z818" s="248"/>
      <c r="AA818" s="294" t="str">
        <f t="shared" si="85"/>
        <v/>
      </c>
      <c r="AB818" s="219" t="str">
        <f t="shared" si="83"/>
        <v/>
      </c>
      <c r="AC818" s="219">
        <f t="shared" si="86"/>
        <v>0</v>
      </c>
      <c r="AD818" s="219">
        <f t="shared" si="87"/>
        <v>0</v>
      </c>
      <c r="AE818" s="220">
        <f t="shared" si="88"/>
        <v>0</v>
      </c>
      <c r="AF818" s="221">
        <f t="shared" si="89"/>
        <v>0</v>
      </c>
      <c r="AG818" s="204"/>
      <c r="AH818" s="178"/>
      <c r="AI818" s="174"/>
      <c r="AJ818" s="179"/>
      <c r="AK818" s="247"/>
      <c r="AL818" s="248"/>
      <c r="AM818" s="294" t="str">
        <f t="shared" si="93"/>
        <v/>
      </c>
      <c r="AN818" s="219" t="str">
        <f t="shared" si="84"/>
        <v/>
      </c>
      <c r="AO818" s="219">
        <f t="shared" si="94"/>
        <v>0</v>
      </c>
      <c r="AP818" s="219">
        <f t="shared" si="90"/>
        <v>0</v>
      </c>
      <c r="AQ818" s="220">
        <f t="shared" si="95"/>
        <v>0</v>
      </c>
      <c r="AR818" s="221">
        <f t="shared" si="96"/>
        <v>0</v>
      </c>
      <c r="AY818" s="628"/>
      <c r="AZ818" s="470">
        <v>0.625</v>
      </c>
      <c r="BA818" s="466">
        <v>4356273446</v>
      </c>
      <c r="BB818" s="211">
        <v>2546</v>
      </c>
      <c r="BC818" s="211">
        <v>1961</v>
      </c>
      <c r="BD818" s="211">
        <v>2432</v>
      </c>
      <c r="BE818" s="211">
        <v>4472</v>
      </c>
      <c r="BF818" s="211">
        <v>3637</v>
      </c>
      <c r="BG818" s="211">
        <v>3082</v>
      </c>
      <c r="BH818" s="211">
        <v>3694</v>
      </c>
      <c r="BI818" s="211">
        <v>3503</v>
      </c>
      <c r="BJ818" s="211" t="s">
        <v>655</v>
      </c>
      <c r="BK818" s="211">
        <v>636</v>
      </c>
      <c r="BL818" s="211">
        <v>4163</v>
      </c>
      <c r="BM818" s="211">
        <v>521</v>
      </c>
      <c r="BO818" s="28">
        <f t="shared" si="91"/>
        <v>2786.090909090909</v>
      </c>
      <c r="BP818" s="28">
        <f t="shared" si="92"/>
        <v>30647</v>
      </c>
    </row>
    <row r="819" spans="22:68" x14ac:dyDescent="0.25">
      <c r="V819" s="178"/>
      <c r="W819" s="174"/>
      <c r="X819" s="179"/>
      <c r="Y819" s="247"/>
      <c r="Z819" s="248"/>
      <c r="AA819" s="294" t="str">
        <f t="shared" si="85"/>
        <v/>
      </c>
      <c r="AB819" s="219" t="str">
        <f t="shared" si="83"/>
        <v/>
      </c>
      <c r="AC819" s="219">
        <f t="shared" si="86"/>
        <v>0</v>
      </c>
      <c r="AD819" s="219">
        <f t="shared" si="87"/>
        <v>0</v>
      </c>
      <c r="AE819" s="220">
        <f t="shared" si="88"/>
        <v>0</v>
      </c>
      <c r="AF819" s="221">
        <f t="shared" si="89"/>
        <v>0</v>
      </c>
      <c r="AG819" s="204"/>
      <c r="AH819" s="178"/>
      <c r="AI819" s="174"/>
      <c r="AJ819" s="179"/>
      <c r="AK819" s="247"/>
      <c r="AL819" s="248"/>
      <c r="AM819" s="294" t="str">
        <f t="shared" si="93"/>
        <v/>
      </c>
      <c r="AN819" s="219" t="str">
        <f t="shared" si="84"/>
        <v/>
      </c>
      <c r="AO819" s="219">
        <f t="shared" si="94"/>
        <v>0</v>
      </c>
      <c r="AP819" s="219">
        <f t="shared" si="90"/>
        <v>0</v>
      </c>
      <c r="AQ819" s="220">
        <f t="shared" si="95"/>
        <v>0</v>
      </c>
      <c r="AR819" s="221">
        <f t="shared" si="96"/>
        <v>0</v>
      </c>
      <c r="AY819" s="628"/>
      <c r="AZ819" s="470">
        <v>0.625</v>
      </c>
      <c r="BA819" s="466">
        <v>8680447244</v>
      </c>
      <c r="BB819" s="211">
        <v>451</v>
      </c>
      <c r="BC819" s="211">
        <v>422</v>
      </c>
      <c r="BD819" s="211">
        <v>489</v>
      </c>
      <c r="BE819" s="211">
        <v>566</v>
      </c>
      <c r="BF819" s="211">
        <v>582</v>
      </c>
      <c r="BG819" s="211">
        <v>1995</v>
      </c>
      <c r="BH819" s="211">
        <v>4278</v>
      </c>
      <c r="BI819" s="211">
        <v>170</v>
      </c>
      <c r="BJ819" s="211">
        <v>7349</v>
      </c>
      <c r="BK819" s="211">
        <v>1358</v>
      </c>
      <c r="BL819" s="211">
        <v>492</v>
      </c>
      <c r="BM819" s="211">
        <v>516</v>
      </c>
      <c r="BO819" s="28">
        <f t="shared" si="91"/>
        <v>1555.6666666666667</v>
      </c>
      <c r="BP819" s="28">
        <f t="shared" si="92"/>
        <v>18668</v>
      </c>
    </row>
    <row r="820" spans="22:68" x14ac:dyDescent="0.25">
      <c r="V820" s="178"/>
      <c r="W820" s="174"/>
      <c r="X820" s="179"/>
      <c r="Y820" s="247"/>
      <c r="Z820" s="248"/>
      <c r="AA820" s="294" t="str">
        <f t="shared" si="85"/>
        <v/>
      </c>
      <c r="AB820" s="219" t="str">
        <f t="shared" si="83"/>
        <v/>
      </c>
      <c r="AC820" s="219">
        <f t="shared" si="86"/>
        <v>0</v>
      </c>
      <c r="AD820" s="219">
        <f t="shared" si="87"/>
        <v>0</v>
      </c>
      <c r="AE820" s="220">
        <f t="shared" si="88"/>
        <v>0</v>
      </c>
      <c r="AF820" s="221">
        <f t="shared" si="89"/>
        <v>0</v>
      </c>
      <c r="AG820" s="204"/>
      <c r="AH820" s="178"/>
      <c r="AI820" s="174"/>
      <c r="AJ820" s="179"/>
      <c r="AK820" s="247"/>
      <c r="AL820" s="248"/>
      <c r="AM820" s="294" t="str">
        <f t="shared" si="93"/>
        <v/>
      </c>
      <c r="AN820" s="219" t="str">
        <f t="shared" si="84"/>
        <v/>
      </c>
      <c r="AO820" s="219">
        <f t="shared" si="94"/>
        <v>0</v>
      </c>
      <c r="AP820" s="219">
        <f t="shared" si="90"/>
        <v>0</v>
      </c>
      <c r="AQ820" s="220">
        <f t="shared" si="95"/>
        <v>0</v>
      </c>
      <c r="AR820" s="221">
        <f t="shared" si="96"/>
        <v>0</v>
      </c>
      <c r="AY820" s="628"/>
      <c r="AZ820" s="470">
        <v>0.75</v>
      </c>
      <c r="BA820" s="466">
        <v>5930418785</v>
      </c>
      <c r="BB820" s="211">
        <v>206</v>
      </c>
      <c r="BC820" s="211">
        <v>470</v>
      </c>
      <c r="BD820" s="211">
        <v>489</v>
      </c>
      <c r="BE820" s="211">
        <v>614</v>
      </c>
      <c r="BF820" s="211">
        <v>752</v>
      </c>
      <c r="BG820" s="211">
        <v>506</v>
      </c>
      <c r="BH820" s="211">
        <v>285</v>
      </c>
      <c r="BI820" s="211">
        <v>2031</v>
      </c>
      <c r="BJ820" s="211">
        <v>1935</v>
      </c>
      <c r="BK820" s="211">
        <v>853</v>
      </c>
      <c r="BL820" s="211">
        <v>558</v>
      </c>
      <c r="BM820" s="211">
        <v>225</v>
      </c>
      <c r="BO820" s="28">
        <f t="shared" si="91"/>
        <v>743.66666666666663</v>
      </c>
      <c r="BP820" s="28">
        <f t="shared" si="92"/>
        <v>8924</v>
      </c>
    </row>
    <row r="821" spans="22:68" x14ac:dyDescent="0.25">
      <c r="V821" s="178"/>
      <c r="W821" s="174"/>
      <c r="X821" s="179"/>
      <c r="Y821" s="247"/>
      <c r="Z821" s="248"/>
      <c r="AA821" s="294" t="str">
        <f t="shared" si="85"/>
        <v/>
      </c>
      <c r="AB821" s="219" t="str">
        <f t="shared" si="83"/>
        <v/>
      </c>
      <c r="AC821" s="219">
        <f t="shared" si="86"/>
        <v>0</v>
      </c>
      <c r="AD821" s="219">
        <f t="shared" si="87"/>
        <v>0</v>
      </c>
      <c r="AE821" s="220">
        <f t="shared" si="88"/>
        <v>0</v>
      </c>
      <c r="AF821" s="221">
        <f t="shared" si="89"/>
        <v>0</v>
      </c>
      <c r="AG821" s="204"/>
      <c r="AH821" s="178"/>
      <c r="AI821" s="174"/>
      <c r="AJ821" s="179"/>
      <c r="AK821" s="247"/>
      <c r="AL821" s="248"/>
      <c r="AM821" s="294" t="str">
        <f t="shared" si="93"/>
        <v/>
      </c>
      <c r="AN821" s="219" t="str">
        <f t="shared" si="84"/>
        <v/>
      </c>
      <c r="AO821" s="219">
        <f t="shared" si="94"/>
        <v>0</v>
      </c>
      <c r="AP821" s="219">
        <f t="shared" si="90"/>
        <v>0</v>
      </c>
      <c r="AQ821" s="220">
        <f t="shared" si="95"/>
        <v>0</v>
      </c>
      <c r="AR821" s="221">
        <f t="shared" si="96"/>
        <v>0</v>
      </c>
      <c r="AY821" s="628"/>
      <c r="AZ821" s="470">
        <v>0.75</v>
      </c>
      <c r="BA821" s="466" t="s">
        <v>709</v>
      </c>
      <c r="BB821" s="211">
        <v>1497</v>
      </c>
      <c r="BC821" s="211">
        <v>1159</v>
      </c>
      <c r="BD821" s="211">
        <v>897</v>
      </c>
      <c r="BE821" s="211">
        <v>1191</v>
      </c>
      <c r="BF821" s="211">
        <v>1020</v>
      </c>
      <c r="BG821" s="211">
        <v>1103</v>
      </c>
      <c r="BH821" s="211">
        <v>2338</v>
      </c>
      <c r="BI821" s="211">
        <v>2052</v>
      </c>
      <c r="BJ821" s="211">
        <v>432</v>
      </c>
      <c r="BK821" s="211">
        <v>1403</v>
      </c>
      <c r="BL821" s="211">
        <v>1830</v>
      </c>
      <c r="BM821" s="211">
        <v>962</v>
      </c>
      <c r="BO821" s="28">
        <f t="shared" si="91"/>
        <v>1323.6666666666667</v>
      </c>
      <c r="BP821" s="28">
        <f t="shared" si="92"/>
        <v>15884</v>
      </c>
    </row>
    <row r="822" spans="22:68" x14ac:dyDescent="0.25">
      <c r="V822" s="178"/>
      <c r="W822" s="174"/>
      <c r="X822" s="179"/>
      <c r="Y822" s="247"/>
      <c r="Z822" s="248"/>
      <c r="AA822" s="294" t="str">
        <f t="shared" si="85"/>
        <v/>
      </c>
      <c r="AB822" s="219" t="str">
        <f t="shared" si="83"/>
        <v/>
      </c>
      <c r="AC822" s="219">
        <f t="shared" si="86"/>
        <v>0</v>
      </c>
      <c r="AD822" s="219">
        <f t="shared" si="87"/>
        <v>0</v>
      </c>
      <c r="AE822" s="220">
        <f t="shared" si="88"/>
        <v>0</v>
      </c>
      <c r="AF822" s="221">
        <f t="shared" si="89"/>
        <v>0</v>
      </c>
      <c r="AG822" s="204"/>
      <c r="AH822" s="178"/>
      <c r="AI822" s="174"/>
      <c r="AJ822" s="179"/>
      <c r="AK822" s="247"/>
      <c r="AL822" s="248"/>
      <c r="AM822" s="294" t="str">
        <f t="shared" si="93"/>
        <v/>
      </c>
      <c r="AN822" s="219" t="str">
        <f t="shared" si="84"/>
        <v/>
      </c>
      <c r="AO822" s="219">
        <f t="shared" si="94"/>
        <v>0</v>
      </c>
      <c r="AP822" s="219">
        <f t="shared" si="90"/>
        <v>0</v>
      </c>
      <c r="AQ822" s="220">
        <f t="shared" si="95"/>
        <v>0</v>
      </c>
      <c r="AR822" s="221">
        <f t="shared" si="96"/>
        <v>0</v>
      </c>
      <c r="AY822" s="628"/>
      <c r="AZ822" s="470">
        <v>0.625</v>
      </c>
      <c r="BA822" s="466">
        <v>5282328874</v>
      </c>
      <c r="BB822" s="211">
        <v>498</v>
      </c>
      <c r="BC822" s="211">
        <v>437</v>
      </c>
      <c r="BD822" s="211">
        <v>466</v>
      </c>
      <c r="BE822" s="211">
        <v>474</v>
      </c>
      <c r="BF822" s="211">
        <v>407</v>
      </c>
      <c r="BG822" s="211">
        <v>528</v>
      </c>
      <c r="BH822" s="211">
        <v>635</v>
      </c>
      <c r="BI822" s="211">
        <v>480</v>
      </c>
      <c r="BJ822" s="211">
        <v>622</v>
      </c>
      <c r="BK822" s="211">
        <v>309</v>
      </c>
      <c r="BL822" s="211">
        <v>316</v>
      </c>
      <c r="BM822" s="211">
        <v>503</v>
      </c>
      <c r="BO822" s="28">
        <f t="shared" si="91"/>
        <v>472.91666666666669</v>
      </c>
      <c r="BP822" s="28">
        <f t="shared" si="92"/>
        <v>5675</v>
      </c>
    </row>
    <row r="823" spans="22:68" x14ac:dyDescent="0.25">
      <c r="V823" s="178"/>
      <c r="W823" s="174"/>
      <c r="X823" s="179"/>
      <c r="Y823" s="247"/>
      <c r="Z823" s="248"/>
      <c r="AA823" s="294" t="str">
        <f t="shared" si="85"/>
        <v/>
      </c>
      <c r="AB823" s="219" t="str">
        <f t="shared" si="83"/>
        <v/>
      </c>
      <c r="AC823" s="219">
        <f t="shared" si="86"/>
        <v>0</v>
      </c>
      <c r="AD823" s="219">
        <f t="shared" si="87"/>
        <v>0</v>
      </c>
      <c r="AE823" s="220">
        <f t="shared" si="88"/>
        <v>0</v>
      </c>
      <c r="AF823" s="221">
        <f t="shared" si="89"/>
        <v>0</v>
      </c>
      <c r="AG823" s="204"/>
      <c r="AH823" s="178"/>
      <c r="AI823" s="174"/>
      <c r="AJ823" s="179"/>
      <c r="AK823" s="247"/>
      <c r="AL823" s="248"/>
      <c r="AM823" s="294" t="str">
        <f t="shared" si="93"/>
        <v/>
      </c>
      <c r="AN823" s="219" t="str">
        <f t="shared" si="84"/>
        <v/>
      </c>
      <c r="AO823" s="219">
        <f t="shared" si="94"/>
        <v>0</v>
      </c>
      <c r="AP823" s="219">
        <f t="shared" si="90"/>
        <v>0</v>
      </c>
      <c r="AQ823" s="220">
        <f t="shared" si="95"/>
        <v>0</v>
      </c>
      <c r="AR823" s="221">
        <f t="shared" si="96"/>
        <v>0</v>
      </c>
      <c r="AY823" s="628"/>
      <c r="AZ823" s="470">
        <v>0.625</v>
      </c>
      <c r="BA823" s="466">
        <v>9150644897</v>
      </c>
      <c r="BB823" s="211">
        <v>671</v>
      </c>
      <c r="BC823" s="211">
        <v>702</v>
      </c>
      <c r="BD823" s="211">
        <v>873</v>
      </c>
      <c r="BE823" s="211">
        <v>771</v>
      </c>
      <c r="BF823" s="211">
        <v>956</v>
      </c>
      <c r="BG823" s="211">
        <v>1992</v>
      </c>
      <c r="BH823" s="211">
        <v>2587</v>
      </c>
      <c r="BI823" s="211">
        <v>1936</v>
      </c>
      <c r="BJ823" s="211">
        <v>2253</v>
      </c>
      <c r="BK823" s="211">
        <v>689</v>
      </c>
      <c r="BL823" s="211">
        <v>626</v>
      </c>
      <c r="BM823" s="211">
        <v>774</v>
      </c>
      <c r="BO823" s="28">
        <f t="shared" si="91"/>
        <v>1235.8333333333333</v>
      </c>
      <c r="BP823" s="28">
        <f t="shared" si="92"/>
        <v>14830</v>
      </c>
    </row>
    <row r="824" spans="22:68" x14ac:dyDescent="0.25">
      <c r="V824" s="178"/>
      <c r="W824" s="174"/>
      <c r="X824" s="179"/>
      <c r="Y824" s="247"/>
      <c r="Z824" s="248"/>
      <c r="AA824" s="294" t="str">
        <f t="shared" si="85"/>
        <v/>
      </c>
      <c r="AB824" s="219" t="str">
        <f t="shared" si="83"/>
        <v/>
      </c>
      <c r="AC824" s="219">
        <f t="shared" si="86"/>
        <v>0</v>
      </c>
      <c r="AD824" s="219">
        <f t="shared" si="87"/>
        <v>0</v>
      </c>
      <c r="AE824" s="220">
        <f t="shared" si="88"/>
        <v>0</v>
      </c>
      <c r="AF824" s="221">
        <f t="shared" si="89"/>
        <v>0</v>
      </c>
      <c r="AG824" s="204"/>
      <c r="AH824" s="178"/>
      <c r="AI824" s="174"/>
      <c r="AJ824" s="179"/>
      <c r="AK824" s="247"/>
      <c r="AL824" s="248"/>
      <c r="AM824" s="294" t="str">
        <f t="shared" si="93"/>
        <v/>
      </c>
      <c r="AN824" s="219" t="str">
        <f t="shared" si="84"/>
        <v/>
      </c>
      <c r="AO824" s="219">
        <f t="shared" si="94"/>
        <v>0</v>
      </c>
      <c r="AP824" s="219">
        <f t="shared" si="90"/>
        <v>0</v>
      </c>
      <c r="AQ824" s="220">
        <f t="shared" si="95"/>
        <v>0</v>
      </c>
      <c r="AR824" s="221">
        <f t="shared" si="96"/>
        <v>0</v>
      </c>
      <c r="AY824" s="628"/>
      <c r="AZ824" s="470">
        <v>0.625</v>
      </c>
      <c r="BA824" s="466">
        <v>3882818073</v>
      </c>
      <c r="BB824" s="211">
        <v>322</v>
      </c>
      <c r="BC824" s="211">
        <v>418</v>
      </c>
      <c r="BD824" s="211">
        <v>828</v>
      </c>
      <c r="BE824" s="211">
        <v>1526</v>
      </c>
      <c r="BF824" s="211">
        <v>2495</v>
      </c>
      <c r="BG824" s="211">
        <v>2724</v>
      </c>
      <c r="BH824" s="211">
        <v>5107</v>
      </c>
      <c r="BI824" s="211">
        <v>4253</v>
      </c>
      <c r="BJ824" s="211">
        <v>2519</v>
      </c>
      <c r="BK824" s="211">
        <v>1488</v>
      </c>
      <c r="BL824" s="211">
        <v>385</v>
      </c>
      <c r="BM824" s="211">
        <v>1080</v>
      </c>
      <c r="BO824" s="28">
        <f t="shared" si="91"/>
        <v>1928.75</v>
      </c>
      <c r="BP824" s="28">
        <f t="shared" si="92"/>
        <v>23145</v>
      </c>
    </row>
    <row r="825" spans="22:68" x14ac:dyDescent="0.25">
      <c r="V825" s="178"/>
      <c r="W825" s="174"/>
      <c r="X825" s="179"/>
      <c r="Y825" s="247"/>
      <c r="Z825" s="248"/>
      <c r="AA825" s="294" t="str">
        <f t="shared" si="85"/>
        <v/>
      </c>
      <c r="AB825" s="219" t="str">
        <f t="shared" si="83"/>
        <v/>
      </c>
      <c r="AC825" s="219">
        <f t="shared" si="86"/>
        <v>0</v>
      </c>
      <c r="AD825" s="219">
        <f t="shared" si="87"/>
        <v>0</v>
      </c>
      <c r="AE825" s="220">
        <f t="shared" si="88"/>
        <v>0</v>
      </c>
      <c r="AF825" s="221">
        <f t="shared" si="89"/>
        <v>0</v>
      </c>
      <c r="AG825" s="204"/>
      <c r="AH825" s="178"/>
      <c r="AI825" s="174"/>
      <c r="AJ825" s="179"/>
      <c r="AK825" s="247"/>
      <c r="AL825" s="248"/>
      <c r="AM825" s="294" t="str">
        <f t="shared" si="93"/>
        <v/>
      </c>
      <c r="AN825" s="219" t="str">
        <f t="shared" si="84"/>
        <v/>
      </c>
      <c r="AO825" s="219">
        <f t="shared" si="94"/>
        <v>0</v>
      </c>
      <c r="AP825" s="219">
        <f t="shared" si="90"/>
        <v>0</v>
      </c>
      <c r="AQ825" s="220">
        <f t="shared" si="95"/>
        <v>0</v>
      </c>
      <c r="AR825" s="221">
        <f t="shared" si="96"/>
        <v>0</v>
      </c>
      <c r="AY825" s="628"/>
      <c r="AZ825" s="470">
        <v>0.75</v>
      </c>
      <c r="BA825" s="466">
        <v>5542628679</v>
      </c>
      <c r="BB825" s="211">
        <v>26</v>
      </c>
      <c r="BC825" s="211">
        <v>346</v>
      </c>
      <c r="BD825" s="211">
        <v>1230</v>
      </c>
      <c r="BE825" s="211">
        <v>1250</v>
      </c>
      <c r="BF825" s="211">
        <v>1012</v>
      </c>
      <c r="BG825" s="211">
        <v>1237</v>
      </c>
      <c r="BH825" s="211">
        <v>743</v>
      </c>
      <c r="BI825" s="211">
        <v>14360</v>
      </c>
      <c r="BJ825" s="211">
        <v>16324</v>
      </c>
      <c r="BK825" s="211">
        <v>460</v>
      </c>
      <c r="BL825" s="211">
        <v>393</v>
      </c>
      <c r="BM825" s="211">
        <v>383</v>
      </c>
      <c r="BO825" s="28">
        <f t="shared" si="91"/>
        <v>3147</v>
      </c>
      <c r="BP825" s="28">
        <f t="shared" si="92"/>
        <v>37764</v>
      </c>
    </row>
    <row r="826" spans="22:68" x14ac:dyDescent="0.25">
      <c r="V826" s="178"/>
      <c r="W826" s="174"/>
      <c r="X826" s="179"/>
      <c r="Y826" s="247"/>
      <c r="Z826" s="248"/>
      <c r="AA826" s="294" t="str">
        <f t="shared" si="85"/>
        <v/>
      </c>
      <c r="AB826" s="219" t="str">
        <f t="shared" si="83"/>
        <v/>
      </c>
      <c r="AC826" s="219">
        <f t="shared" si="86"/>
        <v>0</v>
      </c>
      <c r="AD826" s="219">
        <f t="shared" si="87"/>
        <v>0</v>
      </c>
      <c r="AE826" s="220">
        <f t="shared" si="88"/>
        <v>0</v>
      </c>
      <c r="AF826" s="221">
        <f t="shared" si="89"/>
        <v>0</v>
      </c>
      <c r="AG826" s="204"/>
      <c r="AH826" s="178"/>
      <c r="AI826" s="174"/>
      <c r="AJ826" s="179"/>
      <c r="AK826" s="247"/>
      <c r="AL826" s="248"/>
      <c r="AM826" s="294" t="str">
        <f t="shared" si="93"/>
        <v/>
      </c>
      <c r="AN826" s="219" t="str">
        <f t="shared" si="84"/>
        <v/>
      </c>
      <c r="AO826" s="219">
        <f t="shared" si="94"/>
        <v>0</v>
      </c>
      <c r="AP826" s="219">
        <f t="shared" si="90"/>
        <v>0</v>
      </c>
      <c r="AQ826" s="220">
        <f t="shared" si="95"/>
        <v>0</v>
      </c>
      <c r="AR826" s="221">
        <f t="shared" si="96"/>
        <v>0</v>
      </c>
      <c r="AY826" s="628"/>
      <c r="AZ826" s="470">
        <v>0.625</v>
      </c>
      <c r="BA826" s="466">
        <v>2464737429</v>
      </c>
      <c r="BB826" s="211">
        <v>566</v>
      </c>
      <c r="BC826" s="211">
        <v>493</v>
      </c>
      <c r="BD826" s="211">
        <v>334</v>
      </c>
      <c r="BE826" s="211">
        <v>517</v>
      </c>
      <c r="BF826" s="211">
        <v>380</v>
      </c>
      <c r="BG826" s="211">
        <v>319</v>
      </c>
      <c r="BH826" s="211">
        <v>291</v>
      </c>
      <c r="BI826" s="211">
        <v>100</v>
      </c>
      <c r="BJ826" s="211">
        <v>606</v>
      </c>
      <c r="BK826" s="211">
        <v>345</v>
      </c>
      <c r="BL826" s="211">
        <v>249</v>
      </c>
      <c r="BM826" s="211">
        <v>352</v>
      </c>
      <c r="BO826" s="28">
        <f t="shared" si="91"/>
        <v>379.33333333333331</v>
      </c>
      <c r="BP826" s="28">
        <f t="shared" si="92"/>
        <v>4552</v>
      </c>
    </row>
    <row r="827" spans="22:68" x14ac:dyDescent="0.25">
      <c r="V827" s="178"/>
      <c r="W827" s="174"/>
      <c r="X827" s="179"/>
      <c r="Y827" s="247"/>
      <c r="Z827" s="248"/>
      <c r="AA827" s="294" t="str">
        <f t="shared" si="85"/>
        <v/>
      </c>
      <c r="AB827" s="219" t="str">
        <f t="shared" si="83"/>
        <v/>
      </c>
      <c r="AC827" s="219">
        <f t="shared" si="86"/>
        <v>0</v>
      </c>
      <c r="AD827" s="219">
        <f t="shared" si="87"/>
        <v>0</v>
      </c>
      <c r="AE827" s="220">
        <f t="shared" si="88"/>
        <v>0</v>
      </c>
      <c r="AF827" s="221">
        <f t="shared" si="89"/>
        <v>0</v>
      </c>
      <c r="AG827" s="204"/>
      <c r="AH827" s="178"/>
      <c r="AI827" s="174"/>
      <c r="AJ827" s="179"/>
      <c r="AK827" s="247"/>
      <c r="AL827" s="248"/>
      <c r="AM827" s="294" t="str">
        <f t="shared" si="93"/>
        <v/>
      </c>
      <c r="AN827" s="219" t="str">
        <f t="shared" si="84"/>
        <v/>
      </c>
      <c r="AO827" s="219">
        <f t="shared" si="94"/>
        <v>0</v>
      </c>
      <c r="AP827" s="219">
        <f t="shared" si="90"/>
        <v>0</v>
      </c>
      <c r="AQ827" s="220">
        <f t="shared" si="95"/>
        <v>0</v>
      </c>
      <c r="AR827" s="221">
        <f t="shared" si="96"/>
        <v>0</v>
      </c>
      <c r="AY827" s="628"/>
      <c r="AZ827" s="470">
        <v>0.75</v>
      </c>
      <c r="BA827" s="466">
        <v>6719526963</v>
      </c>
      <c r="BB827" s="211">
        <v>98</v>
      </c>
      <c r="BC827" s="211">
        <v>167</v>
      </c>
      <c r="BD827" s="211">
        <v>190</v>
      </c>
      <c r="BE827" s="211">
        <v>255</v>
      </c>
      <c r="BF827" s="211">
        <v>213</v>
      </c>
      <c r="BG827" s="211">
        <v>224</v>
      </c>
      <c r="BH827" s="211">
        <v>539</v>
      </c>
      <c r="BI827" s="211">
        <v>586</v>
      </c>
      <c r="BJ827" s="211">
        <v>283</v>
      </c>
      <c r="BK827" s="211">
        <v>125</v>
      </c>
      <c r="BL827" s="211">
        <v>195</v>
      </c>
      <c r="BM827" s="211">
        <v>22</v>
      </c>
      <c r="BO827" s="28">
        <f t="shared" si="91"/>
        <v>241.41666666666666</v>
      </c>
      <c r="BP827" s="28">
        <f t="shared" si="92"/>
        <v>2897</v>
      </c>
    </row>
    <row r="828" spans="22:68" x14ac:dyDescent="0.25">
      <c r="V828" s="178"/>
      <c r="W828" s="174"/>
      <c r="X828" s="179"/>
      <c r="Y828" s="247"/>
      <c r="Z828" s="248"/>
      <c r="AA828" s="294" t="str">
        <f t="shared" si="85"/>
        <v/>
      </c>
      <c r="AB828" s="219" t="str">
        <f t="shared" si="83"/>
        <v/>
      </c>
      <c r="AC828" s="219">
        <f t="shared" si="86"/>
        <v>0</v>
      </c>
      <c r="AD828" s="219">
        <f t="shared" si="87"/>
        <v>0</v>
      </c>
      <c r="AE828" s="220">
        <f t="shared" si="88"/>
        <v>0</v>
      </c>
      <c r="AF828" s="221">
        <f t="shared" si="89"/>
        <v>0</v>
      </c>
      <c r="AG828" s="204"/>
      <c r="AH828" s="178"/>
      <c r="AI828" s="174"/>
      <c r="AJ828" s="179"/>
      <c r="AK828" s="247"/>
      <c r="AL828" s="248"/>
      <c r="AM828" s="294" t="str">
        <f t="shared" si="93"/>
        <v/>
      </c>
      <c r="AN828" s="219" t="str">
        <f t="shared" si="84"/>
        <v/>
      </c>
      <c r="AO828" s="219">
        <f t="shared" si="94"/>
        <v>0</v>
      </c>
      <c r="AP828" s="219">
        <f t="shared" si="90"/>
        <v>0</v>
      </c>
      <c r="AQ828" s="220">
        <f t="shared" si="95"/>
        <v>0</v>
      </c>
      <c r="AR828" s="221">
        <f t="shared" si="96"/>
        <v>0</v>
      </c>
      <c r="AY828" s="628"/>
      <c r="AZ828" s="470">
        <v>0.75</v>
      </c>
      <c r="BA828" s="466">
        <v>3825409277</v>
      </c>
      <c r="BB828" s="211">
        <v>2861</v>
      </c>
      <c r="BC828" s="211">
        <v>2856</v>
      </c>
      <c r="BD828" s="211">
        <v>622</v>
      </c>
      <c r="BE828" s="211">
        <v>868</v>
      </c>
      <c r="BF828" s="211">
        <v>393</v>
      </c>
      <c r="BG828" s="211">
        <v>2606</v>
      </c>
      <c r="BH828" s="211">
        <v>2766</v>
      </c>
      <c r="BI828" s="211">
        <v>2592</v>
      </c>
      <c r="BJ828" s="211">
        <v>2953</v>
      </c>
      <c r="BK828" s="211">
        <v>4800</v>
      </c>
      <c r="BL828" s="211">
        <v>800</v>
      </c>
      <c r="BM828" s="211">
        <v>2200</v>
      </c>
      <c r="BO828" s="28">
        <f t="shared" si="91"/>
        <v>2193.0833333333335</v>
      </c>
      <c r="BP828" s="28">
        <f t="shared" si="92"/>
        <v>26317</v>
      </c>
    </row>
    <row r="829" spans="22:68" x14ac:dyDescent="0.25">
      <c r="V829" s="178"/>
      <c r="W829" s="174"/>
      <c r="X829" s="179"/>
      <c r="Y829" s="247"/>
      <c r="Z829" s="248"/>
      <c r="AA829" s="294" t="str">
        <f t="shared" si="85"/>
        <v/>
      </c>
      <c r="AB829" s="219" t="str">
        <f t="shared" si="83"/>
        <v/>
      </c>
      <c r="AC829" s="219">
        <f t="shared" si="86"/>
        <v>0</v>
      </c>
      <c r="AD829" s="219">
        <f t="shared" si="87"/>
        <v>0</v>
      </c>
      <c r="AE829" s="220">
        <f t="shared" si="88"/>
        <v>0</v>
      </c>
      <c r="AF829" s="221">
        <f t="shared" si="89"/>
        <v>0</v>
      </c>
      <c r="AG829" s="204"/>
      <c r="AH829" s="178"/>
      <c r="AI829" s="174"/>
      <c r="AJ829" s="179"/>
      <c r="AK829" s="247"/>
      <c r="AL829" s="248"/>
      <c r="AM829" s="294" t="str">
        <f t="shared" si="93"/>
        <v/>
      </c>
      <c r="AN829" s="219" t="str">
        <f t="shared" si="84"/>
        <v/>
      </c>
      <c r="AO829" s="219">
        <f t="shared" si="94"/>
        <v>0</v>
      </c>
      <c r="AP829" s="219">
        <f t="shared" si="90"/>
        <v>0</v>
      </c>
      <c r="AQ829" s="220">
        <f t="shared" si="95"/>
        <v>0</v>
      </c>
      <c r="AR829" s="221">
        <f t="shared" si="96"/>
        <v>0</v>
      </c>
      <c r="AY829" s="628"/>
      <c r="AZ829" s="470">
        <v>0.75</v>
      </c>
      <c r="BA829" s="466">
        <v>2674811378</v>
      </c>
      <c r="BB829" s="211">
        <v>422</v>
      </c>
      <c r="BC829" s="211">
        <v>367</v>
      </c>
      <c r="BD829" s="211">
        <v>469</v>
      </c>
      <c r="BE829" s="211">
        <v>583</v>
      </c>
      <c r="BF829" s="211">
        <v>371</v>
      </c>
      <c r="BG829" s="211">
        <v>418</v>
      </c>
      <c r="BH829" s="211">
        <v>1751</v>
      </c>
      <c r="BI829" s="211">
        <v>1808</v>
      </c>
      <c r="BJ829" s="211">
        <v>830</v>
      </c>
      <c r="BK829" s="211">
        <v>416</v>
      </c>
      <c r="BL829" s="211">
        <v>322</v>
      </c>
      <c r="BM829" s="211">
        <v>400</v>
      </c>
      <c r="BO829" s="28">
        <f t="shared" si="91"/>
        <v>679.75</v>
      </c>
      <c r="BP829" s="28">
        <f t="shared" si="92"/>
        <v>8157</v>
      </c>
    </row>
    <row r="830" spans="22:68" x14ac:dyDescent="0.25">
      <c r="V830" s="178"/>
      <c r="W830" s="174"/>
      <c r="X830" s="179"/>
      <c r="Y830" s="247"/>
      <c r="Z830" s="248"/>
      <c r="AA830" s="294" t="str">
        <f t="shared" si="85"/>
        <v/>
      </c>
      <c r="AB830" s="219" t="str">
        <f t="shared" si="83"/>
        <v/>
      </c>
      <c r="AC830" s="219">
        <f t="shared" si="86"/>
        <v>0</v>
      </c>
      <c r="AD830" s="219">
        <f t="shared" si="87"/>
        <v>0</v>
      </c>
      <c r="AE830" s="220">
        <f t="shared" si="88"/>
        <v>0</v>
      </c>
      <c r="AF830" s="221">
        <f t="shared" si="89"/>
        <v>0</v>
      </c>
      <c r="AG830" s="204"/>
      <c r="AH830" s="178"/>
      <c r="AI830" s="174"/>
      <c r="AJ830" s="179"/>
      <c r="AK830" s="247"/>
      <c r="AL830" s="248"/>
      <c r="AM830" s="294" t="str">
        <f t="shared" si="93"/>
        <v/>
      </c>
      <c r="AN830" s="219" t="str">
        <f t="shared" si="84"/>
        <v/>
      </c>
      <c r="AO830" s="219">
        <f t="shared" si="94"/>
        <v>0</v>
      </c>
      <c r="AP830" s="219">
        <f t="shared" si="90"/>
        <v>0</v>
      </c>
      <c r="AQ830" s="220">
        <f t="shared" si="95"/>
        <v>0</v>
      </c>
      <c r="AR830" s="221">
        <f t="shared" si="96"/>
        <v>0</v>
      </c>
      <c r="AY830" s="628"/>
      <c r="AZ830" s="470">
        <v>0.75</v>
      </c>
      <c r="BA830" s="466">
        <v>7726128198</v>
      </c>
      <c r="BB830" s="211">
        <v>652</v>
      </c>
      <c r="BC830" s="211">
        <v>381</v>
      </c>
      <c r="BD830" s="211">
        <v>520</v>
      </c>
      <c r="BE830" s="211">
        <v>400</v>
      </c>
      <c r="BF830" s="211">
        <v>409</v>
      </c>
      <c r="BG830" s="211">
        <v>445</v>
      </c>
      <c r="BH830" s="211">
        <v>602</v>
      </c>
      <c r="BI830" s="211">
        <v>473</v>
      </c>
      <c r="BJ830" s="211">
        <v>581</v>
      </c>
      <c r="BK830" s="211">
        <v>261</v>
      </c>
      <c r="BL830" s="211">
        <v>300</v>
      </c>
      <c r="BM830" s="211">
        <v>591</v>
      </c>
      <c r="BO830" s="28">
        <f t="shared" si="91"/>
        <v>467.91666666666669</v>
      </c>
      <c r="BP830" s="28">
        <f t="shared" si="92"/>
        <v>5615</v>
      </c>
    </row>
    <row r="831" spans="22:68" x14ac:dyDescent="0.25">
      <c r="V831" s="178"/>
      <c r="W831" s="174"/>
      <c r="X831" s="179"/>
      <c r="Y831" s="247"/>
      <c r="Z831" s="248"/>
      <c r="AA831" s="294" t="str">
        <f t="shared" si="85"/>
        <v/>
      </c>
      <c r="AB831" s="219" t="str">
        <f t="shared" si="83"/>
        <v/>
      </c>
      <c r="AC831" s="219">
        <f t="shared" si="86"/>
        <v>0</v>
      </c>
      <c r="AD831" s="219">
        <f t="shared" si="87"/>
        <v>0</v>
      </c>
      <c r="AE831" s="220">
        <f t="shared" si="88"/>
        <v>0</v>
      </c>
      <c r="AF831" s="221">
        <f t="shared" si="89"/>
        <v>0</v>
      </c>
      <c r="AG831" s="204"/>
      <c r="AH831" s="178"/>
      <c r="AI831" s="174"/>
      <c r="AJ831" s="179"/>
      <c r="AK831" s="247"/>
      <c r="AL831" s="248"/>
      <c r="AM831" s="294" t="str">
        <f t="shared" si="93"/>
        <v/>
      </c>
      <c r="AN831" s="219" t="str">
        <f t="shared" si="84"/>
        <v/>
      </c>
      <c r="AO831" s="219">
        <f t="shared" si="94"/>
        <v>0</v>
      </c>
      <c r="AP831" s="219">
        <f t="shared" si="90"/>
        <v>0</v>
      </c>
      <c r="AQ831" s="220">
        <f t="shared" si="95"/>
        <v>0</v>
      </c>
      <c r="AR831" s="221">
        <f t="shared" si="96"/>
        <v>0</v>
      </c>
      <c r="AY831" s="628"/>
      <c r="AZ831" s="470">
        <v>0.75</v>
      </c>
      <c r="BA831" s="466">
        <v>5106240164</v>
      </c>
      <c r="BB831" s="211">
        <v>598</v>
      </c>
      <c r="BC831" s="211">
        <v>567</v>
      </c>
      <c r="BD831" s="211">
        <v>667</v>
      </c>
      <c r="BE831" s="211">
        <v>710</v>
      </c>
      <c r="BF831" s="211">
        <v>542</v>
      </c>
      <c r="BG831" s="211">
        <v>625</v>
      </c>
      <c r="BH831" s="211">
        <v>877</v>
      </c>
      <c r="BI831" s="211">
        <v>1527</v>
      </c>
      <c r="BJ831" s="211">
        <v>956</v>
      </c>
      <c r="BK831" s="211">
        <v>635</v>
      </c>
      <c r="BL831" s="211">
        <v>580</v>
      </c>
      <c r="BM831" s="211">
        <v>657</v>
      </c>
      <c r="BO831" s="28">
        <f t="shared" si="91"/>
        <v>745.08333333333337</v>
      </c>
      <c r="BP831" s="28">
        <f t="shared" si="92"/>
        <v>8941</v>
      </c>
    </row>
    <row r="832" spans="22:68" x14ac:dyDescent="0.25">
      <c r="V832" s="178"/>
      <c r="W832" s="174"/>
      <c r="X832" s="179"/>
      <c r="Y832" s="247"/>
      <c r="Z832" s="248"/>
      <c r="AA832" s="294" t="str">
        <f t="shared" si="85"/>
        <v/>
      </c>
      <c r="AB832" s="219" t="str">
        <f t="shared" si="83"/>
        <v/>
      </c>
      <c r="AC832" s="219">
        <f t="shared" si="86"/>
        <v>0</v>
      </c>
      <c r="AD832" s="219">
        <f t="shared" si="87"/>
        <v>0</v>
      </c>
      <c r="AE832" s="220">
        <f t="shared" si="88"/>
        <v>0</v>
      </c>
      <c r="AF832" s="221">
        <f t="shared" si="89"/>
        <v>0</v>
      </c>
      <c r="AG832" s="204"/>
      <c r="AH832" s="178"/>
      <c r="AI832" s="174"/>
      <c r="AJ832" s="179"/>
      <c r="AK832" s="247"/>
      <c r="AL832" s="248"/>
      <c r="AM832" s="294" t="str">
        <f t="shared" si="93"/>
        <v/>
      </c>
      <c r="AN832" s="219" t="str">
        <f t="shared" si="84"/>
        <v/>
      </c>
      <c r="AO832" s="219">
        <f t="shared" si="94"/>
        <v>0</v>
      </c>
      <c r="AP832" s="219">
        <f t="shared" si="90"/>
        <v>0</v>
      </c>
      <c r="AQ832" s="220">
        <f t="shared" si="95"/>
        <v>0</v>
      </c>
      <c r="AR832" s="221">
        <f t="shared" si="96"/>
        <v>0</v>
      </c>
      <c r="AY832" s="628"/>
      <c r="AZ832" s="470">
        <v>0.75</v>
      </c>
      <c r="BA832" s="466">
        <v>7256854754</v>
      </c>
      <c r="BB832" s="211">
        <v>599</v>
      </c>
      <c r="BC832" s="211">
        <v>608</v>
      </c>
      <c r="BD832" s="211">
        <v>618</v>
      </c>
      <c r="BE832" s="211">
        <v>856</v>
      </c>
      <c r="BF832" s="211">
        <v>657</v>
      </c>
      <c r="BG832" s="211">
        <v>575</v>
      </c>
      <c r="BH832" s="211">
        <v>1071</v>
      </c>
      <c r="BI832" s="211">
        <v>1701</v>
      </c>
      <c r="BJ832" s="211">
        <v>756</v>
      </c>
      <c r="BK832" s="211">
        <v>650</v>
      </c>
      <c r="BL832" s="211">
        <v>594</v>
      </c>
      <c r="BM832" s="211">
        <v>757</v>
      </c>
      <c r="BO832" s="28">
        <f t="shared" si="91"/>
        <v>786.83333333333337</v>
      </c>
      <c r="BP832" s="28">
        <f t="shared" si="92"/>
        <v>9442</v>
      </c>
    </row>
    <row r="833" spans="22:68" x14ac:dyDescent="0.25">
      <c r="V833" s="178"/>
      <c r="W833" s="174"/>
      <c r="X833" s="179"/>
      <c r="Y833" s="247"/>
      <c r="Z833" s="248"/>
      <c r="AA833" s="294" t="str">
        <f t="shared" si="85"/>
        <v/>
      </c>
      <c r="AB833" s="219" t="str">
        <f t="shared" si="83"/>
        <v/>
      </c>
      <c r="AC833" s="219">
        <f t="shared" si="86"/>
        <v>0</v>
      </c>
      <c r="AD833" s="219">
        <f t="shared" si="87"/>
        <v>0</v>
      </c>
      <c r="AE833" s="220">
        <f t="shared" si="88"/>
        <v>0</v>
      </c>
      <c r="AF833" s="221">
        <f t="shared" si="89"/>
        <v>0</v>
      </c>
      <c r="AG833" s="204"/>
      <c r="AH833" s="178"/>
      <c r="AI833" s="174"/>
      <c r="AJ833" s="179"/>
      <c r="AK833" s="247"/>
      <c r="AL833" s="248"/>
      <c r="AM833" s="294" t="str">
        <f t="shared" si="93"/>
        <v/>
      </c>
      <c r="AN833" s="219" t="str">
        <f t="shared" si="84"/>
        <v/>
      </c>
      <c r="AO833" s="219">
        <f t="shared" si="94"/>
        <v>0</v>
      </c>
      <c r="AP833" s="219">
        <f t="shared" si="90"/>
        <v>0</v>
      </c>
      <c r="AQ833" s="220">
        <f t="shared" si="95"/>
        <v>0</v>
      </c>
      <c r="AR833" s="221">
        <f t="shared" si="96"/>
        <v>0</v>
      </c>
      <c r="AY833" s="628"/>
      <c r="AZ833" s="470">
        <v>0.75</v>
      </c>
      <c r="BA833" s="466">
        <v>1043026681</v>
      </c>
      <c r="BB833" s="211">
        <v>17</v>
      </c>
      <c r="BC833" s="211">
        <v>40</v>
      </c>
      <c r="BD833" s="211">
        <v>100</v>
      </c>
      <c r="BE833" s="211">
        <v>9</v>
      </c>
      <c r="BF833" s="211">
        <v>46</v>
      </c>
      <c r="BG833" s="211">
        <v>37</v>
      </c>
      <c r="BH833" s="211">
        <v>42</v>
      </c>
      <c r="BI833" s="211">
        <v>23</v>
      </c>
      <c r="BJ833" s="211">
        <v>35</v>
      </c>
      <c r="BK833" s="211" t="s">
        <v>655</v>
      </c>
      <c r="BL833" s="211">
        <v>28</v>
      </c>
      <c r="BM833" s="211">
        <v>160</v>
      </c>
      <c r="BO833" s="28">
        <f t="shared" si="91"/>
        <v>48.81818181818182</v>
      </c>
      <c r="BP833" s="28">
        <f t="shared" si="92"/>
        <v>537</v>
      </c>
    </row>
    <row r="834" spans="22:68" x14ac:dyDescent="0.25">
      <c r="V834" s="178"/>
      <c r="W834" s="174"/>
      <c r="X834" s="179"/>
      <c r="Y834" s="247"/>
      <c r="Z834" s="248"/>
      <c r="AA834" s="294" t="str">
        <f t="shared" si="85"/>
        <v/>
      </c>
      <c r="AB834" s="219" t="str">
        <f t="shared" si="83"/>
        <v/>
      </c>
      <c r="AC834" s="219">
        <f t="shared" si="86"/>
        <v>0</v>
      </c>
      <c r="AD834" s="219">
        <f t="shared" si="87"/>
        <v>0</v>
      </c>
      <c r="AE834" s="220">
        <f t="shared" si="88"/>
        <v>0</v>
      </c>
      <c r="AF834" s="221">
        <f t="shared" si="89"/>
        <v>0</v>
      </c>
      <c r="AG834" s="204"/>
      <c r="AH834" s="178"/>
      <c r="AI834" s="174"/>
      <c r="AJ834" s="179"/>
      <c r="AK834" s="247"/>
      <c r="AL834" s="248"/>
      <c r="AM834" s="294" t="str">
        <f t="shared" si="93"/>
        <v/>
      </c>
      <c r="AN834" s="219" t="str">
        <f t="shared" si="84"/>
        <v/>
      </c>
      <c r="AO834" s="219">
        <f t="shared" si="94"/>
        <v>0</v>
      </c>
      <c r="AP834" s="219">
        <f t="shared" si="90"/>
        <v>0</v>
      </c>
      <c r="AQ834" s="220">
        <f t="shared" si="95"/>
        <v>0</v>
      </c>
      <c r="AR834" s="221">
        <f t="shared" si="96"/>
        <v>0</v>
      </c>
      <c r="AY834" s="628"/>
      <c r="AZ834" s="470">
        <v>0.625</v>
      </c>
      <c r="BA834" s="466" t="s">
        <v>710</v>
      </c>
      <c r="BB834" s="211">
        <v>4</v>
      </c>
      <c r="BC834" s="211">
        <v>2</v>
      </c>
      <c r="BD834" s="211">
        <v>3</v>
      </c>
      <c r="BE834" s="211">
        <v>3</v>
      </c>
      <c r="BF834" s="211">
        <v>7</v>
      </c>
      <c r="BG834" s="211">
        <v>6</v>
      </c>
      <c r="BH834" s="211">
        <v>1162</v>
      </c>
      <c r="BI834" s="211">
        <v>2064</v>
      </c>
      <c r="BJ834" s="211">
        <v>1381</v>
      </c>
      <c r="BK834" s="211">
        <v>35</v>
      </c>
      <c r="BL834" s="211">
        <v>152</v>
      </c>
      <c r="BM834" s="211">
        <v>202</v>
      </c>
      <c r="BO834" s="28">
        <f t="shared" si="91"/>
        <v>418.41666666666669</v>
      </c>
      <c r="BP834" s="28">
        <f t="shared" si="92"/>
        <v>5021</v>
      </c>
    </row>
    <row r="835" spans="22:68" x14ac:dyDescent="0.25">
      <c r="V835" s="178"/>
      <c r="W835" s="174"/>
      <c r="X835" s="179"/>
      <c r="Y835" s="247"/>
      <c r="Z835" s="248"/>
      <c r="AA835" s="294" t="str">
        <f t="shared" si="85"/>
        <v/>
      </c>
      <c r="AB835" s="219" t="str">
        <f t="shared" si="83"/>
        <v/>
      </c>
      <c r="AC835" s="219">
        <f t="shared" si="86"/>
        <v>0</v>
      </c>
      <c r="AD835" s="219">
        <f t="shared" si="87"/>
        <v>0</v>
      </c>
      <c r="AE835" s="220">
        <f t="shared" si="88"/>
        <v>0</v>
      </c>
      <c r="AF835" s="221">
        <f t="shared" si="89"/>
        <v>0</v>
      </c>
      <c r="AG835" s="204"/>
      <c r="AH835" s="178"/>
      <c r="AI835" s="174"/>
      <c r="AJ835" s="179"/>
      <c r="AK835" s="247"/>
      <c r="AL835" s="248"/>
      <c r="AM835" s="294" t="str">
        <f t="shared" si="93"/>
        <v/>
      </c>
      <c r="AN835" s="219" t="str">
        <f t="shared" si="84"/>
        <v/>
      </c>
      <c r="AO835" s="219">
        <f t="shared" si="94"/>
        <v>0</v>
      </c>
      <c r="AP835" s="219">
        <f t="shared" si="90"/>
        <v>0</v>
      </c>
      <c r="AQ835" s="220">
        <f t="shared" si="95"/>
        <v>0</v>
      </c>
      <c r="AR835" s="221">
        <f t="shared" si="96"/>
        <v>0</v>
      </c>
      <c r="AY835" s="628"/>
      <c r="AZ835" s="470">
        <v>0.75</v>
      </c>
      <c r="BA835" s="466">
        <v>5287967162</v>
      </c>
      <c r="BB835" s="211">
        <v>330</v>
      </c>
      <c r="BC835" s="211">
        <v>416</v>
      </c>
      <c r="BD835" s="211" t="s">
        <v>655</v>
      </c>
      <c r="BE835" s="211">
        <v>62</v>
      </c>
      <c r="BF835" s="211">
        <v>1635</v>
      </c>
      <c r="BG835" s="211">
        <v>200</v>
      </c>
      <c r="BH835" s="211">
        <v>1672</v>
      </c>
      <c r="BI835" s="211" t="s">
        <v>655</v>
      </c>
      <c r="BJ835" s="211">
        <v>328</v>
      </c>
      <c r="BK835" s="211">
        <v>145</v>
      </c>
      <c r="BL835" s="211">
        <v>123</v>
      </c>
      <c r="BM835" s="211" t="s">
        <v>655</v>
      </c>
      <c r="BO835" s="28">
        <f t="shared" si="91"/>
        <v>545.66666666666663</v>
      </c>
      <c r="BP835" s="28">
        <f t="shared" si="92"/>
        <v>4911</v>
      </c>
    </row>
    <row r="836" spans="22:68" x14ac:dyDescent="0.25">
      <c r="V836" s="178"/>
      <c r="W836" s="174"/>
      <c r="X836" s="179"/>
      <c r="Y836" s="247"/>
      <c r="Z836" s="248"/>
      <c r="AA836" s="294" t="str">
        <f t="shared" si="85"/>
        <v/>
      </c>
      <c r="AB836" s="219" t="str">
        <f t="shared" si="83"/>
        <v/>
      </c>
      <c r="AC836" s="219">
        <f t="shared" si="86"/>
        <v>0</v>
      </c>
      <c r="AD836" s="219">
        <f t="shared" si="87"/>
        <v>0</v>
      </c>
      <c r="AE836" s="220">
        <f t="shared" si="88"/>
        <v>0</v>
      </c>
      <c r="AF836" s="221">
        <f t="shared" si="89"/>
        <v>0</v>
      </c>
      <c r="AG836" s="204"/>
      <c r="AH836" s="178"/>
      <c r="AI836" s="174"/>
      <c r="AJ836" s="179"/>
      <c r="AK836" s="247"/>
      <c r="AL836" s="248"/>
      <c r="AM836" s="294" t="str">
        <f t="shared" si="93"/>
        <v/>
      </c>
      <c r="AN836" s="219" t="str">
        <f t="shared" si="84"/>
        <v/>
      </c>
      <c r="AO836" s="219">
        <f t="shared" si="94"/>
        <v>0</v>
      </c>
      <c r="AP836" s="219">
        <f t="shared" si="90"/>
        <v>0</v>
      </c>
      <c r="AQ836" s="220">
        <f t="shared" si="95"/>
        <v>0</v>
      </c>
      <c r="AR836" s="221">
        <f t="shared" si="96"/>
        <v>0</v>
      </c>
      <c r="AY836" s="628"/>
      <c r="AZ836" s="470">
        <v>0.625</v>
      </c>
      <c r="BA836" s="466">
        <v>7080413109</v>
      </c>
      <c r="BB836" s="211">
        <v>199</v>
      </c>
      <c r="BC836" s="211">
        <v>231</v>
      </c>
      <c r="BD836" s="211">
        <v>227</v>
      </c>
      <c r="BE836" s="211">
        <v>229</v>
      </c>
      <c r="BF836" s="211">
        <v>266</v>
      </c>
      <c r="BG836" s="211">
        <v>274</v>
      </c>
      <c r="BH836" s="211">
        <v>1896</v>
      </c>
      <c r="BI836" s="211">
        <v>725</v>
      </c>
      <c r="BJ836" s="211">
        <v>703</v>
      </c>
      <c r="BK836" s="211">
        <v>339</v>
      </c>
      <c r="BL836" s="211">
        <v>231</v>
      </c>
      <c r="BM836" s="211">
        <v>258</v>
      </c>
      <c r="BO836" s="28">
        <f t="shared" si="91"/>
        <v>464.83333333333331</v>
      </c>
      <c r="BP836" s="28">
        <f t="shared" si="92"/>
        <v>5578</v>
      </c>
    </row>
    <row r="837" spans="22:68" x14ac:dyDescent="0.25">
      <c r="V837" s="178"/>
      <c r="W837" s="174"/>
      <c r="X837" s="179"/>
      <c r="Y837" s="247"/>
      <c r="Z837" s="248"/>
      <c r="AA837" s="294" t="str">
        <f t="shared" si="85"/>
        <v/>
      </c>
      <c r="AB837" s="219" t="str">
        <f t="shared" si="83"/>
        <v/>
      </c>
      <c r="AC837" s="219">
        <f t="shared" si="86"/>
        <v>0</v>
      </c>
      <c r="AD837" s="219">
        <f t="shared" si="87"/>
        <v>0</v>
      </c>
      <c r="AE837" s="220">
        <f t="shared" si="88"/>
        <v>0</v>
      </c>
      <c r="AF837" s="221">
        <f t="shared" si="89"/>
        <v>0</v>
      </c>
      <c r="AG837" s="204"/>
      <c r="AH837" s="178"/>
      <c r="AI837" s="174"/>
      <c r="AJ837" s="179"/>
      <c r="AK837" s="247"/>
      <c r="AL837" s="248"/>
      <c r="AM837" s="294" t="str">
        <f t="shared" si="93"/>
        <v/>
      </c>
      <c r="AN837" s="219" t="str">
        <f t="shared" si="84"/>
        <v/>
      </c>
      <c r="AO837" s="219">
        <f t="shared" si="94"/>
        <v>0</v>
      </c>
      <c r="AP837" s="219">
        <f t="shared" si="90"/>
        <v>0</v>
      </c>
      <c r="AQ837" s="220">
        <f t="shared" si="95"/>
        <v>0</v>
      </c>
      <c r="AR837" s="221">
        <f t="shared" si="96"/>
        <v>0</v>
      </c>
      <c r="AY837" s="628"/>
      <c r="AZ837" s="470">
        <v>0.75</v>
      </c>
      <c r="BA837" s="466">
        <v>9336055379</v>
      </c>
      <c r="BB837" s="211">
        <v>506</v>
      </c>
      <c r="BC837" s="211">
        <v>541</v>
      </c>
      <c r="BD837" s="211">
        <v>602</v>
      </c>
      <c r="BE837" s="211">
        <v>637</v>
      </c>
      <c r="BF837" s="211">
        <v>488</v>
      </c>
      <c r="BG837" s="211">
        <v>731</v>
      </c>
      <c r="BH837" s="211">
        <v>803</v>
      </c>
      <c r="BI837" s="211">
        <v>582</v>
      </c>
      <c r="BJ837" s="211">
        <v>704</v>
      </c>
      <c r="BK837" s="211">
        <v>575</v>
      </c>
      <c r="BL837" s="211">
        <v>545</v>
      </c>
      <c r="BM837" s="211">
        <v>600</v>
      </c>
      <c r="BO837" s="28">
        <f t="shared" si="91"/>
        <v>609.5</v>
      </c>
      <c r="BP837" s="28">
        <f t="shared" si="92"/>
        <v>7314</v>
      </c>
    </row>
    <row r="838" spans="22:68" x14ac:dyDescent="0.25">
      <c r="V838" s="178"/>
      <c r="W838" s="174"/>
      <c r="X838" s="179"/>
      <c r="Y838" s="247"/>
      <c r="Z838" s="248"/>
      <c r="AA838" s="294" t="str">
        <f t="shared" si="85"/>
        <v/>
      </c>
      <c r="AB838" s="219" t="str">
        <f t="shared" si="83"/>
        <v/>
      </c>
      <c r="AC838" s="219">
        <f t="shared" si="86"/>
        <v>0</v>
      </c>
      <c r="AD838" s="219">
        <f t="shared" si="87"/>
        <v>0</v>
      </c>
      <c r="AE838" s="220">
        <f t="shared" si="88"/>
        <v>0</v>
      </c>
      <c r="AF838" s="221">
        <f t="shared" si="89"/>
        <v>0</v>
      </c>
      <c r="AG838" s="204"/>
      <c r="AH838" s="178"/>
      <c r="AI838" s="174"/>
      <c r="AJ838" s="179"/>
      <c r="AK838" s="247"/>
      <c r="AL838" s="248"/>
      <c r="AM838" s="294" t="str">
        <f t="shared" si="93"/>
        <v/>
      </c>
      <c r="AN838" s="219" t="str">
        <f t="shared" si="84"/>
        <v/>
      </c>
      <c r="AO838" s="219">
        <f t="shared" si="94"/>
        <v>0</v>
      </c>
      <c r="AP838" s="219">
        <f t="shared" si="90"/>
        <v>0</v>
      </c>
      <c r="AQ838" s="220">
        <f t="shared" si="95"/>
        <v>0</v>
      </c>
      <c r="AR838" s="221">
        <f t="shared" si="96"/>
        <v>0</v>
      </c>
      <c r="AY838" s="628"/>
      <c r="AZ838" s="470">
        <v>0.625</v>
      </c>
      <c r="BA838" s="466">
        <v>7779722862</v>
      </c>
      <c r="BB838" s="211">
        <v>203</v>
      </c>
      <c r="BC838" s="211">
        <v>284</v>
      </c>
      <c r="BD838" s="211">
        <v>309</v>
      </c>
      <c r="BE838" s="211">
        <v>1515</v>
      </c>
      <c r="BF838" s="211">
        <v>1790</v>
      </c>
      <c r="BG838" s="211">
        <v>1912</v>
      </c>
      <c r="BH838" s="211">
        <v>2605</v>
      </c>
      <c r="BI838" s="211">
        <v>2118</v>
      </c>
      <c r="BJ838" s="211">
        <v>2403</v>
      </c>
      <c r="BK838" s="211">
        <v>1630</v>
      </c>
      <c r="BL838" s="211">
        <v>259</v>
      </c>
      <c r="BM838" s="211">
        <v>262</v>
      </c>
      <c r="BO838" s="28">
        <f t="shared" si="91"/>
        <v>1274.1666666666667</v>
      </c>
      <c r="BP838" s="28">
        <f t="shared" si="92"/>
        <v>15290</v>
      </c>
    </row>
    <row r="839" spans="22:68" x14ac:dyDescent="0.25">
      <c r="V839" s="178"/>
      <c r="W839" s="174"/>
      <c r="X839" s="179"/>
      <c r="Y839" s="247"/>
      <c r="Z839" s="248"/>
      <c r="AA839" s="294" t="str">
        <f t="shared" si="85"/>
        <v/>
      </c>
      <c r="AB839" s="219" t="str">
        <f t="shared" si="83"/>
        <v/>
      </c>
      <c r="AC839" s="219">
        <f t="shared" si="86"/>
        <v>0</v>
      </c>
      <c r="AD839" s="219">
        <f t="shared" si="87"/>
        <v>0</v>
      </c>
      <c r="AE839" s="220">
        <f t="shared" si="88"/>
        <v>0</v>
      </c>
      <c r="AF839" s="221">
        <f t="shared" si="89"/>
        <v>0</v>
      </c>
      <c r="AG839" s="204"/>
      <c r="AH839" s="178"/>
      <c r="AI839" s="174"/>
      <c r="AJ839" s="179"/>
      <c r="AK839" s="247"/>
      <c r="AL839" s="248"/>
      <c r="AM839" s="294" t="str">
        <f t="shared" si="93"/>
        <v/>
      </c>
      <c r="AN839" s="219" t="str">
        <f t="shared" si="84"/>
        <v/>
      </c>
      <c r="AO839" s="219">
        <f t="shared" si="94"/>
        <v>0</v>
      </c>
      <c r="AP839" s="219">
        <f t="shared" si="90"/>
        <v>0</v>
      </c>
      <c r="AQ839" s="220">
        <f t="shared" si="95"/>
        <v>0</v>
      </c>
      <c r="AR839" s="221">
        <f t="shared" si="96"/>
        <v>0</v>
      </c>
      <c r="AY839" s="628"/>
      <c r="AZ839" s="470">
        <v>0.625</v>
      </c>
      <c r="BA839" s="466" t="s">
        <v>711</v>
      </c>
      <c r="BB839" s="211">
        <v>521</v>
      </c>
      <c r="BC839" s="211">
        <v>525</v>
      </c>
      <c r="BD839" s="211">
        <v>688</v>
      </c>
      <c r="BE839" s="211">
        <v>602</v>
      </c>
      <c r="BF839" s="211">
        <v>574</v>
      </c>
      <c r="BG839" s="211">
        <v>553</v>
      </c>
      <c r="BH839" s="211">
        <v>860</v>
      </c>
      <c r="BI839" s="211">
        <v>880</v>
      </c>
      <c r="BJ839" s="211">
        <v>480</v>
      </c>
      <c r="BK839" s="211">
        <v>815</v>
      </c>
      <c r="BL839" s="211">
        <v>445</v>
      </c>
      <c r="BM839" s="211">
        <v>254</v>
      </c>
      <c r="BO839" s="28">
        <f t="shared" si="91"/>
        <v>599.75</v>
      </c>
      <c r="BP839" s="28">
        <f t="shared" si="92"/>
        <v>7197</v>
      </c>
    </row>
    <row r="840" spans="22:68" x14ac:dyDescent="0.25">
      <c r="V840" s="178"/>
      <c r="W840" s="174"/>
      <c r="X840" s="179"/>
      <c r="Y840" s="247"/>
      <c r="Z840" s="248"/>
      <c r="AA840" s="294" t="str">
        <f t="shared" si="85"/>
        <v/>
      </c>
      <c r="AB840" s="219" t="str">
        <f t="shared" ref="AB840:AB903" si="97">IF(Y840&gt;1,IF((TestEOY-X840)/365&gt;AA840,AA840,ROUNDUP(((TestEOY-X840)/365),0)),"")</f>
        <v/>
      </c>
      <c r="AC840" s="219">
        <f t="shared" si="86"/>
        <v>0</v>
      </c>
      <c r="AD840" s="219">
        <f t="shared" si="87"/>
        <v>0</v>
      </c>
      <c r="AE840" s="220">
        <f t="shared" si="88"/>
        <v>0</v>
      </c>
      <c r="AF840" s="221">
        <f t="shared" si="89"/>
        <v>0</v>
      </c>
      <c r="AG840" s="204"/>
      <c r="AH840" s="178"/>
      <c r="AI840" s="174"/>
      <c r="AJ840" s="179"/>
      <c r="AK840" s="247"/>
      <c r="AL840" s="248"/>
      <c r="AM840" s="294" t="str">
        <f t="shared" si="93"/>
        <v/>
      </c>
      <c r="AN840" s="219" t="str">
        <f t="shared" ref="AN840:AN903" si="98">IF(AK840&lt;&gt;"",IF((TestEOY-AJ840)/365&gt;AM840,AM840,ROUNDUP(((TestEOY-AJ840)/365),0)),"")</f>
        <v/>
      </c>
      <c r="AO840" s="219">
        <f t="shared" si="94"/>
        <v>0</v>
      </c>
      <c r="AP840" s="219">
        <f t="shared" si="90"/>
        <v>0</v>
      </c>
      <c r="AQ840" s="220">
        <f t="shared" si="95"/>
        <v>0</v>
      </c>
      <c r="AR840" s="221">
        <f t="shared" si="96"/>
        <v>0</v>
      </c>
      <c r="AY840" s="628"/>
      <c r="AZ840" s="470">
        <v>0.625</v>
      </c>
      <c r="BA840" s="466">
        <v>1064423406</v>
      </c>
      <c r="BB840" s="211">
        <v>37</v>
      </c>
      <c r="BC840" s="211">
        <v>120</v>
      </c>
      <c r="BD840" s="211">
        <v>161</v>
      </c>
      <c r="BE840" s="211">
        <v>243</v>
      </c>
      <c r="BF840" s="211">
        <v>220</v>
      </c>
      <c r="BG840" s="211">
        <v>977</v>
      </c>
      <c r="BH840" s="211">
        <v>1335</v>
      </c>
      <c r="BI840" s="211">
        <v>927</v>
      </c>
      <c r="BJ840" s="211">
        <v>683</v>
      </c>
      <c r="BK840" s="211">
        <v>213</v>
      </c>
      <c r="BL840" s="211">
        <v>96</v>
      </c>
      <c r="BM840" s="211">
        <v>206</v>
      </c>
      <c r="BO840" s="28">
        <f t="shared" si="91"/>
        <v>434.83333333333331</v>
      </c>
      <c r="BP840" s="28">
        <f t="shared" si="92"/>
        <v>5218</v>
      </c>
    </row>
    <row r="841" spans="22:68" x14ac:dyDescent="0.25">
      <c r="V841" s="178"/>
      <c r="W841" s="174"/>
      <c r="X841" s="179"/>
      <c r="Y841" s="247"/>
      <c r="Z841" s="248"/>
      <c r="AA841" s="294" t="str">
        <f t="shared" ref="AA841:AA904" si="99">IFERROR(INDEX($AU$8:$AU$23,MATCH(V841,$AT$8:$AT$23,0)),"")</f>
        <v/>
      </c>
      <c r="AB841" s="219" t="str">
        <f t="shared" si="97"/>
        <v/>
      </c>
      <c r="AC841" s="219">
        <f t="shared" ref="AC841:AC904" si="100">IFERROR(IF(AB841&gt;=AA841,0,IF(AA841&gt;AB841,SLN(Y841,Z841,AA841),0)),"")</f>
        <v>0</v>
      </c>
      <c r="AD841" s="219">
        <f t="shared" ref="AD841:AD904" si="101">AE841-AC841</f>
        <v>0</v>
      </c>
      <c r="AE841" s="220">
        <f t="shared" ref="AE841:AE904" si="102">IFERROR(IF(OR(AA841=0,AA841=""),
     0,
     IF(AB841&gt;=AA841,
          +Y841,
          (+AC841*AB841))),
"")</f>
        <v>0</v>
      </c>
      <c r="AF841" s="221">
        <f t="shared" ref="AF841:AF904" si="103">IFERROR(IF(AE841&gt;Y841,0,(+Y841-AE841))-Z841,"")</f>
        <v>0</v>
      </c>
      <c r="AG841" s="204"/>
      <c r="AH841" s="178"/>
      <c r="AI841" s="174"/>
      <c r="AJ841" s="179"/>
      <c r="AK841" s="247"/>
      <c r="AL841" s="248"/>
      <c r="AM841" s="294" t="str">
        <f t="shared" si="93"/>
        <v/>
      </c>
      <c r="AN841" s="219" t="str">
        <f t="shared" si="98"/>
        <v/>
      </c>
      <c r="AO841" s="219">
        <f t="shared" si="94"/>
        <v>0</v>
      </c>
      <c r="AP841" s="219">
        <f t="shared" ref="AP841:AP904" si="104">AQ841-AO841</f>
        <v>0</v>
      </c>
      <c r="AQ841" s="220">
        <f t="shared" si="95"/>
        <v>0</v>
      </c>
      <c r="AR841" s="221">
        <f t="shared" si="96"/>
        <v>0</v>
      </c>
      <c r="AY841" s="628"/>
      <c r="AZ841" s="470">
        <v>0.75</v>
      </c>
      <c r="BA841" s="466">
        <v>7989588635</v>
      </c>
      <c r="BB841" s="211">
        <v>41</v>
      </c>
      <c r="BC841" s="211">
        <v>244</v>
      </c>
      <c r="BD841" s="211">
        <v>220</v>
      </c>
      <c r="BE841" s="211">
        <v>209</v>
      </c>
      <c r="BF841" s="211">
        <v>354</v>
      </c>
      <c r="BG841" s="211">
        <v>223</v>
      </c>
      <c r="BH841" s="211">
        <v>708</v>
      </c>
      <c r="BI841" s="211">
        <v>663</v>
      </c>
      <c r="BJ841" s="211">
        <v>497</v>
      </c>
      <c r="BK841" s="211">
        <v>555</v>
      </c>
      <c r="BL841" s="211">
        <v>3</v>
      </c>
      <c r="BM841" s="211">
        <v>55</v>
      </c>
      <c r="BO841" s="28">
        <f t="shared" ref="BO841:BO904" si="105">AVERAGE(BB841:BM841)</f>
        <v>314.33333333333331</v>
      </c>
      <c r="BP841" s="28">
        <f t="shared" ref="BP841:BP904" si="106">SUM(BB841:BM841)</f>
        <v>3772</v>
      </c>
    </row>
    <row r="842" spans="22:68" x14ac:dyDescent="0.25">
      <c r="V842" s="178"/>
      <c r="W842" s="174"/>
      <c r="X842" s="179"/>
      <c r="Y842" s="247"/>
      <c r="Z842" s="248"/>
      <c r="AA842" s="294" t="str">
        <f t="shared" si="99"/>
        <v/>
      </c>
      <c r="AB842" s="219" t="str">
        <f t="shared" si="97"/>
        <v/>
      </c>
      <c r="AC842" s="219">
        <f t="shared" si="100"/>
        <v>0</v>
      </c>
      <c r="AD842" s="219">
        <f t="shared" si="101"/>
        <v>0</v>
      </c>
      <c r="AE842" s="220">
        <f t="shared" si="102"/>
        <v>0</v>
      </c>
      <c r="AF842" s="221">
        <f t="shared" si="103"/>
        <v>0</v>
      </c>
      <c r="AG842" s="204"/>
      <c r="AH842" s="178"/>
      <c r="AI842" s="174"/>
      <c r="AJ842" s="179"/>
      <c r="AK842" s="247"/>
      <c r="AL842" s="248"/>
      <c r="AM842" s="294" t="str">
        <f t="shared" si="93"/>
        <v/>
      </c>
      <c r="AN842" s="219" t="str">
        <f t="shared" si="98"/>
        <v/>
      </c>
      <c r="AO842" s="219">
        <f t="shared" si="94"/>
        <v>0</v>
      </c>
      <c r="AP842" s="219">
        <f t="shared" si="104"/>
        <v>0</v>
      </c>
      <c r="AQ842" s="220">
        <f t="shared" si="95"/>
        <v>0</v>
      </c>
      <c r="AR842" s="221">
        <f t="shared" si="96"/>
        <v>0</v>
      </c>
      <c r="AY842" s="628"/>
      <c r="AZ842" s="471">
        <v>2</v>
      </c>
      <c r="BA842" s="466">
        <v>6594788753</v>
      </c>
      <c r="BB842" s="211" t="s">
        <v>655</v>
      </c>
      <c r="BC842" s="211" t="s">
        <v>655</v>
      </c>
      <c r="BD842" s="211" t="s">
        <v>655</v>
      </c>
      <c r="BE842" s="211" t="s">
        <v>655</v>
      </c>
      <c r="BF842" s="211">
        <v>2050</v>
      </c>
      <c r="BG842" s="211">
        <v>1760</v>
      </c>
      <c r="BH842" s="211">
        <v>4340</v>
      </c>
      <c r="BI842" s="211">
        <v>3220</v>
      </c>
      <c r="BJ842" s="211">
        <v>1270</v>
      </c>
      <c r="BK842" s="211">
        <v>600</v>
      </c>
      <c r="BL842" s="211">
        <v>550</v>
      </c>
      <c r="BM842" s="211">
        <v>460</v>
      </c>
      <c r="BO842" s="28">
        <f t="shared" si="105"/>
        <v>1781.25</v>
      </c>
      <c r="BP842" s="28">
        <f t="shared" si="106"/>
        <v>14250</v>
      </c>
    </row>
    <row r="843" spans="22:68" x14ac:dyDescent="0.25">
      <c r="V843" s="178"/>
      <c r="W843" s="174"/>
      <c r="X843" s="179"/>
      <c r="Y843" s="247"/>
      <c r="Z843" s="248"/>
      <c r="AA843" s="294" t="str">
        <f t="shared" si="99"/>
        <v/>
      </c>
      <c r="AB843" s="219" t="str">
        <f t="shared" si="97"/>
        <v/>
      </c>
      <c r="AC843" s="219">
        <f t="shared" si="100"/>
        <v>0</v>
      </c>
      <c r="AD843" s="219">
        <f t="shared" si="101"/>
        <v>0</v>
      </c>
      <c r="AE843" s="220">
        <f t="shared" si="102"/>
        <v>0</v>
      </c>
      <c r="AF843" s="221">
        <f t="shared" si="103"/>
        <v>0</v>
      </c>
      <c r="AG843" s="204"/>
      <c r="AH843" s="178"/>
      <c r="AI843" s="174"/>
      <c r="AJ843" s="179"/>
      <c r="AK843" s="247"/>
      <c r="AL843" s="248"/>
      <c r="AM843" s="294" t="str">
        <f t="shared" si="93"/>
        <v/>
      </c>
      <c r="AN843" s="219" t="str">
        <f t="shared" si="98"/>
        <v/>
      </c>
      <c r="AO843" s="219">
        <f t="shared" si="94"/>
        <v>0</v>
      </c>
      <c r="AP843" s="219">
        <f t="shared" si="104"/>
        <v>0</v>
      </c>
      <c r="AQ843" s="220">
        <f t="shared" si="95"/>
        <v>0</v>
      </c>
      <c r="AR843" s="221">
        <f t="shared" si="96"/>
        <v>0</v>
      </c>
      <c r="AY843" s="628"/>
      <c r="AZ843" s="470">
        <v>0.625</v>
      </c>
      <c r="BA843" s="466">
        <v>8888687829</v>
      </c>
      <c r="BB843" s="211" t="s">
        <v>655</v>
      </c>
      <c r="BC843" s="211">
        <v>5</v>
      </c>
      <c r="BD843" s="211">
        <v>4</v>
      </c>
      <c r="BE843" s="211">
        <v>84</v>
      </c>
      <c r="BF843" s="211">
        <v>642</v>
      </c>
      <c r="BG843" s="211">
        <v>1257</v>
      </c>
      <c r="BH843" s="211">
        <v>2362</v>
      </c>
      <c r="BI843" s="211">
        <v>1582</v>
      </c>
      <c r="BJ843" s="211">
        <v>1478</v>
      </c>
      <c r="BK843" s="211">
        <v>988</v>
      </c>
      <c r="BL843" s="211">
        <v>842</v>
      </c>
      <c r="BM843" s="211">
        <v>1010</v>
      </c>
      <c r="BO843" s="28">
        <f t="shared" si="105"/>
        <v>932.18181818181813</v>
      </c>
      <c r="BP843" s="28">
        <f t="shared" si="106"/>
        <v>10254</v>
      </c>
    </row>
    <row r="844" spans="22:68" x14ac:dyDescent="0.25">
      <c r="V844" s="178"/>
      <c r="W844" s="174"/>
      <c r="X844" s="179"/>
      <c r="Y844" s="247"/>
      <c r="Z844" s="248"/>
      <c r="AA844" s="294" t="str">
        <f t="shared" si="99"/>
        <v/>
      </c>
      <c r="AB844" s="219" t="str">
        <f t="shared" si="97"/>
        <v/>
      </c>
      <c r="AC844" s="219">
        <f t="shared" si="100"/>
        <v>0</v>
      </c>
      <c r="AD844" s="219">
        <f t="shared" si="101"/>
        <v>0</v>
      </c>
      <c r="AE844" s="220">
        <f t="shared" si="102"/>
        <v>0</v>
      </c>
      <c r="AF844" s="221">
        <f t="shared" si="103"/>
        <v>0</v>
      </c>
      <c r="AG844" s="204"/>
      <c r="AH844" s="178"/>
      <c r="AI844" s="174"/>
      <c r="AJ844" s="179"/>
      <c r="AK844" s="247"/>
      <c r="AL844" s="248"/>
      <c r="AM844" s="294" t="str">
        <f t="shared" ref="AM844:AM907" si="107">IFERROR(INDEX($AU$8:$AU$23,MATCH(AH844,$AT$8:$AT$23,0)),"")</f>
        <v/>
      </c>
      <c r="AN844" s="219" t="str">
        <f t="shared" si="98"/>
        <v/>
      </c>
      <c r="AO844" s="219">
        <f t="shared" ref="AO844:AO907" si="108">IFERROR(IF(AN844&gt;=AM844,0,IF(AM844&gt;AN844,SLN(AK844,AL844,AM844),0)),"")</f>
        <v>0</v>
      </c>
      <c r="AP844" s="219">
        <f t="shared" si="104"/>
        <v>0</v>
      </c>
      <c r="AQ844" s="220">
        <f t="shared" ref="AQ844:AQ907" si="109">IFERROR(IF(OR(AM844=0,AM844=""),
     0,
     IF(AN844&gt;=AM844,
          +AK844,
          (+AO844*AN844))),
"")</f>
        <v>0</v>
      </c>
      <c r="AR844" s="221">
        <f t="shared" ref="AR844:AR907" si="110">IFERROR(IF(AQ844&gt;AK844,0,(+AK844-AQ844))-AL844,"")</f>
        <v>0</v>
      </c>
      <c r="AY844" s="628"/>
      <c r="AZ844" s="470">
        <v>0.625</v>
      </c>
      <c r="BA844" s="466">
        <v>1136144841</v>
      </c>
      <c r="BB844" s="211" t="s">
        <v>655</v>
      </c>
      <c r="BC844" s="211">
        <v>3</v>
      </c>
      <c r="BD844" s="211">
        <v>63</v>
      </c>
      <c r="BE844" s="211">
        <v>927</v>
      </c>
      <c r="BF844" s="211">
        <v>1268</v>
      </c>
      <c r="BG844" s="211">
        <v>844</v>
      </c>
      <c r="BH844" s="211">
        <v>1419</v>
      </c>
      <c r="BI844" s="211">
        <v>1042</v>
      </c>
      <c r="BJ844" s="211">
        <v>1190</v>
      </c>
      <c r="BK844" s="211">
        <v>1215</v>
      </c>
      <c r="BL844" s="211">
        <v>868</v>
      </c>
      <c r="BM844" s="211">
        <v>441</v>
      </c>
      <c r="BO844" s="28">
        <f t="shared" si="105"/>
        <v>843.63636363636363</v>
      </c>
      <c r="BP844" s="28">
        <f t="shared" si="106"/>
        <v>9280</v>
      </c>
    </row>
    <row r="845" spans="22:68" x14ac:dyDescent="0.25">
      <c r="V845" s="178"/>
      <c r="W845" s="174"/>
      <c r="X845" s="179"/>
      <c r="Y845" s="247"/>
      <c r="Z845" s="248"/>
      <c r="AA845" s="294" t="str">
        <f t="shared" si="99"/>
        <v/>
      </c>
      <c r="AB845" s="219" t="str">
        <f t="shared" si="97"/>
        <v/>
      </c>
      <c r="AC845" s="219">
        <f t="shared" si="100"/>
        <v>0</v>
      </c>
      <c r="AD845" s="219">
        <f t="shared" si="101"/>
        <v>0</v>
      </c>
      <c r="AE845" s="220">
        <f t="shared" si="102"/>
        <v>0</v>
      </c>
      <c r="AF845" s="221">
        <f t="shared" si="103"/>
        <v>0</v>
      </c>
      <c r="AG845" s="204"/>
      <c r="AH845" s="178"/>
      <c r="AI845" s="174"/>
      <c r="AJ845" s="179"/>
      <c r="AK845" s="247"/>
      <c r="AL845" s="248"/>
      <c r="AM845" s="294" t="str">
        <f t="shared" si="107"/>
        <v/>
      </c>
      <c r="AN845" s="219" t="str">
        <f t="shared" si="98"/>
        <v/>
      </c>
      <c r="AO845" s="219">
        <f t="shared" si="108"/>
        <v>0</v>
      </c>
      <c r="AP845" s="219">
        <f t="shared" si="104"/>
        <v>0</v>
      </c>
      <c r="AQ845" s="220">
        <f t="shared" si="109"/>
        <v>0</v>
      </c>
      <c r="AR845" s="221">
        <f t="shared" si="110"/>
        <v>0</v>
      </c>
      <c r="AY845" s="628"/>
      <c r="AZ845" s="470">
        <v>0.75</v>
      </c>
      <c r="BA845" s="466">
        <v>7008705287</v>
      </c>
      <c r="BB845" s="211" t="s">
        <v>655</v>
      </c>
      <c r="BC845" s="211" t="s">
        <v>655</v>
      </c>
      <c r="BD845" s="211">
        <v>91</v>
      </c>
      <c r="BE845" s="211">
        <v>89</v>
      </c>
      <c r="BF845" s="211">
        <v>64</v>
      </c>
      <c r="BG845" s="211">
        <v>1035</v>
      </c>
      <c r="BH845" s="211" t="s">
        <v>655</v>
      </c>
      <c r="BI845" s="211">
        <v>962</v>
      </c>
      <c r="BJ845" s="211">
        <v>19</v>
      </c>
      <c r="BK845" s="211">
        <v>60</v>
      </c>
      <c r="BL845" s="211">
        <v>91</v>
      </c>
      <c r="BM845" s="211">
        <v>101</v>
      </c>
      <c r="BO845" s="28">
        <f t="shared" si="105"/>
        <v>279.11111111111109</v>
      </c>
      <c r="BP845" s="28">
        <f t="shared" si="106"/>
        <v>2512</v>
      </c>
    </row>
    <row r="846" spans="22:68" x14ac:dyDescent="0.25">
      <c r="V846" s="178"/>
      <c r="W846" s="174"/>
      <c r="X846" s="179"/>
      <c r="Y846" s="247"/>
      <c r="Z846" s="248"/>
      <c r="AA846" s="294" t="str">
        <f t="shared" si="99"/>
        <v/>
      </c>
      <c r="AB846" s="219" t="str">
        <f t="shared" si="97"/>
        <v/>
      </c>
      <c r="AC846" s="219">
        <f t="shared" si="100"/>
        <v>0</v>
      </c>
      <c r="AD846" s="219">
        <f t="shared" si="101"/>
        <v>0</v>
      </c>
      <c r="AE846" s="220">
        <f t="shared" si="102"/>
        <v>0</v>
      </c>
      <c r="AF846" s="221">
        <f t="shared" si="103"/>
        <v>0</v>
      </c>
      <c r="AG846" s="204"/>
      <c r="AH846" s="178"/>
      <c r="AI846" s="174"/>
      <c r="AJ846" s="179"/>
      <c r="AK846" s="247"/>
      <c r="AL846" s="248"/>
      <c r="AM846" s="294" t="str">
        <f t="shared" si="107"/>
        <v/>
      </c>
      <c r="AN846" s="219" t="str">
        <f t="shared" si="98"/>
        <v/>
      </c>
      <c r="AO846" s="219">
        <f t="shared" si="108"/>
        <v>0</v>
      </c>
      <c r="AP846" s="219">
        <f t="shared" si="104"/>
        <v>0</v>
      </c>
      <c r="AQ846" s="220">
        <f t="shared" si="109"/>
        <v>0</v>
      </c>
      <c r="AR846" s="221">
        <f t="shared" si="110"/>
        <v>0</v>
      </c>
      <c r="AY846" s="628"/>
      <c r="AZ846" s="470">
        <v>0.625</v>
      </c>
      <c r="BA846" s="466">
        <v>1564110309</v>
      </c>
      <c r="BB846" s="211" t="s">
        <v>655</v>
      </c>
      <c r="BC846" s="211" t="s">
        <v>655</v>
      </c>
      <c r="BD846" s="211">
        <v>513</v>
      </c>
      <c r="BE846" s="211">
        <v>433</v>
      </c>
      <c r="BF846" s="211">
        <v>658</v>
      </c>
      <c r="BG846" s="211">
        <v>821</v>
      </c>
      <c r="BH846" s="211">
        <v>1977</v>
      </c>
      <c r="BI846" s="211">
        <v>2187</v>
      </c>
      <c r="BJ846" s="211">
        <v>1186</v>
      </c>
      <c r="BK846" s="211">
        <v>403</v>
      </c>
      <c r="BL846" s="211">
        <v>355</v>
      </c>
      <c r="BM846" s="211">
        <v>604</v>
      </c>
      <c r="BO846" s="28">
        <f t="shared" si="105"/>
        <v>913.7</v>
      </c>
      <c r="BP846" s="28">
        <f t="shared" si="106"/>
        <v>9137</v>
      </c>
    </row>
    <row r="847" spans="22:68" x14ac:dyDescent="0.25">
      <c r="V847" s="178"/>
      <c r="W847" s="174"/>
      <c r="X847" s="179"/>
      <c r="Y847" s="247"/>
      <c r="Z847" s="248"/>
      <c r="AA847" s="294" t="str">
        <f t="shared" si="99"/>
        <v/>
      </c>
      <c r="AB847" s="219" t="str">
        <f t="shared" si="97"/>
        <v/>
      </c>
      <c r="AC847" s="219">
        <f t="shared" si="100"/>
        <v>0</v>
      </c>
      <c r="AD847" s="219">
        <f t="shared" si="101"/>
        <v>0</v>
      </c>
      <c r="AE847" s="220">
        <f t="shared" si="102"/>
        <v>0</v>
      </c>
      <c r="AF847" s="221">
        <f t="shared" si="103"/>
        <v>0</v>
      </c>
      <c r="AG847" s="204"/>
      <c r="AH847" s="178"/>
      <c r="AI847" s="174"/>
      <c r="AJ847" s="179"/>
      <c r="AK847" s="247"/>
      <c r="AL847" s="248"/>
      <c r="AM847" s="294" t="str">
        <f t="shared" si="107"/>
        <v/>
      </c>
      <c r="AN847" s="219" t="str">
        <f t="shared" si="98"/>
        <v/>
      </c>
      <c r="AO847" s="219">
        <f t="shared" si="108"/>
        <v>0</v>
      </c>
      <c r="AP847" s="219">
        <f t="shared" si="104"/>
        <v>0</v>
      </c>
      <c r="AQ847" s="220">
        <f t="shared" si="109"/>
        <v>0</v>
      </c>
      <c r="AR847" s="221">
        <f t="shared" si="110"/>
        <v>0</v>
      </c>
      <c r="AY847" s="628"/>
      <c r="AZ847" s="470">
        <v>0.625</v>
      </c>
      <c r="BA847" s="466">
        <v>3429326281</v>
      </c>
      <c r="BB847" s="211" t="s">
        <v>655</v>
      </c>
      <c r="BC847" s="211" t="s">
        <v>655</v>
      </c>
      <c r="BD847" s="211">
        <v>70</v>
      </c>
      <c r="BE847" s="211">
        <v>562</v>
      </c>
      <c r="BF847" s="211">
        <v>1429</v>
      </c>
      <c r="BG847" s="211">
        <v>1536</v>
      </c>
      <c r="BH847" s="211">
        <v>2923</v>
      </c>
      <c r="BI847" s="211">
        <v>3213</v>
      </c>
      <c r="BJ847" s="211">
        <v>1555</v>
      </c>
      <c r="BK847" s="211">
        <v>1766</v>
      </c>
      <c r="BL847" s="211">
        <v>776</v>
      </c>
      <c r="BM847" s="211">
        <v>498</v>
      </c>
      <c r="BO847" s="28">
        <f t="shared" si="105"/>
        <v>1432.8</v>
      </c>
      <c r="BP847" s="28">
        <f t="shared" si="106"/>
        <v>14328</v>
      </c>
    </row>
    <row r="848" spans="22:68" x14ac:dyDescent="0.25">
      <c r="V848" s="178"/>
      <c r="W848" s="174"/>
      <c r="X848" s="179"/>
      <c r="Y848" s="247"/>
      <c r="Z848" s="248"/>
      <c r="AA848" s="294" t="str">
        <f t="shared" si="99"/>
        <v/>
      </c>
      <c r="AB848" s="219" t="str">
        <f t="shared" si="97"/>
        <v/>
      </c>
      <c r="AC848" s="219">
        <f t="shared" si="100"/>
        <v>0</v>
      </c>
      <c r="AD848" s="219">
        <f t="shared" si="101"/>
        <v>0</v>
      </c>
      <c r="AE848" s="220">
        <f t="shared" si="102"/>
        <v>0</v>
      </c>
      <c r="AF848" s="221">
        <f t="shared" si="103"/>
        <v>0</v>
      </c>
      <c r="AG848" s="204"/>
      <c r="AH848" s="178"/>
      <c r="AI848" s="174"/>
      <c r="AJ848" s="179"/>
      <c r="AK848" s="247"/>
      <c r="AL848" s="248"/>
      <c r="AM848" s="294" t="str">
        <f t="shared" si="107"/>
        <v/>
      </c>
      <c r="AN848" s="219" t="str">
        <f t="shared" si="98"/>
        <v/>
      </c>
      <c r="AO848" s="219">
        <f t="shared" si="108"/>
        <v>0</v>
      </c>
      <c r="AP848" s="219">
        <f t="shared" si="104"/>
        <v>0</v>
      </c>
      <c r="AQ848" s="220">
        <f t="shared" si="109"/>
        <v>0</v>
      </c>
      <c r="AR848" s="221">
        <f t="shared" si="110"/>
        <v>0</v>
      </c>
      <c r="AY848" s="628"/>
      <c r="AZ848" s="470">
        <v>0.625</v>
      </c>
      <c r="BA848" s="466">
        <v>6945529530</v>
      </c>
      <c r="BB848" s="211" t="s">
        <v>655</v>
      </c>
      <c r="BC848" s="211" t="s">
        <v>655</v>
      </c>
      <c r="BD848" s="211">
        <v>75</v>
      </c>
      <c r="BE848" s="211">
        <v>332</v>
      </c>
      <c r="BF848" s="211">
        <v>258</v>
      </c>
      <c r="BG848" s="211">
        <v>307</v>
      </c>
      <c r="BH848" s="211">
        <v>316</v>
      </c>
      <c r="BI848" s="211">
        <v>184</v>
      </c>
      <c r="BJ848" s="211">
        <v>235</v>
      </c>
      <c r="BK848" s="211">
        <v>236</v>
      </c>
      <c r="BL848" s="211">
        <v>212</v>
      </c>
      <c r="BM848" s="211">
        <v>220</v>
      </c>
      <c r="BO848" s="28">
        <f t="shared" si="105"/>
        <v>237.5</v>
      </c>
      <c r="BP848" s="28">
        <f t="shared" si="106"/>
        <v>2375</v>
      </c>
    </row>
    <row r="849" spans="22:68" x14ac:dyDescent="0.25">
      <c r="V849" s="178"/>
      <c r="W849" s="174"/>
      <c r="X849" s="179"/>
      <c r="Y849" s="247"/>
      <c r="Z849" s="248"/>
      <c r="AA849" s="294" t="str">
        <f t="shared" si="99"/>
        <v/>
      </c>
      <c r="AB849" s="219" t="str">
        <f t="shared" si="97"/>
        <v/>
      </c>
      <c r="AC849" s="219">
        <f t="shared" si="100"/>
        <v>0</v>
      </c>
      <c r="AD849" s="219">
        <f t="shared" si="101"/>
        <v>0</v>
      </c>
      <c r="AE849" s="220">
        <f t="shared" si="102"/>
        <v>0</v>
      </c>
      <c r="AF849" s="221">
        <f t="shared" si="103"/>
        <v>0</v>
      </c>
      <c r="AG849" s="204"/>
      <c r="AH849" s="178"/>
      <c r="AI849" s="174"/>
      <c r="AJ849" s="179"/>
      <c r="AK849" s="247"/>
      <c r="AL849" s="248"/>
      <c r="AM849" s="294" t="str">
        <f t="shared" si="107"/>
        <v/>
      </c>
      <c r="AN849" s="219" t="str">
        <f t="shared" si="98"/>
        <v/>
      </c>
      <c r="AO849" s="219">
        <f t="shared" si="108"/>
        <v>0</v>
      </c>
      <c r="AP849" s="219">
        <f t="shared" si="104"/>
        <v>0</v>
      </c>
      <c r="AQ849" s="220">
        <f t="shared" si="109"/>
        <v>0</v>
      </c>
      <c r="AR849" s="221">
        <f t="shared" si="110"/>
        <v>0</v>
      </c>
      <c r="AY849" s="628"/>
      <c r="AZ849" s="470">
        <v>0.75</v>
      </c>
      <c r="BA849" s="466">
        <v>4160832431</v>
      </c>
      <c r="BB849" s="211" t="s">
        <v>655</v>
      </c>
      <c r="BC849" s="211" t="s">
        <v>655</v>
      </c>
      <c r="BD849" s="211">
        <v>117</v>
      </c>
      <c r="BE849" s="211">
        <v>195</v>
      </c>
      <c r="BF849" s="211">
        <v>164</v>
      </c>
      <c r="BG849" s="211">
        <v>182</v>
      </c>
      <c r="BH849" s="211">
        <v>600</v>
      </c>
      <c r="BI849" s="211">
        <v>1544</v>
      </c>
      <c r="BJ849" s="211">
        <v>679</v>
      </c>
      <c r="BK849" s="211">
        <v>256</v>
      </c>
      <c r="BL849" s="211">
        <v>134</v>
      </c>
      <c r="BM849" s="211">
        <v>747</v>
      </c>
      <c r="BO849" s="28">
        <f t="shared" si="105"/>
        <v>461.8</v>
      </c>
      <c r="BP849" s="28">
        <f t="shared" si="106"/>
        <v>4618</v>
      </c>
    </row>
    <row r="850" spans="22:68" x14ac:dyDescent="0.25">
      <c r="V850" s="178"/>
      <c r="W850" s="174"/>
      <c r="X850" s="179"/>
      <c r="Y850" s="247"/>
      <c r="Z850" s="248"/>
      <c r="AA850" s="294" t="str">
        <f t="shared" si="99"/>
        <v/>
      </c>
      <c r="AB850" s="219" t="str">
        <f t="shared" si="97"/>
        <v/>
      </c>
      <c r="AC850" s="219">
        <f t="shared" si="100"/>
        <v>0</v>
      </c>
      <c r="AD850" s="219">
        <f t="shared" si="101"/>
        <v>0</v>
      </c>
      <c r="AE850" s="220">
        <f t="shared" si="102"/>
        <v>0</v>
      </c>
      <c r="AF850" s="221">
        <f t="shared" si="103"/>
        <v>0</v>
      </c>
      <c r="AG850" s="204"/>
      <c r="AH850" s="178"/>
      <c r="AI850" s="174"/>
      <c r="AJ850" s="179"/>
      <c r="AK850" s="247"/>
      <c r="AL850" s="248"/>
      <c r="AM850" s="294" t="str">
        <f t="shared" si="107"/>
        <v/>
      </c>
      <c r="AN850" s="219" t="str">
        <f t="shared" si="98"/>
        <v/>
      </c>
      <c r="AO850" s="219">
        <f t="shared" si="108"/>
        <v>0</v>
      </c>
      <c r="AP850" s="219">
        <f t="shared" si="104"/>
        <v>0</v>
      </c>
      <c r="AQ850" s="220">
        <f t="shared" si="109"/>
        <v>0</v>
      </c>
      <c r="AR850" s="221">
        <f t="shared" si="110"/>
        <v>0</v>
      </c>
      <c r="AY850" s="628"/>
      <c r="AZ850" s="470">
        <v>0.625</v>
      </c>
      <c r="BA850" s="466">
        <v>8381980214</v>
      </c>
      <c r="BB850" s="211" t="s">
        <v>655</v>
      </c>
      <c r="BC850" s="211" t="s">
        <v>655</v>
      </c>
      <c r="BD850" s="211">
        <v>498</v>
      </c>
      <c r="BE850" s="211">
        <v>317</v>
      </c>
      <c r="BF850" s="211">
        <v>102</v>
      </c>
      <c r="BG850" s="211" t="s">
        <v>655</v>
      </c>
      <c r="BH850" s="211">
        <v>1</v>
      </c>
      <c r="BI850" s="211">
        <v>310</v>
      </c>
      <c r="BJ850" s="211">
        <v>464</v>
      </c>
      <c r="BK850" s="211">
        <v>765</v>
      </c>
      <c r="BL850" s="211">
        <v>316</v>
      </c>
      <c r="BM850" s="211">
        <v>831</v>
      </c>
      <c r="BO850" s="28">
        <f t="shared" si="105"/>
        <v>400.44444444444446</v>
      </c>
      <c r="BP850" s="28">
        <f t="shared" si="106"/>
        <v>3604</v>
      </c>
    </row>
    <row r="851" spans="22:68" x14ac:dyDescent="0.25">
      <c r="V851" s="178"/>
      <c r="W851" s="174"/>
      <c r="X851" s="179"/>
      <c r="Y851" s="247"/>
      <c r="Z851" s="248"/>
      <c r="AA851" s="294" t="str">
        <f t="shared" si="99"/>
        <v/>
      </c>
      <c r="AB851" s="219" t="str">
        <f t="shared" si="97"/>
        <v/>
      </c>
      <c r="AC851" s="219">
        <f t="shared" si="100"/>
        <v>0</v>
      </c>
      <c r="AD851" s="219">
        <f t="shared" si="101"/>
        <v>0</v>
      </c>
      <c r="AE851" s="220">
        <f t="shared" si="102"/>
        <v>0</v>
      </c>
      <c r="AF851" s="221">
        <f t="shared" si="103"/>
        <v>0</v>
      </c>
      <c r="AG851" s="204"/>
      <c r="AH851" s="178"/>
      <c r="AI851" s="174"/>
      <c r="AJ851" s="179"/>
      <c r="AK851" s="247"/>
      <c r="AL851" s="248"/>
      <c r="AM851" s="294" t="str">
        <f t="shared" si="107"/>
        <v/>
      </c>
      <c r="AN851" s="219" t="str">
        <f t="shared" si="98"/>
        <v/>
      </c>
      <c r="AO851" s="219">
        <f t="shared" si="108"/>
        <v>0</v>
      </c>
      <c r="AP851" s="219">
        <f t="shared" si="104"/>
        <v>0</v>
      </c>
      <c r="AQ851" s="220">
        <f t="shared" si="109"/>
        <v>0</v>
      </c>
      <c r="AR851" s="221">
        <f t="shared" si="110"/>
        <v>0</v>
      </c>
      <c r="AY851" s="628"/>
      <c r="AZ851" s="470">
        <v>0.625</v>
      </c>
      <c r="BA851" s="466">
        <v>4297799795</v>
      </c>
      <c r="BB851" s="211" t="s">
        <v>655</v>
      </c>
      <c r="BC851" s="211" t="s">
        <v>655</v>
      </c>
      <c r="BD851" s="211">
        <v>13</v>
      </c>
      <c r="BE851" s="211">
        <v>468</v>
      </c>
      <c r="BF851" s="211">
        <v>522</v>
      </c>
      <c r="BG851" s="211">
        <v>755</v>
      </c>
      <c r="BH851" s="211">
        <v>1382</v>
      </c>
      <c r="BI851" s="211">
        <v>1149</v>
      </c>
      <c r="BJ851" s="211">
        <v>911</v>
      </c>
      <c r="BK851" s="211">
        <v>423</v>
      </c>
      <c r="BL851" s="211">
        <v>253</v>
      </c>
      <c r="BM851" s="211">
        <v>449</v>
      </c>
      <c r="BO851" s="28">
        <f t="shared" si="105"/>
        <v>632.5</v>
      </c>
      <c r="BP851" s="28">
        <f t="shared" si="106"/>
        <v>6325</v>
      </c>
    </row>
    <row r="852" spans="22:68" x14ac:dyDescent="0.25">
      <c r="V852" s="178"/>
      <c r="W852" s="174"/>
      <c r="X852" s="179"/>
      <c r="Y852" s="247"/>
      <c r="Z852" s="248"/>
      <c r="AA852" s="294" t="str">
        <f t="shared" si="99"/>
        <v/>
      </c>
      <c r="AB852" s="219" t="str">
        <f t="shared" si="97"/>
        <v/>
      </c>
      <c r="AC852" s="219">
        <f t="shared" si="100"/>
        <v>0</v>
      </c>
      <c r="AD852" s="219">
        <f t="shared" si="101"/>
        <v>0</v>
      </c>
      <c r="AE852" s="220">
        <f t="shared" si="102"/>
        <v>0</v>
      </c>
      <c r="AF852" s="221">
        <f t="shared" si="103"/>
        <v>0</v>
      </c>
      <c r="AG852" s="204"/>
      <c r="AH852" s="178"/>
      <c r="AI852" s="174"/>
      <c r="AJ852" s="179"/>
      <c r="AK852" s="247"/>
      <c r="AL852" s="248"/>
      <c r="AM852" s="294" t="str">
        <f t="shared" si="107"/>
        <v/>
      </c>
      <c r="AN852" s="219" t="str">
        <f t="shared" si="98"/>
        <v/>
      </c>
      <c r="AO852" s="219">
        <f t="shared" si="108"/>
        <v>0</v>
      </c>
      <c r="AP852" s="219">
        <f t="shared" si="104"/>
        <v>0</v>
      </c>
      <c r="AQ852" s="220">
        <f t="shared" si="109"/>
        <v>0</v>
      </c>
      <c r="AR852" s="221">
        <f t="shared" si="110"/>
        <v>0</v>
      </c>
      <c r="AY852" s="628"/>
      <c r="AZ852" s="470">
        <v>0.75</v>
      </c>
      <c r="BA852" s="466">
        <v>8185165939</v>
      </c>
      <c r="BB852" s="211" t="s">
        <v>655</v>
      </c>
      <c r="BC852" s="211" t="s">
        <v>655</v>
      </c>
      <c r="BD852" s="211" t="s">
        <v>655</v>
      </c>
      <c r="BE852" s="211">
        <v>52</v>
      </c>
      <c r="BF852" s="211">
        <v>326</v>
      </c>
      <c r="BG852" s="211">
        <v>394</v>
      </c>
      <c r="BH852" s="211" t="s">
        <v>655</v>
      </c>
      <c r="BI852" s="211" t="s">
        <v>655</v>
      </c>
      <c r="BJ852" s="211" t="s">
        <v>655</v>
      </c>
      <c r="BK852" s="211" t="s">
        <v>655</v>
      </c>
      <c r="BL852" s="211" t="s">
        <v>655</v>
      </c>
      <c r="BM852" s="211" t="s">
        <v>655</v>
      </c>
      <c r="BO852" s="28">
        <f t="shared" si="105"/>
        <v>257.33333333333331</v>
      </c>
      <c r="BP852" s="28">
        <f t="shared" si="106"/>
        <v>772</v>
      </c>
    </row>
    <row r="853" spans="22:68" x14ac:dyDescent="0.25">
      <c r="V853" s="178"/>
      <c r="W853" s="174"/>
      <c r="X853" s="179"/>
      <c r="Y853" s="247"/>
      <c r="Z853" s="248"/>
      <c r="AA853" s="294" t="str">
        <f t="shared" si="99"/>
        <v/>
      </c>
      <c r="AB853" s="219" t="str">
        <f t="shared" si="97"/>
        <v/>
      </c>
      <c r="AC853" s="219">
        <f t="shared" si="100"/>
        <v>0</v>
      </c>
      <c r="AD853" s="219">
        <f t="shared" si="101"/>
        <v>0</v>
      </c>
      <c r="AE853" s="220">
        <f t="shared" si="102"/>
        <v>0</v>
      </c>
      <c r="AF853" s="221">
        <f t="shared" si="103"/>
        <v>0</v>
      </c>
      <c r="AG853" s="204"/>
      <c r="AH853" s="178"/>
      <c r="AI853" s="174"/>
      <c r="AJ853" s="179"/>
      <c r="AK853" s="247"/>
      <c r="AL853" s="248"/>
      <c r="AM853" s="294" t="str">
        <f t="shared" si="107"/>
        <v/>
      </c>
      <c r="AN853" s="219" t="str">
        <f t="shared" si="98"/>
        <v/>
      </c>
      <c r="AO853" s="219">
        <f t="shared" si="108"/>
        <v>0</v>
      </c>
      <c r="AP853" s="219">
        <f t="shared" si="104"/>
        <v>0</v>
      </c>
      <c r="AQ853" s="220">
        <f t="shared" si="109"/>
        <v>0</v>
      </c>
      <c r="AR853" s="221">
        <f t="shared" si="110"/>
        <v>0</v>
      </c>
      <c r="AY853" s="628"/>
      <c r="AZ853" s="470">
        <v>0.625</v>
      </c>
      <c r="BA853" s="466" t="s">
        <v>712</v>
      </c>
      <c r="BB853" s="211" t="s">
        <v>655</v>
      </c>
      <c r="BC853" s="211" t="s">
        <v>655</v>
      </c>
      <c r="BD853" s="211" t="s">
        <v>655</v>
      </c>
      <c r="BE853" s="211">
        <v>149</v>
      </c>
      <c r="BF853" s="211" t="s">
        <v>655</v>
      </c>
      <c r="BG853" s="211" t="s">
        <v>655</v>
      </c>
      <c r="BH853" s="211" t="s">
        <v>655</v>
      </c>
      <c r="BI853" s="211" t="s">
        <v>655</v>
      </c>
      <c r="BJ853" s="211" t="s">
        <v>655</v>
      </c>
      <c r="BK853" s="211" t="s">
        <v>655</v>
      </c>
      <c r="BL853" s="211">
        <v>1195</v>
      </c>
      <c r="BM853" s="211">
        <v>152</v>
      </c>
      <c r="BO853" s="28">
        <f t="shared" si="105"/>
        <v>498.66666666666669</v>
      </c>
      <c r="BP853" s="28">
        <f t="shared" si="106"/>
        <v>1496</v>
      </c>
    </row>
    <row r="854" spans="22:68" x14ac:dyDescent="0.25">
      <c r="V854" s="178"/>
      <c r="W854" s="174"/>
      <c r="X854" s="179"/>
      <c r="Y854" s="247"/>
      <c r="Z854" s="248"/>
      <c r="AA854" s="294" t="str">
        <f t="shared" si="99"/>
        <v/>
      </c>
      <c r="AB854" s="219" t="str">
        <f t="shared" si="97"/>
        <v/>
      </c>
      <c r="AC854" s="219">
        <f t="shared" si="100"/>
        <v>0</v>
      </c>
      <c r="AD854" s="219">
        <f t="shared" si="101"/>
        <v>0</v>
      </c>
      <c r="AE854" s="220">
        <f t="shared" si="102"/>
        <v>0</v>
      </c>
      <c r="AF854" s="221">
        <f t="shared" si="103"/>
        <v>0</v>
      </c>
      <c r="AG854" s="204"/>
      <c r="AH854" s="178"/>
      <c r="AI854" s="174"/>
      <c r="AJ854" s="179"/>
      <c r="AK854" s="247"/>
      <c r="AL854" s="248"/>
      <c r="AM854" s="294" t="str">
        <f t="shared" si="107"/>
        <v/>
      </c>
      <c r="AN854" s="219" t="str">
        <f t="shared" si="98"/>
        <v/>
      </c>
      <c r="AO854" s="219">
        <f t="shared" si="108"/>
        <v>0</v>
      </c>
      <c r="AP854" s="219">
        <f t="shared" si="104"/>
        <v>0</v>
      </c>
      <c r="AQ854" s="220">
        <f t="shared" si="109"/>
        <v>0</v>
      </c>
      <c r="AR854" s="221">
        <f t="shared" si="110"/>
        <v>0</v>
      </c>
      <c r="AY854" s="628"/>
      <c r="AZ854" s="470">
        <v>0.75</v>
      </c>
      <c r="BA854" s="466">
        <v>2054074507</v>
      </c>
      <c r="BB854" s="211" t="s">
        <v>655</v>
      </c>
      <c r="BC854" s="211" t="s">
        <v>655</v>
      </c>
      <c r="BD854" s="211" t="s">
        <v>655</v>
      </c>
      <c r="BE854" s="211" t="s">
        <v>655</v>
      </c>
      <c r="BF854" s="211">
        <v>462</v>
      </c>
      <c r="BG854" s="211">
        <v>507</v>
      </c>
      <c r="BH854" s="211">
        <v>2101</v>
      </c>
      <c r="BI854" s="211">
        <v>2061</v>
      </c>
      <c r="BJ854" s="211">
        <v>1441</v>
      </c>
      <c r="BK854" s="211">
        <v>683</v>
      </c>
      <c r="BL854" s="211">
        <v>500</v>
      </c>
      <c r="BM854" s="211">
        <v>714</v>
      </c>
      <c r="BO854" s="28">
        <f t="shared" si="105"/>
        <v>1058.625</v>
      </c>
      <c r="BP854" s="28">
        <f t="shared" si="106"/>
        <v>8469</v>
      </c>
    </row>
    <row r="855" spans="22:68" x14ac:dyDescent="0.25">
      <c r="V855" s="178"/>
      <c r="W855" s="174"/>
      <c r="X855" s="179"/>
      <c r="Y855" s="247"/>
      <c r="Z855" s="248"/>
      <c r="AA855" s="294" t="str">
        <f t="shared" si="99"/>
        <v/>
      </c>
      <c r="AB855" s="219" t="str">
        <f t="shared" si="97"/>
        <v/>
      </c>
      <c r="AC855" s="219">
        <f t="shared" si="100"/>
        <v>0</v>
      </c>
      <c r="AD855" s="219">
        <f t="shared" si="101"/>
        <v>0</v>
      </c>
      <c r="AE855" s="220">
        <f t="shared" si="102"/>
        <v>0</v>
      </c>
      <c r="AF855" s="221">
        <f t="shared" si="103"/>
        <v>0</v>
      </c>
      <c r="AG855" s="204"/>
      <c r="AH855" s="178"/>
      <c r="AI855" s="174"/>
      <c r="AJ855" s="179"/>
      <c r="AK855" s="247"/>
      <c r="AL855" s="248"/>
      <c r="AM855" s="294" t="str">
        <f t="shared" si="107"/>
        <v/>
      </c>
      <c r="AN855" s="219" t="str">
        <f t="shared" si="98"/>
        <v/>
      </c>
      <c r="AO855" s="219">
        <f t="shared" si="108"/>
        <v>0</v>
      </c>
      <c r="AP855" s="219">
        <f t="shared" si="104"/>
        <v>0</v>
      </c>
      <c r="AQ855" s="220">
        <f t="shared" si="109"/>
        <v>0</v>
      </c>
      <c r="AR855" s="221">
        <f t="shared" si="110"/>
        <v>0</v>
      </c>
      <c r="AY855" s="628"/>
      <c r="AZ855" s="470">
        <v>0.75</v>
      </c>
      <c r="BA855" s="466" t="s">
        <v>713</v>
      </c>
      <c r="BB855" s="211" t="s">
        <v>655</v>
      </c>
      <c r="BC855" s="211" t="s">
        <v>655</v>
      </c>
      <c r="BD855" s="211" t="s">
        <v>655</v>
      </c>
      <c r="BE855" s="211" t="s">
        <v>655</v>
      </c>
      <c r="BF855" s="211">
        <v>6</v>
      </c>
      <c r="BG855" s="211">
        <v>408</v>
      </c>
      <c r="BH855" s="211">
        <v>664</v>
      </c>
      <c r="BI855" s="211">
        <v>458</v>
      </c>
      <c r="BJ855" s="211">
        <v>185</v>
      </c>
      <c r="BK855" s="211" t="s">
        <v>655</v>
      </c>
      <c r="BL855" s="211" t="s">
        <v>655</v>
      </c>
      <c r="BM855" s="211" t="s">
        <v>655</v>
      </c>
      <c r="BO855" s="28">
        <f t="shared" si="105"/>
        <v>344.2</v>
      </c>
      <c r="BP855" s="28">
        <f t="shared" si="106"/>
        <v>1721</v>
      </c>
    </row>
    <row r="856" spans="22:68" x14ac:dyDescent="0.25">
      <c r="V856" s="178"/>
      <c r="W856" s="174"/>
      <c r="X856" s="179"/>
      <c r="Y856" s="247"/>
      <c r="Z856" s="248"/>
      <c r="AA856" s="294" t="str">
        <f t="shared" si="99"/>
        <v/>
      </c>
      <c r="AB856" s="219" t="str">
        <f t="shared" si="97"/>
        <v/>
      </c>
      <c r="AC856" s="219">
        <f t="shared" si="100"/>
        <v>0</v>
      </c>
      <c r="AD856" s="219">
        <f t="shared" si="101"/>
        <v>0</v>
      </c>
      <c r="AE856" s="220">
        <f t="shared" si="102"/>
        <v>0</v>
      </c>
      <c r="AF856" s="221">
        <f t="shared" si="103"/>
        <v>0</v>
      </c>
      <c r="AG856" s="204"/>
      <c r="AH856" s="178"/>
      <c r="AI856" s="174"/>
      <c r="AJ856" s="179"/>
      <c r="AK856" s="247"/>
      <c r="AL856" s="248"/>
      <c r="AM856" s="294" t="str">
        <f t="shared" si="107"/>
        <v/>
      </c>
      <c r="AN856" s="219" t="str">
        <f t="shared" si="98"/>
        <v/>
      </c>
      <c r="AO856" s="219">
        <f t="shared" si="108"/>
        <v>0</v>
      </c>
      <c r="AP856" s="219">
        <f t="shared" si="104"/>
        <v>0</v>
      </c>
      <c r="AQ856" s="220">
        <f t="shared" si="109"/>
        <v>0</v>
      </c>
      <c r="AR856" s="221">
        <f t="shared" si="110"/>
        <v>0</v>
      </c>
      <c r="AY856" s="628"/>
      <c r="AZ856" s="470">
        <v>0.625</v>
      </c>
      <c r="BA856" s="466">
        <v>3922469261</v>
      </c>
      <c r="BB856" s="211" t="s">
        <v>655</v>
      </c>
      <c r="BC856" s="211" t="s">
        <v>655</v>
      </c>
      <c r="BD856" s="211" t="s">
        <v>655</v>
      </c>
      <c r="BE856" s="211" t="s">
        <v>655</v>
      </c>
      <c r="BF856" s="211" t="s">
        <v>655</v>
      </c>
      <c r="BG856" s="211">
        <v>351</v>
      </c>
      <c r="BH856" s="211">
        <v>1113</v>
      </c>
      <c r="BI856" s="211">
        <v>753</v>
      </c>
      <c r="BJ856" s="211">
        <v>685</v>
      </c>
      <c r="BK856" s="211">
        <v>436</v>
      </c>
      <c r="BL856" s="211">
        <v>435</v>
      </c>
      <c r="BM856" s="211">
        <v>514</v>
      </c>
      <c r="BO856" s="28">
        <f t="shared" si="105"/>
        <v>612.42857142857144</v>
      </c>
      <c r="BP856" s="28">
        <f t="shared" si="106"/>
        <v>4287</v>
      </c>
    </row>
    <row r="857" spans="22:68" x14ac:dyDescent="0.25">
      <c r="V857" s="178"/>
      <c r="W857" s="174"/>
      <c r="X857" s="179"/>
      <c r="Y857" s="247"/>
      <c r="Z857" s="248"/>
      <c r="AA857" s="294" t="str">
        <f t="shared" si="99"/>
        <v/>
      </c>
      <c r="AB857" s="219" t="str">
        <f t="shared" si="97"/>
        <v/>
      </c>
      <c r="AC857" s="219">
        <f t="shared" si="100"/>
        <v>0</v>
      </c>
      <c r="AD857" s="219">
        <f t="shared" si="101"/>
        <v>0</v>
      </c>
      <c r="AE857" s="220">
        <f t="shared" si="102"/>
        <v>0</v>
      </c>
      <c r="AF857" s="221">
        <f t="shared" si="103"/>
        <v>0</v>
      </c>
      <c r="AG857" s="204"/>
      <c r="AH857" s="178"/>
      <c r="AI857" s="174"/>
      <c r="AJ857" s="179"/>
      <c r="AK857" s="247"/>
      <c r="AL857" s="248"/>
      <c r="AM857" s="294" t="str">
        <f t="shared" si="107"/>
        <v/>
      </c>
      <c r="AN857" s="219" t="str">
        <f t="shared" si="98"/>
        <v/>
      </c>
      <c r="AO857" s="219">
        <f t="shared" si="108"/>
        <v>0</v>
      </c>
      <c r="AP857" s="219">
        <f t="shared" si="104"/>
        <v>0</v>
      </c>
      <c r="AQ857" s="220">
        <f t="shared" si="109"/>
        <v>0</v>
      </c>
      <c r="AR857" s="221">
        <f t="shared" si="110"/>
        <v>0</v>
      </c>
      <c r="AY857" s="628"/>
      <c r="AZ857" s="470">
        <v>0.75</v>
      </c>
      <c r="BA857" s="466">
        <v>9854719666</v>
      </c>
      <c r="BB857" s="211" t="s">
        <v>655</v>
      </c>
      <c r="BC857" s="211" t="s">
        <v>655</v>
      </c>
      <c r="BD857" s="211" t="s">
        <v>655</v>
      </c>
      <c r="BE857" s="211" t="s">
        <v>655</v>
      </c>
      <c r="BF857" s="211" t="s">
        <v>655</v>
      </c>
      <c r="BG857" s="211">
        <v>1465</v>
      </c>
      <c r="BH857" s="211">
        <v>2095</v>
      </c>
      <c r="BI857" s="211">
        <v>1618</v>
      </c>
      <c r="BJ857" s="211">
        <v>1442</v>
      </c>
      <c r="BK857" s="211">
        <v>1679</v>
      </c>
      <c r="BL857" s="211">
        <v>1278</v>
      </c>
      <c r="BM857" s="211">
        <v>900</v>
      </c>
      <c r="BO857" s="28">
        <f t="shared" si="105"/>
        <v>1496.7142857142858</v>
      </c>
      <c r="BP857" s="28">
        <f t="shared" si="106"/>
        <v>10477</v>
      </c>
    </row>
    <row r="858" spans="22:68" x14ac:dyDescent="0.25">
      <c r="V858" s="178"/>
      <c r="W858" s="174"/>
      <c r="X858" s="179"/>
      <c r="Y858" s="247"/>
      <c r="Z858" s="248"/>
      <c r="AA858" s="294" t="str">
        <f t="shared" si="99"/>
        <v/>
      </c>
      <c r="AB858" s="219" t="str">
        <f t="shared" si="97"/>
        <v/>
      </c>
      <c r="AC858" s="219">
        <f t="shared" si="100"/>
        <v>0</v>
      </c>
      <c r="AD858" s="219">
        <f t="shared" si="101"/>
        <v>0</v>
      </c>
      <c r="AE858" s="220">
        <f t="shared" si="102"/>
        <v>0</v>
      </c>
      <c r="AF858" s="221">
        <f t="shared" si="103"/>
        <v>0</v>
      </c>
      <c r="AG858" s="204"/>
      <c r="AH858" s="178"/>
      <c r="AI858" s="174"/>
      <c r="AJ858" s="179"/>
      <c r="AK858" s="247"/>
      <c r="AL858" s="248"/>
      <c r="AM858" s="294" t="str">
        <f t="shared" si="107"/>
        <v/>
      </c>
      <c r="AN858" s="219" t="str">
        <f t="shared" si="98"/>
        <v/>
      </c>
      <c r="AO858" s="219">
        <f t="shared" si="108"/>
        <v>0</v>
      </c>
      <c r="AP858" s="219">
        <f t="shared" si="104"/>
        <v>0</v>
      </c>
      <c r="AQ858" s="220">
        <f t="shared" si="109"/>
        <v>0</v>
      </c>
      <c r="AR858" s="221">
        <f t="shared" si="110"/>
        <v>0</v>
      </c>
      <c r="AY858" s="628"/>
      <c r="AZ858" s="470">
        <v>0.75</v>
      </c>
      <c r="BA858" s="466">
        <v>5938789681</v>
      </c>
      <c r="BB858" s="211" t="s">
        <v>655</v>
      </c>
      <c r="BC858" s="211" t="s">
        <v>655</v>
      </c>
      <c r="BD858" s="211" t="s">
        <v>655</v>
      </c>
      <c r="BE858" s="211" t="s">
        <v>655</v>
      </c>
      <c r="BF858" s="211" t="s">
        <v>655</v>
      </c>
      <c r="BG858" s="211">
        <v>4001</v>
      </c>
      <c r="BH858" s="211">
        <v>5939</v>
      </c>
      <c r="BI858" s="211">
        <v>5575</v>
      </c>
      <c r="BJ858" s="211">
        <v>5443</v>
      </c>
      <c r="BK858" s="211">
        <v>5722</v>
      </c>
      <c r="BL858" s="211" t="s">
        <v>655</v>
      </c>
      <c r="BM858" s="211">
        <v>55</v>
      </c>
      <c r="BO858" s="28">
        <f t="shared" si="105"/>
        <v>4455.833333333333</v>
      </c>
      <c r="BP858" s="28">
        <f t="shared" si="106"/>
        <v>26735</v>
      </c>
    </row>
    <row r="859" spans="22:68" x14ac:dyDescent="0.25">
      <c r="V859" s="178"/>
      <c r="W859" s="174"/>
      <c r="X859" s="179"/>
      <c r="Y859" s="247"/>
      <c r="Z859" s="248"/>
      <c r="AA859" s="294" t="str">
        <f t="shared" si="99"/>
        <v/>
      </c>
      <c r="AB859" s="219" t="str">
        <f t="shared" si="97"/>
        <v/>
      </c>
      <c r="AC859" s="219">
        <f t="shared" si="100"/>
        <v>0</v>
      </c>
      <c r="AD859" s="219">
        <f t="shared" si="101"/>
        <v>0</v>
      </c>
      <c r="AE859" s="220">
        <f t="shared" si="102"/>
        <v>0</v>
      </c>
      <c r="AF859" s="221">
        <f t="shared" si="103"/>
        <v>0</v>
      </c>
      <c r="AG859" s="204"/>
      <c r="AH859" s="178"/>
      <c r="AI859" s="174"/>
      <c r="AJ859" s="179"/>
      <c r="AK859" s="247"/>
      <c r="AL859" s="248"/>
      <c r="AM859" s="294" t="str">
        <f t="shared" si="107"/>
        <v/>
      </c>
      <c r="AN859" s="219" t="str">
        <f t="shared" si="98"/>
        <v/>
      </c>
      <c r="AO859" s="219">
        <f t="shared" si="108"/>
        <v>0</v>
      </c>
      <c r="AP859" s="219">
        <f t="shared" si="104"/>
        <v>0</v>
      </c>
      <c r="AQ859" s="220">
        <f t="shared" si="109"/>
        <v>0</v>
      </c>
      <c r="AR859" s="221">
        <f t="shared" si="110"/>
        <v>0</v>
      </c>
      <c r="AY859" s="628"/>
      <c r="AZ859" s="470">
        <v>0.75</v>
      </c>
      <c r="BA859" s="466">
        <v>2071514508</v>
      </c>
      <c r="BB859" s="211" t="s">
        <v>655</v>
      </c>
      <c r="BC859" s="211" t="s">
        <v>655</v>
      </c>
      <c r="BD859" s="211" t="s">
        <v>655</v>
      </c>
      <c r="BE859" s="211" t="s">
        <v>655</v>
      </c>
      <c r="BF859" s="211" t="s">
        <v>655</v>
      </c>
      <c r="BG859" s="211">
        <v>603</v>
      </c>
      <c r="BH859" s="211">
        <v>530</v>
      </c>
      <c r="BI859" s="211">
        <v>401</v>
      </c>
      <c r="BJ859" s="211">
        <v>486</v>
      </c>
      <c r="BK859" s="211">
        <v>553</v>
      </c>
      <c r="BL859" s="211">
        <v>481</v>
      </c>
      <c r="BM859" s="211">
        <v>446</v>
      </c>
      <c r="BO859" s="28">
        <f t="shared" si="105"/>
        <v>500</v>
      </c>
      <c r="BP859" s="28">
        <f t="shared" si="106"/>
        <v>3500</v>
      </c>
    </row>
    <row r="860" spans="22:68" x14ac:dyDescent="0.25">
      <c r="V860" s="178"/>
      <c r="W860" s="174"/>
      <c r="X860" s="179"/>
      <c r="Y860" s="247"/>
      <c r="Z860" s="248"/>
      <c r="AA860" s="294" t="str">
        <f t="shared" si="99"/>
        <v/>
      </c>
      <c r="AB860" s="219" t="str">
        <f t="shared" si="97"/>
        <v/>
      </c>
      <c r="AC860" s="219">
        <f t="shared" si="100"/>
        <v>0</v>
      </c>
      <c r="AD860" s="219">
        <f t="shared" si="101"/>
        <v>0</v>
      </c>
      <c r="AE860" s="220">
        <f t="shared" si="102"/>
        <v>0</v>
      </c>
      <c r="AF860" s="221">
        <f t="shared" si="103"/>
        <v>0</v>
      </c>
      <c r="AG860" s="204"/>
      <c r="AH860" s="178"/>
      <c r="AI860" s="174"/>
      <c r="AJ860" s="179"/>
      <c r="AK860" s="247"/>
      <c r="AL860" s="248"/>
      <c r="AM860" s="294" t="str">
        <f t="shared" si="107"/>
        <v/>
      </c>
      <c r="AN860" s="219" t="str">
        <f t="shared" si="98"/>
        <v/>
      </c>
      <c r="AO860" s="219">
        <f t="shared" si="108"/>
        <v>0</v>
      </c>
      <c r="AP860" s="219">
        <f t="shared" si="104"/>
        <v>0</v>
      </c>
      <c r="AQ860" s="220">
        <f t="shared" si="109"/>
        <v>0</v>
      </c>
      <c r="AR860" s="221">
        <f t="shared" si="110"/>
        <v>0</v>
      </c>
      <c r="AY860" s="628"/>
      <c r="AZ860" s="470">
        <v>0.75</v>
      </c>
      <c r="BA860" s="466">
        <v>3540529497</v>
      </c>
      <c r="BB860" s="211" t="s">
        <v>655</v>
      </c>
      <c r="BC860" s="211" t="s">
        <v>655</v>
      </c>
      <c r="BD860" s="211" t="s">
        <v>655</v>
      </c>
      <c r="BE860" s="211" t="s">
        <v>655</v>
      </c>
      <c r="BF860" s="211" t="s">
        <v>655</v>
      </c>
      <c r="BG860" s="211">
        <v>17</v>
      </c>
      <c r="BH860" s="211">
        <v>52</v>
      </c>
      <c r="BI860" s="211">
        <v>64</v>
      </c>
      <c r="BJ860" s="211">
        <v>76</v>
      </c>
      <c r="BK860" s="211">
        <v>42</v>
      </c>
      <c r="BL860" s="211">
        <v>65</v>
      </c>
      <c r="BM860" s="211">
        <v>85</v>
      </c>
      <c r="BO860" s="28">
        <f t="shared" si="105"/>
        <v>57.285714285714285</v>
      </c>
      <c r="BP860" s="28">
        <f t="shared" si="106"/>
        <v>401</v>
      </c>
    </row>
    <row r="861" spans="22:68" x14ac:dyDescent="0.25">
      <c r="V861" s="178"/>
      <c r="W861" s="174"/>
      <c r="X861" s="179"/>
      <c r="Y861" s="247"/>
      <c r="Z861" s="248"/>
      <c r="AA861" s="294" t="str">
        <f t="shared" si="99"/>
        <v/>
      </c>
      <c r="AB861" s="219" t="str">
        <f t="shared" si="97"/>
        <v/>
      </c>
      <c r="AC861" s="219">
        <f t="shared" si="100"/>
        <v>0</v>
      </c>
      <c r="AD861" s="219">
        <f t="shared" si="101"/>
        <v>0</v>
      </c>
      <c r="AE861" s="220">
        <f t="shared" si="102"/>
        <v>0</v>
      </c>
      <c r="AF861" s="221">
        <f t="shared" si="103"/>
        <v>0</v>
      </c>
      <c r="AG861" s="204"/>
      <c r="AH861" s="178"/>
      <c r="AI861" s="174"/>
      <c r="AJ861" s="179"/>
      <c r="AK861" s="247"/>
      <c r="AL861" s="248"/>
      <c r="AM861" s="294" t="str">
        <f t="shared" si="107"/>
        <v/>
      </c>
      <c r="AN861" s="219" t="str">
        <f t="shared" si="98"/>
        <v/>
      </c>
      <c r="AO861" s="219">
        <f t="shared" si="108"/>
        <v>0</v>
      </c>
      <c r="AP861" s="219">
        <f t="shared" si="104"/>
        <v>0</v>
      </c>
      <c r="AQ861" s="220">
        <f t="shared" si="109"/>
        <v>0</v>
      </c>
      <c r="AR861" s="221">
        <f t="shared" si="110"/>
        <v>0</v>
      </c>
      <c r="AY861" s="628"/>
      <c r="AZ861" s="470">
        <v>0.75</v>
      </c>
      <c r="BA861" s="466">
        <v>3012670204</v>
      </c>
      <c r="BB861" s="211" t="s">
        <v>655</v>
      </c>
      <c r="BC861" s="211" t="s">
        <v>655</v>
      </c>
      <c r="BD861" s="211" t="s">
        <v>655</v>
      </c>
      <c r="BE861" s="211" t="s">
        <v>655</v>
      </c>
      <c r="BF861" s="211" t="s">
        <v>655</v>
      </c>
      <c r="BG861" s="211">
        <v>7</v>
      </c>
      <c r="BH861" s="211">
        <v>624</v>
      </c>
      <c r="BI861" s="211">
        <v>642</v>
      </c>
      <c r="BJ861" s="211">
        <v>358</v>
      </c>
      <c r="BK861" s="211">
        <v>1072</v>
      </c>
      <c r="BL861" s="211">
        <v>576</v>
      </c>
      <c r="BM861" s="211">
        <v>500</v>
      </c>
      <c r="BO861" s="28">
        <f t="shared" si="105"/>
        <v>539.85714285714289</v>
      </c>
      <c r="BP861" s="28">
        <f t="shared" si="106"/>
        <v>3779</v>
      </c>
    </row>
    <row r="862" spans="22:68" x14ac:dyDescent="0.25">
      <c r="V862" s="178"/>
      <c r="W862" s="174"/>
      <c r="X862" s="179"/>
      <c r="Y862" s="247"/>
      <c r="Z862" s="248"/>
      <c r="AA862" s="294" t="str">
        <f t="shared" si="99"/>
        <v/>
      </c>
      <c r="AB862" s="219" t="str">
        <f t="shared" si="97"/>
        <v/>
      </c>
      <c r="AC862" s="219">
        <f t="shared" si="100"/>
        <v>0</v>
      </c>
      <c r="AD862" s="219">
        <f t="shared" si="101"/>
        <v>0</v>
      </c>
      <c r="AE862" s="220">
        <f t="shared" si="102"/>
        <v>0</v>
      </c>
      <c r="AF862" s="221">
        <f t="shared" si="103"/>
        <v>0</v>
      </c>
      <c r="AG862" s="204"/>
      <c r="AH862" s="178"/>
      <c r="AI862" s="174"/>
      <c r="AJ862" s="179"/>
      <c r="AK862" s="247"/>
      <c r="AL862" s="248"/>
      <c r="AM862" s="294" t="str">
        <f t="shared" si="107"/>
        <v/>
      </c>
      <c r="AN862" s="219" t="str">
        <f t="shared" si="98"/>
        <v/>
      </c>
      <c r="AO862" s="219">
        <f t="shared" si="108"/>
        <v>0</v>
      </c>
      <c r="AP862" s="219">
        <f t="shared" si="104"/>
        <v>0</v>
      </c>
      <c r="AQ862" s="220">
        <f t="shared" si="109"/>
        <v>0</v>
      </c>
      <c r="AR862" s="221">
        <f t="shared" si="110"/>
        <v>0</v>
      </c>
      <c r="AY862" s="628"/>
      <c r="AZ862" s="470">
        <v>0.75</v>
      </c>
      <c r="BA862" s="466">
        <v>6408797223</v>
      </c>
      <c r="BB862" s="211" t="s">
        <v>655</v>
      </c>
      <c r="BC862" s="211" t="s">
        <v>655</v>
      </c>
      <c r="BD862" s="211" t="s">
        <v>655</v>
      </c>
      <c r="BE862" s="211" t="s">
        <v>655</v>
      </c>
      <c r="BF862" s="211" t="s">
        <v>655</v>
      </c>
      <c r="BG862" s="211" t="s">
        <v>655</v>
      </c>
      <c r="BH862" s="211">
        <v>889</v>
      </c>
      <c r="BI862" s="211">
        <v>808</v>
      </c>
      <c r="BJ862" s="211">
        <v>702</v>
      </c>
      <c r="BK862" s="211">
        <v>489</v>
      </c>
      <c r="BL862" s="211">
        <v>422</v>
      </c>
      <c r="BM862" s="211">
        <v>577</v>
      </c>
      <c r="BO862" s="28">
        <f t="shared" si="105"/>
        <v>647.83333333333337</v>
      </c>
      <c r="BP862" s="28">
        <f t="shared" si="106"/>
        <v>3887</v>
      </c>
    </row>
    <row r="863" spans="22:68" x14ac:dyDescent="0.25">
      <c r="V863" s="178"/>
      <c r="W863" s="174"/>
      <c r="X863" s="179"/>
      <c r="Y863" s="247"/>
      <c r="Z863" s="248"/>
      <c r="AA863" s="294" t="str">
        <f t="shared" si="99"/>
        <v/>
      </c>
      <c r="AB863" s="219" t="str">
        <f t="shared" si="97"/>
        <v/>
      </c>
      <c r="AC863" s="219">
        <f t="shared" si="100"/>
        <v>0</v>
      </c>
      <c r="AD863" s="219">
        <f t="shared" si="101"/>
        <v>0</v>
      </c>
      <c r="AE863" s="220">
        <f t="shared" si="102"/>
        <v>0</v>
      </c>
      <c r="AF863" s="221">
        <f t="shared" si="103"/>
        <v>0</v>
      </c>
      <c r="AG863" s="204"/>
      <c r="AH863" s="178"/>
      <c r="AI863" s="174"/>
      <c r="AJ863" s="179"/>
      <c r="AK863" s="247"/>
      <c r="AL863" s="248"/>
      <c r="AM863" s="294" t="str">
        <f t="shared" si="107"/>
        <v/>
      </c>
      <c r="AN863" s="219" t="str">
        <f t="shared" si="98"/>
        <v/>
      </c>
      <c r="AO863" s="219">
        <f t="shared" si="108"/>
        <v>0</v>
      </c>
      <c r="AP863" s="219">
        <f t="shared" si="104"/>
        <v>0</v>
      </c>
      <c r="AQ863" s="220">
        <f t="shared" si="109"/>
        <v>0</v>
      </c>
      <c r="AR863" s="221">
        <f t="shared" si="110"/>
        <v>0</v>
      </c>
      <c r="AY863" s="628"/>
      <c r="AZ863" s="470">
        <v>0.75</v>
      </c>
      <c r="BA863" s="466">
        <v>8914786428</v>
      </c>
      <c r="BB863" s="211" t="s">
        <v>655</v>
      </c>
      <c r="BC863" s="211" t="s">
        <v>655</v>
      </c>
      <c r="BD863" s="211" t="s">
        <v>655</v>
      </c>
      <c r="BE863" s="211" t="s">
        <v>655</v>
      </c>
      <c r="BF863" s="211" t="s">
        <v>655</v>
      </c>
      <c r="BG863" s="211" t="s">
        <v>655</v>
      </c>
      <c r="BH863" s="211">
        <v>993</v>
      </c>
      <c r="BI863" s="211">
        <v>1413</v>
      </c>
      <c r="BJ863" s="211">
        <v>985</v>
      </c>
      <c r="BK863" s="211">
        <v>510</v>
      </c>
      <c r="BL863" s="211">
        <v>623</v>
      </c>
      <c r="BM863" s="211">
        <v>1800</v>
      </c>
      <c r="BO863" s="28">
        <f t="shared" si="105"/>
        <v>1054</v>
      </c>
      <c r="BP863" s="28">
        <f t="shared" si="106"/>
        <v>6324</v>
      </c>
    </row>
    <row r="864" spans="22:68" x14ac:dyDescent="0.25">
      <c r="V864" s="178"/>
      <c r="W864" s="174"/>
      <c r="X864" s="179"/>
      <c r="Y864" s="247"/>
      <c r="Z864" s="248"/>
      <c r="AA864" s="294" t="str">
        <f t="shared" si="99"/>
        <v/>
      </c>
      <c r="AB864" s="219" t="str">
        <f t="shared" si="97"/>
        <v/>
      </c>
      <c r="AC864" s="219">
        <f t="shared" si="100"/>
        <v>0</v>
      </c>
      <c r="AD864" s="219">
        <f t="shared" si="101"/>
        <v>0</v>
      </c>
      <c r="AE864" s="220">
        <f t="shared" si="102"/>
        <v>0</v>
      </c>
      <c r="AF864" s="221">
        <f t="shared" si="103"/>
        <v>0</v>
      </c>
      <c r="AG864" s="204"/>
      <c r="AH864" s="178"/>
      <c r="AI864" s="174"/>
      <c r="AJ864" s="179"/>
      <c r="AK864" s="247"/>
      <c r="AL864" s="248"/>
      <c r="AM864" s="294" t="str">
        <f t="shared" si="107"/>
        <v/>
      </c>
      <c r="AN864" s="219" t="str">
        <f t="shared" si="98"/>
        <v/>
      </c>
      <c r="AO864" s="219">
        <f t="shared" si="108"/>
        <v>0</v>
      </c>
      <c r="AP864" s="219">
        <f t="shared" si="104"/>
        <v>0</v>
      </c>
      <c r="AQ864" s="220">
        <f t="shared" si="109"/>
        <v>0</v>
      </c>
      <c r="AR864" s="221">
        <f t="shared" si="110"/>
        <v>0</v>
      </c>
      <c r="AY864" s="628"/>
      <c r="AZ864" s="470">
        <v>0.75</v>
      </c>
      <c r="BA864" s="466">
        <v>4434874306</v>
      </c>
      <c r="BB864" s="211" t="s">
        <v>655</v>
      </c>
      <c r="BC864" s="211" t="s">
        <v>655</v>
      </c>
      <c r="BD864" s="211" t="s">
        <v>655</v>
      </c>
      <c r="BE864" s="211" t="s">
        <v>655</v>
      </c>
      <c r="BF864" s="211" t="s">
        <v>655</v>
      </c>
      <c r="BG864" s="211" t="s">
        <v>655</v>
      </c>
      <c r="BH864" s="211">
        <v>1972</v>
      </c>
      <c r="BI864" s="211">
        <v>443</v>
      </c>
      <c r="BJ864" s="211">
        <v>989</v>
      </c>
      <c r="BK864" s="211">
        <v>350</v>
      </c>
      <c r="BL864" s="211">
        <v>240</v>
      </c>
      <c r="BM864" s="211">
        <v>105</v>
      </c>
      <c r="BO864" s="28">
        <f t="shared" si="105"/>
        <v>683.16666666666663</v>
      </c>
      <c r="BP864" s="28">
        <f t="shared" si="106"/>
        <v>4099</v>
      </c>
    </row>
    <row r="865" spans="22:68" x14ac:dyDescent="0.25">
      <c r="V865" s="178"/>
      <c r="W865" s="174"/>
      <c r="X865" s="179"/>
      <c r="Y865" s="247"/>
      <c r="Z865" s="248"/>
      <c r="AA865" s="294" t="str">
        <f t="shared" si="99"/>
        <v/>
      </c>
      <c r="AB865" s="219" t="str">
        <f t="shared" si="97"/>
        <v/>
      </c>
      <c r="AC865" s="219">
        <f t="shared" si="100"/>
        <v>0</v>
      </c>
      <c r="AD865" s="219">
        <f t="shared" si="101"/>
        <v>0</v>
      </c>
      <c r="AE865" s="220">
        <f t="shared" si="102"/>
        <v>0</v>
      </c>
      <c r="AF865" s="221">
        <f t="shared" si="103"/>
        <v>0</v>
      </c>
      <c r="AG865" s="204"/>
      <c r="AH865" s="178"/>
      <c r="AI865" s="174"/>
      <c r="AJ865" s="179"/>
      <c r="AK865" s="247"/>
      <c r="AL865" s="248"/>
      <c r="AM865" s="294" t="str">
        <f t="shared" si="107"/>
        <v/>
      </c>
      <c r="AN865" s="219" t="str">
        <f t="shared" si="98"/>
        <v/>
      </c>
      <c r="AO865" s="219">
        <f t="shared" si="108"/>
        <v>0</v>
      </c>
      <c r="AP865" s="219">
        <f t="shared" si="104"/>
        <v>0</v>
      </c>
      <c r="AQ865" s="220">
        <f t="shared" si="109"/>
        <v>0</v>
      </c>
      <c r="AR865" s="221">
        <f t="shared" si="110"/>
        <v>0</v>
      </c>
      <c r="AY865" s="628"/>
      <c r="AZ865" s="470">
        <v>1</v>
      </c>
      <c r="BA865" s="466">
        <v>3742702176</v>
      </c>
      <c r="BB865" s="211" t="s">
        <v>655</v>
      </c>
      <c r="BC865" s="211" t="s">
        <v>655</v>
      </c>
      <c r="BD865" s="211" t="s">
        <v>655</v>
      </c>
      <c r="BE865" s="211" t="s">
        <v>655</v>
      </c>
      <c r="BF865" s="211" t="s">
        <v>655</v>
      </c>
      <c r="BG865" s="211" t="s">
        <v>655</v>
      </c>
      <c r="BH865" s="211">
        <v>642</v>
      </c>
      <c r="BI865" s="211">
        <v>2652</v>
      </c>
      <c r="BJ865" s="211">
        <v>3235</v>
      </c>
      <c r="BK865" s="211">
        <v>2757</v>
      </c>
      <c r="BL865" s="211">
        <v>924</v>
      </c>
      <c r="BM865" s="211">
        <v>413</v>
      </c>
      <c r="BO865" s="28">
        <f t="shared" si="105"/>
        <v>1770.5</v>
      </c>
      <c r="BP865" s="28">
        <f t="shared" si="106"/>
        <v>10623</v>
      </c>
    </row>
    <row r="866" spans="22:68" x14ac:dyDescent="0.25">
      <c r="V866" s="178"/>
      <c r="W866" s="174"/>
      <c r="X866" s="179"/>
      <c r="Y866" s="247"/>
      <c r="Z866" s="248"/>
      <c r="AA866" s="294" t="str">
        <f t="shared" si="99"/>
        <v/>
      </c>
      <c r="AB866" s="219" t="str">
        <f t="shared" si="97"/>
        <v/>
      </c>
      <c r="AC866" s="219">
        <f t="shared" si="100"/>
        <v>0</v>
      </c>
      <c r="AD866" s="219">
        <f t="shared" si="101"/>
        <v>0</v>
      </c>
      <c r="AE866" s="220">
        <f t="shared" si="102"/>
        <v>0</v>
      </c>
      <c r="AF866" s="221">
        <f t="shared" si="103"/>
        <v>0</v>
      </c>
      <c r="AG866" s="204"/>
      <c r="AH866" s="178"/>
      <c r="AI866" s="174"/>
      <c r="AJ866" s="179"/>
      <c r="AK866" s="247"/>
      <c r="AL866" s="248"/>
      <c r="AM866" s="294" t="str">
        <f t="shared" si="107"/>
        <v/>
      </c>
      <c r="AN866" s="219" t="str">
        <f t="shared" si="98"/>
        <v/>
      </c>
      <c r="AO866" s="219">
        <f t="shared" si="108"/>
        <v>0</v>
      </c>
      <c r="AP866" s="219">
        <f t="shared" si="104"/>
        <v>0</v>
      </c>
      <c r="AQ866" s="220">
        <f t="shared" si="109"/>
        <v>0</v>
      </c>
      <c r="AR866" s="221">
        <f t="shared" si="110"/>
        <v>0</v>
      </c>
      <c r="AY866" s="628"/>
      <c r="AZ866" s="470">
        <v>0.625</v>
      </c>
      <c r="BA866" s="466">
        <v>7163105122</v>
      </c>
      <c r="BB866" s="211" t="s">
        <v>655</v>
      </c>
      <c r="BC866" s="211" t="s">
        <v>655</v>
      </c>
      <c r="BD866" s="211" t="s">
        <v>655</v>
      </c>
      <c r="BE866" s="211" t="s">
        <v>655</v>
      </c>
      <c r="BF866" s="211" t="s">
        <v>655</v>
      </c>
      <c r="BG866" s="211" t="s">
        <v>655</v>
      </c>
      <c r="BH866" s="211">
        <v>1225</v>
      </c>
      <c r="BI866" s="211" t="s">
        <v>655</v>
      </c>
      <c r="BJ866" s="211">
        <v>1798</v>
      </c>
      <c r="BK866" s="211">
        <v>445</v>
      </c>
      <c r="BL866" s="211">
        <v>339</v>
      </c>
      <c r="BM866" s="211">
        <v>334</v>
      </c>
      <c r="BO866" s="28">
        <f t="shared" si="105"/>
        <v>828.2</v>
      </c>
      <c r="BP866" s="28">
        <f t="shared" si="106"/>
        <v>4141</v>
      </c>
    </row>
    <row r="867" spans="22:68" x14ac:dyDescent="0.25">
      <c r="V867" s="178"/>
      <c r="W867" s="174"/>
      <c r="X867" s="179"/>
      <c r="Y867" s="247"/>
      <c r="Z867" s="248"/>
      <c r="AA867" s="294" t="str">
        <f t="shared" si="99"/>
        <v/>
      </c>
      <c r="AB867" s="219" t="str">
        <f t="shared" si="97"/>
        <v/>
      </c>
      <c r="AC867" s="219">
        <f t="shared" si="100"/>
        <v>0</v>
      </c>
      <c r="AD867" s="219">
        <f t="shared" si="101"/>
        <v>0</v>
      </c>
      <c r="AE867" s="220">
        <f t="shared" si="102"/>
        <v>0</v>
      </c>
      <c r="AF867" s="221">
        <f t="shared" si="103"/>
        <v>0</v>
      </c>
      <c r="AG867" s="204"/>
      <c r="AH867" s="178"/>
      <c r="AI867" s="174"/>
      <c r="AJ867" s="179"/>
      <c r="AK867" s="247"/>
      <c r="AL867" s="248"/>
      <c r="AM867" s="294" t="str">
        <f t="shared" si="107"/>
        <v/>
      </c>
      <c r="AN867" s="219" t="str">
        <f t="shared" si="98"/>
        <v/>
      </c>
      <c r="AO867" s="219">
        <f t="shared" si="108"/>
        <v>0</v>
      </c>
      <c r="AP867" s="219">
        <f t="shared" si="104"/>
        <v>0</v>
      </c>
      <c r="AQ867" s="220">
        <f t="shared" si="109"/>
        <v>0</v>
      </c>
      <c r="AR867" s="221">
        <f t="shared" si="110"/>
        <v>0</v>
      </c>
      <c r="AY867" s="628"/>
      <c r="AZ867" s="470">
        <v>0.625</v>
      </c>
      <c r="BA867" s="466">
        <v>5972071429</v>
      </c>
      <c r="BB867" s="211" t="s">
        <v>655</v>
      </c>
      <c r="BC867" s="211" t="s">
        <v>655</v>
      </c>
      <c r="BD867" s="211" t="s">
        <v>655</v>
      </c>
      <c r="BE867" s="211" t="s">
        <v>655</v>
      </c>
      <c r="BF867" s="211" t="s">
        <v>655</v>
      </c>
      <c r="BG867" s="211" t="s">
        <v>655</v>
      </c>
      <c r="BH867" s="211">
        <v>375</v>
      </c>
      <c r="BI867" s="211">
        <v>339</v>
      </c>
      <c r="BJ867" s="211">
        <v>748</v>
      </c>
      <c r="BK867" s="211">
        <v>499</v>
      </c>
      <c r="BL867" s="211">
        <v>724</v>
      </c>
      <c r="BM867" s="211">
        <v>570</v>
      </c>
      <c r="BO867" s="28">
        <f t="shared" si="105"/>
        <v>542.5</v>
      </c>
      <c r="BP867" s="28">
        <f t="shared" si="106"/>
        <v>3255</v>
      </c>
    </row>
    <row r="868" spans="22:68" x14ac:dyDescent="0.25">
      <c r="V868" s="178"/>
      <c r="W868" s="174"/>
      <c r="X868" s="179"/>
      <c r="Y868" s="247"/>
      <c r="Z868" s="248"/>
      <c r="AA868" s="294" t="str">
        <f t="shared" si="99"/>
        <v/>
      </c>
      <c r="AB868" s="219" t="str">
        <f t="shared" si="97"/>
        <v/>
      </c>
      <c r="AC868" s="219">
        <f t="shared" si="100"/>
        <v>0</v>
      </c>
      <c r="AD868" s="219">
        <f t="shared" si="101"/>
        <v>0</v>
      </c>
      <c r="AE868" s="220">
        <f t="shared" si="102"/>
        <v>0</v>
      </c>
      <c r="AF868" s="221">
        <f t="shared" si="103"/>
        <v>0</v>
      </c>
      <c r="AG868" s="204"/>
      <c r="AH868" s="178"/>
      <c r="AI868" s="174"/>
      <c r="AJ868" s="179"/>
      <c r="AK868" s="247"/>
      <c r="AL868" s="248"/>
      <c r="AM868" s="294" t="str">
        <f t="shared" si="107"/>
        <v/>
      </c>
      <c r="AN868" s="219" t="str">
        <f t="shared" si="98"/>
        <v/>
      </c>
      <c r="AO868" s="219">
        <f t="shared" si="108"/>
        <v>0</v>
      </c>
      <c r="AP868" s="219">
        <f t="shared" si="104"/>
        <v>0</v>
      </c>
      <c r="AQ868" s="220">
        <f t="shared" si="109"/>
        <v>0</v>
      </c>
      <c r="AR868" s="221">
        <f t="shared" si="110"/>
        <v>0</v>
      </c>
      <c r="AY868" s="628"/>
      <c r="AZ868" s="470">
        <v>0.75</v>
      </c>
      <c r="BA868" s="466">
        <v>1020653267</v>
      </c>
      <c r="BB868" s="211" t="s">
        <v>655</v>
      </c>
      <c r="BC868" s="211" t="s">
        <v>655</v>
      </c>
      <c r="BD868" s="211" t="s">
        <v>655</v>
      </c>
      <c r="BE868" s="211" t="s">
        <v>655</v>
      </c>
      <c r="BF868" s="211" t="s">
        <v>655</v>
      </c>
      <c r="BG868" s="211" t="s">
        <v>655</v>
      </c>
      <c r="BH868" s="211">
        <v>7614.666666666667</v>
      </c>
      <c r="BI868" s="211">
        <v>7614.666666666667</v>
      </c>
      <c r="BJ868" s="211">
        <v>7614.666666666667</v>
      </c>
      <c r="BK868" s="211">
        <v>7614.666666666667</v>
      </c>
      <c r="BL868" s="211">
        <v>7614.666666666667</v>
      </c>
      <c r="BM868" s="211">
        <v>7614.666666666667</v>
      </c>
      <c r="BO868" s="28">
        <f t="shared" si="105"/>
        <v>7614.666666666667</v>
      </c>
      <c r="BP868" s="28">
        <f t="shared" si="106"/>
        <v>45688</v>
      </c>
    </row>
    <row r="869" spans="22:68" x14ac:dyDescent="0.25">
      <c r="V869" s="178"/>
      <c r="W869" s="174"/>
      <c r="X869" s="179"/>
      <c r="Y869" s="247"/>
      <c r="Z869" s="248"/>
      <c r="AA869" s="294" t="str">
        <f t="shared" si="99"/>
        <v/>
      </c>
      <c r="AB869" s="219" t="str">
        <f t="shared" si="97"/>
        <v/>
      </c>
      <c r="AC869" s="219">
        <f t="shared" si="100"/>
        <v>0</v>
      </c>
      <c r="AD869" s="219">
        <f t="shared" si="101"/>
        <v>0</v>
      </c>
      <c r="AE869" s="220">
        <f t="shared" si="102"/>
        <v>0</v>
      </c>
      <c r="AF869" s="221">
        <f t="shared" si="103"/>
        <v>0</v>
      </c>
      <c r="AG869" s="204"/>
      <c r="AH869" s="178"/>
      <c r="AI869" s="174"/>
      <c r="AJ869" s="179"/>
      <c r="AK869" s="247"/>
      <c r="AL869" s="248"/>
      <c r="AM869" s="294" t="str">
        <f t="shared" si="107"/>
        <v/>
      </c>
      <c r="AN869" s="219" t="str">
        <f t="shared" si="98"/>
        <v/>
      </c>
      <c r="AO869" s="219">
        <f t="shared" si="108"/>
        <v>0</v>
      </c>
      <c r="AP869" s="219">
        <f t="shared" si="104"/>
        <v>0</v>
      </c>
      <c r="AQ869" s="220">
        <f t="shared" si="109"/>
        <v>0</v>
      </c>
      <c r="AR869" s="221">
        <f t="shared" si="110"/>
        <v>0</v>
      </c>
      <c r="AY869" s="628"/>
      <c r="AZ869" s="470">
        <v>0.75</v>
      </c>
      <c r="BA869" s="466">
        <v>9505017164</v>
      </c>
      <c r="BB869" s="211" t="s">
        <v>655</v>
      </c>
      <c r="BC869" s="211" t="s">
        <v>655</v>
      </c>
      <c r="BD869" s="211" t="s">
        <v>655</v>
      </c>
      <c r="BE869" s="211" t="s">
        <v>655</v>
      </c>
      <c r="BF869" s="211" t="s">
        <v>655</v>
      </c>
      <c r="BG869" s="211" t="s">
        <v>655</v>
      </c>
      <c r="BH869" s="211" t="s">
        <v>655</v>
      </c>
      <c r="BI869" s="211">
        <v>4824</v>
      </c>
      <c r="BJ869" s="211">
        <v>7325</v>
      </c>
      <c r="BK869" s="211">
        <v>6473</v>
      </c>
      <c r="BL869" s="211">
        <v>2672</v>
      </c>
      <c r="BM869" s="211">
        <v>927</v>
      </c>
      <c r="BO869" s="28">
        <f t="shared" si="105"/>
        <v>4444.2</v>
      </c>
      <c r="BP869" s="28">
        <f t="shared" si="106"/>
        <v>22221</v>
      </c>
    </row>
    <row r="870" spans="22:68" x14ac:dyDescent="0.25">
      <c r="V870" s="178"/>
      <c r="W870" s="174"/>
      <c r="X870" s="179"/>
      <c r="Y870" s="247"/>
      <c r="Z870" s="248"/>
      <c r="AA870" s="294" t="str">
        <f t="shared" si="99"/>
        <v/>
      </c>
      <c r="AB870" s="219" t="str">
        <f t="shared" si="97"/>
        <v/>
      </c>
      <c r="AC870" s="219">
        <f t="shared" si="100"/>
        <v>0</v>
      </c>
      <c r="AD870" s="219">
        <f t="shared" si="101"/>
        <v>0</v>
      </c>
      <c r="AE870" s="220">
        <f t="shared" si="102"/>
        <v>0</v>
      </c>
      <c r="AF870" s="221">
        <f t="shared" si="103"/>
        <v>0</v>
      </c>
      <c r="AG870" s="204"/>
      <c r="AH870" s="178"/>
      <c r="AI870" s="174"/>
      <c r="AJ870" s="179"/>
      <c r="AK870" s="247"/>
      <c r="AL870" s="248"/>
      <c r="AM870" s="294" t="str">
        <f t="shared" si="107"/>
        <v/>
      </c>
      <c r="AN870" s="219" t="str">
        <f t="shared" si="98"/>
        <v/>
      </c>
      <c r="AO870" s="219">
        <f t="shared" si="108"/>
        <v>0</v>
      </c>
      <c r="AP870" s="219">
        <f t="shared" si="104"/>
        <v>0</v>
      </c>
      <c r="AQ870" s="220">
        <f t="shared" si="109"/>
        <v>0</v>
      </c>
      <c r="AR870" s="221">
        <f t="shared" si="110"/>
        <v>0</v>
      </c>
      <c r="AY870" s="628"/>
      <c r="AZ870" s="470">
        <v>0.75</v>
      </c>
      <c r="BA870" s="466">
        <v>2164880978</v>
      </c>
      <c r="BB870" s="211" t="s">
        <v>655</v>
      </c>
      <c r="BC870" s="211" t="s">
        <v>655</v>
      </c>
      <c r="BD870" s="211" t="s">
        <v>655</v>
      </c>
      <c r="BE870" s="211" t="s">
        <v>655</v>
      </c>
      <c r="BF870" s="211" t="s">
        <v>655</v>
      </c>
      <c r="BG870" s="211" t="s">
        <v>655</v>
      </c>
      <c r="BH870" s="211" t="s">
        <v>655</v>
      </c>
      <c r="BI870" s="211">
        <v>1850</v>
      </c>
      <c r="BJ870" s="211">
        <v>3452</v>
      </c>
      <c r="BK870" s="211">
        <v>2046</v>
      </c>
      <c r="BL870" s="211" t="s">
        <v>655</v>
      </c>
      <c r="BM870" s="211" t="s">
        <v>655</v>
      </c>
      <c r="BO870" s="28">
        <f t="shared" si="105"/>
        <v>2449.3333333333335</v>
      </c>
      <c r="BP870" s="28">
        <f t="shared" si="106"/>
        <v>7348</v>
      </c>
    </row>
    <row r="871" spans="22:68" x14ac:dyDescent="0.25">
      <c r="V871" s="178"/>
      <c r="W871" s="174"/>
      <c r="X871" s="179"/>
      <c r="Y871" s="247"/>
      <c r="Z871" s="248"/>
      <c r="AA871" s="294" t="str">
        <f t="shared" si="99"/>
        <v/>
      </c>
      <c r="AB871" s="219" t="str">
        <f t="shared" si="97"/>
        <v/>
      </c>
      <c r="AC871" s="219">
        <f t="shared" si="100"/>
        <v>0</v>
      </c>
      <c r="AD871" s="219">
        <f t="shared" si="101"/>
        <v>0</v>
      </c>
      <c r="AE871" s="220">
        <f t="shared" si="102"/>
        <v>0</v>
      </c>
      <c r="AF871" s="221">
        <f t="shared" si="103"/>
        <v>0</v>
      </c>
      <c r="AG871" s="204"/>
      <c r="AH871" s="178"/>
      <c r="AI871" s="174"/>
      <c r="AJ871" s="179"/>
      <c r="AK871" s="247"/>
      <c r="AL871" s="248"/>
      <c r="AM871" s="294" t="str">
        <f t="shared" si="107"/>
        <v/>
      </c>
      <c r="AN871" s="219" t="str">
        <f t="shared" si="98"/>
        <v/>
      </c>
      <c r="AO871" s="219">
        <f t="shared" si="108"/>
        <v>0</v>
      </c>
      <c r="AP871" s="219">
        <f t="shared" si="104"/>
        <v>0</v>
      </c>
      <c r="AQ871" s="220">
        <f t="shared" si="109"/>
        <v>0</v>
      </c>
      <c r="AR871" s="221">
        <f t="shared" si="110"/>
        <v>0</v>
      </c>
      <c r="AY871" s="628"/>
      <c r="AZ871" s="470">
        <v>1</v>
      </c>
      <c r="BA871" s="466">
        <v>2189898145</v>
      </c>
      <c r="BB871" s="211" t="s">
        <v>655</v>
      </c>
      <c r="BC871" s="211" t="s">
        <v>655</v>
      </c>
      <c r="BD871" s="211" t="s">
        <v>655</v>
      </c>
      <c r="BE871" s="211" t="s">
        <v>655</v>
      </c>
      <c r="BF871" s="211" t="s">
        <v>655</v>
      </c>
      <c r="BG871" s="211" t="s">
        <v>655</v>
      </c>
      <c r="BH871" s="211" t="s">
        <v>655</v>
      </c>
      <c r="BI871" s="211">
        <v>4704</v>
      </c>
      <c r="BJ871" s="211">
        <v>9451</v>
      </c>
      <c r="BK871" s="211">
        <v>1505</v>
      </c>
      <c r="BL871" s="211">
        <v>954</v>
      </c>
      <c r="BM871" s="211">
        <v>2597</v>
      </c>
      <c r="BO871" s="28">
        <f t="shared" si="105"/>
        <v>3842.2</v>
      </c>
      <c r="BP871" s="28">
        <f t="shared" si="106"/>
        <v>19211</v>
      </c>
    </row>
    <row r="872" spans="22:68" x14ac:dyDescent="0.25">
      <c r="V872" s="178"/>
      <c r="W872" s="174"/>
      <c r="X872" s="179"/>
      <c r="Y872" s="247"/>
      <c r="Z872" s="248"/>
      <c r="AA872" s="294" t="str">
        <f t="shared" si="99"/>
        <v/>
      </c>
      <c r="AB872" s="219" t="str">
        <f t="shared" si="97"/>
        <v/>
      </c>
      <c r="AC872" s="219">
        <f t="shared" si="100"/>
        <v>0</v>
      </c>
      <c r="AD872" s="219">
        <f t="shared" si="101"/>
        <v>0</v>
      </c>
      <c r="AE872" s="220">
        <f t="shared" si="102"/>
        <v>0</v>
      </c>
      <c r="AF872" s="221">
        <f t="shared" si="103"/>
        <v>0</v>
      </c>
      <c r="AG872" s="204"/>
      <c r="AH872" s="178"/>
      <c r="AI872" s="174"/>
      <c r="AJ872" s="179"/>
      <c r="AK872" s="247"/>
      <c r="AL872" s="248"/>
      <c r="AM872" s="294" t="str">
        <f t="shared" si="107"/>
        <v/>
      </c>
      <c r="AN872" s="219" t="str">
        <f t="shared" si="98"/>
        <v/>
      </c>
      <c r="AO872" s="219">
        <f t="shared" si="108"/>
        <v>0</v>
      </c>
      <c r="AP872" s="219">
        <f t="shared" si="104"/>
        <v>0</v>
      </c>
      <c r="AQ872" s="220">
        <f t="shared" si="109"/>
        <v>0</v>
      </c>
      <c r="AR872" s="221">
        <f t="shared" si="110"/>
        <v>0</v>
      </c>
      <c r="AY872" s="628"/>
      <c r="AZ872" s="470">
        <v>0.75</v>
      </c>
      <c r="BA872" s="466">
        <v>6810055270</v>
      </c>
      <c r="BB872" s="211" t="s">
        <v>655</v>
      </c>
      <c r="BC872" s="211" t="s">
        <v>655</v>
      </c>
      <c r="BD872" s="211" t="s">
        <v>655</v>
      </c>
      <c r="BE872" s="211" t="s">
        <v>655</v>
      </c>
      <c r="BF872" s="211" t="s">
        <v>655</v>
      </c>
      <c r="BG872" s="211" t="s">
        <v>655</v>
      </c>
      <c r="BH872" s="211" t="s">
        <v>655</v>
      </c>
      <c r="BI872" s="211" t="s">
        <v>655</v>
      </c>
      <c r="BJ872" s="211">
        <v>68</v>
      </c>
      <c r="BK872" s="211">
        <v>290</v>
      </c>
      <c r="BL872" s="211">
        <v>56</v>
      </c>
      <c r="BM872" s="211">
        <v>110</v>
      </c>
      <c r="BO872" s="28">
        <f t="shared" si="105"/>
        <v>131</v>
      </c>
      <c r="BP872" s="28">
        <f t="shared" si="106"/>
        <v>524</v>
      </c>
    </row>
    <row r="873" spans="22:68" x14ac:dyDescent="0.25">
      <c r="V873" s="178"/>
      <c r="W873" s="174"/>
      <c r="X873" s="179"/>
      <c r="Y873" s="247"/>
      <c r="Z873" s="248"/>
      <c r="AA873" s="294" t="str">
        <f t="shared" si="99"/>
        <v/>
      </c>
      <c r="AB873" s="219" t="str">
        <f t="shared" si="97"/>
        <v/>
      </c>
      <c r="AC873" s="219">
        <f t="shared" si="100"/>
        <v>0</v>
      </c>
      <c r="AD873" s="219">
        <f t="shared" si="101"/>
        <v>0</v>
      </c>
      <c r="AE873" s="220">
        <f t="shared" si="102"/>
        <v>0</v>
      </c>
      <c r="AF873" s="221">
        <f t="shared" si="103"/>
        <v>0</v>
      </c>
      <c r="AG873" s="204"/>
      <c r="AH873" s="178"/>
      <c r="AI873" s="174"/>
      <c r="AJ873" s="179"/>
      <c r="AK873" s="247"/>
      <c r="AL873" s="248"/>
      <c r="AM873" s="294" t="str">
        <f t="shared" si="107"/>
        <v/>
      </c>
      <c r="AN873" s="219" t="str">
        <f t="shared" si="98"/>
        <v/>
      </c>
      <c r="AO873" s="219">
        <f t="shared" si="108"/>
        <v>0</v>
      </c>
      <c r="AP873" s="219">
        <f t="shared" si="104"/>
        <v>0</v>
      </c>
      <c r="AQ873" s="220">
        <f t="shared" si="109"/>
        <v>0</v>
      </c>
      <c r="AR873" s="221">
        <f t="shared" si="110"/>
        <v>0</v>
      </c>
      <c r="AY873" s="628"/>
      <c r="AZ873" s="470">
        <v>0.75</v>
      </c>
      <c r="BA873" s="466">
        <v>4602389152</v>
      </c>
      <c r="BB873" s="211" t="s">
        <v>655</v>
      </c>
      <c r="BC873" s="211" t="s">
        <v>655</v>
      </c>
      <c r="BD873" s="211" t="s">
        <v>655</v>
      </c>
      <c r="BE873" s="211" t="s">
        <v>655</v>
      </c>
      <c r="BF873" s="211" t="s">
        <v>655</v>
      </c>
      <c r="BG873" s="211" t="s">
        <v>655</v>
      </c>
      <c r="BH873" s="211" t="s">
        <v>655</v>
      </c>
      <c r="BI873" s="211" t="s">
        <v>655</v>
      </c>
      <c r="BJ873" s="211" t="s">
        <v>655</v>
      </c>
      <c r="BK873" s="211">
        <v>221</v>
      </c>
      <c r="BL873" s="211">
        <v>9</v>
      </c>
      <c r="BM873" s="211" t="s">
        <v>655</v>
      </c>
      <c r="BO873" s="28">
        <f t="shared" si="105"/>
        <v>115</v>
      </c>
      <c r="BP873" s="28">
        <f t="shared" si="106"/>
        <v>230</v>
      </c>
    </row>
    <row r="874" spans="22:68" x14ac:dyDescent="0.25">
      <c r="V874" s="178"/>
      <c r="W874" s="174"/>
      <c r="X874" s="179"/>
      <c r="Y874" s="247"/>
      <c r="Z874" s="248"/>
      <c r="AA874" s="294" t="str">
        <f t="shared" si="99"/>
        <v/>
      </c>
      <c r="AB874" s="219" t="str">
        <f t="shared" si="97"/>
        <v/>
      </c>
      <c r="AC874" s="219">
        <f t="shared" si="100"/>
        <v>0</v>
      </c>
      <c r="AD874" s="219">
        <f t="shared" si="101"/>
        <v>0</v>
      </c>
      <c r="AE874" s="220">
        <f t="shared" si="102"/>
        <v>0</v>
      </c>
      <c r="AF874" s="221">
        <f t="shared" si="103"/>
        <v>0</v>
      </c>
      <c r="AG874" s="204"/>
      <c r="AH874" s="178"/>
      <c r="AI874" s="174"/>
      <c r="AJ874" s="179"/>
      <c r="AK874" s="247"/>
      <c r="AL874" s="248"/>
      <c r="AM874" s="294" t="str">
        <f t="shared" si="107"/>
        <v/>
      </c>
      <c r="AN874" s="219" t="str">
        <f t="shared" si="98"/>
        <v/>
      </c>
      <c r="AO874" s="219">
        <f t="shared" si="108"/>
        <v>0</v>
      </c>
      <c r="AP874" s="219">
        <f t="shared" si="104"/>
        <v>0</v>
      </c>
      <c r="AQ874" s="220">
        <f t="shared" si="109"/>
        <v>0</v>
      </c>
      <c r="AR874" s="221">
        <f t="shared" si="110"/>
        <v>0</v>
      </c>
      <c r="AY874" s="628"/>
      <c r="AZ874" s="470">
        <v>0.625</v>
      </c>
      <c r="BA874" s="466">
        <v>4361033356</v>
      </c>
      <c r="BB874" s="211" t="s">
        <v>655</v>
      </c>
      <c r="BC874" s="211" t="s">
        <v>655</v>
      </c>
      <c r="BD874" s="211" t="s">
        <v>655</v>
      </c>
      <c r="BE874" s="211" t="s">
        <v>655</v>
      </c>
      <c r="BF874" s="211" t="s">
        <v>655</v>
      </c>
      <c r="BG874" s="211" t="s">
        <v>655</v>
      </c>
      <c r="BH874" s="211" t="s">
        <v>655</v>
      </c>
      <c r="BI874" s="211" t="s">
        <v>655</v>
      </c>
      <c r="BJ874" s="211">
        <v>1118</v>
      </c>
      <c r="BK874" s="211">
        <v>1376</v>
      </c>
      <c r="BL874" s="211">
        <v>393</v>
      </c>
      <c r="BM874" s="211">
        <v>1230</v>
      </c>
      <c r="BO874" s="28">
        <f t="shared" si="105"/>
        <v>1029.25</v>
      </c>
      <c r="BP874" s="28">
        <f t="shared" si="106"/>
        <v>4117</v>
      </c>
    </row>
    <row r="875" spans="22:68" x14ac:dyDescent="0.25">
      <c r="V875" s="178"/>
      <c r="W875" s="174"/>
      <c r="X875" s="179"/>
      <c r="Y875" s="247"/>
      <c r="Z875" s="248"/>
      <c r="AA875" s="294" t="str">
        <f t="shared" si="99"/>
        <v/>
      </c>
      <c r="AB875" s="219" t="str">
        <f t="shared" si="97"/>
        <v/>
      </c>
      <c r="AC875" s="219">
        <f t="shared" si="100"/>
        <v>0</v>
      </c>
      <c r="AD875" s="219">
        <f t="shared" si="101"/>
        <v>0</v>
      </c>
      <c r="AE875" s="220">
        <f t="shared" si="102"/>
        <v>0</v>
      </c>
      <c r="AF875" s="221">
        <f t="shared" si="103"/>
        <v>0</v>
      </c>
      <c r="AG875" s="204"/>
      <c r="AH875" s="178"/>
      <c r="AI875" s="174"/>
      <c r="AJ875" s="179"/>
      <c r="AK875" s="247"/>
      <c r="AL875" s="248"/>
      <c r="AM875" s="294" t="str">
        <f t="shared" si="107"/>
        <v/>
      </c>
      <c r="AN875" s="219" t="str">
        <f t="shared" si="98"/>
        <v/>
      </c>
      <c r="AO875" s="219">
        <f t="shared" si="108"/>
        <v>0</v>
      </c>
      <c r="AP875" s="219">
        <f t="shared" si="104"/>
        <v>0</v>
      </c>
      <c r="AQ875" s="220">
        <f t="shared" si="109"/>
        <v>0</v>
      </c>
      <c r="AR875" s="221">
        <f t="shared" si="110"/>
        <v>0</v>
      </c>
      <c r="AY875" s="628"/>
      <c r="AZ875" s="470">
        <v>0.625</v>
      </c>
      <c r="BA875" s="466">
        <v>9669315770</v>
      </c>
      <c r="BB875" s="211" t="s">
        <v>655</v>
      </c>
      <c r="BC875" s="211" t="s">
        <v>655</v>
      </c>
      <c r="BD875" s="211" t="s">
        <v>655</v>
      </c>
      <c r="BE875" s="211" t="s">
        <v>655</v>
      </c>
      <c r="BF875" s="211" t="s">
        <v>655</v>
      </c>
      <c r="BG875" s="211" t="s">
        <v>655</v>
      </c>
      <c r="BH875" s="211" t="s">
        <v>655</v>
      </c>
      <c r="BI875" s="211" t="s">
        <v>655</v>
      </c>
      <c r="BJ875" s="211" t="s">
        <v>655</v>
      </c>
      <c r="BK875" s="211">
        <v>62</v>
      </c>
      <c r="BL875" s="211">
        <v>329</v>
      </c>
      <c r="BM875" s="211">
        <v>330</v>
      </c>
      <c r="BO875" s="28">
        <f t="shared" si="105"/>
        <v>240.33333333333334</v>
      </c>
      <c r="BP875" s="28">
        <f t="shared" si="106"/>
        <v>721</v>
      </c>
    </row>
    <row r="876" spans="22:68" x14ac:dyDescent="0.25">
      <c r="V876" s="178"/>
      <c r="W876" s="174"/>
      <c r="X876" s="179"/>
      <c r="Y876" s="247"/>
      <c r="Z876" s="248"/>
      <c r="AA876" s="294" t="str">
        <f t="shared" si="99"/>
        <v/>
      </c>
      <c r="AB876" s="219" t="str">
        <f t="shared" si="97"/>
        <v/>
      </c>
      <c r="AC876" s="219">
        <f t="shared" si="100"/>
        <v>0</v>
      </c>
      <c r="AD876" s="219">
        <f t="shared" si="101"/>
        <v>0</v>
      </c>
      <c r="AE876" s="220">
        <f t="shared" si="102"/>
        <v>0</v>
      </c>
      <c r="AF876" s="221">
        <f t="shared" si="103"/>
        <v>0</v>
      </c>
      <c r="AG876" s="204"/>
      <c r="AH876" s="178"/>
      <c r="AI876" s="174"/>
      <c r="AJ876" s="179"/>
      <c r="AK876" s="247"/>
      <c r="AL876" s="248"/>
      <c r="AM876" s="294" t="str">
        <f t="shared" si="107"/>
        <v/>
      </c>
      <c r="AN876" s="219" t="str">
        <f t="shared" si="98"/>
        <v/>
      </c>
      <c r="AO876" s="219">
        <f t="shared" si="108"/>
        <v>0</v>
      </c>
      <c r="AP876" s="219">
        <f t="shared" si="104"/>
        <v>0</v>
      </c>
      <c r="AQ876" s="220">
        <f t="shared" si="109"/>
        <v>0</v>
      </c>
      <c r="AR876" s="221">
        <f t="shared" si="110"/>
        <v>0</v>
      </c>
      <c r="AY876" s="628"/>
      <c r="AZ876" s="470">
        <v>0.625</v>
      </c>
      <c r="BA876" s="466">
        <v>1681287611</v>
      </c>
      <c r="BB876" s="211" t="s">
        <v>655</v>
      </c>
      <c r="BC876" s="211" t="s">
        <v>655</v>
      </c>
      <c r="BD876" s="211" t="s">
        <v>655</v>
      </c>
      <c r="BE876" s="211" t="s">
        <v>655</v>
      </c>
      <c r="BF876" s="211" t="s">
        <v>655</v>
      </c>
      <c r="BG876" s="211" t="s">
        <v>655</v>
      </c>
      <c r="BH876" s="211" t="s">
        <v>655</v>
      </c>
      <c r="BI876" s="211" t="s">
        <v>655</v>
      </c>
      <c r="BJ876" s="211" t="s">
        <v>655</v>
      </c>
      <c r="BK876" s="211">
        <v>95</v>
      </c>
      <c r="BL876" s="211" t="s">
        <v>655</v>
      </c>
      <c r="BM876" s="211" t="s">
        <v>655</v>
      </c>
      <c r="BO876" s="28">
        <f t="shared" si="105"/>
        <v>95</v>
      </c>
      <c r="BP876" s="28">
        <f t="shared" si="106"/>
        <v>95</v>
      </c>
    </row>
    <row r="877" spans="22:68" x14ac:dyDescent="0.25">
      <c r="V877" s="178"/>
      <c r="W877" s="174"/>
      <c r="X877" s="179"/>
      <c r="Y877" s="247"/>
      <c r="Z877" s="248"/>
      <c r="AA877" s="294" t="str">
        <f t="shared" si="99"/>
        <v/>
      </c>
      <c r="AB877" s="219" t="str">
        <f t="shared" si="97"/>
        <v/>
      </c>
      <c r="AC877" s="219">
        <f t="shared" si="100"/>
        <v>0</v>
      </c>
      <c r="AD877" s="219">
        <f t="shared" si="101"/>
        <v>0</v>
      </c>
      <c r="AE877" s="220">
        <f t="shared" si="102"/>
        <v>0</v>
      </c>
      <c r="AF877" s="221">
        <f t="shared" si="103"/>
        <v>0</v>
      </c>
      <c r="AG877" s="204"/>
      <c r="AH877" s="178"/>
      <c r="AI877" s="174"/>
      <c r="AJ877" s="179"/>
      <c r="AK877" s="247"/>
      <c r="AL877" s="248"/>
      <c r="AM877" s="294" t="str">
        <f t="shared" si="107"/>
        <v/>
      </c>
      <c r="AN877" s="219" t="str">
        <f t="shared" si="98"/>
        <v/>
      </c>
      <c r="AO877" s="219">
        <f t="shared" si="108"/>
        <v>0</v>
      </c>
      <c r="AP877" s="219">
        <f t="shared" si="104"/>
        <v>0</v>
      </c>
      <c r="AQ877" s="220">
        <f t="shared" si="109"/>
        <v>0</v>
      </c>
      <c r="AR877" s="221">
        <f t="shared" si="110"/>
        <v>0</v>
      </c>
      <c r="AY877" s="628"/>
      <c r="AZ877" s="470">
        <v>0.75</v>
      </c>
      <c r="BA877" s="466">
        <v>3048521511</v>
      </c>
      <c r="BB877" s="211" t="s">
        <v>655</v>
      </c>
      <c r="BC877" s="211" t="s">
        <v>655</v>
      </c>
      <c r="BD877" s="211" t="s">
        <v>655</v>
      </c>
      <c r="BE877" s="211" t="s">
        <v>655</v>
      </c>
      <c r="BF877" s="211" t="s">
        <v>655</v>
      </c>
      <c r="BG877" s="211" t="s">
        <v>655</v>
      </c>
      <c r="BH877" s="211" t="s">
        <v>655</v>
      </c>
      <c r="BI877" s="211" t="s">
        <v>655</v>
      </c>
      <c r="BJ877" s="211" t="s">
        <v>655</v>
      </c>
      <c r="BK877" s="211" t="s">
        <v>655</v>
      </c>
      <c r="BL877" s="211">
        <v>7</v>
      </c>
      <c r="BM877" s="211">
        <v>599</v>
      </c>
      <c r="BO877" s="28">
        <f t="shared" si="105"/>
        <v>303</v>
      </c>
      <c r="BP877" s="28">
        <f t="shared" si="106"/>
        <v>606</v>
      </c>
    </row>
    <row r="878" spans="22:68" x14ac:dyDescent="0.25">
      <c r="V878" s="178"/>
      <c r="W878" s="174"/>
      <c r="X878" s="179"/>
      <c r="Y878" s="247"/>
      <c r="Z878" s="248"/>
      <c r="AA878" s="294" t="str">
        <f t="shared" si="99"/>
        <v/>
      </c>
      <c r="AB878" s="219" t="str">
        <f t="shared" si="97"/>
        <v/>
      </c>
      <c r="AC878" s="219">
        <f t="shared" si="100"/>
        <v>0</v>
      </c>
      <c r="AD878" s="219">
        <f t="shared" si="101"/>
        <v>0</v>
      </c>
      <c r="AE878" s="220">
        <f t="shared" si="102"/>
        <v>0</v>
      </c>
      <c r="AF878" s="221">
        <f t="shared" si="103"/>
        <v>0</v>
      </c>
      <c r="AG878" s="204"/>
      <c r="AH878" s="178"/>
      <c r="AI878" s="174"/>
      <c r="AJ878" s="179"/>
      <c r="AK878" s="247"/>
      <c r="AL878" s="248"/>
      <c r="AM878" s="294" t="str">
        <f t="shared" si="107"/>
        <v/>
      </c>
      <c r="AN878" s="219" t="str">
        <f t="shared" si="98"/>
        <v/>
      </c>
      <c r="AO878" s="219">
        <f t="shared" si="108"/>
        <v>0</v>
      </c>
      <c r="AP878" s="219">
        <f t="shared" si="104"/>
        <v>0</v>
      </c>
      <c r="AQ878" s="220">
        <f t="shared" si="109"/>
        <v>0</v>
      </c>
      <c r="AR878" s="221">
        <f t="shared" si="110"/>
        <v>0</v>
      </c>
      <c r="AY878" s="628"/>
      <c r="AZ878" s="470">
        <v>0.625</v>
      </c>
      <c r="BA878" s="466">
        <v>4623277185</v>
      </c>
      <c r="BB878" s="211" t="s">
        <v>655</v>
      </c>
      <c r="BC878" s="211" t="s">
        <v>655</v>
      </c>
      <c r="BD878" s="211" t="s">
        <v>655</v>
      </c>
      <c r="BE878" s="211" t="s">
        <v>655</v>
      </c>
      <c r="BF878" s="211" t="s">
        <v>655</v>
      </c>
      <c r="BG878" s="211" t="s">
        <v>655</v>
      </c>
      <c r="BH878" s="211" t="s">
        <v>655</v>
      </c>
      <c r="BI878" s="211" t="s">
        <v>655</v>
      </c>
      <c r="BJ878" s="211" t="s">
        <v>655</v>
      </c>
      <c r="BK878" s="211">
        <v>224</v>
      </c>
      <c r="BL878" s="211">
        <v>577</v>
      </c>
      <c r="BM878" s="211">
        <v>603</v>
      </c>
      <c r="BO878" s="28">
        <f t="shared" si="105"/>
        <v>468</v>
      </c>
      <c r="BP878" s="28">
        <f t="shared" si="106"/>
        <v>1404</v>
      </c>
    </row>
    <row r="879" spans="22:68" x14ac:dyDescent="0.25">
      <c r="V879" s="178"/>
      <c r="W879" s="174"/>
      <c r="X879" s="179"/>
      <c r="Y879" s="247"/>
      <c r="Z879" s="248"/>
      <c r="AA879" s="294" t="str">
        <f t="shared" si="99"/>
        <v/>
      </c>
      <c r="AB879" s="219" t="str">
        <f t="shared" si="97"/>
        <v/>
      </c>
      <c r="AC879" s="219">
        <f t="shared" si="100"/>
        <v>0</v>
      </c>
      <c r="AD879" s="219">
        <f t="shared" si="101"/>
        <v>0</v>
      </c>
      <c r="AE879" s="220">
        <f t="shared" si="102"/>
        <v>0</v>
      </c>
      <c r="AF879" s="221">
        <f t="shared" si="103"/>
        <v>0</v>
      </c>
      <c r="AG879" s="204"/>
      <c r="AH879" s="178"/>
      <c r="AI879" s="174"/>
      <c r="AJ879" s="179"/>
      <c r="AK879" s="247"/>
      <c r="AL879" s="248"/>
      <c r="AM879" s="294" t="str">
        <f t="shared" si="107"/>
        <v/>
      </c>
      <c r="AN879" s="219" t="str">
        <f t="shared" si="98"/>
        <v/>
      </c>
      <c r="AO879" s="219">
        <f t="shared" si="108"/>
        <v>0</v>
      </c>
      <c r="AP879" s="219">
        <f t="shared" si="104"/>
        <v>0</v>
      </c>
      <c r="AQ879" s="220">
        <f t="shared" si="109"/>
        <v>0</v>
      </c>
      <c r="AR879" s="221">
        <f t="shared" si="110"/>
        <v>0</v>
      </c>
      <c r="AY879" s="628"/>
      <c r="AZ879" s="470">
        <v>0.75</v>
      </c>
      <c r="BA879" s="466">
        <v>4583220465</v>
      </c>
      <c r="BB879" s="211" t="s">
        <v>655</v>
      </c>
      <c r="BC879" s="211" t="s">
        <v>655</v>
      </c>
      <c r="BD879" s="211" t="s">
        <v>655</v>
      </c>
      <c r="BE879" s="211" t="s">
        <v>655</v>
      </c>
      <c r="BF879" s="211" t="s">
        <v>655</v>
      </c>
      <c r="BG879" s="211" t="s">
        <v>655</v>
      </c>
      <c r="BH879" s="211" t="s">
        <v>655</v>
      </c>
      <c r="BI879" s="211" t="s">
        <v>655</v>
      </c>
      <c r="BJ879" s="211" t="s">
        <v>655</v>
      </c>
      <c r="BK879" s="211">
        <v>494</v>
      </c>
      <c r="BL879" s="211">
        <v>2383</v>
      </c>
      <c r="BM879" s="211">
        <v>469</v>
      </c>
      <c r="BO879" s="28">
        <f t="shared" si="105"/>
        <v>1115.3333333333333</v>
      </c>
      <c r="BP879" s="28">
        <f t="shared" si="106"/>
        <v>3346</v>
      </c>
    </row>
    <row r="880" spans="22:68" x14ac:dyDescent="0.25">
      <c r="V880" s="178"/>
      <c r="W880" s="174"/>
      <c r="X880" s="179"/>
      <c r="Y880" s="247"/>
      <c r="Z880" s="248"/>
      <c r="AA880" s="294" t="str">
        <f t="shared" si="99"/>
        <v/>
      </c>
      <c r="AB880" s="219" t="str">
        <f t="shared" si="97"/>
        <v/>
      </c>
      <c r="AC880" s="219">
        <f t="shared" si="100"/>
        <v>0</v>
      </c>
      <c r="AD880" s="219">
        <f t="shared" si="101"/>
        <v>0</v>
      </c>
      <c r="AE880" s="220">
        <f t="shared" si="102"/>
        <v>0</v>
      </c>
      <c r="AF880" s="221">
        <f t="shared" si="103"/>
        <v>0</v>
      </c>
      <c r="AG880" s="204"/>
      <c r="AH880" s="178"/>
      <c r="AI880" s="174"/>
      <c r="AJ880" s="179"/>
      <c r="AK880" s="247"/>
      <c r="AL880" s="248"/>
      <c r="AM880" s="294" t="str">
        <f t="shared" si="107"/>
        <v/>
      </c>
      <c r="AN880" s="219" t="str">
        <f t="shared" si="98"/>
        <v/>
      </c>
      <c r="AO880" s="219">
        <f t="shared" si="108"/>
        <v>0</v>
      </c>
      <c r="AP880" s="219">
        <f t="shared" si="104"/>
        <v>0</v>
      </c>
      <c r="AQ880" s="220">
        <f t="shared" si="109"/>
        <v>0</v>
      </c>
      <c r="AR880" s="221">
        <f t="shared" si="110"/>
        <v>0</v>
      </c>
      <c r="AY880" s="628"/>
      <c r="AZ880" s="470">
        <v>0.75</v>
      </c>
      <c r="BA880" s="466">
        <v>3241110785</v>
      </c>
      <c r="BB880" s="211" t="s">
        <v>655</v>
      </c>
      <c r="BC880" s="211" t="s">
        <v>655</v>
      </c>
      <c r="BD880" s="211" t="s">
        <v>655</v>
      </c>
      <c r="BE880" s="211" t="s">
        <v>655</v>
      </c>
      <c r="BF880" s="211" t="s">
        <v>655</v>
      </c>
      <c r="BG880" s="211" t="s">
        <v>655</v>
      </c>
      <c r="BH880" s="211" t="s">
        <v>655</v>
      </c>
      <c r="BI880" s="211" t="s">
        <v>655</v>
      </c>
      <c r="BJ880" s="211" t="s">
        <v>655</v>
      </c>
      <c r="BK880" s="211">
        <v>90</v>
      </c>
      <c r="BL880" s="211">
        <v>530</v>
      </c>
      <c r="BM880" s="211">
        <v>570</v>
      </c>
      <c r="BO880" s="28">
        <f t="shared" si="105"/>
        <v>396.66666666666669</v>
      </c>
      <c r="BP880" s="28">
        <f t="shared" si="106"/>
        <v>1190</v>
      </c>
    </row>
    <row r="881" spans="22:68" x14ac:dyDescent="0.25">
      <c r="V881" s="178"/>
      <c r="W881" s="174"/>
      <c r="X881" s="179"/>
      <c r="Y881" s="247"/>
      <c r="Z881" s="248"/>
      <c r="AA881" s="294" t="str">
        <f t="shared" si="99"/>
        <v/>
      </c>
      <c r="AB881" s="219" t="str">
        <f t="shared" si="97"/>
        <v/>
      </c>
      <c r="AC881" s="219">
        <f t="shared" si="100"/>
        <v>0</v>
      </c>
      <c r="AD881" s="219">
        <f t="shared" si="101"/>
        <v>0</v>
      </c>
      <c r="AE881" s="220">
        <f t="shared" si="102"/>
        <v>0</v>
      </c>
      <c r="AF881" s="221">
        <f t="shared" si="103"/>
        <v>0</v>
      </c>
      <c r="AG881" s="204"/>
      <c r="AH881" s="178"/>
      <c r="AI881" s="174"/>
      <c r="AJ881" s="179"/>
      <c r="AK881" s="247"/>
      <c r="AL881" s="248"/>
      <c r="AM881" s="294" t="str">
        <f t="shared" si="107"/>
        <v/>
      </c>
      <c r="AN881" s="219" t="str">
        <f t="shared" si="98"/>
        <v/>
      </c>
      <c r="AO881" s="219">
        <f t="shared" si="108"/>
        <v>0</v>
      </c>
      <c r="AP881" s="219">
        <f t="shared" si="104"/>
        <v>0</v>
      </c>
      <c r="AQ881" s="220">
        <f t="shared" si="109"/>
        <v>0</v>
      </c>
      <c r="AR881" s="221">
        <f t="shared" si="110"/>
        <v>0</v>
      </c>
      <c r="AY881" s="628"/>
      <c r="AZ881" s="470">
        <v>0.75</v>
      </c>
      <c r="BA881" s="466">
        <v>3704671547</v>
      </c>
      <c r="BB881" s="211" t="s">
        <v>655</v>
      </c>
      <c r="BC881" s="211" t="s">
        <v>655</v>
      </c>
      <c r="BD881" s="211" t="s">
        <v>655</v>
      </c>
      <c r="BE881" s="211" t="s">
        <v>655</v>
      </c>
      <c r="BF881" s="211" t="s">
        <v>655</v>
      </c>
      <c r="BG881" s="211" t="s">
        <v>655</v>
      </c>
      <c r="BH881" s="211" t="s">
        <v>655</v>
      </c>
      <c r="BI881" s="211" t="s">
        <v>655</v>
      </c>
      <c r="BJ881" s="211" t="s">
        <v>655</v>
      </c>
      <c r="BK881" s="211" t="s">
        <v>655</v>
      </c>
      <c r="BL881" s="211">
        <v>300</v>
      </c>
      <c r="BM881" s="211">
        <v>334</v>
      </c>
      <c r="BO881" s="28">
        <f t="shared" si="105"/>
        <v>317</v>
      </c>
      <c r="BP881" s="28">
        <f t="shared" si="106"/>
        <v>634</v>
      </c>
    </row>
    <row r="882" spans="22:68" x14ac:dyDescent="0.25">
      <c r="V882" s="178"/>
      <c r="W882" s="174"/>
      <c r="X882" s="179"/>
      <c r="Y882" s="247"/>
      <c r="Z882" s="248"/>
      <c r="AA882" s="294" t="str">
        <f t="shared" si="99"/>
        <v/>
      </c>
      <c r="AB882" s="219" t="str">
        <f t="shared" si="97"/>
        <v/>
      </c>
      <c r="AC882" s="219">
        <f t="shared" si="100"/>
        <v>0</v>
      </c>
      <c r="AD882" s="219">
        <f t="shared" si="101"/>
        <v>0</v>
      </c>
      <c r="AE882" s="220">
        <f t="shared" si="102"/>
        <v>0</v>
      </c>
      <c r="AF882" s="221">
        <f t="shared" si="103"/>
        <v>0</v>
      </c>
      <c r="AG882" s="204"/>
      <c r="AH882" s="178"/>
      <c r="AI882" s="174"/>
      <c r="AJ882" s="179"/>
      <c r="AK882" s="247"/>
      <c r="AL882" s="248"/>
      <c r="AM882" s="294" t="str">
        <f t="shared" si="107"/>
        <v/>
      </c>
      <c r="AN882" s="219" t="str">
        <f t="shared" si="98"/>
        <v/>
      </c>
      <c r="AO882" s="219">
        <f t="shared" si="108"/>
        <v>0</v>
      </c>
      <c r="AP882" s="219">
        <f t="shared" si="104"/>
        <v>0</v>
      </c>
      <c r="AQ882" s="220">
        <f t="shared" si="109"/>
        <v>0</v>
      </c>
      <c r="AR882" s="221">
        <f t="shared" si="110"/>
        <v>0</v>
      </c>
      <c r="AY882" s="628"/>
      <c r="AZ882" s="470">
        <v>0.625</v>
      </c>
      <c r="BA882" s="466">
        <v>3750023283</v>
      </c>
      <c r="BB882" s="211" t="s">
        <v>655</v>
      </c>
      <c r="BC882" s="211" t="s">
        <v>655</v>
      </c>
      <c r="BD882" s="211" t="s">
        <v>655</v>
      </c>
      <c r="BE882" s="211" t="s">
        <v>655</v>
      </c>
      <c r="BF882" s="211" t="s">
        <v>655</v>
      </c>
      <c r="BG882" s="211" t="s">
        <v>655</v>
      </c>
      <c r="BH882" s="211" t="s">
        <v>655</v>
      </c>
      <c r="BI882" s="211" t="s">
        <v>655</v>
      </c>
      <c r="BJ882" s="211" t="s">
        <v>655</v>
      </c>
      <c r="BK882" s="211" t="s">
        <v>655</v>
      </c>
      <c r="BL882" s="211">
        <v>111</v>
      </c>
      <c r="BM882" s="211">
        <v>159</v>
      </c>
      <c r="BO882" s="28">
        <f t="shared" si="105"/>
        <v>135</v>
      </c>
      <c r="BP882" s="28">
        <f t="shared" si="106"/>
        <v>270</v>
      </c>
    </row>
    <row r="883" spans="22:68" x14ac:dyDescent="0.25">
      <c r="V883" s="178"/>
      <c r="W883" s="174"/>
      <c r="X883" s="179"/>
      <c r="Y883" s="247"/>
      <c r="Z883" s="248"/>
      <c r="AA883" s="294" t="str">
        <f t="shared" si="99"/>
        <v/>
      </c>
      <c r="AB883" s="219" t="str">
        <f t="shared" si="97"/>
        <v/>
      </c>
      <c r="AC883" s="219">
        <f t="shared" si="100"/>
        <v>0</v>
      </c>
      <c r="AD883" s="219">
        <f t="shared" si="101"/>
        <v>0</v>
      </c>
      <c r="AE883" s="220">
        <f t="shared" si="102"/>
        <v>0</v>
      </c>
      <c r="AF883" s="221">
        <f t="shared" si="103"/>
        <v>0</v>
      </c>
      <c r="AG883" s="204"/>
      <c r="AH883" s="178"/>
      <c r="AI883" s="174"/>
      <c r="AJ883" s="179"/>
      <c r="AK883" s="247"/>
      <c r="AL883" s="248"/>
      <c r="AM883" s="294" t="str">
        <f t="shared" si="107"/>
        <v/>
      </c>
      <c r="AN883" s="219" t="str">
        <f t="shared" si="98"/>
        <v/>
      </c>
      <c r="AO883" s="219">
        <f t="shared" si="108"/>
        <v>0</v>
      </c>
      <c r="AP883" s="219">
        <f t="shared" si="104"/>
        <v>0</v>
      </c>
      <c r="AQ883" s="220">
        <f t="shared" si="109"/>
        <v>0</v>
      </c>
      <c r="AR883" s="221">
        <f t="shared" si="110"/>
        <v>0</v>
      </c>
      <c r="AY883" s="628"/>
      <c r="AZ883" s="470">
        <v>0.75</v>
      </c>
      <c r="BA883" s="466">
        <v>6234844106</v>
      </c>
      <c r="BB883" s="211" t="s">
        <v>655</v>
      </c>
      <c r="BC883" s="211" t="s">
        <v>655</v>
      </c>
      <c r="BD883" s="211" t="s">
        <v>655</v>
      </c>
      <c r="BE883" s="211" t="s">
        <v>655</v>
      </c>
      <c r="BF883" s="211" t="s">
        <v>655</v>
      </c>
      <c r="BG883" s="211" t="s">
        <v>655</v>
      </c>
      <c r="BH883" s="211" t="s">
        <v>655</v>
      </c>
      <c r="BI883" s="211" t="s">
        <v>655</v>
      </c>
      <c r="BJ883" s="211" t="s">
        <v>655</v>
      </c>
      <c r="BK883" s="211" t="s">
        <v>655</v>
      </c>
      <c r="BL883" s="211">
        <v>30</v>
      </c>
      <c r="BM883" s="211">
        <v>142</v>
      </c>
      <c r="BO883" s="28">
        <f t="shared" si="105"/>
        <v>86</v>
      </c>
      <c r="BP883" s="28">
        <f t="shared" si="106"/>
        <v>172</v>
      </c>
    </row>
    <row r="884" spans="22:68" x14ac:dyDescent="0.25">
      <c r="V884" s="178"/>
      <c r="W884" s="174"/>
      <c r="X884" s="179"/>
      <c r="Y884" s="247"/>
      <c r="Z884" s="248"/>
      <c r="AA884" s="294" t="str">
        <f t="shared" si="99"/>
        <v/>
      </c>
      <c r="AB884" s="219" t="str">
        <f t="shared" si="97"/>
        <v/>
      </c>
      <c r="AC884" s="219">
        <f t="shared" si="100"/>
        <v>0</v>
      </c>
      <c r="AD884" s="219">
        <f t="shared" si="101"/>
        <v>0</v>
      </c>
      <c r="AE884" s="220">
        <f t="shared" si="102"/>
        <v>0</v>
      </c>
      <c r="AF884" s="221">
        <f t="shared" si="103"/>
        <v>0</v>
      </c>
      <c r="AG884" s="204"/>
      <c r="AH884" s="178"/>
      <c r="AI884" s="174"/>
      <c r="AJ884" s="179"/>
      <c r="AK884" s="247"/>
      <c r="AL884" s="248"/>
      <c r="AM884" s="294" t="str">
        <f t="shared" si="107"/>
        <v/>
      </c>
      <c r="AN884" s="219" t="str">
        <f t="shared" si="98"/>
        <v/>
      </c>
      <c r="AO884" s="219">
        <f t="shared" si="108"/>
        <v>0</v>
      </c>
      <c r="AP884" s="219">
        <f t="shared" si="104"/>
        <v>0</v>
      </c>
      <c r="AQ884" s="220">
        <f t="shared" si="109"/>
        <v>0</v>
      </c>
      <c r="AR884" s="221">
        <f t="shared" si="110"/>
        <v>0</v>
      </c>
      <c r="AY884" s="628"/>
      <c r="AZ884" s="470">
        <v>0.75</v>
      </c>
      <c r="BA884" s="466">
        <v>7958232405</v>
      </c>
      <c r="BB884" s="211" t="s">
        <v>655</v>
      </c>
      <c r="BC884" s="211" t="s">
        <v>655</v>
      </c>
      <c r="BD884" s="211" t="s">
        <v>655</v>
      </c>
      <c r="BE884" s="211" t="s">
        <v>655</v>
      </c>
      <c r="BF884" s="211" t="s">
        <v>655</v>
      </c>
      <c r="BG884" s="211" t="s">
        <v>655</v>
      </c>
      <c r="BH884" s="211" t="s">
        <v>655</v>
      </c>
      <c r="BI884" s="211" t="s">
        <v>655</v>
      </c>
      <c r="BJ884" s="211" t="s">
        <v>655</v>
      </c>
      <c r="BK884" s="211" t="s">
        <v>655</v>
      </c>
      <c r="BL884" s="211">
        <v>131</v>
      </c>
      <c r="BM884" s="211">
        <v>370</v>
      </c>
      <c r="BO884" s="28">
        <f t="shared" si="105"/>
        <v>250.5</v>
      </c>
      <c r="BP884" s="28">
        <f t="shared" si="106"/>
        <v>501</v>
      </c>
    </row>
    <row r="885" spans="22:68" x14ac:dyDescent="0.25">
      <c r="V885" s="178"/>
      <c r="W885" s="174"/>
      <c r="X885" s="179"/>
      <c r="Y885" s="247"/>
      <c r="Z885" s="248"/>
      <c r="AA885" s="294" t="str">
        <f t="shared" si="99"/>
        <v/>
      </c>
      <c r="AB885" s="219" t="str">
        <f t="shared" si="97"/>
        <v/>
      </c>
      <c r="AC885" s="219">
        <f t="shared" si="100"/>
        <v>0</v>
      </c>
      <c r="AD885" s="219">
        <f t="shared" si="101"/>
        <v>0</v>
      </c>
      <c r="AE885" s="220">
        <f t="shared" si="102"/>
        <v>0</v>
      </c>
      <c r="AF885" s="221">
        <f t="shared" si="103"/>
        <v>0</v>
      </c>
      <c r="AG885" s="204"/>
      <c r="AH885" s="178"/>
      <c r="AI885" s="174"/>
      <c r="AJ885" s="179"/>
      <c r="AK885" s="247"/>
      <c r="AL885" s="248"/>
      <c r="AM885" s="294" t="str">
        <f t="shared" si="107"/>
        <v/>
      </c>
      <c r="AN885" s="219" t="str">
        <f t="shared" si="98"/>
        <v/>
      </c>
      <c r="AO885" s="219">
        <f t="shared" si="108"/>
        <v>0</v>
      </c>
      <c r="AP885" s="219">
        <f t="shared" si="104"/>
        <v>0</v>
      </c>
      <c r="AQ885" s="220">
        <f t="shared" si="109"/>
        <v>0</v>
      </c>
      <c r="AR885" s="221">
        <f t="shared" si="110"/>
        <v>0</v>
      </c>
      <c r="AY885" s="628"/>
      <c r="AZ885" s="470">
        <v>0.75</v>
      </c>
      <c r="BA885" s="466">
        <v>3280983813</v>
      </c>
      <c r="BB885" s="211" t="s">
        <v>655</v>
      </c>
      <c r="BC885" s="211" t="s">
        <v>655</v>
      </c>
      <c r="BD885" s="211" t="s">
        <v>655</v>
      </c>
      <c r="BE885" s="211" t="s">
        <v>655</v>
      </c>
      <c r="BF885" s="211" t="s">
        <v>655</v>
      </c>
      <c r="BG885" s="211" t="s">
        <v>655</v>
      </c>
      <c r="BH885" s="211" t="s">
        <v>655</v>
      </c>
      <c r="BI885" s="211" t="s">
        <v>655</v>
      </c>
      <c r="BJ885" s="211" t="s">
        <v>655</v>
      </c>
      <c r="BK885" s="211" t="s">
        <v>655</v>
      </c>
      <c r="BL885" s="211" t="s">
        <v>655</v>
      </c>
      <c r="BM885" s="211">
        <v>496</v>
      </c>
      <c r="BO885" s="28">
        <f t="shared" si="105"/>
        <v>496</v>
      </c>
      <c r="BP885" s="28">
        <f t="shared" si="106"/>
        <v>496</v>
      </c>
    </row>
    <row r="886" spans="22:68" x14ac:dyDescent="0.25">
      <c r="V886" s="178"/>
      <c r="W886" s="174"/>
      <c r="X886" s="179"/>
      <c r="Y886" s="247"/>
      <c r="Z886" s="248"/>
      <c r="AA886" s="294" t="str">
        <f t="shared" si="99"/>
        <v/>
      </c>
      <c r="AB886" s="219" t="str">
        <f t="shared" si="97"/>
        <v/>
      </c>
      <c r="AC886" s="219">
        <f t="shared" si="100"/>
        <v>0</v>
      </c>
      <c r="AD886" s="219">
        <f t="shared" si="101"/>
        <v>0</v>
      </c>
      <c r="AE886" s="220">
        <f t="shared" si="102"/>
        <v>0</v>
      </c>
      <c r="AF886" s="221">
        <f t="shared" si="103"/>
        <v>0</v>
      </c>
      <c r="AG886" s="204"/>
      <c r="AH886" s="178"/>
      <c r="AI886" s="174"/>
      <c r="AJ886" s="179"/>
      <c r="AK886" s="247"/>
      <c r="AL886" s="248"/>
      <c r="AM886" s="294" t="str">
        <f t="shared" si="107"/>
        <v/>
      </c>
      <c r="AN886" s="219" t="str">
        <f t="shared" si="98"/>
        <v/>
      </c>
      <c r="AO886" s="219">
        <f t="shared" si="108"/>
        <v>0</v>
      </c>
      <c r="AP886" s="219">
        <f t="shared" si="104"/>
        <v>0</v>
      </c>
      <c r="AQ886" s="220">
        <f t="shared" si="109"/>
        <v>0</v>
      </c>
      <c r="AR886" s="221">
        <f t="shared" si="110"/>
        <v>0</v>
      </c>
      <c r="AY886" s="628"/>
      <c r="AZ886" s="470">
        <v>0.75</v>
      </c>
      <c r="BA886" s="466">
        <v>4786530931</v>
      </c>
      <c r="BB886" s="211" t="s">
        <v>655</v>
      </c>
      <c r="BC886" s="211" t="s">
        <v>655</v>
      </c>
      <c r="BD886" s="211" t="s">
        <v>655</v>
      </c>
      <c r="BE886" s="211" t="s">
        <v>655</v>
      </c>
      <c r="BF886" s="211" t="s">
        <v>655</v>
      </c>
      <c r="BG886" s="211" t="s">
        <v>655</v>
      </c>
      <c r="BH886" s="211" t="s">
        <v>655</v>
      </c>
      <c r="BI886" s="211" t="s">
        <v>655</v>
      </c>
      <c r="BJ886" s="211" t="s">
        <v>655</v>
      </c>
      <c r="BK886" s="211" t="s">
        <v>655</v>
      </c>
      <c r="BL886" s="211">
        <v>13</v>
      </c>
      <c r="BM886" s="211">
        <v>79</v>
      </c>
      <c r="BO886" s="28">
        <f t="shared" si="105"/>
        <v>46</v>
      </c>
      <c r="BP886" s="28">
        <f t="shared" si="106"/>
        <v>92</v>
      </c>
    </row>
    <row r="887" spans="22:68" x14ac:dyDescent="0.25">
      <c r="V887" s="178"/>
      <c r="W887" s="174"/>
      <c r="X887" s="179"/>
      <c r="Y887" s="247"/>
      <c r="Z887" s="248"/>
      <c r="AA887" s="294" t="str">
        <f t="shared" si="99"/>
        <v/>
      </c>
      <c r="AB887" s="219" t="str">
        <f t="shared" si="97"/>
        <v/>
      </c>
      <c r="AC887" s="219">
        <f t="shared" si="100"/>
        <v>0</v>
      </c>
      <c r="AD887" s="219">
        <f t="shared" si="101"/>
        <v>0</v>
      </c>
      <c r="AE887" s="220">
        <f t="shared" si="102"/>
        <v>0</v>
      </c>
      <c r="AF887" s="221">
        <f t="shared" si="103"/>
        <v>0</v>
      </c>
      <c r="AG887" s="204"/>
      <c r="AH887" s="178"/>
      <c r="AI887" s="174"/>
      <c r="AJ887" s="179"/>
      <c r="AK887" s="247"/>
      <c r="AL887" s="248"/>
      <c r="AM887" s="294" t="str">
        <f t="shared" si="107"/>
        <v/>
      </c>
      <c r="AN887" s="219" t="str">
        <f t="shared" si="98"/>
        <v/>
      </c>
      <c r="AO887" s="219">
        <f t="shared" si="108"/>
        <v>0</v>
      </c>
      <c r="AP887" s="219">
        <f t="shared" si="104"/>
        <v>0</v>
      </c>
      <c r="AQ887" s="220">
        <f t="shared" si="109"/>
        <v>0</v>
      </c>
      <c r="AR887" s="221">
        <f t="shared" si="110"/>
        <v>0</v>
      </c>
      <c r="AY887" s="628"/>
      <c r="AZ887" s="470">
        <v>0.625</v>
      </c>
      <c r="BA887" s="466">
        <v>7283505644</v>
      </c>
      <c r="BB887" s="211" t="s">
        <v>655</v>
      </c>
      <c r="BC887" s="211" t="s">
        <v>655</v>
      </c>
      <c r="BD887" s="211" t="s">
        <v>655</v>
      </c>
      <c r="BE887" s="211" t="s">
        <v>655</v>
      </c>
      <c r="BF887" s="211" t="s">
        <v>655</v>
      </c>
      <c r="BG887" s="211" t="s">
        <v>655</v>
      </c>
      <c r="BH887" s="211" t="s">
        <v>655</v>
      </c>
      <c r="BI887" s="211" t="s">
        <v>655</v>
      </c>
      <c r="BJ887" s="211" t="s">
        <v>655</v>
      </c>
      <c r="BK887" s="211" t="s">
        <v>655</v>
      </c>
      <c r="BL887" s="211" t="s">
        <v>655</v>
      </c>
      <c r="BM887" s="211" t="s">
        <v>655</v>
      </c>
      <c r="BO887" s="28" t="e">
        <f t="shared" si="105"/>
        <v>#DIV/0!</v>
      </c>
      <c r="BP887" s="28">
        <f t="shared" si="106"/>
        <v>0</v>
      </c>
    </row>
    <row r="888" spans="22:68" x14ac:dyDescent="0.25">
      <c r="V888" s="178"/>
      <c r="W888" s="174"/>
      <c r="X888" s="179"/>
      <c r="Y888" s="247"/>
      <c r="Z888" s="248"/>
      <c r="AA888" s="294" t="str">
        <f t="shared" si="99"/>
        <v/>
      </c>
      <c r="AB888" s="219" t="str">
        <f t="shared" si="97"/>
        <v/>
      </c>
      <c r="AC888" s="219">
        <f t="shared" si="100"/>
        <v>0</v>
      </c>
      <c r="AD888" s="219">
        <f t="shared" si="101"/>
        <v>0</v>
      </c>
      <c r="AE888" s="220">
        <f t="shared" si="102"/>
        <v>0</v>
      </c>
      <c r="AF888" s="221">
        <f t="shared" si="103"/>
        <v>0</v>
      </c>
      <c r="AG888" s="204"/>
      <c r="AH888" s="178"/>
      <c r="AI888" s="174"/>
      <c r="AJ888" s="179"/>
      <c r="AK888" s="247"/>
      <c r="AL888" s="248"/>
      <c r="AM888" s="294" t="str">
        <f t="shared" si="107"/>
        <v/>
      </c>
      <c r="AN888" s="219" t="str">
        <f t="shared" si="98"/>
        <v/>
      </c>
      <c r="AO888" s="219">
        <f t="shared" si="108"/>
        <v>0</v>
      </c>
      <c r="AP888" s="219">
        <f t="shared" si="104"/>
        <v>0</v>
      </c>
      <c r="AQ888" s="220">
        <f t="shared" si="109"/>
        <v>0</v>
      </c>
      <c r="AR888" s="221">
        <f t="shared" si="110"/>
        <v>0</v>
      </c>
      <c r="AY888" s="628"/>
      <c r="AZ888" s="470">
        <v>0.75</v>
      </c>
      <c r="BA888" s="466">
        <v>7472142949</v>
      </c>
      <c r="BB888" s="211" t="s">
        <v>655</v>
      </c>
      <c r="BC888" s="211" t="s">
        <v>655</v>
      </c>
      <c r="BD888" s="211" t="s">
        <v>655</v>
      </c>
      <c r="BE888" s="211" t="s">
        <v>655</v>
      </c>
      <c r="BF888" s="211" t="s">
        <v>655</v>
      </c>
      <c r="BG888" s="211" t="s">
        <v>655</v>
      </c>
      <c r="BH888" s="211" t="s">
        <v>655</v>
      </c>
      <c r="BI888" s="211" t="s">
        <v>655</v>
      </c>
      <c r="BJ888" s="211" t="s">
        <v>655</v>
      </c>
      <c r="BK888" s="211" t="s">
        <v>655</v>
      </c>
      <c r="BL888" s="211" t="s">
        <v>655</v>
      </c>
      <c r="BM888" s="211">
        <v>336</v>
      </c>
      <c r="BO888" s="28">
        <f t="shared" si="105"/>
        <v>336</v>
      </c>
      <c r="BP888" s="28">
        <f t="shared" si="106"/>
        <v>336</v>
      </c>
    </row>
    <row r="889" spans="22:68" x14ac:dyDescent="0.25">
      <c r="V889" s="178"/>
      <c r="W889" s="174"/>
      <c r="X889" s="179"/>
      <c r="Y889" s="247"/>
      <c r="Z889" s="248"/>
      <c r="AA889" s="294" t="str">
        <f t="shared" si="99"/>
        <v/>
      </c>
      <c r="AB889" s="219" t="str">
        <f t="shared" si="97"/>
        <v/>
      </c>
      <c r="AC889" s="219">
        <f t="shared" si="100"/>
        <v>0</v>
      </c>
      <c r="AD889" s="219">
        <f t="shared" si="101"/>
        <v>0</v>
      </c>
      <c r="AE889" s="220">
        <f t="shared" si="102"/>
        <v>0</v>
      </c>
      <c r="AF889" s="221">
        <f t="shared" si="103"/>
        <v>0</v>
      </c>
      <c r="AG889" s="204"/>
      <c r="AH889" s="178"/>
      <c r="AI889" s="174"/>
      <c r="AJ889" s="179"/>
      <c r="AK889" s="247"/>
      <c r="AL889" s="248"/>
      <c r="AM889" s="294" t="str">
        <f t="shared" si="107"/>
        <v/>
      </c>
      <c r="AN889" s="219" t="str">
        <f t="shared" si="98"/>
        <v/>
      </c>
      <c r="AO889" s="219">
        <f t="shared" si="108"/>
        <v>0</v>
      </c>
      <c r="AP889" s="219">
        <f t="shared" si="104"/>
        <v>0</v>
      </c>
      <c r="AQ889" s="220">
        <f t="shared" si="109"/>
        <v>0</v>
      </c>
      <c r="AR889" s="221">
        <f t="shared" si="110"/>
        <v>0</v>
      </c>
      <c r="AY889" s="628"/>
      <c r="AZ889" s="471">
        <v>2</v>
      </c>
      <c r="BA889" s="466">
        <v>9249113022</v>
      </c>
      <c r="BB889" s="211" t="s">
        <v>655</v>
      </c>
      <c r="BC889" s="211" t="s">
        <v>655</v>
      </c>
      <c r="BD889" s="211" t="s">
        <v>655</v>
      </c>
      <c r="BE889" s="211" t="s">
        <v>655</v>
      </c>
      <c r="BF889" s="211" t="s">
        <v>655</v>
      </c>
      <c r="BG889" s="211" t="s">
        <v>655</v>
      </c>
      <c r="BH889" s="211" t="s">
        <v>655</v>
      </c>
      <c r="BI889" s="211" t="s">
        <v>655</v>
      </c>
      <c r="BJ889" s="211" t="s">
        <v>655</v>
      </c>
      <c r="BK889" s="211" t="s">
        <v>655</v>
      </c>
      <c r="BL889" s="211" t="s">
        <v>655</v>
      </c>
      <c r="BM889" s="211">
        <v>2273</v>
      </c>
      <c r="BO889" s="28">
        <f t="shared" si="105"/>
        <v>2273</v>
      </c>
      <c r="BP889" s="28">
        <f t="shared" si="106"/>
        <v>2273</v>
      </c>
    </row>
    <row r="890" spans="22:68" x14ac:dyDescent="0.25">
      <c r="V890" s="178"/>
      <c r="W890" s="174"/>
      <c r="X890" s="179"/>
      <c r="Y890" s="247"/>
      <c r="Z890" s="248"/>
      <c r="AA890" s="294" t="str">
        <f t="shared" si="99"/>
        <v/>
      </c>
      <c r="AB890" s="219" t="str">
        <f t="shared" si="97"/>
        <v/>
      </c>
      <c r="AC890" s="219">
        <f t="shared" si="100"/>
        <v>0</v>
      </c>
      <c r="AD890" s="219">
        <f t="shared" si="101"/>
        <v>0</v>
      </c>
      <c r="AE890" s="220">
        <f t="shared" si="102"/>
        <v>0</v>
      </c>
      <c r="AF890" s="221">
        <f t="shared" si="103"/>
        <v>0</v>
      </c>
      <c r="AG890" s="204"/>
      <c r="AH890" s="178"/>
      <c r="AI890" s="174"/>
      <c r="AJ890" s="179"/>
      <c r="AK890" s="247"/>
      <c r="AL890" s="248"/>
      <c r="AM890" s="294" t="str">
        <f t="shared" si="107"/>
        <v/>
      </c>
      <c r="AN890" s="219" t="str">
        <f t="shared" si="98"/>
        <v/>
      </c>
      <c r="AO890" s="219">
        <f t="shared" si="108"/>
        <v>0</v>
      </c>
      <c r="AP890" s="219">
        <f t="shared" si="104"/>
        <v>0</v>
      </c>
      <c r="AQ890" s="220">
        <f t="shared" si="109"/>
        <v>0</v>
      </c>
      <c r="AR890" s="221">
        <f t="shared" si="110"/>
        <v>0</v>
      </c>
      <c r="AY890" s="628"/>
      <c r="AZ890" s="470">
        <v>0.625</v>
      </c>
      <c r="BA890" s="466">
        <v>2736863978</v>
      </c>
      <c r="BB890" s="211" t="s">
        <v>655</v>
      </c>
      <c r="BC890" s="211" t="s">
        <v>655</v>
      </c>
      <c r="BD890" s="211" t="s">
        <v>655</v>
      </c>
      <c r="BE890" s="211" t="s">
        <v>655</v>
      </c>
      <c r="BF890" s="211" t="s">
        <v>655</v>
      </c>
      <c r="BG890" s="211" t="s">
        <v>655</v>
      </c>
      <c r="BH890" s="211" t="s">
        <v>655</v>
      </c>
      <c r="BI890" s="211" t="s">
        <v>655</v>
      </c>
      <c r="BJ890" s="211" t="s">
        <v>655</v>
      </c>
      <c r="BK890" s="211" t="s">
        <v>655</v>
      </c>
      <c r="BL890" s="211" t="s">
        <v>655</v>
      </c>
      <c r="BM890" s="211">
        <v>159</v>
      </c>
      <c r="BO890" s="28">
        <f t="shared" si="105"/>
        <v>159</v>
      </c>
      <c r="BP890" s="28">
        <f t="shared" si="106"/>
        <v>159</v>
      </c>
    </row>
    <row r="891" spans="22:68" x14ac:dyDescent="0.25">
      <c r="V891" s="178"/>
      <c r="W891" s="174"/>
      <c r="X891" s="179"/>
      <c r="Y891" s="247"/>
      <c r="Z891" s="248"/>
      <c r="AA891" s="294" t="str">
        <f t="shared" si="99"/>
        <v/>
      </c>
      <c r="AB891" s="219" t="str">
        <f t="shared" si="97"/>
        <v/>
      </c>
      <c r="AC891" s="219">
        <f t="shared" si="100"/>
        <v>0</v>
      </c>
      <c r="AD891" s="219">
        <f t="shared" si="101"/>
        <v>0</v>
      </c>
      <c r="AE891" s="220">
        <f t="shared" si="102"/>
        <v>0</v>
      </c>
      <c r="AF891" s="221">
        <f t="shared" si="103"/>
        <v>0</v>
      </c>
      <c r="AG891" s="204"/>
      <c r="AH891" s="178"/>
      <c r="AI891" s="174"/>
      <c r="AJ891" s="179"/>
      <c r="AK891" s="247"/>
      <c r="AL891" s="248"/>
      <c r="AM891" s="294" t="str">
        <f t="shared" si="107"/>
        <v/>
      </c>
      <c r="AN891" s="219" t="str">
        <f t="shared" si="98"/>
        <v/>
      </c>
      <c r="AO891" s="219">
        <f t="shared" si="108"/>
        <v>0</v>
      </c>
      <c r="AP891" s="219">
        <f t="shared" si="104"/>
        <v>0</v>
      </c>
      <c r="AQ891" s="220">
        <f t="shared" si="109"/>
        <v>0</v>
      </c>
      <c r="AR891" s="221">
        <f t="shared" si="110"/>
        <v>0</v>
      </c>
      <c r="AY891" s="628"/>
      <c r="AZ891" s="470">
        <v>0.75</v>
      </c>
      <c r="BA891" s="466">
        <v>3522972180</v>
      </c>
      <c r="BB891" s="211" t="s">
        <v>655</v>
      </c>
      <c r="BC891" s="211" t="s">
        <v>655</v>
      </c>
      <c r="BD891" s="211" t="s">
        <v>655</v>
      </c>
      <c r="BE891" s="211" t="s">
        <v>655</v>
      </c>
      <c r="BF891" s="211" t="s">
        <v>655</v>
      </c>
      <c r="BG891" s="211" t="s">
        <v>655</v>
      </c>
      <c r="BH891" s="211" t="s">
        <v>655</v>
      </c>
      <c r="BI891" s="211" t="s">
        <v>655</v>
      </c>
      <c r="BJ891" s="211" t="s">
        <v>655</v>
      </c>
      <c r="BK891" s="211" t="s">
        <v>655</v>
      </c>
      <c r="BL891" s="211" t="s">
        <v>655</v>
      </c>
      <c r="BM891" s="211">
        <v>55</v>
      </c>
      <c r="BO891" s="28">
        <f t="shared" si="105"/>
        <v>55</v>
      </c>
      <c r="BP891" s="28">
        <f t="shared" si="106"/>
        <v>55</v>
      </c>
    </row>
    <row r="892" spans="22:68" x14ac:dyDescent="0.25">
      <c r="V892" s="178"/>
      <c r="W892" s="174"/>
      <c r="X892" s="179"/>
      <c r="Y892" s="247"/>
      <c r="Z892" s="248"/>
      <c r="AA892" s="294" t="str">
        <f t="shared" si="99"/>
        <v/>
      </c>
      <c r="AB892" s="219" t="str">
        <f t="shared" si="97"/>
        <v/>
      </c>
      <c r="AC892" s="219">
        <f t="shared" si="100"/>
        <v>0</v>
      </c>
      <c r="AD892" s="219">
        <f t="shared" si="101"/>
        <v>0</v>
      </c>
      <c r="AE892" s="220">
        <f t="shared" si="102"/>
        <v>0</v>
      </c>
      <c r="AF892" s="221">
        <f t="shared" si="103"/>
        <v>0</v>
      </c>
      <c r="AG892" s="204"/>
      <c r="AH892" s="178"/>
      <c r="AI892" s="174"/>
      <c r="AJ892" s="179"/>
      <c r="AK892" s="247"/>
      <c r="AL892" s="248"/>
      <c r="AM892" s="294" t="str">
        <f t="shared" si="107"/>
        <v/>
      </c>
      <c r="AN892" s="219" t="str">
        <f t="shared" si="98"/>
        <v/>
      </c>
      <c r="AO892" s="219">
        <f t="shared" si="108"/>
        <v>0</v>
      </c>
      <c r="AP892" s="219">
        <f t="shared" si="104"/>
        <v>0</v>
      </c>
      <c r="AQ892" s="220">
        <f t="shared" si="109"/>
        <v>0</v>
      </c>
      <c r="AR892" s="221">
        <f t="shared" si="110"/>
        <v>0</v>
      </c>
      <c r="AY892" s="628"/>
      <c r="AZ892" s="470">
        <v>0.75</v>
      </c>
      <c r="BA892" s="466">
        <v>9410907048</v>
      </c>
      <c r="BB892" s="211" t="s">
        <v>655</v>
      </c>
      <c r="BC892" s="211" t="s">
        <v>655</v>
      </c>
      <c r="BD892" s="211" t="s">
        <v>655</v>
      </c>
      <c r="BE892" s="211" t="s">
        <v>655</v>
      </c>
      <c r="BF892" s="211" t="s">
        <v>655</v>
      </c>
      <c r="BG892" s="211" t="s">
        <v>655</v>
      </c>
      <c r="BH892" s="211" t="s">
        <v>655</v>
      </c>
      <c r="BI892" s="211" t="s">
        <v>655</v>
      </c>
      <c r="BJ892" s="211" t="s">
        <v>655</v>
      </c>
      <c r="BK892" s="211" t="s">
        <v>655</v>
      </c>
      <c r="BL892" s="211" t="s">
        <v>655</v>
      </c>
      <c r="BM892" s="211">
        <v>21</v>
      </c>
      <c r="BO892" s="28">
        <f t="shared" si="105"/>
        <v>21</v>
      </c>
      <c r="BP892" s="28">
        <f t="shared" si="106"/>
        <v>21</v>
      </c>
    </row>
    <row r="893" spans="22:68" x14ac:dyDescent="0.25">
      <c r="V893" s="178"/>
      <c r="W893" s="174"/>
      <c r="X893" s="179"/>
      <c r="Y893" s="247"/>
      <c r="Z893" s="248"/>
      <c r="AA893" s="294" t="str">
        <f t="shared" si="99"/>
        <v/>
      </c>
      <c r="AB893" s="219" t="str">
        <f t="shared" si="97"/>
        <v/>
      </c>
      <c r="AC893" s="219">
        <f t="shared" si="100"/>
        <v>0</v>
      </c>
      <c r="AD893" s="219">
        <f t="shared" si="101"/>
        <v>0</v>
      </c>
      <c r="AE893" s="220">
        <f t="shared" si="102"/>
        <v>0</v>
      </c>
      <c r="AF893" s="221">
        <f t="shared" si="103"/>
        <v>0</v>
      </c>
      <c r="AG893" s="204"/>
      <c r="AH893" s="178"/>
      <c r="AI893" s="174"/>
      <c r="AJ893" s="179"/>
      <c r="AK893" s="247"/>
      <c r="AL893" s="248"/>
      <c r="AM893" s="294" t="str">
        <f t="shared" si="107"/>
        <v/>
      </c>
      <c r="AN893" s="219" t="str">
        <f t="shared" si="98"/>
        <v/>
      </c>
      <c r="AO893" s="219">
        <f t="shared" si="108"/>
        <v>0</v>
      </c>
      <c r="AP893" s="219">
        <f t="shared" si="104"/>
        <v>0</v>
      </c>
      <c r="AQ893" s="220">
        <f t="shared" si="109"/>
        <v>0</v>
      </c>
      <c r="AR893" s="221">
        <f t="shared" si="110"/>
        <v>0</v>
      </c>
      <c r="AY893" s="628"/>
      <c r="AZ893" s="471"/>
      <c r="BA893" s="466"/>
      <c r="BB893" s="211"/>
      <c r="BC893" s="211"/>
      <c r="BD893" s="211"/>
      <c r="BE893" s="211"/>
      <c r="BF893" s="211"/>
      <c r="BG893" s="211"/>
      <c r="BH893" s="211"/>
      <c r="BI893" s="211"/>
      <c r="BJ893" s="211"/>
      <c r="BK893" s="211"/>
      <c r="BL893" s="211"/>
      <c r="BM893" s="211"/>
      <c r="BO893" s="28" t="e">
        <f t="shared" si="105"/>
        <v>#DIV/0!</v>
      </c>
      <c r="BP893" s="28">
        <f t="shared" si="106"/>
        <v>0</v>
      </c>
    </row>
    <row r="894" spans="22:68" x14ac:dyDescent="0.25">
      <c r="V894" s="178"/>
      <c r="W894" s="174"/>
      <c r="X894" s="179"/>
      <c r="Y894" s="247"/>
      <c r="Z894" s="248"/>
      <c r="AA894" s="294" t="str">
        <f t="shared" si="99"/>
        <v/>
      </c>
      <c r="AB894" s="219" t="str">
        <f t="shared" si="97"/>
        <v/>
      </c>
      <c r="AC894" s="219">
        <f t="shared" si="100"/>
        <v>0</v>
      </c>
      <c r="AD894" s="219">
        <f t="shared" si="101"/>
        <v>0</v>
      </c>
      <c r="AE894" s="220">
        <f t="shared" si="102"/>
        <v>0</v>
      </c>
      <c r="AF894" s="221">
        <f t="shared" si="103"/>
        <v>0</v>
      </c>
      <c r="AG894" s="204"/>
      <c r="AH894" s="178"/>
      <c r="AI894" s="174"/>
      <c r="AJ894" s="179"/>
      <c r="AK894" s="247"/>
      <c r="AL894" s="248"/>
      <c r="AM894" s="294" t="str">
        <f t="shared" si="107"/>
        <v/>
      </c>
      <c r="AN894" s="219" t="str">
        <f t="shared" si="98"/>
        <v/>
      </c>
      <c r="AO894" s="219">
        <f t="shared" si="108"/>
        <v>0</v>
      </c>
      <c r="AP894" s="219">
        <f t="shared" si="104"/>
        <v>0</v>
      </c>
      <c r="AQ894" s="220">
        <f t="shared" si="109"/>
        <v>0</v>
      </c>
      <c r="AR894" s="221">
        <f t="shared" si="110"/>
        <v>0</v>
      </c>
      <c r="AZ894" s="471"/>
      <c r="BA894" s="466"/>
      <c r="BB894" s="211"/>
      <c r="BC894" s="211"/>
      <c r="BD894" s="211"/>
      <c r="BE894" s="211"/>
      <c r="BF894" s="211"/>
      <c r="BG894" s="211"/>
      <c r="BH894" s="211"/>
      <c r="BI894" s="211"/>
      <c r="BJ894" s="211"/>
      <c r="BK894" s="211"/>
      <c r="BL894" s="211"/>
      <c r="BM894" s="211"/>
      <c r="BO894" s="28" t="e">
        <f t="shared" si="105"/>
        <v>#DIV/0!</v>
      </c>
      <c r="BP894" s="28">
        <f t="shared" si="106"/>
        <v>0</v>
      </c>
    </row>
    <row r="895" spans="22:68" x14ac:dyDescent="0.25">
      <c r="V895" s="178"/>
      <c r="W895" s="174"/>
      <c r="X895" s="179"/>
      <c r="Y895" s="247"/>
      <c r="Z895" s="248"/>
      <c r="AA895" s="294" t="str">
        <f t="shared" si="99"/>
        <v/>
      </c>
      <c r="AB895" s="219" t="str">
        <f t="shared" si="97"/>
        <v/>
      </c>
      <c r="AC895" s="219">
        <f t="shared" si="100"/>
        <v>0</v>
      </c>
      <c r="AD895" s="219">
        <f t="shared" si="101"/>
        <v>0</v>
      </c>
      <c r="AE895" s="220">
        <f t="shared" si="102"/>
        <v>0</v>
      </c>
      <c r="AF895" s="221">
        <f t="shared" si="103"/>
        <v>0</v>
      </c>
      <c r="AG895" s="204"/>
      <c r="AH895" s="178"/>
      <c r="AI895" s="174"/>
      <c r="AJ895" s="179"/>
      <c r="AK895" s="247"/>
      <c r="AL895" s="248"/>
      <c r="AM895" s="294" t="str">
        <f t="shared" si="107"/>
        <v/>
      </c>
      <c r="AN895" s="219" t="str">
        <f t="shared" si="98"/>
        <v/>
      </c>
      <c r="AO895" s="219">
        <f t="shared" si="108"/>
        <v>0</v>
      </c>
      <c r="AP895" s="219">
        <f t="shared" si="104"/>
        <v>0</v>
      </c>
      <c r="AQ895" s="220">
        <f t="shared" si="109"/>
        <v>0</v>
      </c>
      <c r="AR895" s="221">
        <f t="shared" si="110"/>
        <v>0</v>
      </c>
      <c r="AZ895" s="471"/>
      <c r="BA895" s="466"/>
      <c r="BB895" s="211"/>
      <c r="BC895" s="211"/>
      <c r="BD895" s="211"/>
      <c r="BE895" s="211"/>
      <c r="BF895" s="211"/>
      <c r="BG895" s="211"/>
      <c r="BH895" s="211"/>
      <c r="BI895" s="211"/>
      <c r="BJ895" s="211"/>
      <c r="BK895" s="211"/>
      <c r="BL895" s="211"/>
      <c r="BM895" s="211"/>
      <c r="BO895" s="28" t="e">
        <f t="shared" si="105"/>
        <v>#DIV/0!</v>
      </c>
      <c r="BP895" s="28">
        <f t="shared" si="106"/>
        <v>0</v>
      </c>
    </row>
    <row r="896" spans="22:68" x14ac:dyDescent="0.25">
      <c r="V896" s="178"/>
      <c r="W896" s="174"/>
      <c r="X896" s="179"/>
      <c r="Y896" s="247"/>
      <c r="Z896" s="248"/>
      <c r="AA896" s="294" t="str">
        <f t="shared" si="99"/>
        <v/>
      </c>
      <c r="AB896" s="219" t="str">
        <f t="shared" si="97"/>
        <v/>
      </c>
      <c r="AC896" s="219">
        <f t="shared" si="100"/>
        <v>0</v>
      </c>
      <c r="AD896" s="219">
        <f t="shared" si="101"/>
        <v>0</v>
      </c>
      <c r="AE896" s="220">
        <f t="shared" si="102"/>
        <v>0</v>
      </c>
      <c r="AF896" s="221">
        <f t="shared" si="103"/>
        <v>0</v>
      </c>
      <c r="AG896" s="204"/>
      <c r="AH896" s="178"/>
      <c r="AI896" s="174"/>
      <c r="AJ896" s="179"/>
      <c r="AK896" s="247"/>
      <c r="AL896" s="248"/>
      <c r="AM896" s="294" t="str">
        <f t="shared" si="107"/>
        <v/>
      </c>
      <c r="AN896" s="219" t="str">
        <f t="shared" si="98"/>
        <v/>
      </c>
      <c r="AO896" s="219">
        <f t="shared" si="108"/>
        <v>0</v>
      </c>
      <c r="AP896" s="219">
        <f t="shared" si="104"/>
        <v>0</v>
      </c>
      <c r="AQ896" s="220">
        <f t="shared" si="109"/>
        <v>0</v>
      </c>
      <c r="AR896" s="221">
        <f t="shared" si="110"/>
        <v>0</v>
      </c>
      <c r="AZ896" s="471"/>
      <c r="BA896" s="466"/>
      <c r="BB896" s="211"/>
      <c r="BC896" s="211"/>
      <c r="BD896" s="211"/>
      <c r="BE896" s="211"/>
      <c r="BF896" s="211"/>
      <c r="BG896" s="211"/>
      <c r="BH896" s="211"/>
      <c r="BI896" s="211"/>
      <c r="BJ896" s="211"/>
      <c r="BK896" s="211"/>
      <c r="BL896" s="211"/>
      <c r="BM896" s="211"/>
      <c r="BO896" s="28" t="e">
        <f t="shared" si="105"/>
        <v>#DIV/0!</v>
      </c>
      <c r="BP896" s="28">
        <f t="shared" si="106"/>
        <v>0</v>
      </c>
    </row>
    <row r="897" spans="22:68" x14ac:dyDescent="0.25">
      <c r="V897" s="178"/>
      <c r="W897" s="174"/>
      <c r="X897" s="179"/>
      <c r="Y897" s="247"/>
      <c r="Z897" s="248"/>
      <c r="AA897" s="294" t="str">
        <f t="shared" si="99"/>
        <v/>
      </c>
      <c r="AB897" s="219" t="str">
        <f t="shared" si="97"/>
        <v/>
      </c>
      <c r="AC897" s="219">
        <f t="shared" si="100"/>
        <v>0</v>
      </c>
      <c r="AD897" s="219">
        <f t="shared" si="101"/>
        <v>0</v>
      </c>
      <c r="AE897" s="220">
        <f t="shared" si="102"/>
        <v>0</v>
      </c>
      <c r="AF897" s="221">
        <f t="shared" si="103"/>
        <v>0</v>
      </c>
      <c r="AG897" s="204"/>
      <c r="AH897" s="178"/>
      <c r="AI897" s="174"/>
      <c r="AJ897" s="179"/>
      <c r="AK897" s="247"/>
      <c r="AL897" s="248"/>
      <c r="AM897" s="294" t="str">
        <f t="shared" si="107"/>
        <v/>
      </c>
      <c r="AN897" s="219" t="str">
        <f t="shared" si="98"/>
        <v/>
      </c>
      <c r="AO897" s="219">
        <f t="shared" si="108"/>
        <v>0</v>
      </c>
      <c r="AP897" s="219">
        <f t="shared" si="104"/>
        <v>0</v>
      </c>
      <c r="AQ897" s="220">
        <f t="shared" si="109"/>
        <v>0</v>
      </c>
      <c r="AR897" s="221">
        <f t="shared" si="110"/>
        <v>0</v>
      </c>
      <c r="AZ897" s="471"/>
      <c r="BA897" s="466"/>
      <c r="BB897" s="211"/>
      <c r="BC897" s="211"/>
      <c r="BD897" s="211"/>
      <c r="BE897" s="211"/>
      <c r="BF897" s="211"/>
      <c r="BG897" s="211"/>
      <c r="BH897" s="211"/>
      <c r="BI897" s="211"/>
      <c r="BJ897" s="211"/>
      <c r="BK897" s="211"/>
      <c r="BL897" s="211"/>
      <c r="BM897" s="211"/>
      <c r="BO897" s="28" t="e">
        <f t="shared" si="105"/>
        <v>#DIV/0!</v>
      </c>
      <c r="BP897" s="28">
        <f t="shared" si="106"/>
        <v>0</v>
      </c>
    </row>
    <row r="898" spans="22:68" x14ac:dyDescent="0.25">
      <c r="V898" s="178"/>
      <c r="W898" s="174"/>
      <c r="X898" s="179"/>
      <c r="Y898" s="247"/>
      <c r="Z898" s="248"/>
      <c r="AA898" s="294" t="str">
        <f t="shared" si="99"/>
        <v/>
      </c>
      <c r="AB898" s="219" t="str">
        <f t="shared" si="97"/>
        <v/>
      </c>
      <c r="AC898" s="219">
        <f t="shared" si="100"/>
        <v>0</v>
      </c>
      <c r="AD898" s="219">
        <f t="shared" si="101"/>
        <v>0</v>
      </c>
      <c r="AE898" s="220">
        <f t="shared" si="102"/>
        <v>0</v>
      </c>
      <c r="AF898" s="221">
        <f t="shared" si="103"/>
        <v>0</v>
      </c>
      <c r="AG898" s="204"/>
      <c r="AH898" s="178"/>
      <c r="AI898" s="174"/>
      <c r="AJ898" s="179"/>
      <c r="AK898" s="247"/>
      <c r="AL898" s="248"/>
      <c r="AM898" s="294" t="str">
        <f t="shared" si="107"/>
        <v/>
      </c>
      <c r="AN898" s="219" t="str">
        <f t="shared" si="98"/>
        <v/>
      </c>
      <c r="AO898" s="219">
        <f t="shared" si="108"/>
        <v>0</v>
      </c>
      <c r="AP898" s="219">
        <f t="shared" si="104"/>
        <v>0</v>
      </c>
      <c r="AQ898" s="220">
        <f t="shared" si="109"/>
        <v>0</v>
      </c>
      <c r="AR898" s="221">
        <f t="shared" si="110"/>
        <v>0</v>
      </c>
      <c r="AZ898" s="471"/>
      <c r="BA898" s="466"/>
      <c r="BB898" s="211"/>
      <c r="BC898" s="211"/>
      <c r="BD898" s="211"/>
      <c r="BE898" s="211"/>
      <c r="BF898" s="211"/>
      <c r="BG898" s="211"/>
      <c r="BH898" s="211"/>
      <c r="BI898" s="211"/>
      <c r="BJ898" s="211"/>
      <c r="BK898" s="211"/>
      <c r="BL898" s="211"/>
      <c r="BM898" s="211"/>
      <c r="BO898" s="28" t="e">
        <f t="shared" si="105"/>
        <v>#DIV/0!</v>
      </c>
      <c r="BP898" s="28">
        <f t="shared" si="106"/>
        <v>0</v>
      </c>
    </row>
    <row r="899" spans="22:68" x14ac:dyDescent="0.25">
      <c r="V899" s="178"/>
      <c r="W899" s="174"/>
      <c r="X899" s="179"/>
      <c r="Y899" s="247"/>
      <c r="Z899" s="248"/>
      <c r="AA899" s="294" t="str">
        <f t="shared" si="99"/>
        <v/>
      </c>
      <c r="AB899" s="219" t="str">
        <f t="shared" si="97"/>
        <v/>
      </c>
      <c r="AC899" s="219">
        <f t="shared" si="100"/>
        <v>0</v>
      </c>
      <c r="AD899" s="219">
        <f t="shared" si="101"/>
        <v>0</v>
      </c>
      <c r="AE899" s="220">
        <f t="shared" si="102"/>
        <v>0</v>
      </c>
      <c r="AF899" s="221">
        <f t="shared" si="103"/>
        <v>0</v>
      </c>
      <c r="AG899" s="204"/>
      <c r="AH899" s="178"/>
      <c r="AI899" s="174"/>
      <c r="AJ899" s="179"/>
      <c r="AK899" s="247"/>
      <c r="AL899" s="248"/>
      <c r="AM899" s="294" t="str">
        <f t="shared" si="107"/>
        <v/>
      </c>
      <c r="AN899" s="219" t="str">
        <f t="shared" si="98"/>
        <v/>
      </c>
      <c r="AO899" s="219">
        <f t="shared" si="108"/>
        <v>0</v>
      </c>
      <c r="AP899" s="219">
        <f t="shared" si="104"/>
        <v>0</v>
      </c>
      <c r="AQ899" s="220">
        <f t="shared" si="109"/>
        <v>0</v>
      </c>
      <c r="AR899" s="221">
        <f t="shared" si="110"/>
        <v>0</v>
      </c>
      <c r="AZ899" s="471"/>
      <c r="BA899" s="466"/>
      <c r="BB899" s="211"/>
      <c r="BC899" s="211"/>
      <c r="BD899" s="211"/>
      <c r="BE899" s="211"/>
      <c r="BF899" s="211"/>
      <c r="BG899" s="211"/>
      <c r="BH899" s="211"/>
      <c r="BI899" s="211"/>
      <c r="BJ899" s="211"/>
      <c r="BK899" s="211"/>
      <c r="BL899" s="211"/>
      <c r="BM899" s="211"/>
      <c r="BO899" s="28" t="e">
        <f t="shared" si="105"/>
        <v>#DIV/0!</v>
      </c>
      <c r="BP899" s="28">
        <f t="shared" si="106"/>
        <v>0</v>
      </c>
    </row>
    <row r="900" spans="22:68" x14ac:dyDescent="0.25">
      <c r="V900" s="178"/>
      <c r="W900" s="174"/>
      <c r="X900" s="179"/>
      <c r="Y900" s="247"/>
      <c r="Z900" s="248"/>
      <c r="AA900" s="294" t="str">
        <f t="shared" si="99"/>
        <v/>
      </c>
      <c r="AB900" s="219" t="str">
        <f t="shared" si="97"/>
        <v/>
      </c>
      <c r="AC900" s="219">
        <f t="shared" si="100"/>
        <v>0</v>
      </c>
      <c r="AD900" s="219">
        <f t="shared" si="101"/>
        <v>0</v>
      </c>
      <c r="AE900" s="220">
        <f t="shared" si="102"/>
        <v>0</v>
      </c>
      <c r="AF900" s="221">
        <f t="shared" si="103"/>
        <v>0</v>
      </c>
      <c r="AG900" s="204"/>
      <c r="AH900" s="178"/>
      <c r="AI900" s="174"/>
      <c r="AJ900" s="179"/>
      <c r="AK900" s="247"/>
      <c r="AL900" s="248"/>
      <c r="AM900" s="294" t="str">
        <f t="shared" si="107"/>
        <v/>
      </c>
      <c r="AN900" s="219" t="str">
        <f t="shared" si="98"/>
        <v/>
      </c>
      <c r="AO900" s="219">
        <f t="shared" si="108"/>
        <v>0</v>
      </c>
      <c r="AP900" s="219">
        <f t="shared" si="104"/>
        <v>0</v>
      </c>
      <c r="AQ900" s="220">
        <f t="shared" si="109"/>
        <v>0</v>
      </c>
      <c r="AR900" s="221">
        <f t="shared" si="110"/>
        <v>0</v>
      </c>
      <c r="AZ900" s="471"/>
      <c r="BA900" s="466"/>
      <c r="BB900" s="211"/>
      <c r="BC900" s="211"/>
      <c r="BD900" s="211"/>
      <c r="BE900" s="211"/>
      <c r="BF900" s="211"/>
      <c r="BG900" s="211"/>
      <c r="BH900" s="211"/>
      <c r="BI900" s="211"/>
      <c r="BJ900" s="211"/>
      <c r="BK900" s="211"/>
      <c r="BL900" s="211"/>
      <c r="BM900" s="211"/>
      <c r="BO900" s="28" t="e">
        <f t="shared" si="105"/>
        <v>#DIV/0!</v>
      </c>
      <c r="BP900" s="28">
        <f t="shared" si="106"/>
        <v>0</v>
      </c>
    </row>
    <row r="901" spans="22:68" x14ac:dyDescent="0.25">
      <c r="V901" s="178"/>
      <c r="W901" s="174"/>
      <c r="X901" s="179"/>
      <c r="Y901" s="247"/>
      <c r="Z901" s="248"/>
      <c r="AA901" s="294" t="str">
        <f t="shared" si="99"/>
        <v/>
      </c>
      <c r="AB901" s="219" t="str">
        <f t="shared" si="97"/>
        <v/>
      </c>
      <c r="AC901" s="219">
        <f t="shared" si="100"/>
        <v>0</v>
      </c>
      <c r="AD901" s="219">
        <f t="shared" si="101"/>
        <v>0</v>
      </c>
      <c r="AE901" s="220">
        <f t="shared" si="102"/>
        <v>0</v>
      </c>
      <c r="AF901" s="221">
        <f t="shared" si="103"/>
        <v>0</v>
      </c>
      <c r="AG901" s="204"/>
      <c r="AH901" s="178"/>
      <c r="AI901" s="174"/>
      <c r="AJ901" s="179"/>
      <c r="AK901" s="247"/>
      <c r="AL901" s="248"/>
      <c r="AM901" s="294" t="str">
        <f t="shared" si="107"/>
        <v/>
      </c>
      <c r="AN901" s="219" t="str">
        <f t="shared" si="98"/>
        <v/>
      </c>
      <c r="AO901" s="219">
        <f t="shared" si="108"/>
        <v>0</v>
      </c>
      <c r="AP901" s="219">
        <f t="shared" si="104"/>
        <v>0</v>
      </c>
      <c r="AQ901" s="220">
        <f t="shared" si="109"/>
        <v>0</v>
      </c>
      <c r="AR901" s="221">
        <f t="shared" si="110"/>
        <v>0</v>
      </c>
      <c r="AZ901" s="471"/>
      <c r="BA901" s="466"/>
      <c r="BB901" s="211"/>
      <c r="BC901" s="211"/>
      <c r="BD901" s="211"/>
      <c r="BE901" s="211"/>
      <c r="BF901" s="211"/>
      <c r="BG901" s="211"/>
      <c r="BH901" s="211"/>
      <c r="BI901" s="211"/>
      <c r="BJ901" s="211"/>
      <c r="BK901" s="211"/>
      <c r="BL901" s="211"/>
      <c r="BM901" s="211"/>
      <c r="BO901" s="28" t="e">
        <f t="shared" si="105"/>
        <v>#DIV/0!</v>
      </c>
      <c r="BP901" s="28">
        <f t="shared" si="106"/>
        <v>0</v>
      </c>
    </row>
    <row r="902" spans="22:68" x14ac:dyDescent="0.25">
      <c r="V902" s="178"/>
      <c r="W902" s="174"/>
      <c r="X902" s="179"/>
      <c r="Y902" s="247"/>
      <c r="Z902" s="248"/>
      <c r="AA902" s="294" t="str">
        <f t="shared" si="99"/>
        <v/>
      </c>
      <c r="AB902" s="219" t="str">
        <f t="shared" si="97"/>
        <v/>
      </c>
      <c r="AC902" s="219">
        <f t="shared" si="100"/>
        <v>0</v>
      </c>
      <c r="AD902" s="219">
        <f t="shared" si="101"/>
        <v>0</v>
      </c>
      <c r="AE902" s="220">
        <f t="shared" si="102"/>
        <v>0</v>
      </c>
      <c r="AF902" s="221">
        <f t="shared" si="103"/>
        <v>0</v>
      </c>
      <c r="AG902" s="204"/>
      <c r="AH902" s="178"/>
      <c r="AI902" s="174"/>
      <c r="AJ902" s="179"/>
      <c r="AK902" s="247"/>
      <c r="AL902" s="248"/>
      <c r="AM902" s="294" t="str">
        <f t="shared" si="107"/>
        <v/>
      </c>
      <c r="AN902" s="219" t="str">
        <f t="shared" si="98"/>
        <v/>
      </c>
      <c r="AO902" s="219">
        <f t="shared" si="108"/>
        <v>0</v>
      </c>
      <c r="AP902" s="219">
        <f t="shared" si="104"/>
        <v>0</v>
      </c>
      <c r="AQ902" s="220">
        <f t="shared" si="109"/>
        <v>0</v>
      </c>
      <c r="AR902" s="221">
        <f t="shared" si="110"/>
        <v>0</v>
      </c>
      <c r="AZ902" s="471"/>
      <c r="BA902" s="466"/>
      <c r="BB902" s="211"/>
      <c r="BC902" s="211"/>
      <c r="BD902" s="211"/>
      <c r="BE902" s="211"/>
      <c r="BF902" s="211"/>
      <c r="BG902" s="211"/>
      <c r="BH902" s="211"/>
      <c r="BI902" s="211"/>
      <c r="BJ902" s="211"/>
      <c r="BK902" s="211"/>
      <c r="BL902" s="211"/>
      <c r="BM902" s="211"/>
      <c r="BO902" s="28" t="e">
        <f t="shared" si="105"/>
        <v>#DIV/0!</v>
      </c>
      <c r="BP902" s="28">
        <f t="shared" si="106"/>
        <v>0</v>
      </c>
    </row>
    <row r="903" spans="22:68" x14ac:dyDescent="0.25">
      <c r="V903" s="178"/>
      <c r="W903" s="174"/>
      <c r="X903" s="179"/>
      <c r="Y903" s="247"/>
      <c r="Z903" s="248"/>
      <c r="AA903" s="294" t="str">
        <f t="shared" si="99"/>
        <v/>
      </c>
      <c r="AB903" s="219" t="str">
        <f t="shared" si="97"/>
        <v/>
      </c>
      <c r="AC903" s="219">
        <f t="shared" si="100"/>
        <v>0</v>
      </c>
      <c r="AD903" s="219">
        <f t="shared" si="101"/>
        <v>0</v>
      </c>
      <c r="AE903" s="220">
        <f t="shared" si="102"/>
        <v>0</v>
      </c>
      <c r="AF903" s="221">
        <f t="shared" si="103"/>
        <v>0</v>
      </c>
      <c r="AG903" s="204"/>
      <c r="AH903" s="178"/>
      <c r="AI903" s="174"/>
      <c r="AJ903" s="179"/>
      <c r="AK903" s="247"/>
      <c r="AL903" s="248"/>
      <c r="AM903" s="294" t="str">
        <f t="shared" si="107"/>
        <v/>
      </c>
      <c r="AN903" s="219" t="str">
        <f t="shared" si="98"/>
        <v/>
      </c>
      <c r="AO903" s="219">
        <f t="shared" si="108"/>
        <v>0</v>
      </c>
      <c r="AP903" s="219">
        <f t="shared" si="104"/>
        <v>0</v>
      </c>
      <c r="AQ903" s="220">
        <f t="shared" si="109"/>
        <v>0</v>
      </c>
      <c r="AR903" s="221">
        <f t="shared" si="110"/>
        <v>0</v>
      </c>
      <c r="AZ903" s="471"/>
      <c r="BA903" s="466"/>
      <c r="BB903" s="211"/>
      <c r="BC903" s="211"/>
      <c r="BD903" s="211"/>
      <c r="BE903" s="211"/>
      <c r="BF903" s="211"/>
      <c r="BG903" s="211"/>
      <c r="BH903" s="211"/>
      <c r="BI903" s="211"/>
      <c r="BJ903" s="211"/>
      <c r="BK903" s="211"/>
      <c r="BL903" s="211"/>
      <c r="BM903" s="211"/>
      <c r="BO903" s="28" t="e">
        <f t="shared" si="105"/>
        <v>#DIV/0!</v>
      </c>
      <c r="BP903" s="28">
        <f t="shared" si="106"/>
        <v>0</v>
      </c>
    </row>
    <row r="904" spans="22:68" x14ac:dyDescent="0.25">
      <c r="V904" s="178"/>
      <c r="W904" s="174"/>
      <c r="X904" s="179"/>
      <c r="Y904" s="247"/>
      <c r="Z904" s="248"/>
      <c r="AA904" s="294" t="str">
        <f t="shared" si="99"/>
        <v/>
      </c>
      <c r="AB904" s="219" t="str">
        <f t="shared" ref="AB904:AB967" si="111">IF(Y904&gt;1,IF((TestEOY-X904)/365&gt;AA904,AA904,ROUNDUP(((TestEOY-X904)/365),0)),"")</f>
        <v/>
      </c>
      <c r="AC904" s="219">
        <f t="shared" si="100"/>
        <v>0</v>
      </c>
      <c r="AD904" s="219">
        <f t="shared" si="101"/>
        <v>0</v>
      </c>
      <c r="AE904" s="220">
        <f t="shared" si="102"/>
        <v>0</v>
      </c>
      <c r="AF904" s="221">
        <f t="shared" si="103"/>
        <v>0</v>
      </c>
      <c r="AG904" s="204"/>
      <c r="AH904" s="178"/>
      <c r="AI904" s="174"/>
      <c r="AJ904" s="179"/>
      <c r="AK904" s="247"/>
      <c r="AL904" s="248"/>
      <c r="AM904" s="294" t="str">
        <f t="shared" si="107"/>
        <v/>
      </c>
      <c r="AN904" s="219" t="str">
        <f t="shared" ref="AN904:AN967" si="112">IF(AK904&lt;&gt;"",IF((TestEOY-AJ904)/365&gt;AM904,AM904,ROUNDUP(((TestEOY-AJ904)/365),0)),"")</f>
        <v/>
      </c>
      <c r="AO904" s="219">
        <f t="shared" si="108"/>
        <v>0</v>
      </c>
      <c r="AP904" s="219">
        <f t="shared" si="104"/>
        <v>0</v>
      </c>
      <c r="AQ904" s="220">
        <f t="shared" si="109"/>
        <v>0</v>
      </c>
      <c r="AR904" s="221">
        <f t="shared" si="110"/>
        <v>0</v>
      </c>
      <c r="AZ904" s="471"/>
      <c r="BA904" s="466"/>
      <c r="BB904" s="211"/>
      <c r="BC904" s="211"/>
      <c r="BD904" s="211"/>
      <c r="BE904" s="211"/>
      <c r="BF904" s="211"/>
      <c r="BG904" s="211"/>
      <c r="BH904" s="211"/>
      <c r="BI904" s="211"/>
      <c r="BJ904" s="211"/>
      <c r="BK904" s="211"/>
      <c r="BL904" s="211"/>
      <c r="BM904" s="211"/>
      <c r="BO904" s="28" t="e">
        <f t="shared" si="105"/>
        <v>#DIV/0!</v>
      </c>
      <c r="BP904" s="28">
        <f t="shared" si="106"/>
        <v>0</v>
      </c>
    </row>
    <row r="905" spans="22:68" x14ac:dyDescent="0.25">
      <c r="V905" s="178"/>
      <c r="W905" s="174"/>
      <c r="X905" s="179"/>
      <c r="Y905" s="247"/>
      <c r="Z905" s="248"/>
      <c r="AA905" s="294" t="str">
        <f t="shared" ref="AA905:AA968" si="113">IFERROR(INDEX($AU$8:$AU$23,MATCH(V905,$AT$8:$AT$23,0)),"")</f>
        <v/>
      </c>
      <c r="AB905" s="219" t="str">
        <f t="shared" si="111"/>
        <v/>
      </c>
      <c r="AC905" s="219">
        <f t="shared" ref="AC905:AC968" si="114">IFERROR(IF(AB905&gt;=AA905,0,IF(AA905&gt;AB905,SLN(Y905,Z905,AA905),0)),"")</f>
        <v>0</v>
      </c>
      <c r="AD905" s="219">
        <f t="shared" ref="AD905:AD968" si="115">AE905-AC905</f>
        <v>0</v>
      </c>
      <c r="AE905" s="220">
        <f t="shared" ref="AE905:AE968" si="116">IFERROR(IF(OR(AA905=0,AA905=""),
     0,
     IF(AB905&gt;=AA905,
          +Y905,
          (+AC905*AB905))),
"")</f>
        <v>0</v>
      </c>
      <c r="AF905" s="221">
        <f t="shared" ref="AF905:AF968" si="117">IFERROR(IF(AE905&gt;Y905,0,(+Y905-AE905))-Z905,"")</f>
        <v>0</v>
      </c>
      <c r="AG905" s="204"/>
      <c r="AH905" s="178"/>
      <c r="AI905" s="174"/>
      <c r="AJ905" s="179"/>
      <c r="AK905" s="247"/>
      <c r="AL905" s="248"/>
      <c r="AM905" s="294" t="str">
        <f t="shared" si="107"/>
        <v/>
      </c>
      <c r="AN905" s="219" t="str">
        <f t="shared" si="112"/>
        <v/>
      </c>
      <c r="AO905" s="219">
        <f t="shared" si="108"/>
        <v>0</v>
      </c>
      <c r="AP905" s="219">
        <f t="shared" ref="AP905:AP968" si="118">AQ905-AO905</f>
        <v>0</v>
      </c>
      <c r="AQ905" s="220">
        <f t="shared" si="109"/>
        <v>0</v>
      </c>
      <c r="AR905" s="221">
        <f t="shared" si="110"/>
        <v>0</v>
      </c>
      <c r="AZ905" s="471"/>
      <c r="BA905" s="466"/>
      <c r="BB905" s="211"/>
      <c r="BC905" s="211"/>
      <c r="BD905" s="211"/>
      <c r="BE905" s="211"/>
      <c r="BF905" s="211"/>
      <c r="BG905" s="211"/>
      <c r="BH905" s="211"/>
      <c r="BI905" s="211"/>
      <c r="BJ905" s="211"/>
      <c r="BK905" s="211"/>
      <c r="BL905" s="211"/>
      <c r="BM905" s="211"/>
      <c r="BO905" s="28" t="e">
        <f t="shared" ref="BO905:BO968" si="119">AVERAGE(BB905:BM905)</f>
        <v>#DIV/0!</v>
      </c>
      <c r="BP905" s="28">
        <f t="shared" ref="BP905:BP968" si="120">SUM(BB905:BM905)</f>
        <v>0</v>
      </c>
    </row>
    <row r="906" spans="22:68" x14ac:dyDescent="0.25">
      <c r="V906" s="178"/>
      <c r="W906" s="174"/>
      <c r="X906" s="179"/>
      <c r="Y906" s="247"/>
      <c r="Z906" s="248"/>
      <c r="AA906" s="294" t="str">
        <f t="shared" si="113"/>
        <v/>
      </c>
      <c r="AB906" s="219" t="str">
        <f t="shared" si="111"/>
        <v/>
      </c>
      <c r="AC906" s="219">
        <f t="shared" si="114"/>
        <v>0</v>
      </c>
      <c r="AD906" s="219">
        <f t="shared" si="115"/>
        <v>0</v>
      </c>
      <c r="AE906" s="220">
        <f t="shared" si="116"/>
        <v>0</v>
      </c>
      <c r="AF906" s="221">
        <f t="shared" si="117"/>
        <v>0</v>
      </c>
      <c r="AG906" s="204"/>
      <c r="AH906" s="178"/>
      <c r="AI906" s="174"/>
      <c r="AJ906" s="179"/>
      <c r="AK906" s="247"/>
      <c r="AL906" s="248"/>
      <c r="AM906" s="294" t="str">
        <f t="shared" si="107"/>
        <v/>
      </c>
      <c r="AN906" s="219" t="str">
        <f t="shared" si="112"/>
        <v/>
      </c>
      <c r="AO906" s="219">
        <f t="shared" si="108"/>
        <v>0</v>
      </c>
      <c r="AP906" s="219">
        <f t="shared" si="118"/>
        <v>0</v>
      </c>
      <c r="AQ906" s="220">
        <f t="shared" si="109"/>
        <v>0</v>
      </c>
      <c r="AR906" s="221">
        <f t="shared" si="110"/>
        <v>0</v>
      </c>
      <c r="AZ906" s="471"/>
      <c r="BA906" s="466"/>
      <c r="BB906" s="211"/>
      <c r="BC906" s="211"/>
      <c r="BD906" s="211"/>
      <c r="BE906" s="211"/>
      <c r="BF906" s="211"/>
      <c r="BG906" s="211"/>
      <c r="BH906" s="211"/>
      <c r="BI906" s="211"/>
      <c r="BJ906" s="211"/>
      <c r="BK906" s="211"/>
      <c r="BL906" s="211"/>
      <c r="BM906" s="211"/>
      <c r="BO906" s="28" t="e">
        <f t="shared" si="119"/>
        <v>#DIV/0!</v>
      </c>
      <c r="BP906" s="28">
        <f t="shared" si="120"/>
        <v>0</v>
      </c>
    </row>
    <row r="907" spans="22:68" x14ac:dyDescent="0.25">
      <c r="V907" s="178"/>
      <c r="W907" s="174"/>
      <c r="X907" s="179"/>
      <c r="Y907" s="247"/>
      <c r="Z907" s="248"/>
      <c r="AA907" s="294" t="str">
        <f t="shared" si="113"/>
        <v/>
      </c>
      <c r="AB907" s="219" t="str">
        <f t="shared" si="111"/>
        <v/>
      </c>
      <c r="AC907" s="219">
        <f t="shared" si="114"/>
        <v>0</v>
      </c>
      <c r="AD907" s="219">
        <f t="shared" si="115"/>
        <v>0</v>
      </c>
      <c r="AE907" s="220">
        <f t="shared" si="116"/>
        <v>0</v>
      </c>
      <c r="AF907" s="221">
        <f t="shared" si="117"/>
        <v>0</v>
      </c>
      <c r="AG907" s="204"/>
      <c r="AH907" s="178"/>
      <c r="AI907" s="174"/>
      <c r="AJ907" s="179"/>
      <c r="AK907" s="247"/>
      <c r="AL907" s="248"/>
      <c r="AM907" s="294" t="str">
        <f t="shared" si="107"/>
        <v/>
      </c>
      <c r="AN907" s="219" t="str">
        <f t="shared" si="112"/>
        <v/>
      </c>
      <c r="AO907" s="219">
        <f t="shared" si="108"/>
        <v>0</v>
      </c>
      <c r="AP907" s="219">
        <f t="shared" si="118"/>
        <v>0</v>
      </c>
      <c r="AQ907" s="220">
        <f t="shared" si="109"/>
        <v>0</v>
      </c>
      <c r="AR907" s="221">
        <f t="shared" si="110"/>
        <v>0</v>
      </c>
      <c r="AZ907" s="471"/>
      <c r="BA907" s="466"/>
      <c r="BB907" s="211"/>
      <c r="BC907" s="211"/>
      <c r="BD907" s="211"/>
      <c r="BE907" s="211"/>
      <c r="BF907" s="211"/>
      <c r="BG907" s="211"/>
      <c r="BH907" s="211"/>
      <c r="BI907" s="211"/>
      <c r="BJ907" s="211"/>
      <c r="BK907" s="211"/>
      <c r="BL907" s="211"/>
      <c r="BM907" s="211"/>
      <c r="BO907" s="28" t="e">
        <f t="shared" si="119"/>
        <v>#DIV/0!</v>
      </c>
      <c r="BP907" s="28">
        <f t="shared" si="120"/>
        <v>0</v>
      </c>
    </row>
    <row r="908" spans="22:68" x14ac:dyDescent="0.25">
      <c r="V908" s="178"/>
      <c r="W908" s="174"/>
      <c r="X908" s="179"/>
      <c r="Y908" s="247"/>
      <c r="Z908" s="248"/>
      <c r="AA908" s="294" t="str">
        <f t="shared" si="113"/>
        <v/>
      </c>
      <c r="AB908" s="219" t="str">
        <f t="shared" si="111"/>
        <v/>
      </c>
      <c r="AC908" s="219">
        <f t="shared" si="114"/>
        <v>0</v>
      </c>
      <c r="AD908" s="219">
        <f t="shared" si="115"/>
        <v>0</v>
      </c>
      <c r="AE908" s="220">
        <f t="shared" si="116"/>
        <v>0</v>
      </c>
      <c r="AF908" s="221">
        <f t="shared" si="117"/>
        <v>0</v>
      </c>
      <c r="AG908" s="204"/>
      <c r="AH908" s="178"/>
      <c r="AI908" s="174"/>
      <c r="AJ908" s="179"/>
      <c r="AK908" s="247"/>
      <c r="AL908" s="248"/>
      <c r="AM908" s="294" t="str">
        <f t="shared" ref="AM908:AM971" si="121">IFERROR(INDEX($AU$8:$AU$23,MATCH(AH908,$AT$8:$AT$23,0)),"")</f>
        <v/>
      </c>
      <c r="AN908" s="219" t="str">
        <f t="shared" si="112"/>
        <v/>
      </c>
      <c r="AO908" s="219">
        <f t="shared" ref="AO908:AO971" si="122">IFERROR(IF(AN908&gt;=AM908,0,IF(AM908&gt;AN908,SLN(AK908,AL908,AM908),0)),"")</f>
        <v>0</v>
      </c>
      <c r="AP908" s="219">
        <f t="shared" si="118"/>
        <v>0</v>
      </c>
      <c r="AQ908" s="220">
        <f t="shared" ref="AQ908:AQ971" si="123">IFERROR(IF(OR(AM908=0,AM908=""),
     0,
     IF(AN908&gt;=AM908,
          +AK908,
          (+AO908*AN908))),
"")</f>
        <v>0</v>
      </c>
      <c r="AR908" s="221">
        <f t="shared" ref="AR908:AR971" si="124">IFERROR(IF(AQ908&gt;AK908,0,(+AK908-AQ908))-AL908,"")</f>
        <v>0</v>
      </c>
      <c r="AZ908" s="471"/>
      <c r="BA908" s="466"/>
      <c r="BB908" s="211"/>
      <c r="BC908" s="211"/>
      <c r="BD908" s="211"/>
      <c r="BE908" s="211"/>
      <c r="BF908" s="211"/>
      <c r="BG908" s="211"/>
      <c r="BH908" s="211"/>
      <c r="BI908" s="211"/>
      <c r="BJ908" s="211"/>
      <c r="BK908" s="211"/>
      <c r="BL908" s="211"/>
      <c r="BM908" s="211"/>
      <c r="BO908" s="28" t="e">
        <f t="shared" si="119"/>
        <v>#DIV/0!</v>
      </c>
      <c r="BP908" s="28">
        <f t="shared" si="120"/>
        <v>0</v>
      </c>
    </row>
    <row r="909" spans="22:68" x14ac:dyDescent="0.25">
      <c r="V909" s="178"/>
      <c r="W909" s="174"/>
      <c r="X909" s="179"/>
      <c r="Y909" s="247"/>
      <c r="Z909" s="248"/>
      <c r="AA909" s="294" t="str">
        <f t="shared" si="113"/>
        <v/>
      </c>
      <c r="AB909" s="219" t="str">
        <f t="shared" si="111"/>
        <v/>
      </c>
      <c r="AC909" s="219">
        <f t="shared" si="114"/>
        <v>0</v>
      </c>
      <c r="AD909" s="219">
        <f t="shared" si="115"/>
        <v>0</v>
      </c>
      <c r="AE909" s="220">
        <f t="shared" si="116"/>
        <v>0</v>
      </c>
      <c r="AF909" s="221">
        <f t="shared" si="117"/>
        <v>0</v>
      </c>
      <c r="AG909" s="204"/>
      <c r="AH909" s="178"/>
      <c r="AI909" s="174"/>
      <c r="AJ909" s="179"/>
      <c r="AK909" s="247"/>
      <c r="AL909" s="248"/>
      <c r="AM909" s="294" t="str">
        <f t="shared" si="121"/>
        <v/>
      </c>
      <c r="AN909" s="219" t="str">
        <f t="shared" si="112"/>
        <v/>
      </c>
      <c r="AO909" s="219">
        <f t="shared" si="122"/>
        <v>0</v>
      </c>
      <c r="AP909" s="219">
        <f t="shared" si="118"/>
        <v>0</v>
      </c>
      <c r="AQ909" s="220">
        <f t="shared" si="123"/>
        <v>0</v>
      </c>
      <c r="AR909" s="221">
        <f t="shared" si="124"/>
        <v>0</v>
      </c>
      <c r="AZ909" s="471"/>
      <c r="BA909" s="466"/>
      <c r="BB909" s="211"/>
      <c r="BC909" s="211"/>
      <c r="BD909" s="211"/>
      <c r="BE909" s="211"/>
      <c r="BF909" s="211"/>
      <c r="BG909" s="211"/>
      <c r="BH909" s="211"/>
      <c r="BI909" s="211"/>
      <c r="BJ909" s="211"/>
      <c r="BK909" s="211"/>
      <c r="BL909" s="211"/>
      <c r="BM909" s="211"/>
      <c r="BO909" s="28" t="e">
        <f t="shared" si="119"/>
        <v>#DIV/0!</v>
      </c>
      <c r="BP909" s="28">
        <f t="shared" si="120"/>
        <v>0</v>
      </c>
    </row>
    <row r="910" spans="22:68" x14ac:dyDescent="0.25">
      <c r="V910" s="178"/>
      <c r="W910" s="174"/>
      <c r="X910" s="179"/>
      <c r="Y910" s="247"/>
      <c r="Z910" s="248"/>
      <c r="AA910" s="294" t="str">
        <f t="shared" si="113"/>
        <v/>
      </c>
      <c r="AB910" s="219" t="str">
        <f t="shared" si="111"/>
        <v/>
      </c>
      <c r="AC910" s="219">
        <f t="shared" si="114"/>
        <v>0</v>
      </c>
      <c r="AD910" s="219">
        <f t="shared" si="115"/>
        <v>0</v>
      </c>
      <c r="AE910" s="220">
        <f t="shared" si="116"/>
        <v>0</v>
      </c>
      <c r="AF910" s="221">
        <f t="shared" si="117"/>
        <v>0</v>
      </c>
      <c r="AG910" s="204"/>
      <c r="AH910" s="178"/>
      <c r="AI910" s="174"/>
      <c r="AJ910" s="179"/>
      <c r="AK910" s="247"/>
      <c r="AL910" s="248"/>
      <c r="AM910" s="294" t="str">
        <f t="shared" si="121"/>
        <v/>
      </c>
      <c r="AN910" s="219" t="str">
        <f t="shared" si="112"/>
        <v/>
      </c>
      <c r="AO910" s="219">
        <f t="shared" si="122"/>
        <v>0</v>
      </c>
      <c r="AP910" s="219">
        <f t="shared" si="118"/>
        <v>0</v>
      </c>
      <c r="AQ910" s="220">
        <f t="shared" si="123"/>
        <v>0</v>
      </c>
      <c r="AR910" s="221">
        <f t="shared" si="124"/>
        <v>0</v>
      </c>
      <c r="AZ910" s="471"/>
      <c r="BA910" s="466"/>
      <c r="BB910" s="211"/>
      <c r="BC910" s="211"/>
      <c r="BD910" s="211"/>
      <c r="BE910" s="211"/>
      <c r="BF910" s="211"/>
      <c r="BG910" s="211"/>
      <c r="BH910" s="211"/>
      <c r="BI910" s="211"/>
      <c r="BJ910" s="211"/>
      <c r="BK910" s="211"/>
      <c r="BL910" s="211"/>
      <c r="BM910" s="211"/>
      <c r="BO910" s="28" t="e">
        <f t="shared" si="119"/>
        <v>#DIV/0!</v>
      </c>
      <c r="BP910" s="28">
        <f t="shared" si="120"/>
        <v>0</v>
      </c>
    </row>
    <row r="911" spans="22:68" x14ac:dyDescent="0.25">
      <c r="V911" s="178"/>
      <c r="W911" s="174"/>
      <c r="X911" s="179"/>
      <c r="Y911" s="247"/>
      <c r="Z911" s="248"/>
      <c r="AA911" s="294" t="str">
        <f t="shared" si="113"/>
        <v/>
      </c>
      <c r="AB911" s="219" t="str">
        <f t="shared" si="111"/>
        <v/>
      </c>
      <c r="AC911" s="219">
        <f t="shared" si="114"/>
        <v>0</v>
      </c>
      <c r="AD911" s="219">
        <f t="shared" si="115"/>
        <v>0</v>
      </c>
      <c r="AE911" s="220">
        <f t="shared" si="116"/>
        <v>0</v>
      </c>
      <c r="AF911" s="221">
        <f t="shared" si="117"/>
        <v>0</v>
      </c>
      <c r="AG911" s="204"/>
      <c r="AH911" s="178"/>
      <c r="AI911" s="174"/>
      <c r="AJ911" s="179"/>
      <c r="AK911" s="247"/>
      <c r="AL911" s="248"/>
      <c r="AM911" s="294" t="str">
        <f t="shared" si="121"/>
        <v/>
      </c>
      <c r="AN911" s="219" t="str">
        <f t="shared" si="112"/>
        <v/>
      </c>
      <c r="AO911" s="219">
        <f t="shared" si="122"/>
        <v>0</v>
      </c>
      <c r="AP911" s="219">
        <f t="shared" si="118"/>
        <v>0</v>
      </c>
      <c r="AQ911" s="220">
        <f t="shared" si="123"/>
        <v>0</v>
      </c>
      <c r="AR911" s="221">
        <f t="shared" si="124"/>
        <v>0</v>
      </c>
      <c r="AZ911" s="471"/>
      <c r="BA911" s="466"/>
      <c r="BB911" s="211"/>
      <c r="BC911" s="211"/>
      <c r="BD911" s="211"/>
      <c r="BE911" s="211"/>
      <c r="BF911" s="211"/>
      <c r="BG911" s="211"/>
      <c r="BH911" s="211"/>
      <c r="BI911" s="211"/>
      <c r="BJ911" s="211"/>
      <c r="BK911" s="211"/>
      <c r="BL911" s="211"/>
      <c r="BM911" s="211"/>
      <c r="BO911" s="28" t="e">
        <f t="shared" si="119"/>
        <v>#DIV/0!</v>
      </c>
      <c r="BP911" s="28">
        <f t="shared" si="120"/>
        <v>0</v>
      </c>
    </row>
    <row r="912" spans="22:68" x14ac:dyDescent="0.25">
      <c r="V912" s="178"/>
      <c r="W912" s="174"/>
      <c r="X912" s="179"/>
      <c r="Y912" s="247"/>
      <c r="Z912" s="248"/>
      <c r="AA912" s="294" t="str">
        <f t="shared" si="113"/>
        <v/>
      </c>
      <c r="AB912" s="219" t="str">
        <f t="shared" si="111"/>
        <v/>
      </c>
      <c r="AC912" s="219">
        <f t="shared" si="114"/>
        <v>0</v>
      </c>
      <c r="AD912" s="219">
        <f t="shared" si="115"/>
        <v>0</v>
      </c>
      <c r="AE912" s="220">
        <f t="shared" si="116"/>
        <v>0</v>
      </c>
      <c r="AF912" s="221">
        <f t="shared" si="117"/>
        <v>0</v>
      </c>
      <c r="AG912" s="204"/>
      <c r="AH912" s="178"/>
      <c r="AI912" s="174"/>
      <c r="AJ912" s="179"/>
      <c r="AK912" s="247"/>
      <c r="AL912" s="248"/>
      <c r="AM912" s="294" t="str">
        <f t="shared" si="121"/>
        <v/>
      </c>
      <c r="AN912" s="219" t="str">
        <f t="shared" si="112"/>
        <v/>
      </c>
      <c r="AO912" s="219">
        <f t="shared" si="122"/>
        <v>0</v>
      </c>
      <c r="AP912" s="219">
        <f t="shared" si="118"/>
        <v>0</v>
      </c>
      <c r="AQ912" s="220">
        <f t="shared" si="123"/>
        <v>0</v>
      </c>
      <c r="AR912" s="221">
        <f t="shared" si="124"/>
        <v>0</v>
      </c>
      <c r="AZ912" s="471"/>
      <c r="BA912" s="466"/>
      <c r="BB912" s="211"/>
      <c r="BC912" s="211"/>
      <c r="BD912" s="211"/>
      <c r="BE912" s="211"/>
      <c r="BF912" s="211"/>
      <c r="BG912" s="211"/>
      <c r="BH912" s="211"/>
      <c r="BI912" s="211"/>
      <c r="BJ912" s="211"/>
      <c r="BK912" s="211"/>
      <c r="BL912" s="211"/>
      <c r="BM912" s="211"/>
      <c r="BO912" s="28" t="e">
        <f t="shared" si="119"/>
        <v>#DIV/0!</v>
      </c>
      <c r="BP912" s="28">
        <f t="shared" si="120"/>
        <v>0</v>
      </c>
    </row>
    <row r="913" spans="22:68" x14ac:dyDescent="0.25">
      <c r="V913" s="178"/>
      <c r="W913" s="174"/>
      <c r="X913" s="179"/>
      <c r="Y913" s="247"/>
      <c r="Z913" s="248"/>
      <c r="AA913" s="294" t="str">
        <f t="shared" si="113"/>
        <v/>
      </c>
      <c r="AB913" s="219" t="str">
        <f t="shared" si="111"/>
        <v/>
      </c>
      <c r="AC913" s="219">
        <f t="shared" si="114"/>
        <v>0</v>
      </c>
      <c r="AD913" s="219">
        <f t="shared" si="115"/>
        <v>0</v>
      </c>
      <c r="AE913" s="220">
        <f t="shared" si="116"/>
        <v>0</v>
      </c>
      <c r="AF913" s="221">
        <f t="shared" si="117"/>
        <v>0</v>
      </c>
      <c r="AG913" s="204"/>
      <c r="AH913" s="178"/>
      <c r="AI913" s="174"/>
      <c r="AJ913" s="179"/>
      <c r="AK913" s="247"/>
      <c r="AL913" s="248"/>
      <c r="AM913" s="294" t="str">
        <f t="shared" si="121"/>
        <v/>
      </c>
      <c r="AN913" s="219" t="str">
        <f t="shared" si="112"/>
        <v/>
      </c>
      <c r="AO913" s="219">
        <f t="shared" si="122"/>
        <v>0</v>
      </c>
      <c r="AP913" s="219">
        <f t="shared" si="118"/>
        <v>0</v>
      </c>
      <c r="AQ913" s="220">
        <f t="shared" si="123"/>
        <v>0</v>
      </c>
      <c r="AR913" s="221">
        <f t="shared" si="124"/>
        <v>0</v>
      </c>
      <c r="AZ913" s="471"/>
      <c r="BA913" s="466"/>
      <c r="BB913" s="211"/>
      <c r="BC913" s="211"/>
      <c r="BD913" s="211"/>
      <c r="BE913" s="211"/>
      <c r="BF913" s="211"/>
      <c r="BG913" s="211"/>
      <c r="BH913" s="211"/>
      <c r="BI913" s="211"/>
      <c r="BJ913" s="211"/>
      <c r="BK913" s="211"/>
      <c r="BL913" s="211"/>
      <c r="BM913" s="211"/>
      <c r="BO913" s="28" t="e">
        <f t="shared" si="119"/>
        <v>#DIV/0!</v>
      </c>
      <c r="BP913" s="28">
        <f t="shared" si="120"/>
        <v>0</v>
      </c>
    </row>
    <row r="914" spans="22:68" x14ac:dyDescent="0.25">
      <c r="V914" s="178"/>
      <c r="W914" s="174"/>
      <c r="X914" s="179"/>
      <c r="Y914" s="247"/>
      <c r="Z914" s="248"/>
      <c r="AA914" s="294" t="str">
        <f t="shared" si="113"/>
        <v/>
      </c>
      <c r="AB914" s="219" t="str">
        <f t="shared" si="111"/>
        <v/>
      </c>
      <c r="AC914" s="219">
        <f t="shared" si="114"/>
        <v>0</v>
      </c>
      <c r="AD914" s="219">
        <f t="shared" si="115"/>
        <v>0</v>
      </c>
      <c r="AE914" s="220">
        <f t="shared" si="116"/>
        <v>0</v>
      </c>
      <c r="AF914" s="221">
        <f t="shared" si="117"/>
        <v>0</v>
      </c>
      <c r="AG914" s="204"/>
      <c r="AH914" s="178"/>
      <c r="AI914" s="174"/>
      <c r="AJ914" s="179"/>
      <c r="AK914" s="247"/>
      <c r="AL914" s="248"/>
      <c r="AM914" s="294" t="str">
        <f t="shared" si="121"/>
        <v/>
      </c>
      <c r="AN914" s="219" t="str">
        <f t="shared" si="112"/>
        <v/>
      </c>
      <c r="AO914" s="219">
        <f t="shared" si="122"/>
        <v>0</v>
      </c>
      <c r="AP914" s="219">
        <f t="shared" si="118"/>
        <v>0</v>
      </c>
      <c r="AQ914" s="220">
        <f t="shared" si="123"/>
        <v>0</v>
      </c>
      <c r="AR914" s="221">
        <f t="shared" si="124"/>
        <v>0</v>
      </c>
      <c r="AZ914" s="471"/>
      <c r="BA914" s="466"/>
      <c r="BB914" s="211"/>
      <c r="BC914" s="211"/>
      <c r="BD914" s="211"/>
      <c r="BE914" s="211"/>
      <c r="BF914" s="211"/>
      <c r="BG914" s="211"/>
      <c r="BH914" s="211"/>
      <c r="BI914" s="211"/>
      <c r="BJ914" s="211"/>
      <c r="BK914" s="211"/>
      <c r="BL914" s="211"/>
      <c r="BM914" s="211"/>
      <c r="BO914" s="28" t="e">
        <f t="shared" si="119"/>
        <v>#DIV/0!</v>
      </c>
      <c r="BP914" s="28">
        <f t="shared" si="120"/>
        <v>0</v>
      </c>
    </row>
    <row r="915" spans="22:68" x14ac:dyDescent="0.25">
      <c r="V915" s="178"/>
      <c r="W915" s="174"/>
      <c r="X915" s="179"/>
      <c r="Y915" s="247"/>
      <c r="Z915" s="248"/>
      <c r="AA915" s="294" t="str">
        <f t="shared" si="113"/>
        <v/>
      </c>
      <c r="AB915" s="219" t="str">
        <f t="shared" si="111"/>
        <v/>
      </c>
      <c r="AC915" s="219">
        <f t="shared" si="114"/>
        <v>0</v>
      </c>
      <c r="AD915" s="219">
        <f t="shared" si="115"/>
        <v>0</v>
      </c>
      <c r="AE915" s="220">
        <f t="shared" si="116"/>
        <v>0</v>
      </c>
      <c r="AF915" s="221">
        <f t="shared" si="117"/>
        <v>0</v>
      </c>
      <c r="AG915" s="204"/>
      <c r="AH915" s="178"/>
      <c r="AI915" s="174"/>
      <c r="AJ915" s="179"/>
      <c r="AK915" s="247"/>
      <c r="AL915" s="248"/>
      <c r="AM915" s="294" t="str">
        <f t="shared" si="121"/>
        <v/>
      </c>
      <c r="AN915" s="219" t="str">
        <f t="shared" si="112"/>
        <v/>
      </c>
      <c r="AO915" s="219">
        <f t="shared" si="122"/>
        <v>0</v>
      </c>
      <c r="AP915" s="219">
        <f t="shared" si="118"/>
        <v>0</v>
      </c>
      <c r="AQ915" s="220">
        <f t="shared" si="123"/>
        <v>0</v>
      </c>
      <c r="AR915" s="221">
        <f t="shared" si="124"/>
        <v>0</v>
      </c>
      <c r="AZ915" s="471"/>
      <c r="BA915" s="466"/>
      <c r="BB915" s="211"/>
      <c r="BC915" s="211"/>
      <c r="BD915" s="211"/>
      <c r="BE915" s="211"/>
      <c r="BF915" s="211"/>
      <c r="BG915" s="211"/>
      <c r="BH915" s="211"/>
      <c r="BI915" s="211"/>
      <c r="BJ915" s="211"/>
      <c r="BK915" s="211"/>
      <c r="BL915" s="211"/>
      <c r="BM915" s="211"/>
      <c r="BO915" s="28" t="e">
        <f t="shared" si="119"/>
        <v>#DIV/0!</v>
      </c>
      <c r="BP915" s="28">
        <f t="shared" si="120"/>
        <v>0</v>
      </c>
    </row>
    <row r="916" spans="22:68" x14ac:dyDescent="0.25">
      <c r="V916" s="178"/>
      <c r="W916" s="174"/>
      <c r="X916" s="179"/>
      <c r="Y916" s="247"/>
      <c r="Z916" s="248"/>
      <c r="AA916" s="294" t="str">
        <f t="shared" si="113"/>
        <v/>
      </c>
      <c r="AB916" s="219" t="str">
        <f t="shared" si="111"/>
        <v/>
      </c>
      <c r="AC916" s="219">
        <f t="shared" si="114"/>
        <v>0</v>
      </c>
      <c r="AD916" s="219">
        <f t="shared" si="115"/>
        <v>0</v>
      </c>
      <c r="AE916" s="220">
        <f t="shared" si="116"/>
        <v>0</v>
      </c>
      <c r="AF916" s="221">
        <f t="shared" si="117"/>
        <v>0</v>
      </c>
      <c r="AG916" s="204"/>
      <c r="AH916" s="178"/>
      <c r="AI916" s="174"/>
      <c r="AJ916" s="179"/>
      <c r="AK916" s="247"/>
      <c r="AL916" s="248"/>
      <c r="AM916" s="294" t="str">
        <f t="shared" si="121"/>
        <v/>
      </c>
      <c r="AN916" s="219" t="str">
        <f t="shared" si="112"/>
        <v/>
      </c>
      <c r="AO916" s="219">
        <f t="shared" si="122"/>
        <v>0</v>
      </c>
      <c r="AP916" s="219">
        <f t="shared" si="118"/>
        <v>0</v>
      </c>
      <c r="AQ916" s="220">
        <f t="shared" si="123"/>
        <v>0</v>
      </c>
      <c r="AR916" s="221">
        <f t="shared" si="124"/>
        <v>0</v>
      </c>
      <c r="AZ916" s="471"/>
      <c r="BA916" s="466"/>
      <c r="BB916" s="211"/>
      <c r="BC916" s="211"/>
      <c r="BD916" s="211"/>
      <c r="BE916" s="211"/>
      <c r="BF916" s="211"/>
      <c r="BG916" s="211"/>
      <c r="BH916" s="211"/>
      <c r="BI916" s="211"/>
      <c r="BJ916" s="211"/>
      <c r="BK916" s="211"/>
      <c r="BL916" s="211"/>
      <c r="BM916" s="211"/>
      <c r="BO916" s="28" t="e">
        <f t="shared" si="119"/>
        <v>#DIV/0!</v>
      </c>
      <c r="BP916" s="28">
        <f t="shared" si="120"/>
        <v>0</v>
      </c>
    </row>
    <row r="917" spans="22:68" x14ac:dyDescent="0.25">
      <c r="V917" s="178"/>
      <c r="W917" s="174"/>
      <c r="X917" s="179"/>
      <c r="Y917" s="247"/>
      <c r="Z917" s="248"/>
      <c r="AA917" s="294" t="str">
        <f t="shared" si="113"/>
        <v/>
      </c>
      <c r="AB917" s="219" t="str">
        <f t="shared" si="111"/>
        <v/>
      </c>
      <c r="AC917" s="219">
        <f t="shared" si="114"/>
        <v>0</v>
      </c>
      <c r="AD917" s="219">
        <f t="shared" si="115"/>
        <v>0</v>
      </c>
      <c r="AE917" s="220">
        <f t="shared" si="116"/>
        <v>0</v>
      </c>
      <c r="AF917" s="221">
        <f t="shared" si="117"/>
        <v>0</v>
      </c>
      <c r="AG917" s="204"/>
      <c r="AH917" s="178"/>
      <c r="AI917" s="174"/>
      <c r="AJ917" s="179"/>
      <c r="AK917" s="247"/>
      <c r="AL917" s="248"/>
      <c r="AM917" s="294" t="str">
        <f t="shared" si="121"/>
        <v/>
      </c>
      <c r="AN917" s="219" t="str">
        <f t="shared" si="112"/>
        <v/>
      </c>
      <c r="AO917" s="219">
        <f t="shared" si="122"/>
        <v>0</v>
      </c>
      <c r="AP917" s="219">
        <f t="shared" si="118"/>
        <v>0</v>
      </c>
      <c r="AQ917" s="220">
        <f t="shared" si="123"/>
        <v>0</v>
      </c>
      <c r="AR917" s="221">
        <f t="shared" si="124"/>
        <v>0</v>
      </c>
      <c r="AZ917" s="471"/>
      <c r="BA917" s="466"/>
      <c r="BB917" s="211"/>
      <c r="BC917" s="211"/>
      <c r="BD917" s="211"/>
      <c r="BE917" s="211"/>
      <c r="BF917" s="211"/>
      <c r="BG917" s="211"/>
      <c r="BH917" s="211"/>
      <c r="BI917" s="211"/>
      <c r="BJ917" s="211"/>
      <c r="BK917" s="211"/>
      <c r="BL917" s="211"/>
      <c r="BM917" s="211"/>
      <c r="BO917" s="28" t="e">
        <f t="shared" si="119"/>
        <v>#DIV/0!</v>
      </c>
      <c r="BP917" s="28">
        <f t="shared" si="120"/>
        <v>0</v>
      </c>
    </row>
    <row r="918" spans="22:68" x14ac:dyDescent="0.25">
      <c r="V918" s="178"/>
      <c r="W918" s="174"/>
      <c r="X918" s="179"/>
      <c r="Y918" s="247"/>
      <c r="Z918" s="248"/>
      <c r="AA918" s="294" t="str">
        <f t="shared" si="113"/>
        <v/>
      </c>
      <c r="AB918" s="219" t="str">
        <f t="shared" si="111"/>
        <v/>
      </c>
      <c r="AC918" s="219">
        <f t="shared" si="114"/>
        <v>0</v>
      </c>
      <c r="AD918" s="219">
        <f t="shared" si="115"/>
        <v>0</v>
      </c>
      <c r="AE918" s="220">
        <f t="shared" si="116"/>
        <v>0</v>
      </c>
      <c r="AF918" s="221">
        <f t="shared" si="117"/>
        <v>0</v>
      </c>
      <c r="AG918" s="204"/>
      <c r="AH918" s="178"/>
      <c r="AI918" s="174"/>
      <c r="AJ918" s="179"/>
      <c r="AK918" s="247"/>
      <c r="AL918" s="248"/>
      <c r="AM918" s="294" t="str">
        <f t="shared" si="121"/>
        <v/>
      </c>
      <c r="AN918" s="219" t="str">
        <f t="shared" si="112"/>
        <v/>
      </c>
      <c r="AO918" s="219">
        <f t="shared" si="122"/>
        <v>0</v>
      </c>
      <c r="AP918" s="219">
        <f t="shared" si="118"/>
        <v>0</v>
      </c>
      <c r="AQ918" s="220">
        <f t="shared" si="123"/>
        <v>0</v>
      </c>
      <c r="AR918" s="221">
        <f t="shared" si="124"/>
        <v>0</v>
      </c>
      <c r="AZ918" s="471"/>
      <c r="BA918" s="466"/>
      <c r="BB918" s="211"/>
      <c r="BC918" s="211"/>
      <c r="BD918" s="211"/>
      <c r="BE918" s="211"/>
      <c r="BF918" s="211"/>
      <c r="BG918" s="211"/>
      <c r="BH918" s="211"/>
      <c r="BI918" s="211"/>
      <c r="BJ918" s="211"/>
      <c r="BK918" s="211"/>
      <c r="BL918" s="211"/>
      <c r="BM918" s="211"/>
      <c r="BO918" s="28" t="e">
        <f t="shared" si="119"/>
        <v>#DIV/0!</v>
      </c>
      <c r="BP918" s="28">
        <f t="shared" si="120"/>
        <v>0</v>
      </c>
    </row>
    <row r="919" spans="22:68" x14ac:dyDescent="0.25">
      <c r="V919" s="178"/>
      <c r="W919" s="174"/>
      <c r="X919" s="179"/>
      <c r="Y919" s="247"/>
      <c r="Z919" s="248"/>
      <c r="AA919" s="294" t="str">
        <f t="shared" si="113"/>
        <v/>
      </c>
      <c r="AB919" s="219" t="str">
        <f t="shared" si="111"/>
        <v/>
      </c>
      <c r="AC919" s="219">
        <f t="shared" si="114"/>
        <v>0</v>
      </c>
      <c r="AD919" s="219">
        <f t="shared" si="115"/>
        <v>0</v>
      </c>
      <c r="AE919" s="220">
        <f t="shared" si="116"/>
        <v>0</v>
      </c>
      <c r="AF919" s="221">
        <f t="shared" si="117"/>
        <v>0</v>
      </c>
      <c r="AG919" s="204"/>
      <c r="AH919" s="178"/>
      <c r="AI919" s="174"/>
      <c r="AJ919" s="179"/>
      <c r="AK919" s="247"/>
      <c r="AL919" s="248"/>
      <c r="AM919" s="294" t="str">
        <f t="shared" si="121"/>
        <v/>
      </c>
      <c r="AN919" s="219" t="str">
        <f t="shared" si="112"/>
        <v/>
      </c>
      <c r="AO919" s="219">
        <f t="shared" si="122"/>
        <v>0</v>
      </c>
      <c r="AP919" s="219">
        <f t="shared" si="118"/>
        <v>0</v>
      </c>
      <c r="AQ919" s="220">
        <f t="shared" si="123"/>
        <v>0</v>
      </c>
      <c r="AR919" s="221">
        <f t="shared" si="124"/>
        <v>0</v>
      </c>
      <c r="AZ919" s="471"/>
      <c r="BA919" s="466"/>
      <c r="BB919" s="211"/>
      <c r="BC919" s="211"/>
      <c r="BD919" s="211"/>
      <c r="BE919" s="211"/>
      <c r="BF919" s="211"/>
      <c r="BG919" s="211"/>
      <c r="BH919" s="211"/>
      <c r="BI919" s="211"/>
      <c r="BJ919" s="211"/>
      <c r="BK919" s="211"/>
      <c r="BL919" s="211"/>
      <c r="BM919" s="211"/>
      <c r="BO919" s="28" t="e">
        <f t="shared" si="119"/>
        <v>#DIV/0!</v>
      </c>
      <c r="BP919" s="28">
        <f t="shared" si="120"/>
        <v>0</v>
      </c>
    </row>
    <row r="920" spans="22:68" x14ac:dyDescent="0.25">
      <c r="V920" s="178"/>
      <c r="W920" s="174"/>
      <c r="X920" s="179"/>
      <c r="Y920" s="247"/>
      <c r="Z920" s="248"/>
      <c r="AA920" s="294" t="str">
        <f t="shared" si="113"/>
        <v/>
      </c>
      <c r="AB920" s="219" t="str">
        <f t="shared" si="111"/>
        <v/>
      </c>
      <c r="AC920" s="219">
        <f t="shared" si="114"/>
        <v>0</v>
      </c>
      <c r="AD920" s="219">
        <f t="shared" si="115"/>
        <v>0</v>
      </c>
      <c r="AE920" s="220">
        <f t="shared" si="116"/>
        <v>0</v>
      </c>
      <c r="AF920" s="221">
        <f t="shared" si="117"/>
        <v>0</v>
      </c>
      <c r="AG920" s="204"/>
      <c r="AH920" s="178"/>
      <c r="AI920" s="174"/>
      <c r="AJ920" s="179"/>
      <c r="AK920" s="247"/>
      <c r="AL920" s="248"/>
      <c r="AM920" s="294" t="str">
        <f t="shared" si="121"/>
        <v/>
      </c>
      <c r="AN920" s="219" t="str">
        <f t="shared" si="112"/>
        <v/>
      </c>
      <c r="AO920" s="219">
        <f t="shared" si="122"/>
        <v>0</v>
      </c>
      <c r="AP920" s="219">
        <f t="shared" si="118"/>
        <v>0</v>
      </c>
      <c r="AQ920" s="220">
        <f t="shared" si="123"/>
        <v>0</v>
      </c>
      <c r="AR920" s="221">
        <f t="shared" si="124"/>
        <v>0</v>
      </c>
      <c r="AZ920" s="471"/>
      <c r="BA920" s="181"/>
      <c r="BB920" s="182"/>
      <c r="BC920" s="209"/>
      <c r="BD920" s="182"/>
      <c r="BE920" s="209"/>
      <c r="BF920" s="182"/>
      <c r="BG920" s="209"/>
      <c r="BH920" s="182"/>
      <c r="BI920" s="209"/>
      <c r="BJ920" s="183"/>
      <c r="BK920" s="209"/>
      <c r="BL920" s="182"/>
      <c r="BM920" s="210"/>
      <c r="BO920" s="28" t="e">
        <f t="shared" si="119"/>
        <v>#DIV/0!</v>
      </c>
      <c r="BP920" s="28">
        <f t="shared" si="120"/>
        <v>0</v>
      </c>
    </row>
    <row r="921" spans="22:68" x14ac:dyDescent="0.25">
      <c r="V921" s="178"/>
      <c r="W921" s="174"/>
      <c r="X921" s="179"/>
      <c r="Y921" s="247"/>
      <c r="Z921" s="248"/>
      <c r="AA921" s="294" t="str">
        <f t="shared" si="113"/>
        <v/>
      </c>
      <c r="AB921" s="219" t="str">
        <f t="shared" si="111"/>
        <v/>
      </c>
      <c r="AC921" s="219">
        <f t="shared" si="114"/>
        <v>0</v>
      </c>
      <c r="AD921" s="219">
        <f t="shared" si="115"/>
        <v>0</v>
      </c>
      <c r="AE921" s="220">
        <f t="shared" si="116"/>
        <v>0</v>
      </c>
      <c r="AF921" s="221">
        <f t="shared" si="117"/>
        <v>0</v>
      </c>
      <c r="AG921" s="204"/>
      <c r="AH921" s="178"/>
      <c r="AI921" s="174"/>
      <c r="AJ921" s="179"/>
      <c r="AK921" s="247"/>
      <c r="AL921" s="248"/>
      <c r="AM921" s="294" t="str">
        <f t="shared" si="121"/>
        <v/>
      </c>
      <c r="AN921" s="219" t="str">
        <f t="shared" si="112"/>
        <v/>
      </c>
      <c r="AO921" s="219">
        <f t="shared" si="122"/>
        <v>0</v>
      </c>
      <c r="AP921" s="219">
        <f t="shared" si="118"/>
        <v>0</v>
      </c>
      <c r="AQ921" s="220">
        <f t="shared" si="123"/>
        <v>0</v>
      </c>
      <c r="AR921" s="221">
        <f t="shared" si="124"/>
        <v>0</v>
      </c>
      <c r="AZ921" s="471"/>
      <c r="BA921" s="181"/>
      <c r="BB921" s="182"/>
      <c r="BC921" s="209"/>
      <c r="BD921" s="182"/>
      <c r="BE921" s="209"/>
      <c r="BF921" s="182"/>
      <c r="BG921" s="209"/>
      <c r="BH921" s="182"/>
      <c r="BI921" s="209"/>
      <c r="BJ921" s="183"/>
      <c r="BK921" s="209"/>
      <c r="BL921" s="182"/>
      <c r="BM921" s="210"/>
      <c r="BO921" s="28" t="e">
        <f t="shared" si="119"/>
        <v>#DIV/0!</v>
      </c>
      <c r="BP921" s="28">
        <f t="shared" si="120"/>
        <v>0</v>
      </c>
    </row>
    <row r="922" spans="22:68" x14ac:dyDescent="0.25">
      <c r="V922" s="178"/>
      <c r="W922" s="174"/>
      <c r="X922" s="179"/>
      <c r="Y922" s="247"/>
      <c r="Z922" s="248"/>
      <c r="AA922" s="294" t="str">
        <f t="shared" si="113"/>
        <v/>
      </c>
      <c r="AB922" s="219" t="str">
        <f t="shared" si="111"/>
        <v/>
      </c>
      <c r="AC922" s="219">
        <f t="shared" si="114"/>
        <v>0</v>
      </c>
      <c r="AD922" s="219">
        <f t="shared" si="115"/>
        <v>0</v>
      </c>
      <c r="AE922" s="220">
        <f t="shared" si="116"/>
        <v>0</v>
      </c>
      <c r="AF922" s="221">
        <f t="shared" si="117"/>
        <v>0</v>
      </c>
      <c r="AG922" s="204"/>
      <c r="AH922" s="178"/>
      <c r="AI922" s="174"/>
      <c r="AJ922" s="179"/>
      <c r="AK922" s="247"/>
      <c r="AL922" s="248"/>
      <c r="AM922" s="294" t="str">
        <f t="shared" si="121"/>
        <v/>
      </c>
      <c r="AN922" s="219" t="str">
        <f t="shared" si="112"/>
        <v/>
      </c>
      <c r="AO922" s="219">
        <f t="shared" si="122"/>
        <v>0</v>
      </c>
      <c r="AP922" s="219">
        <f t="shared" si="118"/>
        <v>0</v>
      </c>
      <c r="AQ922" s="220">
        <f t="shared" si="123"/>
        <v>0</v>
      </c>
      <c r="AR922" s="221">
        <f t="shared" si="124"/>
        <v>0</v>
      </c>
      <c r="AZ922" s="471"/>
      <c r="BA922" s="181"/>
      <c r="BB922" s="182"/>
      <c r="BC922" s="209"/>
      <c r="BD922" s="182"/>
      <c r="BE922" s="209"/>
      <c r="BF922" s="182"/>
      <c r="BG922" s="209"/>
      <c r="BH922" s="182"/>
      <c r="BI922" s="209"/>
      <c r="BJ922" s="183"/>
      <c r="BK922" s="209"/>
      <c r="BL922" s="182"/>
      <c r="BM922" s="210"/>
      <c r="BO922" s="28" t="e">
        <f t="shared" si="119"/>
        <v>#DIV/0!</v>
      </c>
      <c r="BP922" s="28">
        <f t="shared" si="120"/>
        <v>0</v>
      </c>
    </row>
    <row r="923" spans="22:68" x14ac:dyDescent="0.25">
      <c r="V923" s="178"/>
      <c r="W923" s="174"/>
      <c r="X923" s="179"/>
      <c r="Y923" s="247"/>
      <c r="Z923" s="248"/>
      <c r="AA923" s="294" t="str">
        <f t="shared" si="113"/>
        <v/>
      </c>
      <c r="AB923" s="219" t="str">
        <f t="shared" si="111"/>
        <v/>
      </c>
      <c r="AC923" s="219">
        <f t="shared" si="114"/>
        <v>0</v>
      </c>
      <c r="AD923" s="219">
        <f t="shared" si="115"/>
        <v>0</v>
      </c>
      <c r="AE923" s="220">
        <f t="shared" si="116"/>
        <v>0</v>
      </c>
      <c r="AF923" s="221">
        <f t="shared" si="117"/>
        <v>0</v>
      </c>
      <c r="AG923" s="204"/>
      <c r="AH923" s="178"/>
      <c r="AI923" s="174"/>
      <c r="AJ923" s="179"/>
      <c r="AK923" s="247"/>
      <c r="AL923" s="248"/>
      <c r="AM923" s="294" t="str">
        <f t="shared" si="121"/>
        <v/>
      </c>
      <c r="AN923" s="219" t="str">
        <f t="shared" si="112"/>
        <v/>
      </c>
      <c r="AO923" s="219">
        <f t="shared" si="122"/>
        <v>0</v>
      </c>
      <c r="AP923" s="219">
        <f t="shared" si="118"/>
        <v>0</v>
      </c>
      <c r="AQ923" s="220">
        <f t="shared" si="123"/>
        <v>0</v>
      </c>
      <c r="AR923" s="221">
        <f t="shared" si="124"/>
        <v>0</v>
      </c>
      <c r="AZ923" s="471"/>
      <c r="BA923" s="181"/>
      <c r="BB923" s="182"/>
      <c r="BC923" s="209"/>
      <c r="BD923" s="182"/>
      <c r="BE923" s="209"/>
      <c r="BF923" s="182"/>
      <c r="BG923" s="209"/>
      <c r="BH923" s="182"/>
      <c r="BI923" s="209"/>
      <c r="BJ923" s="183"/>
      <c r="BK923" s="209"/>
      <c r="BL923" s="182"/>
      <c r="BM923" s="210"/>
      <c r="BO923" s="28" t="e">
        <f t="shared" si="119"/>
        <v>#DIV/0!</v>
      </c>
      <c r="BP923" s="28">
        <f t="shared" si="120"/>
        <v>0</v>
      </c>
    </row>
    <row r="924" spans="22:68" x14ac:dyDescent="0.25">
      <c r="V924" s="178"/>
      <c r="W924" s="174"/>
      <c r="X924" s="179"/>
      <c r="Y924" s="247"/>
      <c r="Z924" s="248"/>
      <c r="AA924" s="294" t="str">
        <f t="shared" si="113"/>
        <v/>
      </c>
      <c r="AB924" s="219" t="str">
        <f t="shared" si="111"/>
        <v/>
      </c>
      <c r="AC924" s="219">
        <f t="shared" si="114"/>
        <v>0</v>
      </c>
      <c r="AD924" s="219">
        <f t="shared" si="115"/>
        <v>0</v>
      </c>
      <c r="AE924" s="220">
        <f t="shared" si="116"/>
        <v>0</v>
      </c>
      <c r="AF924" s="221">
        <f t="shared" si="117"/>
        <v>0</v>
      </c>
      <c r="AG924" s="204"/>
      <c r="AH924" s="178"/>
      <c r="AI924" s="174"/>
      <c r="AJ924" s="179"/>
      <c r="AK924" s="247"/>
      <c r="AL924" s="248"/>
      <c r="AM924" s="294" t="str">
        <f t="shared" si="121"/>
        <v/>
      </c>
      <c r="AN924" s="219" t="str">
        <f t="shared" si="112"/>
        <v/>
      </c>
      <c r="AO924" s="219">
        <f t="shared" si="122"/>
        <v>0</v>
      </c>
      <c r="AP924" s="219">
        <f t="shared" si="118"/>
        <v>0</v>
      </c>
      <c r="AQ924" s="220">
        <f t="shared" si="123"/>
        <v>0</v>
      </c>
      <c r="AR924" s="221">
        <f t="shared" si="124"/>
        <v>0</v>
      </c>
      <c r="AZ924" s="471"/>
      <c r="BA924" s="181"/>
      <c r="BB924" s="182"/>
      <c r="BC924" s="209"/>
      <c r="BD924" s="182"/>
      <c r="BE924" s="209"/>
      <c r="BF924" s="182"/>
      <c r="BG924" s="209"/>
      <c r="BH924" s="182"/>
      <c r="BI924" s="209"/>
      <c r="BJ924" s="183"/>
      <c r="BK924" s="209"/>
      <c r="BL924" s="182"/>
      <c r="BM924" s="210"/>
      <c r="BO924" s="28" t="e">
        <f t="shared" si="119"/>
        <v>#DIV/0!</v>
      </c>
      <c r="BP924" s="28">
        <f t="shared" si="120"/>
        <v>0</v>
      </c>
    </row>
    <row r="925" spans="22:68" x14ac:dyDescent="0.25">
      <c r="V925" s="178"/>
      <c r="W925" s="174"/>
      <c r="X925" s="179"/>
      <c r="Y925" s="247"/>
      <c r="Z925" s="248"/>
      <c r="AA925" s="294" t="str">
        <f t="shared" si="113"/>
        <v/>
      </c>
      <c r="AB925" s="219" t="str">
        <f t="shared" si="111"/>
        <v/>
      </c>
      <c r="AC925" s="219">
        <f t="shared" si="114"/>
        <v>0</v>
      </c>
      <c r="AD925" s="219">
        <f t="shared" si="115"/>
        <v>0</v>
      </c>
      <c r="AE925" s="220">
        <f t="shared" si="116"/>
        <v>0</v>
      </c>
      <c r="AF925" s="221">
        <f t="shared" si="117"/>
        <v>0</v>
      </c>
      <c r="AG925" s="204"/>
      <c r="AH925" s="178"/>
      <c r="AI925" s="174"/>
      <c r="AJ925" s="179"/>
      <c r="AK925" s="247"/>
      <c r="AL925" s="248"/>
      <c r="AM925" s="294" t="str">
        <f t="shared" si="121"/>
        <v/>
      </c>
      <c r="AN925" s="219" t="str">
        <f t="shared" si="112"/>
        <v/>
      </c>
      <c r="AO925" s="219">
        <f t="shared" si="122"/>
        <v>0</v>
      </c>
      <c r="AP925" s="219">
        <f t="shared" si="118"/>
        <v>0</v>
      </c>
      <c r="AQ925" s="220">
        <f t="shared" si="123"/>
        <v>0</v>
      </c>
      <c r="AR925" s="221">
        <f t="shared" si="124"/>
        <v>0</v>
      </c>
      <c r="AZ925" s="471"/>
      <c r="BA925" s="181"/>
      <c r="BB925" s="182"/>
      <c r="BC925" s="209"/>
      <c r="BD925" s="182"/>
      <c r="BE925" s="209"/>
      <c r="BF925" s="182"/>
      <c r="BG925" s="209"/>
      <c r="BH925" s="182"/>
      <c r="BI925" s="209"/>
      <c r="BJ925" s="183"/>
      <c r="BK925" s="209"/>
      <c r="BL925" s="182"/>
      <c r="BM925" s="210"/>
      <c r="BO925" s="28" t="e">
        <f t="shared" si="119"/>
        <v>#DIV/0!</v>
      </c>
      <c r="BP925" s="28">
        <f t="shared" si="120"/>
        <v>0</v>
      </c>
    </row>
    <row r="926" spans="22:68" x14ac:dyDescent="0.25">
      <c r="V926" s="178"/>
      <c r="W926" s="174"/>
      <c r="X926" s="179"/>
      <c r="Y926" s="247"/>
      <c r="Z926" s="248"/>
      <c r="AA926" s="294" t="str">
        <f t="shared" si="113"/>
        <v/>
      </c>
      <c r="AB926" s="219" t="str">
        <f t="shared" si="111"/>
        <v/>
      </c>
      <c r="AC926" s="219">
        <f t="shared" si="114"/>
        <v>0</v>
      </c>
      <c r="AD926" s="219">
        <f t="shared" si="115"/>
        <v>0</v>
      </c>
      <c r="AE926" s="220">
        <f t="shared" si="116"/>
        <v>0</v>
      </c>
      <c r="AF926" s="221">
        <f t="shared" si="117"/>
        <v>0</v>
      </c>
      <c r="AG926" s="204"/>
      <c r="AH926" s="178"/>
      <c r="AI926" s="174"/>
      <c r="AJ926" s="179"/>
      <c r="AK926" s="247"/>
      <c r="AL926" s="248"/>
      <c r="AM926" s="294" t="str">
        <f t="shared" si="121"/>
        <v/>
      </c>
      <c r="AN926" s="219" t="str">
        <f t="shared" si="112"/>
        <v/>
      </c>
      <c r="AO926" s="219">
        <f t="shared" si="122"/>
        <v>0</v>
      </c>
      <c r="AP926" s="219">
        <f t="shared" si="118"/>
        <v>0</v>
      </c>
      <c r="AQ926" s="220">
        <f t="shared" si="123"/>
        <v>0</v>
      </c>
      <c r="AR926" s="221">
        <f t="shared" si="124"/>
        <v>0</v>
      </c>
      <c r="AZ926" s="471"/>
      <c r="BA926" s="181"/>
      <c r="BB926" s="182"/>
      <c r="BC926" s="209"/>
      <c r="BD926" s="182"/>
      <c r="BE926" s="209"/>
      <c r="BF926" s="182"/>
      <c r="BG926" s="209"/>
      <c r="BH926" s="182"/>
      <c r="BI926" s="209"/>
      <c r="BJ926" s="183"/>
      <c r="BK926" s="209"/>
      <c r="BL926" s="182"/>
      <c r="BM926" s="210"/>
      <c r="BO926" s="28" t="e">
        <f t="shared" si="119"/>
        <v>#DIV/0!</v>
      </c>
      <c r="BP926" s="28">
        <f t="shared" si="120"/>
        <v>0</v>
      </c>
    </row>
    <row r="927" spans="22:68" x14ac:dyDescent="0.25">
      <c r="V927" s="178"/>
      <c r="W927" s="174"/>
      <c r="X927" s="179"/>
      <c r="Y927" s="247"/>
      <c r="Z927" s="248"/>
      <c r="AA927" s="294" t="str">
        <f t="shared" si="113"/>
        <v/>
      </c>
      <c r="AB927" s="219" t="str">
        <f t="shared" si="111"/>
        <v/>
      </c>
      <c r="AC927" s="219">
        <f t="shared" si="114"/>
        <v>0</v>
      </c>
      <c r="AD927" s="219">
        <f t="shared" si="115"/>
        <v>0</v>
      </c>
      <c r="AE927" s="220">
        <f t="shared" si="116"/>
        <v>0</v>
      </c>
      <c r="AF927" s="221">
        <f t="shared" si="117"/>
        <v>0</v>
      </c>
      <c r="AG927" s="204"/>
      <c r="AH927" s="178"/>
      <c r="AI927" s="174"/>
      <c r="AJ927" s="179"/>
      <c r="AK927" s="247"/>
      <c r="AL927" s="248"/>
      <c r="AM927" s="294" t="str">
        <f t="shared" si="121"/>
        <v/>
      </c>
      <c r="AN927" s="219" t="str">
        <f t="shared" si="112"/>
        <v/>
      </c>
      <c r="AO927" s="219">
        <f t="shared" si="122"/>
        <v>0</v>
      </c>
      <c r="AP927" s="219">
        <f t="shared" si="118"/>
        <v>0</v>
      </c>
      <c r="AQ927" s="220">
        <f t="shared" si="123"/>
        <v>0</v>
      </c>
      <c r="AR927" s="221">
        <f t="shared" si="124"/>
        <v>0</v>
      </c>
      <c r="AZ927" s="471"/>
      <c r="BA927" s="181"/>
      <c r="BB927" s="182"/>
      <c r="BC927" s="209"/>
      <c r="BD927" s="182"/>
      <c r="BE927" s="209"/>
      <c r="BF927" s="182"/>
      <c r="BG927" s="209"/>
      <c r="BH927" s="182"/>
      <c r="BI927" s="209"/>
      <c r="BJ927" s="183"/>
      <c r="BK927" s="209"/>
      <c r="BL927" s="182"/>
      <c r="BM927" s="210"/>
      <c r="BO927" s="28" t="e">
        <f t="shared" si="119"/>
        <v>#DIV/0!</v>
      </c>
      <c r="BP927" s="28">
        <f t="shared" si="120"/>
        <v>0</v>
      </c>
    </row>
    <row r="928" spans="22:68" x14ac:dyDescent="0.25">
      <c r="V928" s="178"/>
      <c r="W928" s="174"/>
      <c r="X928" s="179"/>
      <c r="Y928" s="247"/>
      <c r="Z928" s="248"/>
      <c r="AA928" s="294" t="str">
        <f t="shared" si="113"/>
        <v/>
      </c>
      <c r="AB928" s="219" t="str">
        <f t="shared" si="111"/>
        <v/>
      </c>
      <c r="AC928" s="219">
        <f t="shared" si="114"/>
        <v>0</v>
      </c>
      <c r="AD928" s="219">
        <f t="shared" si="115"/>
        <v>0</v>
      </c>
      <c r="AE928" s="220">
        <f t="shared" si="116"/>
        <v>0</v>
      </c>
      <c r="AF928" s="221">
        <f t="shared" si="117"/>
        <v>0</v>
      </c>
      <c r="AG928" s="204"/>
      <c r="AH928" s="178"/>
      <c r="AI928" s="174"/>
      <c r="AJ928" s="179"/>
      <c r="AK928" s="247"/>
      <c r="AL928" s="248"/>
      <c r="AM928" s="294" t="str">
        <f t="shared" si="121"/>
        <v/>
      </c>
      <c r="AN928" s="219" t="str">
        <f t="shared" si="112"/>
        <v/>
      </c>
      <c r="AO928" s="219">
        <f t="shared" si="122"/>
        <v>0</v>
      </c>
      <c r="AP928" s="219">
        <f t="shared" si="118"/>
        <v>0</v>
      </c>
      <c r="AQ928" s="220">
        <f t="shared" si="123"/>
        <v>0</v>
      </c>
      <c r="AR928" s="221">
        <f t="shared" si="124"/>
        <v>0</v>
      </c>
      <c r="AZ928" s="471"/>
      <c r="BA928" s="181"/>
      <c r="BB928" s="182"/>
      <c r="BC928" s="209"/>
      <c r="BD928" s="182"/>
      <c r="BE928" s="209"/>
      <c r="BF928" s="182"/>
      <c r="BG928" s="209"/>
      <c r="BH928" s="182"/>
      <c r="BI928" s="209"/>
      <c r="BJ928" s="183"/>
      <c r="BK928" s="209"/>
      <c r="BL928" s="182"/>
      <c r="BM928" s="210"/>
      <c r="BO928" s="28" t="e">
        <f t="shared" si="119"/>
        <v>#DIV/0!</v>
      </c>
      <c r="BP928" s="28">
        <f t="shared" si="120"/>
        <v>0</v>
      </c>
    </row>
    <row r="929" spans="22:68" x14ac:dyDescent="0.25">
      <c r="V929" s="178"/>
      <c r="W929" s="174"/>
      <c r="X929" s="179"/>
      <c r="Y929" s="247"/>
      <c r="Z929" s="248"/>
      <c r="AA929" s="294" t="str">
        <f t="shared" si="113"/>
        <v/>
      </c>
      <c r="AB929" s="219" t="str">
        <f t="shared" si="111"/>
        <v/>
      </c>
      <c r="AC929" s="219">
        <f t="shared" si="114"/>
        <v>0</v>
      </c>
      <c r="AD929" s="219">
        <f t="shared" si="115"/>
        <v>0</v>
      </c>
      <c r="AE929" s="220">
        <f t="shared" si="116"/>
        <v>0</v>
      </c>
      <c r="AF929" s="221">
        <f t="shared" si="117"/>
        <v>0</v>
      </c>
      <c r="AG929" s="204"/>
      <c r="AH929" s="178"/>
      <c r="AI929" s="174"/>
      <c r="AJ929" s="179"/>
      <c r="AK929" s="247"/>
      <c r="AL929" s="248"/>
      <c r="AM929" s="294" t="str">
        <f t="shared" si="121"/>
        <v/>
      </c>
      <c r="AN929" s="219" t="str">
        <f t="shared" si="112"/>
        <v/>
      </c>
      <c r="AO929" s="219">
        <f t="shared" si="122"/>
        <v>0</v>
      </c>
      <c r="AP929" s="219">
        <f t="shared" si="118"/>
        <v>0</v>
      </c>
      <c r="AQ929" s="220">
        <f t="shared" si="123"/>
        <v>0</v>
      </c>
      <c r="AR929" s="221">
        <f t="shared" si="124"/>
        <v>0</v>
      </c>
      <c r="AZ929" s="471"/>
      <c r="BA929" s="181"/>
      <c r="BB929" s="182"/>
      <c r="BC929" s="209"/>
      <c r="BD929" s="182"/>
      <c r="BE929" s="209"/>
      <c r="BF929" s="182"/>
      <c r="BG929" s="209"/>
      <c r="BH929" s="182"/>
      <c r="BI929" s="209"/>
      <c r="BJ929" s="183"/>
      <c r="BK929" s="209"/>
      <c r="BL929" s="182"/>
      <c r="BM929" s="210"/>
      <c r="BO929" s="28" t="e">
        <f t="shared" si="119"/>
        <v>#DIV/0!</v>
      </c>
      <c r="BP929" s="28">
        <f t="shared" si="120"/>
        <v>0</v>
      </c>
    </row>
    <row r="930" spans="22:68" x14ac:dyDescent="0.25">
      <c r="V930" s="178"/>
      <c r="W930" s="174"/>
      <c r="X930" s="179"/>
      <c r="Y930" s="247"/>
      <c r="Z930" s="248"/>
      <c r="AA930" s="294" t="str">
        <f t="shared" si="113"/>
        <v/>
      </c>
      <c r="AB930" s="219" t="str">
        <f t="shared" si="111"/>
        <v/>
      </c>
      <c r="AC930" s="219">
        <f t="shared" si="114"/>
        <v>0</v>
      </c>
      <c r="AD930" s="219">
        <f t="shared" si="115"/>
        <v>0</v>
      </c>
      <c r="AE930" s="220">
        <f t="shared" si="116"/>
        <v>0</v>
      </c>
      <c r="AF930" s="221">
        <f t="shared" si="117"/>
        <v>0</v>
      </c>
      <c r="AG930" s="204"/>
      <c r="AH930" s="178"/>
      <c r="AI930" s="174"/>
      <c r="AJ930" s="179"/>
      <c r="AK930" s="247"/>
      <c r="AL930" s="248"/>
      <c r="AM930" s="294" t="str">
        <f t="shared" si="121"/>
        <v/>
      </c>
      <c r="AN930" s="219" t="str">
        <f t="shared" si="112"/>
        <v/>
      </c>
      <c r="AO930" s="219">
        <f t="shared" si="122"/>
        <v>0</v>
      </c>
      <c r="AP930" s="219">
        <f t="shared" si="118"/>
        <v>0</v>
      </c>
      <c r="AQ930" s="220">
        <f t="shared" si="123"/>
        <v>0</v>
      </c>
      <c r="AR930" s="221">
        <f t="shared" si="124"/>
        <v>0</v>
      </c>
      <c r="AZ930" s="471"/>
      <c r="BA930" s="181"/>
      <c r="BB930" s="182"/>
      <c r="BC930" s="209"/>
      <c r="BD930" s="182"/>
      <c r="BE930" s="209"/>
      <c r="BF930" s="182"/>
      <c r="BG930" s="209"/>
      <c r="BH930" s="182"/>
      <c r="BI930" s="209"/>
      <c r="BJ930" s="183"/>
      <c r="BK930" s="209"/>
      <c r="BL930" s="182"/>
      <c r="BM930" s="210"/>
      <c r="BO930" s="28" t="e">
        <f t="shared" si="119"/>
        <v>#DIV/0!</v>
      </c>
      <c r="BP930" s="28">
        <f t="shared" si="120"/>
        <v>0</v>
      </c>
    </row>
    <row r="931" spans="22:68" x14ac:dyDescent="0.25">
      <c r="V931" s="178"/>
      <c r="W931" s="174"/>
      <c r="X931" s="179"/>
      <c r="Y931" s="247"/>
      <c r="Z931" s="248"/>
      <c r="AA931" s="294" t="str">
        <f t="shared" si="113"/>
        <v/>
      </c>
      <c r="AB931" s="219" t="str">
        <f t="shared" si="111"/>
        <v/>
      </c>
      <c r="AC931" s="219">
        <f t="shared" si="114"/>
        <v>0</v>
      </c>
      <c r="AD931" s="219">
        <f t="shared" si="115"/>
        <v>0</v>
      </c>
      <c r="AE931" s="220">
        <f t="shared" si="116"/>
        <v>0</v>
      </c>
      <c r="AF931" s="221">
        <f t="shared" si="117"/>
        <v>0</v>
      </c>
      <c r="AG931" s="204"/>
      <c r="AH931" s="178"/>
      <c r="AI931" s="174"/>
      <c r="AJ931" s="179"/>
      <c r="AK931" s="247"/>
      <c r="AL931" s="248"/>
      <c r="AM931" s="294" t="str">
        <f t="shared" si="121"/>
        <v/>
      </c>
      <c r="AN931" s="219" t="str">
        <f t="shared" si="112"/>
        <v/>
      </c>
      <c r="AO931" s="219">
        <f t="shared" si="122"/>
        <v>0</v>
      </c>
      <c r="AP931" s="219">
        <f t="shared" si="118"/>
        <v>0</v>
      </c>
      <c r="AQ931" s="220">
        <f t="shared" si="123"/>
        <v>0</v>
      </c>
      <c r="AR931" s="221">
        <f t="shared" si="124"/>
        <v>0</v>
      </c>
      <c r="AZ931" s="471"/>
      <c r="BA931" s="181"/>
      <c r="BB931" s="182"/>
      <c r="BC931" s="209"/>
      <c r="BD931" s="182"/>
      <c r="BE931" s="209"/>
      <c r="BF931" s="182"/>
      <c r="BG931" s="209"/>
      <c r="BH931" s="182"/>
      <c r="BI931" s="209"/>
      <c r="BJ931" s="183"/>
      <c r="BK931" s="209"/>
      <c r="BL931" s="182"/>
      <c r="BM931" s="210"/>
      <c r="BO931" s="28" t="e">
        <f t="shared" si="119"/>
        <v>#DIV/0!</v>
      </c>
      <c r="BP931" s="28">
        <f t="shared" si="120"/>
        <v>0</v>
      </c>
    </row>
    <row r="932" spans="22:68" x14ac:dyDescent="0.25">
      <c r="V932" s="178"/>
      <c r="W932" s="174"/>
      <c r="X932" s="179"/>
      <c r="Y932" s="247"/>
      <c r="Z932" s="248"/>
      <c r="AA932" s="294" t="str">
        <f t="shared" si="113"/>
        <v/>
      </c>
      <c r="AB932" s="219" t="str">
        <f t="shared" si="111"/>
        <v/>
      </c>
      <c r="AC932" s="219">
        <f t="shared" si="114"/>
        <v>0</v>
      </c>
      <c r="AD932" s="219">
        <f t="shared" si="115"/>
        <v>0</v>
      </c>
      <c r="AE932" s="220">
        <f t="shared" si="116"/>
        <v>0</v>
      </c>
      <c r="AF932" s="221">
        <f t="shared" si="117"/>
        <v>0</v>
      </c>
      <c r="AG932" s="204"/>
      <c r="AH932" s="178"/>
      <c r="AI932" s="174"/>
      <c r="AJ932" s="179"/>
      <c r="AK932" s="247"/>
      <c r="AL932" s="248"/>
      <c r="AM932" s="294" t="str">
        <f t="shared" si="121"/>
        <v/>
      </c>
      <c r="AN932" s="219" t="str">
        <f t="shared" si="112"/>
        <v/>
      </c>
      <c r="AO932" s="219">
        <f t="shared" si="122"/>
        <v>0</v>
      </c>
      <c r="AP932" s="219">
        <f t="shared" si="118"/>
        <v>0</v>
      </c>
      <c r="AQ932" s="220">
        <f t="shared" si="123"/>
        <v>0</v>
      </c>
      <c r="AR932" s="221">
        <f t="shared" si="124"/>
        <v>0</v>
      </c>
      <c r="AZ932" s="471"/>
      <c r="BA932" s="181"/>
      <c r="BB932" s="182"/>
      <c r="BC932" s="209"/>
      <c r="BD932" s="182"/>
      <c r="BE932" s="209"/>
      <c r="BF932" s="182"/>
      <c r="BG932" s="209"/>
      <c r="BH932" s="182"/>
      <c r="BI932" s="209"/>
      <c r="BJ932" s="183"/>
      <c r="BK932" s="209"/>
      <c r="BL932" s="182"/>
      <c r="BM932" s="210"/>
      <c r="BO932" s="28" t="e">
        <f t="shared" si="119"/>
        <v>#DIV/0!</v>
      </c>
      <c r="BP932" s="28">
        <f t="shared" si="120"/>
        <v>0</v>
      </c>
    </row>
    <row r="933" spans="22:68" x14ac:dyDescent="0.25">
      <c r="V933" s="178"/>
      <c r="W933" s="174"/>
      <c r="X933" s="179"/>
      <c r="Y933" s="247"/>
      <c r="Z933" s="248"/>
      <c r="AA933" s="294" t="str">
        <f t="shared" si="113"/>
        <v/>
      </c>
      <c r="AB933" s="219" t="str">
        <f t="shared" si="111"/>
        <v/>
      </c>
      <c r="AC933" s="219">
        <f t="shared" si="114"/>
        <v>0</v>
      </c>
      <c r="AD933" s="219">
        <f t="shared" si="115"/>
        <v>0</v>
      </c>
      <c r="AE933" s="220">
        <f t="shared" si="116"/>
        <v>0</v>
      </c>
      <c r="AF933" s="221">
        <f t="shared" si="117"/>
        <v>0</v>
      </c>
      <c r="AG933" s="204"/>
      <c r="AH933" s="178"/>
      <c r="AI933" s="174"/>
      <c r="AJ933" s="179"/>
      <c r="AK933" s="247"/>
      <c r="AL933" s="248"/>
      <c r="AM933" s="294" t="str">
        <f t="shared" si="121"/>
        <v/>
      </c>
      <c r="AN933" s="219" t="str">
        <f t="shared" si="112"/>
        <v/>
      </c>
      <c r="AO933" s="219">
        <f t="shared" si="122"/>
        <v>0</v>
      </c>
      <c r="AP933" s="219">
        <f t="shared" si="118"/>
        <v>0</v>
      </c>
      <c r="AQ933" s="220">
        <f t="shared" si="123"/>
        <v>0</v>
      </c>
      <c r="AR933" s="221">
        <f t="shared" si="124"/>
        <v>0</v>
      </c>
      <c r="AZ933" s="471"/>
      <c r="BA933" s="181"/>
      <c r="BB933" s="182"/>
      <c r="BC933" s="209"/>
      <c r="BD933" s="182"/>
      <c r="BE933" s="209"/>
      <c r="BF933" s="182"/>
      <c r="BG933" s="209"/>
      <c r="BH933" s="182"/>
      <c r="BI933" s="209"/>
      <c r="BJ933" s="183"/>
      <c r="BK933" s="209"/>
      <c r="BL933" s="182"/>
      <c r="BM933" s="210"/>
      <c r="BO933" s="28" t="e">
        <f t="shared" si="119"/>
        <v>#DIV/0!</v>
      </c>
      <c r="BP933" s="28">
        <f t="shared" si="120"/>
        <v>0</v>
      </c>
    </row>
    <row r="934" spans="22:68" x14ac:dyDescent="0.25">
      <c r="V934" s="178"/>
      <c r="W934" s="174"/>
      <c r="X934" s="179"/>
      <c r="Y934" s="247"/>
      <c r="Z934" s="248"/>
      <c r="AA934" s="294" t="str">
        <f t="shared" si="113"/>
        <v/>
      </c>
      <c r="AB934" s="219" t="str">
        <f t="shared" si="111"/>
        <v/>
      </c>
      <c r="AC934" s="219">
        <f t="shared" si="114"/>
        <v>0</v>
      </c>
      <c r="AD934" s="219">
        <f t="shared" si="115"/>
        <v>0</v>
      </c>
      <c r="AE934" s="220">
        <f t="shared" si="116"/>
        <v>0</v>
      </c>
      <c r="AF934" s="221">
        <f t="shared" si="117"/>
        <v>0</v>
      </c>
      <c r="AG934" s="204"/>
      <c r="AH934" s="178"/>
      <c r="AI934" s="174"/>
      <c r="AJ934" s="179"/>
      <c r="AK934" s="247"/>
      <c r="AL934" s="248"/>
      <c r="AM934" s="294" t="str">
        <f t="shared" si="121"/>
        <v/>
      </c>
      <c r="AN934" s="219" t="str">
        <f t="shared" si="112"/>
        <v/>
      </c>
      <c r="AO934" s="219">
        <f t="shared" si="122"/>
        <v>0</v>
      </c>
      <c r="AP934" s="219">
        <f t="shared" si="118"/>
        <v>0</v>
      </c>
      <c r="AQ934" s="220">
        <f t="shared" si="123"/>
        <v>0</v>
      </c>
      <c r="AR934" s="221">
        <f t="shared" si="124"/>
        <v>0</v>
      </c>
      <c r="AZ934" s="471"/>
      <c r="BA934" s="181"/>
      <c r="BB934" s="182"/>
      <c r="BC934" s="209"/>
      <c r="BD934" s="182"/>
      <c r="BE934" s="209"/>
      <c r="BF934" s="182"/>
      <c r="BG934" s="209"/>
      <c r="BH934" s="182"/>
      <c r="BI934" s="209"/>
      <c r="BJ934" s="183"/>
      <c r="BK934" s="209"/>
      <c r="BL934" s="182"/>
      <c r="BM934" s="210"/>
      <c r="BO934" s="28" t="e">
        <f t="shared" si="119"/>
        <v>#DIV/0!</v>
      </c>
      <c r="BP934" s="28">
        <f t="shared" si="120"/>
        <v>0</v>
      </c>
    </row>
    <row r="935" spans="22:68" x14ac:dyDescent="0.25">
      <c r="V935" s="178"/>
      <c r="W935" s="174"/>
      <c r="X935" s="179"/>
      <c r="Y935" s="247"/>
      <c r="Z935" s="248"/>
      <c r="AA935" s="294" t="str">
        <f t="shared" si="113"/>
        <v/>
      </c>
      <c r="AB935" s="219" t="str">
        <f t="shared" si="111"/>
        <v/>
      </c>
      <c r="AC935" s="219">
        <f t="shared" si="114"/>
        <v>0</v>
      </c>
      <c r="AD935" s="219">
        <f t="shared" si="115"/>
        <v>0</v>
      </c>
      <c r="AE935" s="220">
        <f t="shared" si="116"/>
        <v>0</v>
      </c>
      <c r="AF935" s="221">
        <f t="shared" si="117"/>
        <v>0</v>
      </c>
      <c r="AG935" s="204"/>
      <c r="AH935" s="178"/>
      <c r="AI935" s="174"/>
      <c r="AJ935" s="179"/>
      <c r="AK935" s="247"/>
      <c r="AL935" s="248"/>
      <c r="AM935" s="294" t="str">
        <f t="shared" si="121"/>
        <v/>
      </c>
      <c r="AN935" s="219" t="str">
        <f t="shared" si="112"/>
        <v/>
      </c>
      <c r="AO935" s="219">
        <f t="shared" si="122"/>
        <v>0</v>
      </c>
      <c r="AP935" s="219">
        <f t="shared" si="118"/>
        <v>0</v>
      </c>
      <c r="AQ935" s="220">
        <f t="shared" si="123"/>
        <v>0</v>
      </c>
      <c r="AR935" s="221">
        <f t="shared" si="124"/>
        <v>0</v>
      </c>
      <c r="AZ935" s="471"/>
      <c r="BA935" s="181"/>
      <c r="BB935" s="182"/>
      <c r="BC935" s="209"/>
      <c r="BD935" s="182"/>
      <c r="BE935" s="209"/>
      <c r="BF935" s="182"/>
      <c r="BG935" s="209"/>
      <c r="BH935" s="182"/>
      <c r="BI935" s="209"/>
      <c r="BJ935" s="183"/>
      <c r="BK935" s="209"/>
      <c r="BL935" s="182"/>
      <c r="BM935" s="210"/>
      <c r="BO935" s="28" t="e">
        <f t="shared" si="119"/>
        <v>#DIV/0!</v>
      </c>
      <c r="BP935" s="28">
        <f t="shared" si="120"/>
        <v>0</v>
      </c>
    </row>
    <row r="936" spans="22:68" x14ac:dyDescent="0.25">
      <c r="V936" s="178"/>
      <c r="W936" s="174"/>
      <c r="X936" s="179"/>
      <c r="Y936" s="247"/>
      <c r="Z936" s="248"/>
      <c r="AA936" s="294" t="str">
        <f t="shared" si="113"/>
        <v/>
      </c>
      <c r="AB936" s="219" t="str">
        <f t="shared" si="111"/>
        <v/>
      </c>
      <c r="AC936" s="219">
        <f t="shared" si="114"/>
        <v>0</v>
      </c>
      <c r="AD936" s="219">
        <f t="shared" si="115"/>
        <v>0</v>
      </c>
      <c r="AE936" s="220">
        <f t="shared" si="116"/>
        <v>0</v>
      </c>
      <c r="AF936" s="221">
        <f t="shared" si="117"/>
        <v>0</v>
      </c>
      <c r="AG936" s="204"/>
      <c r="AH936" s="178"/>
      <c r="AI936" s="174"/>
      <c r="AJ936" s="179"/>
      <c r="AK936" s="247"/>
      <c r="AL936" s="248"/>
      <c r="AM936" s="294" t="str">
        <f t="shared" si="121"/>
        <v/>
      </c>
      <c r="AN936" s="219" t="str">
        <f t="shared" si="112"/>
        <v/>
      </c>
      <c r="AO936" s="219">
        <f t="shared" si="122"/>
        <v>0</v>
      </c>
      <c r="AP936" s="219">
        <f t="shared" si="118"/>
        <v>0</v>
      </c>
      <c r="AQ936" s="220">
        <f t="shared" si="123"/>
        <v>0</v>
      </c>
      <c r="AR936" s="221">
        <f t="shared" si="124"/>
        <v>0</v>
      </c>
      <c r="AZ936" s="471"/>
      <c r="BA936" s="181"/>
      <c r="BB936" s="182"/>
      <c r="BC936" s="209"/>
      <c r="BD936" s="182"/>
      <c r="BE936" s="209"/>
      <c r="BF936" s="182"/>
      <c r="BG936" s="209"/>
      <c r="BH936" s="182"/>
      <c r="BI936" s="209"/>
      <c r="BJ936" s="183"/>
      <c r="BK936" s="209"/>
      <c r="BL936" s="182"/>
      <c r="BM936" s="210"/>
      <c r="BO936" s="28" t="e">
        <f t="shared" si="119"/>
        <v>#DIV/0!</v>
      </c>
      <c r="BP936" s="28">
        <f t="shared" si="120"/>
        <v>0</v>
      </c>
    </row>
    <row r="937" spans="22:68" x14ac:dyDescent="0.25">
      <c r="V937" s="178"/>
      <c r="W937" s="174"/>
      <c r="X937" s="179"/>
      <c r="Y937" s="247"/>
      <c r="Z937" s="248"/>
      <c r="AA937" s="294" t="str">
        <f t="shared" si="113"/>
        <v/>
      </c>
      <c r="AB937" s="219" t="str">
        <f t="shared" si="111"/>
        <v/>
      </c>
      <c r="AC937" s="219">
        <f t="shared" si="114"/>
        <v>0</v>
      </c>
      <c r="AD937" s="219">
        <f t="shared" si="115"/>
        <v>0</v>
      </c>
      <c r="AE937" s="220">
        <f t="shared" si="116"/>
        <v>0</v>
      </c>
      <c r="AF937" s="221">
        <f t="shared" si="117"/>
        <v>0</v>
      </c>
      <c r="AG937" s="204"/>
      <c r="AH937" s="178"/>
      <c r="AI937" s="174"/>
      <c r="AJ937" s="179"/>
      <c r="AK937" s="247"/>
      <c r="AL937" s="248"/>
      <c r="AM937" s="294" t="str">
        <f t="shared" si="121"/>
        <v/>
      </c>
      <c r="AN937" s="219" t="str">
        <f t="shared" si="112"/>
        <v/>
      </c>
      <c r="AO937" s="219">
        <f t="shared" si="122"/>
        <v>0</v>
      </c>
      <c r="AP937" s="219">
        <f t="shared" si="118"/>
        <v>0</v>
      </c>
      <c r="AQ937" s="220">
        <f t="shared" si="123"/>
        <v>0</v>
      </c>
      <c r="AR937" s="221">
        <f t="shared" si="124"/>
        <v>0</v>
      </c>
      <c r="AZ937" s="471"/>
      <c r="BA937" s="181"/>
      <c r="BB937" s="182"/>
      <c r="BC937" s="209"/>
      <c r="BD937" s="182"/>
      <c r="BE937" s="209"/>
      <c r="BF937" s="182"/>
      <c r="BG937" s="209"/>
      <c r="BH937" s="182"/>
      <c r="BI937" s="209"/>
      <c r="BJ937" s="183"/>
      <c r="BK937" s="209"/>
      <c r="BL937" s="182"/>
      <c r="BM937" s="210"/>
      <c r="BO937" s="28" t="e">
        <f t="shared" si="119"/>
        <v>#DIV/0!</v>
      </c>
      <c r="BP937" s="28">
        <f t="shared" si="120"/>
        <v>0</v>
      </c>
    </row>
    <row r="938" spans="22:68" x14ac:dyDescent="0.25">
      <c r="V938" s="178"/>
      <c r="W938" s="174"/>
      <c r="X938" s="179"/>
      <c r="Y938" s="247"/>
      <c r="Z938" s="248"/>
      <c r="AA938" s="294" t="str">
        <f t="shared" si="113"/>
        <v/>
      </c>
      <c r="AB938" s="219" t="str">
        <f t="shared" si="111"/>
        <v/>
      </c>
      <c r="AC938" s="219">
        <f t="shared" si="114"/>
        <v>0</v>
      </c>
      <c r="AD938" s="219">
        <f t="shared" si="115"/>
        <v>0</v>
      </c>
      <c r="AE938" s="220">
        <f t="shared" si="116"/>
        <v>0</v>
      </c>
      <c r="AF938" s="221">
        <f t="shared" si="117"/>
        <v>0</v>
      </c>
      <c r="AG938" s="204"/>
      <c r="AH938" s="178"/>
      <c r="AI938" s="174"/>
      <c r="AJ938" s="179"/>
      <c r="AK938" s="247"/>
      <c r="AL938" s="248"/>
      <c r="AM938" s="294" t="str">
        <f t="shared" si="121"/>
        <v/>
      </c>
      <c r="AN938" s="219" t="str">
        <f t="shared" si="112"/>
        <v/>
      </c>
      <c r="AO938" s="219">
        <f t="shared" si="122"/>
        <v>0</v>
      </c>
      <c r="AP938" s="219">
        <f t="shared" si="118"/>
        <v>0</v>
      </c>
      <c r="AQ938" s="220">
        <f t="shared" si="123"/>
        <v>0</v>
      </c>
      <c r="AR938" s="221">
        <f t="shared" si="124"/>
        <v>0</v>
      </c>
      <c r="AZ938" s="471"/>
      <c r="BA938" s="181"/>
      <c r="BB938" s="182"/>
      <c r="BC938" s="209"/>
      <c r="BD938" s="182"/>
      <c r="BE938" s="209"/>
      <c r="BF938" s="182"/>
      <c r="BG938" s="209"/>
      <c r="BH938" s="182"/>
      <c r="BI938" s="209"/>
      <c r="BJ938" s="183"/>
      <c r="BK938" s="209"/>
      <c r="BL938" s="182"/>
      <c r="BM938" s="210"/>
      <c r="BO938" s="28" t="e">
        <f t="shared" si="119"/>
        <v>#DIV/0!</v>
      </c>
      <c r="BP938" s="28">
        <f t="shared" si="120"/>
        <v>0</v>
      </c>
    </row>
    <row r="939" spans="22:68" x14ac:dyDescent="0.25">
      <c r="V939" s="178"/>
      <c r="W939" s="174"/>
      <c r="X939" s="179"/>
      <c r="Y939" s="247"/>
      <c r="Z939" s="248"/>
      <c r="AA939" s="294" t="str">
        <f t="shared" si="113"/>
        <v/>
      </c>
      <c r="AB939" s="219" t="str">
        <f t="shared" si="111"/>
        <v/>
      </c>
      <c r="AC939" s="219">
        <f t="shared" si="114"/>
        <v>0</v>
      </c>
      <c r="AD939" s="219">
        <f t="shared" si="115"/>
        <v>0</v>
      </c>
      <c r="AE939" s="220">
        <f t="shared" si="116"/>
        <v>0</v>
      </c>
      <c r="AF939" s="221">
        <f t="shared" si="117"/>
        <v>0</v>
      </c>
      <c r="AG939" s="204"/>
      <c r="AH939" s="178"/>
      <c r="AI939" s="174"/>
      <c r="AJ939" s="179"/>
      <c r="AK939" s="247"/>
      <c r="AL939" s="248"/>
      <c r="AM939" s="294" t="str">
        <f t="shared" si="121"/>
        <v/>
      </c>
      <c r="AN939" s="219" t="str">
        <f t="shared" si="112"/>
        <v/>
      </c>
      <c r="AO939" s="219">
        <f t="shared" si="122"/>
        <v>0</v>
      </c>
      <c r="AP939" s="219">
        <f t="shared" si="118"/>
        <v>0</v>
      </c>
      <c r="AQ939" s="220">
        <f t="shared" si="123"/>
        <v>0</v>
      </c>
      <c r="AR939" s="221">
        <f t="shared" si="124"/>
        <v>0</v>
      </c>
      <c r="AZ939" s="471"/>
      <c r="BA939" s="181"/>
      <c r="BB939" s="182"/>
      <c r="BC939" s="209"/>
      <c r="BD939" s="182"/>
      <c r="BE939" s="209"/>
      <c r="BF939" s="182"/>
      <c r="BG939" s="209"/>
      <c r="BH939" s="182"/>
      <c r="BI939" s="209"/>
      <c r="BJ939" s="183"/>
      <c r="BK939" s="209"/>
      <c r="BL939" s="182"/>
      <c r="BM939" s="210"/>
      <c r="BO939" s="28" t="e">
        <f t="shared" si="119"/>
        <v>#DIV/0!</v>
      </c>
      <c r="BP939" s="28">
        <f t="shared" si="120"/>
        <v>0</v>
      </c>
    </row>
    <row r="940" spans="22:68" x14ac:dyDescent="0.25">
      <c r="V940" s="178"/>
      <c r="W940" s="174"/>
      <c r="X940" s="179"/>
      <c r="Y940" s="247"/>
      <c r="Z940" s="248"/>
      <c r="AA940" s="294" t="str">
        <f t="shared" si="113"/>
        <v/>
      </c>
      <c r="AB940" s="219" t="str">
        <f t="shared" si="111"/>
        <v/>
      </c>
      <c r="AC940" s="219">
        <f t="shared" si="114"/>
        <v>0</v>
      </c>
      <c r="AD940" s="219">
        <f t="shared" si="115"/>
        <v>0</v>
      </c>
      <c r="AE940" s="220">
        <f t="shared" si="116"/>
        <v>0</v>
      </c>
      <c r="AF940" s="221">
        <f t="shared" si="117"/>
        <v>0</v>
      </c>
      <c r="AG940" s="204"/>
      <c r="AH940" s="178"/>
      <c r="AI940" s="174"/>
      <c r="AJ940" s="179"/>
      <c r="AK940" s="247"/>
      <c r="AL940" s="248"/>
      <c r="AM940" s="294" t="str">
        <f t="shared" si="121"/>
        <v/>
      </c>
      <c r="AN940" s="219" t="str">
        <f t="shared" si="112"/>
        <v/>
      </c>
      <c r="AO940" s="219">
        <f t="shared" si="122"/>
        <v>0</v>
      </c>
      <c r="AP940" s="219">
        <f t="shared" si="118"/>
        <v>0</v>
      </c>
      <c r="AQ940" s="220">
        <f t="shared" si="123"/>
        <v>0</v>
      </c>
      <c r="AR940" s="221">
        <f t="shared" si="124"/>
        <v>0</v>
      </c>
      <c r="AZ940" s="471"/>
      <c r="BA940" s="181"/>
      <c r="BB940" s="182"/>
      <c r="BC940" s="209"/>
      <c r="BD940" s="182"/>
      <c r="BE940" s="209"/>
      <c r="BF940" s="182"/>
      <c r="BG940" s="209"/>
      <c r="BH940" s="182"/>
      <c r="BI940" s="209"/>
      <c r="BJ940" s="183"/>
      <c r="BK940" s="209"/>
      <c r="BL940" s="182"/>
      <c r="BM940" s="210"/>
      <c r="BO940" s="28" t="e">
        <f t="shared" si="119"/>
        <v>#DIV/0!</v>
      </c>
      <c r="BP940" s="28">
        <f t="shared" si="120"/>
        <v>0</v>
      </c>
    </row>
    <row r="941" spans="22:68" x14ac:dyDescent="0.25">
      <c r="V941" s="178"/>
      <c r="W941" s="174"/>
      <c r="X941" s="179"/>
      <c r="Y941" s="247"/>
      <c r="Z941" s="248"/>
      <c r="AA941" s="294" t="str">
        <f t="shared" si="113"/>
        <v/>
      </c>
      <c r="AB941" s="219" t="str">
        <f t="shared" si="111"/>
        <v/>
      </c>
      <c r="AC941" s="219">
        <f t="shared" si="114"/>
        <v>0</v>
      </c>
      <c r="AD941" s="219">
        <f t="shared" si="115"/>
        <v>0</v>
      </c>
      <c r="AE941" s="220">
        <f t="shared" si="116"/>
        <v>0</v>
      </c>
      <c r="AF941" s="221">
        <f t="shared" si="117"/>
        <v>0</v>
      </c>
      <c r="AG941" s="204"/>
      <c r="AH941" s="178"/>
      <c r="AI941" s="174"/>
      <c r="AJ941" s="179"/>
      <c r="AK941" s="247"/>
      <c r="AL941" s="248"/>
      <c r="AM941" s="294" t="str">
        <f t="shared" si="121"/>
        <v/>
      </c>
      <c r="AN941" s="219" t="str">
        <f t="shared" si="112"/>
        <v/>
      </c>
      <c r="AO941" s="219">
        <f t="shared" si="122"/>
        <v>0</v>
      </c>
      <c r="AP941" s="219">
        <f t="shared" si="118"/>
        <v>0</v>
      </c>
      <c r="AQ941" s="220">
        <f t="shared" si="123"/>
        <v>0</v>
      </c>
      <c r="AR941" s="221">
        <f t="shared" si="124"/>
        <v>0</v>
      </c>
      <c r="AZ941" s="471"/>
      <c r="BA941" s="181"/>
      <c r="BB941" s="182"/>
      <c r="BC941" s="209"/>
      <c r="BD941" s="182"/>
      <c r="BE941" s="209"/>
      <c r="BF941" s="182"/>
      <c r="BG941" s="209"/>
      <c r="BH941" s="182"/>
      <c r="BI941" s="209"/>
      <c r="BJ941" s="183"/>
      <c r="BK941" s="209"/>
      <c r="BL941" s="182"/>
      <c r="BM941" s="210"/>
      <c r="BO941" s="28" t="e">
        <f t="shared" si="119"/>
        <v>#DIV/0!</v>
      </c>
      <c r="BP941" s="28">
        <f t="shared" si="120"/>
        <v>0</v>
      </c>
    </row>
    <row r="942" spans="22:68" x14ac:dyDescent="0.25">
      <c r="V942" s="178"/>
      <c r="W942" s="174"/>
      <c r="X942" s="179"/>
      <c r="Y942" s="247"/>
      <c r="Z942" s="248"/>
      <c r="AA942" s="294" t="str">
        <f t="shared" si="113"/>
        <v/>
      </c>
      <c r="AB942" s="219" t="str">
        <f t="shared" si="111"/>
        <v/>
      </c>
      <c r="AC942" s="219">
        <f t="shared" si="114"/>
        <v>0</v>
      </c>
      <c r="AD942" s="219">
        <f t="shared" si="115"/>
        <v>0</v>
      </c>
      <c r="AE942" s="220">
        <f t="shared" si="116"/>
        <v>0</v>
      </c>
      <c r="AF942" s="221">
        <f t="shared" si="117"/>
        <v>0</v>
      </c>
      <c r="AG942" s="204"/>
      <c r="AH942" s="178"/>
      <c r="AI942" s="174"/>
      <c r="AJ942" s="179"/>
      <c r="AK942" s="247"/>
      <c r="AL942" s="248"/>
      <c r="AM942" s="294" t="str">
        <f t="shared" si="121"/>
        <v/>
      </c>
      <c r="AN942" s="219" t="str">
        <f t="shared" si="112"/>
        <v/>
      </c>
      <c r="AO942" s="219">
        <f t="shared" si="122"/>
        <v>0</v>
      </c>
      <c r="AP942" s="219">
        <f t="shared" si="118"/>
        <v>0</v>
      </c>
      <c r="AQ942" s="220">
        <f t="shared" si="123"/>
        <v>0</v>
      </c>
      <c r="AR942" s="221">
        <f t="shared" si="124"/>
        <v>0</v>
      </c>
      <c r="AZ942" s="471"/>
      <c r="BA942" s="181"/>
      <c r="BB942" s="182"/>
      <c r="BC942" s="209"/>
      <c r="BD942" s="182"/>
      <c r="BE942" s="209"/>
      <c r="BF942" s="182"/>
      <c r="BG942" s="209"/>
      <c r="BH942" s="182"/>
      <c r="BI942" s="209"/>
      <c r="BJ942" s="183"/>
      <c r="BK942" s="209"/>
      <c r="BL942" s="182"/>
      <c r="BM942" s="210"/>
      <c r="BO942" s="28" t="e">
        <f t="shared" si="119"/>
        <v>#DIV/0!</v>
      </c>
      <c r="BP942" s="28">
        <f t="shared" si="120"/>
        <v>0</v>
      </c>
    </row>
    <row r="943" spans="22:68" x14ac:dyDescent="0.25">
      <c r="V943" s="178"/>
      <c r="W943" s="174"/>
      <c r="X943" s="179"/>
      <c r="Y943" s="247"/>
      <c r="Z943" s="248"/>
      <c r="AA943" s="294" t="str">
        <f t="shared" si="113"/>
        <v/>
      </c>
      <c r="AB943" s="219" t="str">
        <f t="shared" si="111"/>
        <v/>
      </c>
      <c r="AC943" s="219">
        <f t="shared" si="114"/>
        <v>0</v>
      </c>
      <c r="AD943" s="219">
        <f t="shared" si="115"/>
        <v>0</v>
      </c>
      <c r="AE943" s="220">
        <f t="shared" si="116"/>
        <v>0</v>
      </c>
      <c r="AF943" s="221">
        <f t="shared" si="117"/>
        <v>0</v>
      </c>
      <c r="AG943" s="204"/>
      <c r="AH943" s="178"/>
      <c r="AI943" s="174"/>
      <c r="AJ943" s="179"/>
      <c r="AK943" s="247"/>
      <c r="AL943" s="248"/>
      <c r="AM943" s="294" t="str">
        <f t="shared" si="121"/>
        <v/>
      </c>
      <c r="AN943" s="219" t="str">
        <f t="shared" si="112"/>
        <v/>
      </c>
      <c r="AO943" s="219">
        <f t="shared" si="122"/>
        <v>0</v>
      </c>
      <c r="AP943" s="219">
        <f t="shared" si="118"/>
        <v>0</v>
      </c>
      <c r="AQ943" s="220">
        <f t="shared" si="123"/>
        <v>0</v>
      </c>
      <c r="AR943" s="221">
        <f t="shared" si="124"/>
        <v>0</v>
      </c>
      <c r="AZ943" s="471"/>
      <c r="BA943" s="181"/>
      <c r="BB943" s="182"/>
      <c r="BC943" s="209"/>
      <c r="BD943" s="182"/>
      <c r="BE943" s="209"/>
      <c r="BF943" s="182"/>
      <c r="BG943" s="209"/>
      <c r="BH943" s="182"/>
      <c r="BI943" s="209"/>
      <c r="BJ943" s="183"/>
      <c r="BK943" s="209"/>
      <c r="BL943" s="182"/>
      <c r="BM943" s="210"/>
      <c r="BO943" s="28" t="e">
        <f t="shared" si="119"/>
        <v>#DIV/0!</v>
      </c>
      <c r="BP943" s="28">
        <f t="shared" si="120"/>
        <v>0</v>
      </c>
    </row>
    <row r="944" spans="22:68" x14ac:dyDescent="0.25">
      <c r="V944" s="178"/>
      <c r="W944" s="174"/>
      <c r="X944" s="179"/>
      <c r="Y944" s="247"/>
      <c r="Z944" s="248"/>
      <c r="AA944" s="294" t="str">
        <f t="shared" si="113"/>
        <v/>
      </c>
      <c r="AB944" s="219" t="str">
        <f t="shared" si="111"/>
        <v/>
      </c>
      <c r="AC944" s="219">
        <f t="shared" si="114"/>
        <v>0</v>
      </c>
      <c r="AD944" s="219">
        <f t="shared" si="115"/>
        <v>0</v>
      </c>
      <c r="AE944" s="220">
        <f t="shared" si="116"/>
        <v>0</v>
      </c>
      <c r="AF944" s="221">
        <f t="shared" si="117"/>
        <v>0</v>
      </c>
      <c r="AG944" s="204"/>
      <c r="AH944" s="178"/>
      <c r="AI944" s="174"/>
      <c r="AJ944" s="179"/>
      <c r="AK944" s="247"/>
      <c r="AL944" s="248"/>
      <c r="AM944" s="294" t="str">
        <f t="shared" si="121"/>
        <v/>
      </c>
      <c r="AN944" s="219" t="str">
        <f t="shared" si="112"/>
        <v/>
      </c>
      <c r="AO944" s="219">
        <f t="shared" si="122"/>
        <v>0</v>
      </c>
      <c r="AP944" s="219">
        <f t="shared" si="118"/>
        <v>0</v>
      </c>
      <c r="AQ944" s="220">
        <f t="shared" si="123"/>
        <v>0</v>
      </c>
      <c r="AR944" s="221">
        <f t="shared" si="124"/>
        <v>0</v>
      </c>
      <c r="AZ944" s="471"/>
      <c r="BA944" s="181"/>
      <c r="BB944" s="182"/>
      <c r="BC944" s="209"/>
      <c r="BD944" s="182"/>
      <c r="BE944" s="209"/>
      <c r="BF944" s="182"/>
      <c r="BG944" s="209"/>
      <c r="BH944" s="182"/>
      <c r="BI944" s="209"/>
      <c r="BJ944" s="183"/>
      <c r="BK944" s="209"/>
      <c r="BL944" s="182"/>
      <c r="BM944" s="210"/>
      <c r="BO944" s="28" t="e">
        <f t="shared" si="119"/>
        <v>#DIV/0!</v>
      </c>
      <c r="BP944" s="28">
        <f t="shared" si="120"/>
        <v>0</v>
      </c>
    </row>
    <row r="945" spans="22:68" x14ac:dyDescent="0.25">
      <c r="V945" s="178"/>
      <c r="W945" s="174"/>
      <c r="X945" s="179"/>
      <c r="Y945" s="247"/>
      <c r="Z945" s="248"/>
      <c r="AA945" s="294" t="str">
        <f t="shared" si="113"/>
        <v/>
      </c>
      <c r="AB945" s="219" t="str">
        <f t="shared" si="111"/>
        <v/>
      </c>
      <c r="AC945" s="219">
        <f t="shared" si="114"/>
        <v>0</v>
      </c>
      <c r="AD945" s="219">
        <f t="shared" si="115"/>
        <v>0</v>
      </c>
      <c r="AE945" s="220">
        <f t="shared" si="116"/>
        <v>0</v>
      </c>
      <c r="AF945" s="221">
        <f t="shared" si="117"/>
        <v>0</v>
      </c>
      <c r="AG945" s="204"/>
      <c r="AH945" s="178"/>
      <c r="AI945" s="174"/>
      <c r="AJ945" s="179"/>
      <c r="AK945" s="247"/>
      <c r="AL945" s="248"/>
      <c r="AM945" s="294" t="str">
        <f t="shared" si="121"/>
        <v/>
      </c>
      <c r="AN945" s="219" t="str">
        <f t="shared" si="112"/>
        <v/>
      </c>
      <c r="AO945" s="219">
        <f t="shared" si="122"/>
        <v>0</v>
      </c>
      <c r="AP945" s="219">
        <f t="shared" si="118"/>
        <v>0</v>
      </c>
      <c r="AQ945" s="220">
        <f t="shared" si="123"/>
        <v>0</v>
      </c>
      <c r="AR945" s="221">
        <f t="shared" si="124"/>
        <v>0</v>
      </c>
      <c r="AZ945" s="471"/>
      <c r="BA945" s="181"/>
      <c r="BB945" s="182"/>
      <c r="BC945" s="209"/>
      <c r="BD945" s="182"/>
      <c r="BE945" s="209"/>
      <c r="BF945" s="182"/>
      <c r="BG945" s="209"/>
      <c r="BH945" s="182"/>
      <c r="BI945" s="209"/>
      <c r="BJ945" s="183"/>
      <c r="BK945" s="209"/>
      <c r="BL945" s="182"/>
      <c r="BM945" s="210"/>
      <c r="BO945" s="28" t="e">
        <f t="shared" si="119"/>
        <v>#DIV/0!</v>
      </c>
      <c r="BP945" s="28">
        <f t="shared" si="120"/>
        <v>0</v>
      </c>
    </row>
    <row r="946" spans="22:68" x14ac:dyDescent="0.25">
      <c r="V946" s="178"/>
      <c r="W946" s="174"/>
      <c r="X946" s="179"/>
      <c r="Y946" s="247"/>
      <c r="Z946" s="248"/>
      <c r="AA946" s="294" t="str">
        <f t="shared" si="113"/>
        <v/>
      </c>
      <c r="AB946" s="219" t="str">
        <f t="shared" si="111"/>
        <v/>
      </c>
      <c r="AC946" s="219">
        <f t="shared" si="114"/>
        <v>0</v>
      </c>
      <c r="AD946" s="219">
        <f t="shared" si="115"/>
        <v>0</v>
      </c>
      <c r="AE946" s="220">
        <f t="shared" si="116"/>
        <v>0</v>
      </c>
      <c r="AF946" s="221">
        <f t="shared" si="117"/>
        <v>0</v>
      </c>
      <c r="AG946" s="204"/>
      <c r="AH946" s="178"/>
      <c r="AI946" s="174"/>
      <c r="AJ946" s="179"/>
      <c r="AK946" s="247"/>
      <c r="AL946" s="248"/>
      <c r="AM946" s="294" t="str">
        <f t="shared" si="121"/>
        <v/>
      </c>
      <c r="AN946" s="219" t="str">
        <f t="shared" si="112"/>
        <v/>
      </c>
      <c r="AO946" s="219">
        <f t="shared" si="122"/>
        <v>0</v>
      </c>
      <c r="AP946" s="219">
        <f t="shared" si="118"/>
        <v>0</v>
      </c>
      <c r="AQ946" s="220">
        <f t="shared" si="123"/>
        <v>0</v>
      </c>
      <c r="AR946" s="221">
        <f t="shared" si="124"/>
        <v>0</v>
      </c>
      <c r="AZ946" s="471"/>
      <c r="BA946" s="181"/>
      <c r="BB946" s="182"/>
      <c r="BC946" s="209"/>
      <c r="BD946" s="182"/>
      <c r="BE946" s="209"/>
      <c r="BF946" s="182"/>
      <c r="BG946" s="209"/>
      <c r="BH946" s="182"/>
      <c r="BI946" s="209"/>
      <c r="BJ946" s="183"/>
      <c r="BK946" s="209"/>
      <c r="BL946" s="182"/>
      <c r="BM946" s="210"/>
      <c r="BO946" s="28" t="e">
        <f t="shared" si="119"/>
        <v>#DIV/0!</v>
      </c>
      <c r="BP946" s="28">
        <f t="shared" si="120"/>
        <v>0</v>
      </c>
    </row>
    <row r="947" spans="22:68" x14ac:dyDescent="0.25">
      <c r="V947" s="178"/>
      <c r="W947" s="174"/>
      <c r="X947" s="179"/>
      <c r="Y947" s="247"/>
      <c r="Z947" s="248"/>
      <c r="AA947" s="294" t="str">
        <f t="shared" si="113"/>
        <v/>
      </c>
      <c r="AB947" s="219" t="str">
        <f t="shared" si="111"/>
        <v/>
      </c>
      <c r="AC947" s="219">
        <f t="shared" si="114"/>
        <v>0</v>
      </c>
      <c r="AD947" s="219">
        <f t="shared" si="115"/>
        <v>0</v>
      </c>
      <c r="AE947" s="220">
        <f t="shared" si="116"/>
        <v>0</v>
      </c>
      <c r="AF947" s="221">
        <f t="shared" si="117"/>
        <v>0</v>
      </c>
      <c r="AG947" s="204"/>
      <c r="AH947" s="178"/>
      <c r="AI947" s="174"/>
      <c r="AJ947" s="179"/>
      <c r="AK947" s="247"/>
      <c r="AL947" s="248"/>
      <c r="AM947" s="294" t="str">
        <f t="shared" si="121"/>
        <v/>
      </c>
      <c r="AN947" s="219" t="str">
        <f t="shared" si="112"/>
        <v/>
      </c>
      <c r="AO947" s="219">
        <f t="shared" si="122"/>
        <v>0</v>
      </c>
      <c r="AP947" s="219">
        <f t="shared" si="118"/>
        <v>0</v>
      </c>
      <c r="AQ947" s="220">
        <f t="shared" si="123"/>
        <v>0</v>
      </c>
      <c r="AR947" s="221">
        <f t="shared" si="124"/>
        <v>0</v>
      </c>
      <c r="AZ947" s="471"/>
      <c r="BA947" s="181"/>
      <c r="BB947" s="182"/>
      <c r="BC947" s="209"/>
      <c r="BD947" s="182"/>
      <c r="BE947" s="209"/>
      <c r="BF947" s="182"/>
      <c r="BG947" s="209"/>
      <c r="BH947" s="182"/>
      <c r="BI947" s="209"/>
      <c r="BJ947" s="183"/>
      <c r="BK947" s="209"/>
      <c r="BL947" s="182"/>
      <c r="BM947" s="210"/>
      <c r="BO947" s="28" t="e">
        <f t="shared" si="119"/>
        <v>#DIV/0!</v>
      </c>
      <c r="BP947" s="28">
        <f t="shared" si="120"/>
        <v>0</v>
      </c>
    </row>
    <row r="948" spans="22:68" x14ac:dyDescent="0.25">
      <c r="V948" s="178"/>
      <c r="W948" s="174"/>
      <c r="X948" s="179"/>
      <c r="Y948" s="247"/>
      <c r="Z948" s="248"/>
      <c r="AA948" s="294" t="str">
        <f t="shared" si="113"/>
        <v/>
      </c>
      <c r="AB948" s="219" t="str">
        <f t="shared" si="111"/>
        <v/>
      </c>
      <c r="AC948" s="219">
        <f t="shared" si="114"/>
        <v>0</v>
      </c>
      <c r="AD948" s="219">
        <f t="shared" si="115"/>
        <v>0</v>
      </c>
      <c r="AE948" s="220">
        <f t="shared" si="116"/>
        <v>0</v>
      </c>
      <c r="AF948" s="221">
        <f t="shared" si="117"/>
        <v>0</v>
      </c>
      <c r="AG948" s="204"/>
      <c r="AH948" s="178"/>
      <c r="AI948" s="174"/>
      <c r="AJ948" s="179"/>
      <c r="AK948" s="247"/>
      <c r="AL948" s="248"/>
      <c r="AM948" s="294" t="str">
        <f t="shared" si="121"/>
        <v/>
      </c>
      <c r="AN948" s="219" t="str">
        <f t="shared" si="112"/>
        <v/>
      </c>
      <c r="AO948" s="219">
        <f t="shared" si="122"/>
        <v>0</v>
      </c>
      <c r="AP948" s="219">
        <f t="shared" si="118"/>
        <v>0</v>
      </c>
      <c r="AQ948" s="220">
        <f t="shared" si="123"/>
        <v>0</v>
      </c>
      <c r="AR948" s="221">
        <f t="shared" si="124"/>
        <v>0</v>
      </c>
      <c r="AZ948" s="471"/>
      <c r="BA948" s="181"/>
      <c r="BB948" s="182"/>
      <c r="BC948" s="209"/>
      <c r="BD948" s="182"/>
      <c r="BE948" s="209"/>
      <c r="BF948" s="182"/>
      <c r="BG948" s="209"/>
      <c r="BH948" s="182"/>
      <c r="BI948" s="209"/>
      <c r="BJ948" s="183"/>
      <c r="BK948" s="209"/>
      <c r="BL948" s="182"/>
      <c r="BM948" s="210"/>
      <c r="BO948" s="28" t="e">
        <f t="shared" si="119"/>
        <v>#DIV/0!</v>
      </c>
      <c r="BP948" s="28">
        <f t="shared" si="120"/>
        <v>0</v>
      </c>
    </row>
    <row r="949" spans="22:68" x14ac:dyDescent="0.25">
      <c r="V949" s="178"/>
      <c r="W949" s="174"/>
      <c r="X949" s="179"/>
      <c r="Y949" s="247"/>
      <c r="Z949" s="248"/>
      <c r="AA949" s="294" t="str">
        <f t="shared" si="113"/>
        <v/>
      </c>
      <c r="AB949" s="219" t="str">
        <f t="shared" si="111"/>
        <v/>
      </c>
      <c r="AC949" s="219">
        <f t="shared" si="114"/>
        <v>0</v>
      </c>
      <c r="AD949" s="219">
        <f t="shared" si="115"/>
        <v>0</v>
      </c>
      <c r="AE949" s="220">
        <f t="shared" si="116"/>
        <v>0</v>
      </c>
      <c r="AF949" s="221">
        <f t="shared" si="117"/>
        <v>0</v>
      </c>
      <c r="AG949" s="204"/>
      <c r="AH949" s="178"/>
      <c r="AI949" s="174"/>
      <c r="AJ949" s="179"/>
      <c r="AK949" s="247"/>
      <c r="AL949" s="248"/>
      <c r="AM949" s="294" t="str">
        <f t="shared" si="121"/>
        <v/>
      </c>
      <c r="AN949" s="219" t="str">
        <f t="shared" si="112"/>
        <v/>
      </c>
      <c r="AO949" s="219">
        <f t="shared" si="122"/>
        <v>0</v>
      </c>
      <c r="AP949" s="219">
        <f t="shared" si="118"/>
        <v>0</v>
      </c>
      <c r="AQ949" s="220">
        <f t="shared" si="123"/>
        <v>0</v>
      </c>
      <c r="AR949" s="221">
        <f t="shared" si="124"/>
        <v>0</v>
      </c>
      <c r="AZ949" s="471"/>
      <c r="BA949" s="181"/>
      <c r="BB949" s="182"/>
      <c r="BC949" s="209"/>
      <c r="BD949" s="182"/>
      <c r="BE949" s="209"/>
      <c r="BF949" s="182"/>
      <c r="BG949" s="209"/>
      <c r="BH949" s="182"/>
      <c r="BI949" s="209"/>
      <c r="BJ949" s="183"/>
      <c r="BK949" s="209"/>
      <c r="BL949" s="182"/>
      <c r="BM949" s="210"/>
      <c r="BO949" s="28" t="e">
        <f t="shared" si="119"/>
        <v>#DIV/0!</v>
      </c>
      <c r="BP949" s="28">
        <f t="shared" si="120"/>
        <v>0</v>
      </c>
    </row>
    <row r="950" spans="22:68" x14ac:dyDescent="0.25">
      <c r="V950" s="178"/>
      <c r="W950" s="174"/>
      <c r="X950" s="179"/>
      <c r="Y950" s="247"/>
      <c r="Z950" s="248"/>
      <c r="AA950" s="294" t="str">
        <f t="shared" si="113"/>
        <v/>
      </c>
      <c r="AB950" s="219" t="str">
        <f t="shared" si="111"/>
        <v/>
      </c>
      <c r="AC950" s="219">
        <f t="shared" si="114"/>
        <v>0</v>
      </c>
      <c r="AD950" s="219">
        <f t="shared" si="115"/>
        <v>0</v>
      </c>
      <c r="AE950" s="220">
        <f t="shared" si="116"/>
        <v>0</v>
      </c>
      <c r="AF950" s="221">
        <f t="shared" si="117"/>
        <v>0</v>
      </c>
      <c r="AG950" s="204"/>
      <c r="AH950" s="178"/>
      <c r="AI950" s="174"/>
      <c r="AJ950" s="179"/>
      <c r="AK950" s="247"/>
      <c r="AL950" s="248"/>
      <c r="AM950" s="294" t="str">
        <f t="shared" si="121"/>
        <v/>
      </c>
      <c r="AN950" s="219" t="str">
        <f t="shared" si="112"/>
        <v/>
      </c>
      <c r="AO950" s="219">
        <f t="shared" si="122"/>
        <v>0</v>
      </c>
      <c r="AP950" s="219">
        <f t="shared" si="118"/>
        <v>0</v>
      </c>
      <c r="AQ950" s="220">
        <f t="shared" si="123"/>
        <v>0</v>
      </c>
      <c r="AR950" s="221">
        <f t="shared" si="124"/>
        <v>0</v>
      </c>
      <c r="AZ950" s="471"/>
      <c r="BA950" s="181"/>
      <c r="BB950" s="182"/>
      <c r="BC950" s="209"/>
      <c r="BD950" s="182"/>
      <c r="BE950" s="209"/>
      <c r="BF950" s="182"/>
      <c r="BG950" s="209"/>
      <c r="BH950" s="182"/>
      <c r="BI950" s="209"/>
      <c r="BJ950" s="183"/>
      <c r="BK950" s="209"/>
      <c r="BL950" s="182"/>
      <c r="BM950" s="210"/>
      <c r="BO950" s="28" t="e">
        <f t="shared" si="119"/>
        <v>#DIV/0!</v>
      </c>
      <c r="BP950" s="28">
        <f t="shared" si="120"/>
        <v>0</v>
      </c>
    </row>
    <row r="951" spans="22:68" x14ac:dyDescent="0.25">
      <c r="V951" s="178"/>
      <c r="W951" s="174"/>
      <c r="X951" s="179"/>
      <c r="Y951" s="247"/>
      <c r="Z951" s="248"/>
      <c r="AA951" s="294" t="str">
        <f t="shared" si="113"/>
        <v/>
      </c>
      <c r="AB951" s="219" t="str">
        <f t="shared" si="111"/>
        <v/>
      </c>
      <c r="AC951" s="219">
        <f t="shared" si="114"/>
        <v>0</v>
      </c>
      <c r="AD951" s="219">
        <f t="shared" si="115"/>
        <v>0</v>
      </c>
      <c r="AE951" s="220">
        <f t="shared" si="116"/>
        <v>0</v>
      </c>
      <c r="AF951" s="221">
        <f t="shared" si="117"/>
        <v>0</v>
      </c>
      <c r="AG951" s="204"/>
      <c r="AH951" s="178"/>
      <c r="AI951" s="174"/>
      <c r="AJ951" s="179"/>
      <c r="AK951" s="247"/>
      <c r="AL951" s="248"/>
      <c r="AM951" s="294" t="str">
        <f t="shared" si="121"/>
        <v/>
      </c>
      <c r="AN951" s="219" t="str">
        <f t="shared" si="112"/>
        <v/>
      </c>
      <c r="AO951" s="219">
        <f t="shared" si="122"/>
        <v>0</v>
      </c>
      <c r="AP951" s="219">
        <f t="shared" si="118"/>
        <v>0</v>
      </c>
      <c r="AQ951" s="220">
        <f t="shared" si="123"/>
        <v>0</v>
      </c>
      <c r="AR951" s="221">
        <f t="shared" si="124"/>
        <v>0</v>
      </c>
      <c r="AZ951" s="471"/>
      <c r="BA951" s="181"/>
      <c r="BB951" s="182"/>
      <c r="BC951" s="209"/>
      <c r="BD951" s="182"/>
      <c r="BE951" s="209"/>
      <c r="BF951" s="182"/>
      <c r="BG951" s="209"/>
      <c r="BH951" s="182"/>
      <c r="BI951" s="209"/>
      <c r="BJ951" s="183"/>
      <c r="BK951" s="209"/>
      <c r="BL951" s="182"/>
      <c r="BM951" s="210"/>
      <c r="BO951" s="28" t="e">
        <f t="shared" si="119"/>
        <v>#DIV/0!</v>
      </c>
      <c r="BP951" s="28">
        <f t="shared" si="120"/>
        <v>0</v>
      </c>
    </row>
    <row r="952" spans="22:68" x14ac:dyDescent="0.25">
      <c r="V952" s="178"/>
      <c r="W952" s="174"/>
      <c r="X952" s="179"/>
      <c r="Y952" s="247"/>
      <c r="Z952" s="248"/>
      <c r="AA952" s="294" t="str">
        <f t="shared" si="113"/>
        <v/>
      </c>
      <c r="AB952" s="219" t="str">
        <f t="shared" si="111"/>
        <v/>
      </c>
      <c r="AC952" s="219">
        <f t="shared" si="114"/>
        <v>0</v>
      </c>
      <c r="AD952" s="219">
        <f t="shared" si="115"/>
        <v>0</v>
      </c>
      <c r="AE952" s="220">
        <f t="shared" si="116"/>
        <v>0</v>
      </c>
      <c r="AF952" s="221">
        <f t="shared" si="117"/>
        <v>0</v>
      </c>
      <c r="AG952" s="204"/>
      <c r="AH952" s="178"/>
      <c r="AI952" s="174"/>
      <c r="AJ952" s="179"/>
      <c r="AK952" s="247"/>
      <c r="AL952" s="248"/>
      <c r="AM952" s="294" t="str">
        <f t="shared" si="121"/>
        <v/>
      </c>
      <c r="AN952" s="219" t="str">
        <f t="shared" si="112"/>
        <v/>
      </c>
      <c r="AO952" s="219">
        <f t="shared" si="122"/>
        <v>0</v>
      </c>
      <c r="AP952" s="219">
        <f t="shared" si="118"/>
        <v>0</v>
      </c>
      <c r="AQ952" s="220">
        <f t="shared" si="123"/>
        <v>0</v>
      </c>
      <c r="AR952" s="221">
        <f t="shared" si="124"/>
        <v>0</v>
      </c>
      <c r="AZ952" s="471"/>
      <c r="BA952" s="181"/>
      <c r="BB952" s="182"/>
      <c r="BC952" s="209"/>
      <c r="BD952" s="182"/>
      <c r="BE952" s="209"/>
      <c r="BF952" s="182"/>
      <c r="BG952" s="209"/>
      <c r="BH952" s="182"/>
      <c r="BI952" s="209"/>
      <c r="BJ952" s="183"/>
      <c r="BK952" s="209"/>
      <c r="BL952" s="182"/>
      <c r="BM952" s="210"/>
      <c r="BO952" s="28" t="e">
        <f t="shared" si="119"/>
        <v>#DIV/0!</v>
      </c>
      <c r="BP952" s="28">
        <f t="shared" si="120"/>
        <v>0</v>
      </c>
    </row>
    <row r="953" spans="22:68" x14ac:dyDescent="0.25">
      <c r="V953" s="178"/>
      <c r="W953" s="174"/>
      <c r="X953" s="179"/>
      <c r="Y953" s="247"/>
      <c r="Z953" s="248"/>
      <c r="AA953" s="294" t="str">
        <f t="shared" si="113"/>
        <v/>
      </c>
      <c r="AB953" s="219" t="str">
        <f t="shared" si="111"/>
        <v/>
      </c>
      <c r="AC953" s="219">
        <f t="shared" si="114"/>
        <v>0</v>
      </c>
      <c r="AD953" s="219">
        <f t="shared" si="115"/>
        <v>0</v>
      </c>
      <c r="AE953" s="220">
        <f t="shared" si="116"/>
        <v>0</v>
      </c>
      <c r="AF953" s="221">
        <f t="shared" si="117"/>
        <v>0</v>
      </c>
      <c r="AG953" s="204"/>
      <c r="AH953" s="178"/>
      <c r="AI953" s="174"/>
      <c r="AJ953" s="179"/>
      <c r="AK953" s="247"/>
      <c r="AL953" s="248"/>
      <c r="AM953" s="294" t="str">
        <f t="shared" si="121"/>
        <v/>
      </c>
      <c r="AN953" s="219" t="str">
        <f t="shared" si="112"/>
        <v/>
      </c>
      <c r="AO953" s="219">
        <f t="shared" si="122"/>
        <v>0</v>
      </c>
      <c r="AP953" s="219">
        <f t="shared" si="118"/>
        <v>0</v>
      </c>
      <c r="AQ953" s="220">
        <f t="shared" si="123"/>
        <v>0</v>
      </c>
      <c r="AR953" s="221">
        <f t="shared" si="124"/>
        <v>0</v>
      </c>
      <c r="AZ953" s="471"/>
      <c r="BA953" s="181"/>
      <c r="BB953" s="182"/>
      <c r="BC953" s="209"/>
      <c r="BD953" s="182"/>
      <c r="BE953" s="209"/>
      <c r="BF953" s="182"/>
      <c r="BG953" s="209"/>
      <c r="BH953" s="182"/>
      <c r="BI953" s="209"/>
      <c r="BJ953" s="183"/>
      <c r="BK953" s="209"/>
      <c r="BL953" s="182"/>
      <c r="BM953" s="210"/>
      <c r="BO953" s="28" t="e">
        <f t="shared" si="119"/>
        <v>#DIV/0!</v>
      </c>
      <c r="BP953" s="28">
        <f t="shared" si="120"/>
        <v>0</v>
      </c>
    </row>
    <row r="954" spans="22:68" x14ac:dyDescent="0.25">
      <c r="V954" s="178"/>
      <c r="W954" s="174"/>
      <c r="X954" s="179"/>
      <c r="Y954" s="247"/>
      <c r="Z954" s="248"/>
      <c r="AA954" s="294" t="str">
        <f t="shared" si="113"/>
        <v/>
      </c>
      <c r="AB954" s="219" t="str">
        <f t="shared" si="111"/>
        <v/>
      </c>
      <c r="AC954" s="219">
        <f t="shared" si="114"/>
        <v>0</v>
      </c>
      <c r="AD954" s="219">
        <f t="shared" si="115"/>
        <v>0</v>
      </c>
      <c r="AE954" s="220">
        <f t="shared" si="116"/>
        <v>0</v>
      </c>
      <c r="AF954" s="221">
        <f t="shared" si="117"/>
        <v>0</v>
      </c>
      <c r="AG954" s="204"/>
      <c r="AH954" s="178"/>
      <c r="AI954" s="174"/>
      <c r="AJ954" s="179"/>
      <c r="AK954" s="247"/>
      <c r="AL954" s="248"/>
      <c r="AM954" s="294" t="str">
        <f t="shared" si="121"/>
        <v/>
      </c>
      <c r="AN954" s="219" t="str">
        <f t="shared" si="112"/>
        <v/>
      </c>
      <c r="AO954" s="219">
        <f t="shared" si="122"/>
        <v>0</v>
      </c>
      <c r="AP954" s="219">
        <f t="shared" si="118"/>
        <v>0</v>
      </c>
      <c r="AQ954" s="220">
        <f t="shared" si="123"/>
        <v>0</v>
      </c>
      <c r="AR954" s="221">
        <f t="shared" si="124"/>
        <v>0</v>
      </c>
      <c r="AZ954" s="471"/>
      <c r="BA954" s="181"/>
      <c r="BB954" s="182"/>
      <c r="BC954" s="209"/>
      <c r="BD954" s="182"/>
      <c r="BE954" s="209"/>
      <c r="BF954" s="182"/>
      <c r="BG954" s="209"/>
      <c r="BH954" s="182"/>
      <c r="BI954" s="209"/>
      <c r="BJ954" s="183"/>
      <c r="BK954" s="209"/>
      <c r="BL954" s="182"/>
      <c r="BM954" s="210"/>
      <c r="BO954" s="28" t="e">
        <f t="shared" si="119"/>
        <v>#DIV/0!</v>
      </c>
      <c r="BP954" s="28">
        <f t="shared" si="120"/>
        <v>0</v>
      </c>
    </row>
    <row r="955" spans="22:68" x14ac:dyDescent="0.25">
      <c r="V955" s="178"/>
      <c r="W955" s="174"/>
      <c r="X955" s="179"/>
      <c r="Y955" s="247"/>
      <c r="Z955" s="248"/>
      <c r="AA955" s="294" t="str">
        <f t="shared" si="113"/>
        <v/>
      </c>
      <c r="AB955" s="219" t="str">
        <f t="shared" si="111"/>
        <v/>
      </c>
      <c r="AC955" s="219">
        <f t="shared" si="114"/>
        <v>0</v>
      </c>
      <c r="AD955" s="219">
        <f t="shared" si="115"/>
        <v>0</v>
      </c>
      <c r="AE955" s="220">
        <f t="shared" si="116"/>
        <v>0</v>
      </c>
      <c r="AF955" s="221">
        <f t="shared" si="117"/>
        <v>0</v>
      </c>
      <c r="AG955" s="204"/>
      <c r="AH955" s="178"/>
      <c r="AI955" s="174"/>
      <c r="AJ955" s="179"/>
      <c r="AK955" s="247"/>
      <c r="AL955" s="248"/>
      <c r="AM955" s="294" t="str">
        <f t="shared" si="121"/>
        <v/>
      </c>
      <c r="AN955" s="219" t="str">
        <f t="shared" si="112"/>
        <v/>
      </c>
      <c r="AO955" s="219">
        <f t="shared" si="122"/>
        <v>0</v>
      </c>
      <c r="AP955" s="219">
        <f t="shared" si="118"/>
        <v>0</v>
      </c>
      <c r="AQ955" s="220">
        <f t="shared" si="123"/>
        <v>0</v>
      </c>
      <c r="AR955" s="221">
        <f t="shared" si="124"/>
        <v>0</v>
      </c>
      <c r="AZ955" s="471"/>
      <c r="BA955" s="181"/>
      <c r="BB955" s="182"/>
      <c r="BC955" s="209"/>
      <c r="BD955" s="182"/>
      <c r="BE955" s="209"/>
      <c r="BF955" s="182"/>
      <c r="BG955" s="209"/>
      <c r="BH955" s="182"/>
      <c r="BI955" s="209"/>
      <c r="BJ955" s="183"/>
      <c r="BK955" s="209"/>
      <c r="BL955" s="182"/>
      <c r="BM955" s="210"/>
      <c r="BO955" s="28" t="e">
        <f t="shared" si="119"/>
        <v>#DIV/0!</v>
      </c>
      <c r="BP955" s="28">
        <f t="shared" si="120"/>
        <v>0</v>
      </c>
    </row>
    <row r="956" spans="22:68" x14ac:dyDescent="0.25">
      <c r="V956" s="178"/>
      <c r="W956" s="174"/>
      <c r="X956" s="179"/>
      <c r="Y956" s="247"/>
      <c r="Z956" s="248"/>
      <c r="AA956" s="294" t="str">
        <f t="shared" si="113"/>
        <v/>
      </c>
      <c r="AB956" s="219" t="str">
        <f t="shared" si="111"/>
        <v/>
      </c>
      <c r="AC956" s="219">
        <f t="shared" si="114"/>
        <v>0</v>
      </c>
      <c r="AD956" s="219">
        <f t="shared" si="115"/>
        <v>0</v>
      </c>
      <c r="AE956" s="220">
        <f t="shared" si="116"/>
        <v>0</v>
      </c>
      <c r="AF956" s="221">
        <f t="shared" si="117"/>
        <v>0</v>
      </c>
      <c r="AG956" s="204"/>
      <c r="AH956" s="178"/>
      <c r="AI956" s="174"/>
      <c r="AJ956" s="179"/>
      <c r="AK956" s="247"/>
      <c r="AL956" s="248"/>
      <c r="AM956" s="294" t="str">
        <f t="shared" si="121"/>
        <v/>
      </c>
      <c r="AN956" s="219" t="str">
        <f t="shared" si="112"/>
        <v/>
      </c>
      <c r="AO956" s="219">
        <f t="shared" si="122"/>
        <v>0</v>
      </c>
      <c r="AP956" s="219">
        <f t="shared" si="118"/>
        <v>0</v>
      </c>
      <c r="AQ956" s="220">
        <f t="shared" si="123"/>
        <v>0</v>
      </c>
      <c r="AR956" s="221">
        <f t="shared" si="124"/>
        <v>0</v>
      </c>
      <c r="AZ956" s="471"/>
      <c r="BA956" s="181"/>
      <c r="BB956" s="182"/>
      <c r="BC956" s="209"/>
      <c r="BD956" s="182"/>
      <c r="BE956" s="209"/>
      <c r="BF956" s="182"/>
      <c r="BG956" s="209"/>
      <c r="BH956" s="182"/>
      <c r="BI956" s="209"/>
      <c r="BJ956" s="183"/>
      <c r="BK956" s="209"/>
      <c r="BL956" s="182"/>
      <c r="BM956" s="210"/>
      <c r="BO956" s="28" t="e">
        <f t="shared" si="119"/>
        <v>#DIV/0!</v>
      </c>
      <c r="BP956" s="28">
        <f t="shared" si="120"/>
        <v>0</v>
      </c>
    </row>
    <row r="957" spans="22:68" x14ac:dyDescent="0.25">
      <c r="V957" s="178"/>
      <c r="W957" s="174"/>
      <c r="X957" s="179"/>
      <c r="Y957" s="247"/>
      <c r="Z957" s="248"/>
      <c r="AA957" s="294" t="str">
        <f t="shared" si="113"/>
        <v/>
      </c>
      <c r="AB957" s="219" t="str">
        <f t="shared" si="111"/>
        <v/>
      </c>
      <c r="AC957" s="219">
        <f t="shared" si="114"/>
        <v>0</v>
      </c>
      <c r="AD957" s="219">
        <f t="shared" si="115"/>
        <v>0</v>
      </c>
      <c r="AE957" s="220">
        <f t="shared" si="116"/>
        <v>0</v>
      </c>
      <c r="AF957" s="221">
        <f t="shared" si="117"/>
        <v>0</v>
      </c>
      <c r="AG957" s="204"/>
      <c r="AH957" s="178"/>
      <c r="AI957" s="174"/>
      <c r="AJ957" s="179"/>
      <c r="AK957" s="247"/>
      <c r="AL957" s="248"/>
      <c r="AM957" s="294" t="str">
        <f t="shared" si="121"/>
        <v/>
      </c>
      <c r="AN957" s="219" t="str">
        <f t="shared" si="112"/>
        <v/>
      </c>
      <c r="AO957" s="219">
        <f t="shared" si="122"/>
        <v>0</v>
      </c>
      <c r="AP957" s="219">
        <f t="shared" si="118"/>
        <v>0</v>
      </c>
      <c r="AQ957" s="220">
        <f t="shared" si="123"/>
        <v>0</v>
      </c>
      <c r="AR957" s="221">
        <f t="shared" si="124"/>
        <v>0</v>
      </c>
      <c r="AZ957" s="471"/>
      <c r="BA957" s="181"/>
      <c r="BB957" s="182"/>
      <c r="BC957" s="209"/>
      <c r="BD957" s="182"/>
      <c r="BE957" s="209"/>
      <c r="BF957" s="182"/>
      <c r="BG957" s="209"/>
      <c r="BH957" s="182"/>
      <c r="BI957" s="209"/>
      <c r="BJ957" s="183"/>
      <c r="BK957" s="209"/>
      <c r="BL957" s="182"/>
      <c r="BM957" s="210"/>
      <c r="BO957" s="28" t="e">
        <f t="shared" si="119"/>
        <v>#DIV/0!</v>
      </c>
      <c r="BP957" s="28">
        <f t="shared" si="120"/>
        <v>0</v>
      </c>
    </row>
    <row r="958" spans="22:68" x14ac:dyDescent="0.25">
      <c r="V958" s="178"/>
      <c r="W958" s="174"/>
      <c r="X958" s="179"/>
      <c r="Y958" s="247"/>
      <c r="Z958" s="248"/>
      <c r="AA958" s="294" t="str">
        <f t="shared" si="113"/>
        <v/>
      </c>
      <c r="AB958" s="219" t="str">
        <f t="shared" si="111"/>
        <v/>
      </c>
      <c r="AC958" s="219">
        <f t="shared" si="114"/>
        <v>0</v>
      </c>
      <c r="AD958" s="219">
        <f t="shared" si="115"/>
        <v>0</v>
      </c>
      <c r="AE958" s="220">
        <f t="shared" si="116"/>
        <v>0</v>
      </c>
      <c r="AF958" s="221">
        <f t="shared" si="117"/>
        <v>0</v>
      </c>
      <c r="AG958" s="204"/>
      <c r="AH958" s="178"/>
      <c r="AI958" s="174"/>
      <c r="AJ958" s="179"/>
      <c r="AK958" s="247"/>
      <c r="AL958" s="248"/>
      <c r="AM958" s="294" t="str">
        <f t="shared" si="121"/>
        <v/>
      </c>
      <c r="AN958" s="219" t="str">
        <f t="shared" si="112"/>
        <v/>
      </c>
      <c r="AO958" s="219">
        <f t="shared" si="122"/>
        <v>0</v>
      </c>
      <c r="AP958" s="219">
        <f t="shared" si="118"/>
        <v>0</v>
      </c>
      <c r="AQ958" s="220">
        <f t="shared" si="123"/>
        <v>0</v>
      </c>
      <c r="AR958" s="221">
        <f t="shared" si="124"/>
        <v>0</v>
      </c>
      <c r="AZ958" s="471"/>
      <c r="BA958" s="181"/>
      <c r="BB958" s="182"/>
      <c r="BC958" s="209"/>
      <c r="BD958" s="182"/>
      <c r="BE958" s="209"/>
      <c r="BF958" s="182"/>
      <c r="BG958" s="209"/>
      <c r="BH958" s="182"/>
      <c r="BI958" s="209"/>
      <c r="BJ958" s="183"/>
      <c r="BK958" s="209"/>
      <c r="BL958" s="182"/>
      <c r="BM958" s="210"/>
      <c r="BO958" s="28" t="e">
        <f t="shared" si="119"/>
        <v>#DIV/0!</v>
      </c>
      <c r="BP958" s="28">
        <f t="shared" si="120"/>
        <v>0</v>
      </c>
    </row>
    <row r="959" spans="22:68" x14ac:dyDescent="0.25">
      <c r="V959" s="178"/>
      <c r="W959" s="174"/>
      <c r="X959" s="179"/>
      <c r="Y959" s="247"/>
      <c r="Z959" s="248"/>
      <c r="AA959" s="294" t="str">
        <f t="shared" si="113"/>
        <v/>
      </c>
      <c r="AB959" s="219" t="str">
        <f t="shared" si="111"/>
        <v/>
      </c>
      <c r="AC959" s="219">
        <f t="shared" si="114"/>
        <v>0</v>
      </c>
      <c r="AD959" s="219">
        <f t="shared" si="115"/>
        <v>0</v>
      </c>
      <c r="AE959" s="220">
        <f t="shared" si="116"/>
        <v>0</v>
      </c>
      <c r="AF959" s="221">
        <f t="shared" si="117"/>
        <v>0</v>
      </c>
      <c r="AG959" s="204"/>
      <c r="AH959" s="178"/>
      <c r="AI959" s="174"/>
      <c r="AJ959" s="179"/>
      <c r="AK959" s="247"/>
      <c r="AL959" s="248"/>
      <c r="AM959" s="294" t="str">
        <f t="shared" si="121"/>
        <v/>
      </c>
      <c r="AN959" s="219" t="str">
        <f t="shared" si="112"/>
        <v/>
      </c>
      <c r="AO959" s="219">
        <f t="shared" si="122"/>
        <v>0</v>
      </c>
      <c r="AP959" s="219">
        <f t="shared" si="118"/>
        <v>0</v>
      </c>
      <c r="AQ959" s="220">
        <f t="shared" si="123"/>
        <v>0</v>
      </c>
      <c r="AR959" s="221">
        <f t="shared" si="124"/>
        <v>0</v>
      </c>
      <c r="AZ959" s="471"/>
      <c r="BA959" s="181"/>
      <c r="BB959" s="182"/>
      <c r="BC959" s="209"/>
      <c r="BD959" s="182"/>
      <c r="BE959" s="209"/>
      <c r="BF959" s="182"/>
      <c r="BG959" s="209"/>
      <c r="BH959" s="182"/>
      <c r="BI959" s="209"/>
      <c r="BJ959" s="183"/>
      <c r="BK959" s="209"/>
      <c r="BL959" s="182"/>
      <c r="BM959" s="210"/>
      <c r="BO959" s="28" t="e">
        <f t="shared" si="119"/>
        <v>#DIV/0!</v>
      </c>
      <c r="BP959" s="28">
        <f t="shared" si="120"/>
        <v>0</v>
      </c>
    </row>
    <row r="960" spans="22:68" x14ac:dyDescent="0.25">
      <c r="V960" s="178"/>
      <c r="W960" s="174"/>
      <c r="X960" s="179"/>
      <c r="Y960" s="247"/>
      <c r="Z960" s="248"/>
      <c r="AA960" s="294" t="str">
        <f t="shared" si="113"/>
        <v/>
      </c>
      <c r="AB960" s="219" t="str">
        <f t="shared" si="111"/>
        <v/>
      </c>
      <c r="AC960" s="219">
        <f t="shared" si="114"/>
        <v>0</v>
      </c>
      <c r="AD960" s="219">
        <f t="shared" si="115"/>
        <v>0</v>
      </c>
      <c r="AE960" s="220">
        <f t="shared" si="116"/>
        <v>0</v>
      </c>
      <c r="AF960" s="221">
        <f t="shared" si="117"/>
        <v>0</v>
      </c>
      <c r="AG960" s="204"/>
      <c r="AH960" s="178"/>
      <c r="AI960" s="174"/>
      <c r="AJ960" s="179"/>
      <c r="AK960" s="247"/>
      <c r="AL960" s="248"/>
      <c r="AM960" s="294" t="str">
        <f t="shared" si="121"/>
        <v/>
      </c>
      <c r="AN960" s="219" t="str">
        <f t="shared" si="112"/>
        <v/>
      </c>
      <c r="AO960" s="219">
        <f t="shared" si="122"/>
        <v>0</v>
      </c>
      <c r="AP960" s="219">
        <f t="shared" si="118"/>
        <v>0</v>
      </c>
      <c r="AQ960" s="220">
        <f t="shared" si="123"/>
        <v>0</v>
      </c>
      <c r="AR960" s="221">
        <f t="shared" si="124"/>
        <v>0</v>
      </c>
      <c r="AZ960" s="471"/>
      <c r="BA960" s="181"/>
      <c r="BB960" s="182"/>
      <c r="BC960" s="209"/>
      <c r="BD960" s="182"/>
      <c r="BE960" s="209"/>
      <c r="BF960" s="182"/>
      <c r="BG960" s="209"/>
      <c r="BH960" s="182"/>
      <c r="BI960" s="209"/>
      <c r="BJ960" s="183"/>
      <c r="BK960" s="209"/>
      <c r="BL960" s="182"/>
      <c r="BM960" s="210"/>
      <c r="BO960" s="28" t="e">
        <f t="shared" si="119"/>
        <v>#DIV/0!</v>
      </c>
      <c r="BP960" s="28">
        <f t="shared" si="120"/>
        <v>0</v>
      </c>
    </row>
    <row r="961" spans="22:68" x14ac:dyDescent="0.25">
      <c r="V961" s="178"/>
      <c r="W961" s="174"/>
      <c r="X961" s="179"/>
      <c r="Y961" s="247"/>
      <c r="Z961" s="248"/>
      <c r="AA961" s="294" t="str">
        <f t="shared" si="113"/>
        <v/>
      </c>
      <c r="AB961" s="219" t="str">
        <f t="shared" si="111"/>
        <v/>
      </c>
      <c r="AC961" s="219">
        <f t="shared" si="114"/>
        <v>0</v>
      </c>
      <c r="AD961" s="219">
        <f t="shared" si="115"/>
        <v>0</v>
      </c>
      <c r="AE961" s="220">
        <f t="shared" si="116"/>
        <v>0</v>
      </c>
      <c r="AF961" s="221">
        <f t="shared" si="117"/>
        <v>0</v>
      </c>
      <c r="AG961" s="204"/>
      <c r="AH961" s="178"/>
      <c r="AI961" s="174"/>
      <c r="AJ961" s="179"/>
      <c r="AK961" s="247"/>
      <c r="AL961" s="248"/>
      <c r="AM961" s="294" t="str">
        <f t="shared" si="121"/>
        <v/>
      </c>
      <c r="AN961" s="219" t="str">
        <f t="shared" si="112"/>
        <v/>
      </c>
      <c r="AO961" s="219">
        <f t="shared" si="122"/>
        <v>0</v>
      </c>
      <c r="AP961" s="219">
        <f t="shared" si="118"/>
        <v>0</v>
      </c>
      <c r="AQ961" s="220">
        <f t="shared" si="123"/>
        <v>0</v>
      </c>
      <c r="AR961" s="221">
        <f t="shared" si="124"/>
        <v>0</v>
      </c>
      <c r="AZ961" s="471"/>
      <c r="BA961" s="181"/>
      <c r="BB961" s="182"/>
      <c r="BC961" s="209"/>
      <c r="BD961" s="182"/>
      <c r="BE961" s="209"/>
      <c r="BF961" s="182"/>
      <c r="BG961" s="209"/>
      <c r="BH961" s="182"/>
      <c r="BI961" s="209"/>
      <c r="BJ961" s="183"/>
      <c r="BK961" s="209"/>
      <c r="BL961" s="182"/>
      <c r="BM961" s="210"/>
      <c r="BO961" s="28" t="e">
        <f t="shared" si="119"/>
        <v>#DIV/0!</v>
      </c>
      <c r="BP961" s="28">
        <f t="shared" si="120"/>
        <v>0</v>
      </c>
    </row>
    <row r="962" spans="22:68" x14ac:dyDescent="0.25">
      <c r="V962" s="178"/>
      <c r="W962" s="174"/>
      <c r="X962" s="179"/>
      <c r="Y962" s="247"/>
      <c r="Z962" s="248"/>
      <c r="AA962" s="294" t="str">
        <f t="shared" si="113"/>
        <v/>
      </c>
      <c r="AB962" s="219" t="str">
        <f t="shared" si="111"/>
        <v/>
      </c>
      <c r="AC962" s="219">
        <f t="shared" si="114"/>
        <v>0</v>
      </c>
      <c r="AD962" s="219">
        <f t="shared" si="115"/>
        <v>0</v>
      </c>
      <c r="AE962" s="220">
        <f t="shared" si="116"/>
        <v>0</v>
      </c>
      <c r="AF962" s="221">
        <f t="shared" si="117"/>
        <v>0</v>
      </c>
      <c r="AG962" s="204"/>
      <c r="AH962" s="178"/>
      <c r="AI962" s="174"/>
      <c r="AJ962" s="179"/>
      <c r="AK962" s="247"/>
      <c r="AL962" s="248"/>
      <c r="AM962" s="294" t="str">
        <f t="shared" si="121"/>
        <v/>
      </c>
      <c r="AN962" s="219" t="str">
        <f t="shared" si="112"/>
        <v/>
      </c>
      <c r="AO962" s="219">
        <f t="shared" si="122"/>
        <v>0</v>
      </c>
      <c r="AP962" s="219">
        <f t="shared" si="118"/>
        <v>0</v>
      </c>
      <c r="AQ962" s="220">
        <f t="shared" si="123"/>
        <v>0</v>
      </c>
      <c r="AR962" s="221">
        <f t="shared" si="124"/>
        <v>0</v>
      </c>
      <c r="AZ962" s="471"/>
      <c r="BA962" s="181"/>
      <c r="BB962" s="182"/>
      <c r="BC962" s="209"/>
      <c r="BD962" s="182"/>
      <c r="BE962" s="209"/>
      <c r="BF962" s="182"/>
      <c r="BG962" s="209"/>
      <c r="BH962" s="182"/>
      <c r="BI962" s="209"/>
      <c r="BJ962" s="183"/>
      <c r="BK962" s="209"/>
      <c r="BL962" s="182"/>
      <c r="BM962" s="210"/>
      <c r="BO962" s="28" t="e">
        <f t="shared" si="119"/>
        <v>#DIV/0!</v>
      </c>
      <c r="BP962" s="28">
        <f t="shared" si="120"/>
        <v>0</v>
      </c>
    </row>
    <row r="963" spans="22:68" x14ac:dyDescent="0.25">
      <c r="V963" s="178"/>
      <c r="W963" s="174"/>
      <c r="X963" s="179"/>
      <c r="Y963" s="247"/>
      <c r="Z963" s="248"/>
      <c r="AA963" s="294" t="str">
        <f t="shared" si="113"/>
        <v/>
      </c>
      <c r="AB963" s="219" t="str">
        <f t="shared" si="111"/>
        <v/>
      </c>
      <c r="AC963" s="219">
        <f t="shared" si="114"/>
        <v>0</v>
      </c>
      <c r="AD963" s="219">
        <f t="shared" si="115"/>
        <v>0</v>
      </c>
      <c r="AE963" s="220">
        <f t="shared" si="116"/>
        <v>0</v>
      </c>
      <c r="AF963" s="221">
        <f t="shared" si="117"/>
        <v>0</v>
      </c>
      <c r="AG963" s="204"/>
      <c r="AH963" s="178"/>
      <c r="AI963" s="174"/>
      <c r="AJ963" s="179"/>
      <c r="AK963" s="247"/>
      <c r="AL963" s="248"/>
      <c r="AM963" s="294" t="str">
        <f t="shared" si="121"/>
        <v/>
      </c>
      <c r="AN963" s="219" t="str">
        <f t="shared" si="112"/>
        <v/>
      </c>
      <c r="AO963" s="219">
        <f t="shared" si="122"/>
        <v>0</v>
      </c>
      <c r="AP963" s="219">
        <f t="shared" si="118"/>
        <v>0</v>
      </c>
      <c r="AQ963" s="220">
        <f t="shared" si="123"/>
        <v>0</v>
      </c>
      <c r="AR963" s="221">
        <f t="shared" si="124"/>
        <v>0</v>
      </c>
      <c r="AZ963" s="471"/>
      <c r="BA963" s="181"/>
      <c r="BB963" s="182"/>
      <c r="BC963" s="209"/>
      <c r="BD963" s="182"/>
      <c r="BE963" s="209"/>
      <c r="BF963" s="182"/>
      <c r="BG963" s="209"/>
      <c r="BH963" s="182"/>
      <c r="BI963" s="209"/>
      <c r="BJ963" s="183"/>
      <c r="BK963" s="209"/>
      <c r="BL963" s="182"/>
      <c r="BM963" s="210"/>
      <c r="BO963" s="28" t="e">
        <f t="shared" si="119"/>
        <v>#DIV/0!</v>
      </c>
      <c r="BP963" s="28">
        <f t="shared" si="120"/>
        <v>0</v>
      </c>
    </row>
    <row r="964" spans="22:68" x14ac:dyDescent="0.25">
      <c r="V964" s="178"/>
      <c r="W964" s="174"/>
      <c r="X964" s="179"/>
      <c r="Y964" s="247"/>
      <c r="Z964" s="248"/>
      <c r="AA964" s="294" t="str">
        <f t="shared" si="113"/>
        <v/>
      </c>
      <c r="AB964" s="219" t="str">
        <f t="shared" si="111"/>
        <v/>
      </c>
      <c r="AC964" s="219">
        <f t="shared" si="114"/>
        <v>0</v>
      </c>
      <c r="AD964" s="219">
        <f t="shared" si="115"/>
        <v>0</v>
      </c>
      <c r="AE964" s="220">
        <f t="shared" si="116"/>
        <v>0</v>
      </c>
      <c r="AF964" s="221">
        <f t="shared" si="117"/>
        <v>0</v>
      </c>
      <c r="AG964" s="204"/>
      <c r="AH964" s="178"/>
      <c r="AI964" s="174"/>
      <c r="AJ964" s="179"/>
      <c r="AK964" s="247"/>
      <c r="AL964" s="248"/>
      <c r="AM964" s="294" t="str">
        <f t="shared" si="121"/>
        <v/>
      </c>
      <c r="AN964" s="219" t="str">
        <f t="shared" si="112"/>
        <v/>
      </c>
      <c r="AO964" s="219">
        <f t="shared" si="122"/>
        <v>0</v>
      </c>
      <c r="AP964" s="219">
        <f t="shared" si="118"/>
        <v>0</v>
      </c>
      <c r="AQ964" s="220">
        <f t="shared" si="123"/>
        <v>0</v>
      </c>
      <c r="AR964" s="221">
        <f t="shared" si="124"/>
        <v>0</v>
      </c>
      <c r="AZ964" s="471"/>
      <c r="BA964" s="181"/>
      <c r="BB964" s="182"/>
      <c r="BC964" s="209"/>
      <c r="BD964" s="182"/>
      <c r="BE964" s="209"/>
      <c r="BF964" s="182"/>
      <c r="BG964" s="209"/>
      <c r="BH964" s="182"/>
      <c r="BI964" s="209"/>
      <c r="BJ964" s="183"/>
      <c r="BK964" s="209"/>
      <c r="BL964" s="182"/>
      <c r="BM964" s="210"/>
      <c r="BO964" s="28" t="e">
        <f t="shared" si="119"/>
        <v>#DIV/0!</v>
      </c>
      <c r="BP964" s="28">
        <f t="shared" si="120"/>
        <v>0</v>
      </c>
    </row>
    <row r="965" spans="22:68" x14ac:dyDescent="0.25">
      <c r="V965" s="178"/>
      <c r="W965" s="174"/>
      <c r="X965" s="179"/>
      <c r="Y965" s="247"/>
      <c r="Z965" s="248"/>
      <c r="AA965" s="294" t="str">
        <f t="shared" si="113"/>
        <v/>
      </c>
      <c r="AB965" s="219" t="str">
        <f t="shared" si="111"/>
        <v/>
      </c>
      <c r="AC965" s="219">
        <f t="shared" si="114"/>
        <v>0</v>
      </c>
      <c r="AD965" s="219">
        <f t="shared" si="115"/>
        <v>0</v>
      </c>
      <c r="AE965" s="220">
        <f t="shared" si="116"/>
        <v>0</v>
      </c>
      <c r="AF965" s="221">
        <f t="shared" si="117"/>
        <v>0</v>
      </c>
      <c r="AG965" s="204"/>
      <c r="AH965" s="178"/>
      <c r="AI965" s="174"/>
      <c r="AJ965" s="179"/>
      <c r="AK965" s="247"/>
      <c r="AL965" s="248"/>
      <c r="AM965" s="294" t="str">
        <f t="shared" si="121"/>
        <v/>
      </c>
      <c r="AN965" s="219" t="str">
        <f t="shared" si="112"/>
        <v/>
      </c>
      <c r="AO965" s="219">
        <f t="shared" si="122"/>
        <v>0</v>
      </c>
      <c r="AP965" s="219">
        <f t="shared" si="118"/>
        <v>0</v>
      </c>
      <c r="AQ965" s="220">
        <f t="shared" si="123"/>
        <v>0</v>
      </c>
      <c r="AR965" s="221">
        <f t="shared" si="124"/>
        <v>0</v>
      </c>
      <c r="AZ965" s="471"/>
      <c r="BA965" s="181"/>
      <c r="BB965" s="182"/>
      <c r="BC965" s="209"/>
      <c r="BD965" s="182"/>
      <c r="BE965" s="209"/>
      <c r="BF965" s="182"/>
      <c r="BG965" s="209"/>
      <c r="BH965" s="182"/>
      <c r="BI965" s="209"/>
      <c r="BJ965" s="183"/>
      <c r="BK965" s="209"/>
      <c r="BL965" s="182"/>
      <c r="BM965" s="210"/>
      <c r="BO965" s="28" t="e">
        <f t="shared" si="119"/>
        <v>#DIV/0!</v>
      </c>
      <c r="BP965" s="28">
        <f t="shared" si="120"/>
        <v>0</v>
      </c>
    </row>
    <row r="966" spans="22:68" x14ac:dyDescent="0.25">
      <c r="V966" s="178"/>
      <c r="W966" s="174"/>
      <c r="X966" s="179"/>
      <c r="Y966" s="247"/>
      <c r="Z966" s="248"/>
      <c r="AA966" s="294" t="str">
        <f t="shared" si="113"/>
        <v/>
      </c>
      <c r="AB966" s="219" t="str">
        <f t="shared" si="111"/>
        <v/>
      </c>
      <c r="AC966" s="219">
        <f t="shared" si="114"/>
        <v>0</v>
      </c>
      <c r="AD966" s="219">
        <f t="shared" si="115"/>
        <v>0</v>
      </c>
      <c r="AE966" s="220">
        <f t="shared" si="116"/>
        <v>0</v>
      </c>
      <c r="AF966" s="221">
        <f t="shared" si="117"/>
        <v>0</v>
      </c>
      <c r="AG966" s="204"/>
      <c r="AH966" s="178"/>
      <c r="AI966" s="174"/>
      <c r="AJ966" s="179"/>
      <c r="AK966" s="247"/>
      <c r="AL966" s="248"/>
      <c r="AM966" s="294" t="str">
        <f t="shared" si="121"/>
        <v/>
      </c>
      <c r="AN966" s="219" t="str">
        <f t="shared" si="112"/>
        <v/>
      </c>
      <c r="AO966" s="219">
        <f t="shared" si="122"/>
        <v>0</v>
      </c>
      <c r="AP966" s="219">
        <f t="shared" si="118"/>
        <v>0</v>
      </c>
      <c r="AQ966" s="220">
        <f t="shared" si="123"/>
        <v>0</v>
      </c>
      <c r="AR966" s="221">
        <f t="shared" si="124"/>
        <v>0</v>
      </c>
      <c r="AZ966" s="471"/>
      <c r="BA966" s="181"/>
      <c r="BB966" s="182"/>
      <c r="BC966" s="209"/>
      <c r="BD966" s="182"/>
      <c r="BE966" s="209"/>
      <c r="BF966" s="182"/>
      <c r="BG966" s="209"/>
      <c r="BH966" s="182"/>
      <c r="BI966" s="209"/>
      <c r="BJ966" s="183"/>
      <c r="BK966" s="209"/>
      <c r="BL966" s="182"/>
      <c r="BM966" s="210"/>
      <c r="BO966" s="28" t="e">
        <f t="shared" si="119"/>
        <v>#DIV/0!</v>
      </c>
      <c r="BP966" s="28">
        <f t="shared" si="120"/>
        <v>0</v>
      </c>
    </row>
    <row r="967" spans="22:68" x14ac:dyDescent="0.25">
      <c r="V967" s="178"/>
      <c r="W967" s="174"/>
      <c r="X967" s="179"/>
      <c r="Y967" s="247"/>
      <c r="Z967" s="248"/>
      <c r="AA967" s="294" t="str">
        <f t="shared" si="113"/>
        <v/>
      </c>
      <c r="AB967" s="219" t="str">
        <f t="shared" si="111"/>
        <v/>
      </c>
      <c r="AC967" s="219">
        <f t="shared" si="114"/>
        <v>0</v>
      </c>
      <c r="AD967" s="219">
        <f t="shared" si="115"/>
        <v>0</v>
      </c>
      <c r="AE967" s="220">
        <f t="shared" si="116"/>
        <v>0</v>
      </c>
      <c r="AF967" s="221">
        <f t="shared" si="117"/>
        <v>0</v>
      </c>
      <c r="AG967" s="204"/>
      <c r="AH967" s="178"/>
      <c r="AI967" s="174"/>
      <c r="AJ967" s="179"/>
      <c r="AK967" s="247"/>
      <c r="AL967" s="248"/>
      <c r="AM967" s="294" t="str">
        <f t="shared" si="121"/>
        <v/>
      </c>
      <c r="AN967" s="219" t="str">
        <f t="shared" si="112"/>
        <v/>
      </c>
      <c r="AO967" s="219">
        <f t="shared" si="122"/>
        <v>0</v>
      </c>
      <c r="AP967" s="219">
        <f t="shared" si="118"/>
        <v>0</v>
      </c>
      <c r="AQ967" s="220">
        <f t="shared" si="123"/>
        <v>0</v>
      </c>
      <c r="AR967" s="221">
        <f t="shared" si="124"/>
        <v>0</v>
      </c>
      <c r="AZ967" s="471"/>
      <c r="BA967" s="181"/>
      <c r="BB967" s="182"/>
      <c r="BC967" s="209"/>
      <c r="BD967" s="182"/>
      <c r="BE967" s="209"/>
      <c r="BF967" s="182"/>
      <c r="BG967" s="209"/>
      <c r="BH967" s="182"/>
      <c r="BI967" s="209"/>
      <c r="BJ967" s="183"/>
      <c r="BK967" s="209"/>
      <c r="BL967" s="182"/>
      <c r="BM967" s="210"/>
      <c r="BO967" s="28" t="e">
        <f t="shared" si="119"/>
        <v>#DIV/0!</v>
      </c>
      <c r="BP967" s="28">
        <f t="shared" si="120"/>
        <v>0</v>
      </c>
    </row>
    <row r="968" spans="22:68" x14ac:dyDescent="0.25">
      <c r="V968" s="178"/>
      <c r="W968" s="174"/>
      <c r="X968" s="179"/>
      <c r="Y968" s="247"/>
      <c r="Z968" s="248"/>
      <c r="AA968" s="294" t="str">
        <f t="shared" si="113"/>
        <v/>
      </c>
      <c r="AB968" s="219" t="str">
        <f t="shared" ref="AB968:AB1008" si="125">IF(Y968&gt;1,IF((TestEOY-X968)/365&gt;AA968,AA968,ROUNDUP(((TestEOY-X968)/365),0)),"")</f>
        <v/>
      </c>
      <c r="AC968" s="219">
        <f t="shared" si="114"/>
        <v>0</v>
      </c>
      <c r="AD968" s="219">
        <f t="shared" si="115"/>
        <v>0</v>
      </c>
      <c r="AE968" s="220">
        <f t="shared" si="116"/>
        <v>0</v>
      </c>
      <c r="AF968" s="221">
        <f t="shared" si="117"/>
        <v>0</v>
      </c>
      <c r="AG968" s="204"/>
      <c r="AH968" s="178"/>
      <c r="AI968" s="174"/>
      <c r="AJ968" s="179"/>
      <c r="AK968" s="247"/>
      <c r="AL968" s="248"/>
      <c r="AM968" s="294" t="str">
        <f t="shared" si="121"/>
        <v/>
      </c>
      <c r="AN968" s="219" t="str">
        <f t="shared" ref="AN968:AN1008" si="126">IF(AK968&lt;&gt;"",IF((TestEOY-AJ968)/365&gt;AM968,AM968,ROUNDUP(((TestEOY-AJ968)/365),0)),"")</f>
        <v/>
      </c>
      <c r="AO968" s="219">
        <f t="shared" si="122"/>
        <v>0</v>
      </c>
      <c r="AP968" s="219">
        <f t="shared" si="118"/>
        <v>0</v>
      </c>
      <c r="AQ968" s="220">
        <f t="shared" si="123"/>
        <v>0</v>
      </c>
      <c r="AR968" s="221">
        <f t="shared" si="124"/>
        <v>0</v>
      </c>
      <c r="AZ968" s="471"/>
      <c r="BA968" s="181"/>
      <c r="BB968" s="182"/>
      <c r="BC968" s="209"/>
      <c r="BD968" s="182"/>
      <c r="BE968" s="209"/>
      <c r="BF968" s="182"/>
      <c r="BG968" s="209"/>
      <c r="BH968" s="182"/>
      <c r="BI968" s="209"/>
      <c r="BJ968" s="183"/>
      <c r="BK968" s="209"/>
      <c r="BL968" s="182"/>
      <c r="BM968" s="210"/>
      <c r="BO968" s="28" t="e">
        <f t="shared" si="119"/>
        <v>#DIV/0!</v>
      </c>
      <c r="BP968" s="28">
        <f t="shared" si="120"/>
        <v>0</v>
      </c>
    </row>
    <row r="969" spans="22:68" x14ac:dyDescent="0.25">
      <c r="V969" s="178"/>
      <c r="W969" s="174"/>
      <c r="X969" s="179"/>
      <c r="Y969" s="247"/>
      <c r="Z969" s="248"/>
      <c r="AA969" s="294" t="str">
        <f t="shared" ref="AA969:AA1008" si="127">IFERROR(INDEX($AU$8:$AU$23,MATCH(V969,$AT$8:$AT$23,0)),"")</f>
        <v/>
      </c>
      <c r="AB969" s="219" t="str">
        <f t="shared" si="125"/>
        <v/>
      </c>
      <c r="AC969" s="219">
        <f t="shared" ref="AC969:AC1008" si="128">IFERROR(IF(AB969&gt;=AA969,0,IF(AA969&gt;AB969,SLN(Y969,Z969,AA969),0)),"")</f>
        <v>0</v>
      </c>
      <c r="AD969" s="219">
        <f t="shared" ref="AD969:AD1008" si="129">AE969-AC969</f>
        <v>0</v>
      </c>
      <c r="AE969" s="220">
        <f t="shared" ref="AE969:AE1008" si="130">IFERROR(IF(OR(AA969=0,AA969=""),
     0,
     IF(AB969&gt;=AA969,
          +Y969,
          (+AC969*AB969))),
"")</f>
        <v>0</v>
      </c>
      <c r="AF969" s="221">
        <f t="shared" ref="AF969:AF1008" si="131">IFERROR(IF(AE969&gt;Y969,0,(+Y969-AE969))-Z969,"")</f>
        <v>0</v>
      </c>
      <c r="AG969" s="204"/>
      <c r="AH969" s="178"/>
      <c r="AI969" s="174"/>
      <c r="AJ969" s="179"/>
      <c r="AK969" s="247"/>
      <c r="AL969" s="248"/>
      <c r="AM969" s="294" t="str">
        <f t="shared" si="121"/>
        <v/>
      </c>
      <c r="AN969" s="219" t="str">
        <f t="shared" si="126"/>
        <v/>
      </c>
      <c r="AO969" s="219">
        <f t="shared" si="122"/>
        <v>0</v>
      </c>
      <c r="AP969" s="219">
        <f t="shared" ref="AP969:AP1008" si="132">AQ969-AO969</f>
        <v>0</v>
      </c>
      <c r="AQ969" s="220">
        <f t="shared" si="123"/>
        <v>0</v>
      </c>
      <c r="AR969" s="221">
        <f t="shared" si="124"/>
        <v>0</v>
      </c>
      <c r="AZ969" s="471"/>
      <c r="BA969" s="181"/>
      <c r="BB969" s="182"/>
      <c r="BC969" s="209"/>
      <c r="BD969" s="182"/>
      <c r="BE969" s="209"/>
      <c r="BF969" s="182"/>
      <c r="BG969" s="209"/>
      <c r="BH969" s="182"/>
      <c r="BI969" s="209"/>
      <c r="BJ969" s="183"/>
      <c r="BK969" s="209"/>
      <c r="BL969" s="182"/>
      <c r="BM969" s="210"/>
      <c r="BO969" s="28" t="e">
        <f t="shared" ref="BO969:BO1032" si="133">AVERAGE(BB969:BM969)</f>
        <v>#DIV/0!</v>
      </c>
      <c r="BP969" s="28">
        <f t="shared" ref="BP969:BP1032" si="134">SUM(BB969:BM969)</f>
        <v>0</v>
      </c>
    </row>
    <row r="970" spans="22:68" x14ac:dyDescent="0.25">
      <c r="V970" s="178"/>
      <c r="W970" s="174"/>
      <c r="X970" s="179"/>
      <c r="Y970" s="247"/>
      <c r="Z970" s="248"/>
      <c r="AA970" s="294" t="str">
        <f t="shared" si="127"/>
        <v/>
      </c>
      <c r="AB970" s="219" t="str">
        <f t="shared" si="125"/>
        <v/>
      </c>
      <c r="AC970" s="219">
        <f t="shared" si="128"/>
        <v>0</v>
      </c>
      <c r="AD970" s="219">
        <f t="shared" si="129"/>
        <v>0</v>
      </c>
      <c r="AE970" s="220">
        <f t="shared" si="130"/>
        <v>0</v>
      </c>
      <c r="AF970" s="221">
        <f t="shared" si="131"/>
        <v>0</v>
      </c>
      <c r="AG970" s="204"/>
      <c r="AH970" s="178"/>
      <c r="AI970" s="174"/>
      <c r="AJ970" s="179"/>
      <c r="AK970" s="247"/>
      <c r="AL970" s="248"/>
      <c r="AM970" s="294" t="str">
        <f t="shared" si="121"/>
        <v/>
      </c>
      <c r="AN970" s="219" t="str">
        <f t="shared" si="126"/>
        <v/>
      </c>
      <c r="AO970" s="219">
        <f t="shared" si="122"/>
        <v>0</v>
      </c>
      <c r="AP970" s="219">
        <f t="shared" si="132"/>
        <v>0</v>
      </c>
      <c r="AQ970" s="220">
        <f t="shared" si="123"/>
        <v>0</v>
      </c>
      <c r="AR970" s="221">
        <f t="shared" si="124"/>
        <v>0</v>
      </c>
      <c r="AZ970" s="471"/>
      <c r="BA970" s="181"/>
      <c r="BB970" s="182"/>
      <c r="BC970" s="209"/>
      <c r="BD970" s="182"/>
      <c r="BE970" s="209"/>
      <c r="BF970" s="182"/>
      <c r="BG970" s="209"/>
      <c r="BH970" s="182"/>
      <c r="BI970" s="209"/>
      <c r="BJ970" s="183"/>
      <c r="BK970" s="209"/>
      <c r="BL970" s="182"/>
      <c r="BM970" s="210"/>
      <c r="BO970" s="28" t="e">
        <f t="shared" si="133"/>
        <v>#DIV/0!</v>
      </c>
      <c r="BP970" s="28">
        <f t="shared" si="134"/>
        <v>0</v>
      </c>
    </row>
    <row r="971" spans="22:68" x14ac:dyDescent="0.25">
      <c r="V971" s="178"/>
      <c r="W971" s="174"/>
      <c r="X971" s="179"/>
      <c r="Y971" s="247"/>
      <c r="Z971" s="248"/>
      <c r="AA971" s="294" t="str">
        <f t="shared" si="127"/>
        <v/>
      </c>
      <c r="AB971" s="219" t="str">
        <f t="shared" si="125"/>
        <v/>
      </c>
      <c r="AC971" s="219">
        <f t="shared" si="128"/>
        <v>0</v>
      </c>
      <c r="AD971" s="219">
        <f t="shared" si="129"/>
        <v>0</v>
      </c>
      <c r="AE971" s="220">
        <f t="shared" si="130"/>
        <v>0</v>
      </c>
      <c r="AF971" s="221">
        <f t="shared" si="131"/>
        <v>0</v>
      </c>
      <c r="AG971" s="204"/>
      <c r="AH971" s="178"/>
      <c r="AI971" s="174"/>
      <c r="AJ971" s="179"/>
      <c r="AK971" s="247"/>
      <c r="AL971" s="248"/>
      <c r="AM971" s="294" t="str">
        <f t="shared" si="121"/>
        <v/>
      </c>
      <c r="AN971" s="219" t="str">
        <f t="shared" si="126"/>
        <v/>
      </c>
      <c r="AO971" s="219">
        <f t="shared" si="122"/>
        <v>0</v>
      </c>
      <c r="AP971" s="219">
        <f t="shared" si="132"/>
        <v>0</v>
      </c>
      <c r="AQ971" s="220">
        <f t="shared" si="123"/>
        <v>0</v>
      </c>
      <c r="AR971" s="221">
        <f t="shared" si="124"/>
        <v>0</v>
      </c>
      <c r="AZ971" s="471"/>
      <c r="BA971" s="181"/>
      <c r="BB971" s="182"/>
      <c r="BC971" s="209"/>
      <c r="BD971" s="182"/>
      <c r="BE971" s="209"/>
      <c r="BF971" s="182"/>
      <c r="BG971" s="209"/>
      <c r="BH971" s="182"/>
      <c r="BI971" s="209"/>
      <c r="BJ971" s="183"/>
      <c r="BK971" s="209"/>
      <c r="BL971" s="182"/>
      <c r="BM971" s="210"/>
      <c r="BO971" s="28" t="e">
        <f t="shared" si="133"/>
        <v>#DIV/0!</v>
      </c>
      <c r="BP971" s="28">
        <f t="shared" si="134"/>
        <v>0</v>
      </c>
    </row>
    <row r="972" spans="22:68" x14ac:dyDescent="0.25">
      <c r="V972" s="178"/>
      <c r="W972" s="174"/>
      <c r="X972" s="179"/>
      <c r="Y972" s="247"/>
      <c r="Z972" s="248"/>
      <c r="AA972" s="294" t="str">
        <f t="shared" si="127"/>
        <v/>
      </c>
      <c r="AB972" s="219" t="str">
        <f t="shared" si="125"/>
        <v/>
      </c>
      <c r="AC972" s="219">
        <f t="shared" si="128"/>
        <v>0</v>
      </c>
      <c r="AD972" s="219">
        <f t="shared" si="129"/>
        <v>0</v>
      </c>
      <c r="AE972" s="220">
        <f t="shared" si="130"/>
        <v>0</v>
      </c>
      <c r="AF972" s="221">
        <f t="shared" si="131"/>
        <v>0</v>
      </c>
      <c r="AG972" s="204"/>
      <c r="AH972" s="178"/>
      <c r="AI972" s="174"/>
      <c r="AJ972" s="179"/>
      <c r="AK972" s="247"/>
      <c r="AL972" s="248"/>
      <c r="AM972" s="294" t="str">
        <f t="shared" ref="AM972:AM1008" si="135">IFERROR(INDEX($AU$8:$AU$23,MATCH(AH972,$AT$8:$AT$23,0)),"")</f>
        <v/>
      </c>
      <c r="AN972" s="219" t="str">
        <f t="shared" si="126"/>
        <v/>
      </c>
      <c r="AO972" s="219">
        <f t="shared" ref="AO972:AO1008" si="136">IFERROR(IF(AN972&gt;=AM972,0,IF(AM972&gt;AN972,SLN(AK972,AL972,AM972),0)),"")</f>
        <v>0</v>
      </c>
      <c r="AP972" s="219">
        <f t="shared" si="132"/>
        <v>0</v>
      </c>
      <c r="AQ972" s="220">
        <f t="shared" ref="AQ972:AQ1008" si="137">IFERROR(IF(OR(AM972=0,AM972=""),
     0,
     IF(AN972&gt;=AM972,
          +AK972,
          (+AO972*AN972))),
"")</f>
        <v>0</v>
      </c>
      <c r="AR972" s="221">
        <f t="shared" ref="AR972:AR1008" si="138">IFERROR(IF(AQ972&gt;AK972,0,(+AK972-AQ972))-AL972,"")</f>
        <v>0</v>
      </c>
      <c r="AZ972" s="471"/>
      <c r="BA972" s="181"/>
      <c r="BB972" s="182"/>
      <c r="BC972" s="209"/>
      <c r="BD972" s="182"/>
      <c r="BE972" s="209"/>
      <c r="BF972" s="182"/>
      <c r="BG972" s="209"/>
      <c r="BH972" s="182"/>
      <c r="BI972" s="209"/>
      <c r="BJ972" s="183"/>
      <c r="BK972" s="209"/>
      <c r="BL972" s="182"/>
      <c r="BM972" s="210"/>
      <c r="BO972" s="28" t="e">
        <f t="shared" si="133"/>
        <v>#DIV/0!</v>
      </c>
      <c r="BP972" s="28">
        <f t="shared" si="134"/>
        <v>0</v>
      </c>
    </row>
    <row r="973" spans="22:68" x14ac:dyDescent="0.25">
      <c r="V973" s="178"/>
      <c r="W973" s="174"/>
      <c r="X973" s="179"/>
      <c r="Y973" s="247"/>
      <c r="Z973" s="248"/>
      <c r="AA973" s="294" t="str">
        <f t="shared" si="127"/>
        <v/>
      </c>
      <c r="AB973" s="219" t="str">
        <f t="shared" si="125"/>
        <v/>
      </c>
      <c r="AC973" s="219">
        <f t="shared" si="128"/>
        <v>0</v>
      </c>
      <c r="AD973" s="219">
        <f t="shared" si="129"/>
        <v>0</v>
      </c>
      <c r="AE973" s="220">
        <f t="shared" si="130"/>
        <v>0</v>
      </c>
      <c r="AF973" s="221">
        <f t="shared" si="131"/>
        <v>0</v>
      </c>
      <c r="AG973" s="204"/>
      <c r="AH973" s="178"/>
      <c r="AI973" s="174"/>
      <c r="AJ973" s="179"/>
      <c r="AK973" s="247"/>
      <c r="AL973" s="248"/>
      <c r="AM973" s="294" t="str">
        <f t="shared" si="135"/>
        <v/>
      </c>
      <c r="AN973" s="219" t="str">
        <f t="shared" si="126"/>
        <v/>
      </c>
      <c r="AO973" s="219">
        <f t="shared" si="136"/>
        <v>0</v>
      </c>
      <c r="AP973" s="219">
        <f t="shared" si="132"/>
        <v>0</v>
      </c>
      <c r="AQ973" s="220">
        <f t="shared" si="137"/>
        <v>0</v>
      </c>
      <c r="AR973" s="221">
        <f t="shared" si="138"/>
        <v>0</v>
      </c>
      <c r="AZ973" s="471"/>
      <c r="BA973" s="181"/>
      <c r="BB973" s="182"/>
      <c r="BC973" s="209"/>
      <c r="BD973" s="182"/>
      <c r="BE973" s="209"/>
      <c r="BF973" s="182"/>
      <c r="BG973" s="209"/>
      <c r="BH973" s="182"/>
      <c r="BI973" s="209"/>
      <c r="BJ973" s="183"/>
      <c r="BK973" s="209"/>
      <c r="BL973" s="182"/>
      <c r="BM973" s="210"/>
      <c r="BO973" s="28" t="e">
        <f t="shared" si="133"/>
        <v>#DIV/0!</v>
      </c>
      <c r="BP973" s="28">
        <f t="shared" si="134"/>
        <v>0</v>
      </c>
    </row>
    <row r="974" spans="22:68" x14ac:dyDescent="0.25">
      <c r="V974" s="178"/>
      <c r="W974" s="174"/>
      <c r="X974" s="179"/>
      <c r="Y974" s="247"/>
      <c r="Z974" s="248"/>
      <c r="AA974" s="294" t="str">
        <f t="shared" si="127"/>
        <v/>
      </c>
      <c r="AB974" s="219" t="str">
        <f t="shared" si="125"/>
        <v/>
      </c>
      <c r="AC974" s="219">
        <f t="shared" si="128"/>
        <v>0</v>
      </c>
      <c r="AD974" s="219">
        <f t="shared" si="129"/>
        <v>0</v>
      </c>
      <c r="AE974" s="220">
        <f t="shared" si="130"/>
        <v>0</v>
      </c>
      <c r="AF974" s="221">
        <f t="shared" si="131"/>
        <v>0</v>
      </c>
      <c r="AG974" s="204"/>
      <c r="AH974" s="178"/>
      <c r="AI974" s="174"/>
      <c r="AJ974" s="179"/>
      <c r="AK974" s="247"/>
      <c r="AL974" s="248"/>
      <c r="AM974" s="294" t="str">
        <f t="shared" si="135"/>
        <v/>
      </c>
      <c r="AN974" s="219" t="str">
        <f t="shared" si="126"/>
        <v/>
      </c>
      <c r="AO974" s="219">
        <f t="shared" si="136"/>
        <v>0</v>
      </c>
      <c r="AP974" s="219">
        <f t="shared" si="132"/>
        <v>0</v>
      </c>
      <c r="AQ974" s="220">
        <f t="shared" si="137"/>
        <v>0</v>
      </c>
      <c r="AR974" s="221">
        <f t="shared" si="138"/>
        <v>0</v>
      </c>
      <c r="AZ974" s="471"/>
      <c r="BA974" s="181"/>
      <c r="BB974" s="182"/>
      <c r="BC974" s="209"/>
      <c r="BD974" s="182"/>
      <c r="BE974" s="209"/>
      <c r="BF974" s="182"/>
      <c r="BG974" s="209"/>
      <c r="BH974" s="182"/>
      <c r="BI974" s="209"/>
      <c r="BJ974" s="183"/>
      <c r="BK974" s="209"/>
      <c r="BL974" s="182"/>
      <c r="BM974" s="210"/>
      <c r="BO974" s="28" t="e">
        <f t="shared" si="133"/>
        <v>#DIV/0!</v>
      </c>
      <c r="BP974" s="28">
        <f t="shared" si="134"/>
        <v>0</v>
      </c>
    </row>
    <row r="975" spans="22:68" x14ac:dyDescent="0.25">
      <c r="V975" s="178"/>
      <c r="W975" s="174"/>
      <c r="X975" s="179"/>
      <c r="Y975" s="247"/>
      <c r="Z975" s="248"/>
      <c r="AA975" s="294" t="str">
        <f t="shared" si="127"/>
        <v/>
      </c>
      <c r="AB975" s="219" t="str">
        <f t="shared" si="125"/>
        <v/>
      </c>
      <c r="AC975" s="219">
        <f t="shared" si="128"/>
        <v>0</v>
      </c>
      <c r="AD975" s="219">
        <f t="shared" si="129"/>
        <v>0</v>
      </c>
      <c r="AE975" s="220">
        <f t="shared" si="130"/>
        <v>0</v>
      </c>
      <c r="AF975" s="221">
        <f t="shared" si="131"/>
        <v>0</v>
      </c>
      <c r="AG975" s="204"/>
      <c r="AH975" s="178"/>
      <c r="AI975" s="174"/>
      <c r="AJ975" s="179"/>
      <c r="AK975" s="247"/>
      <c r="AL975" s="248"/>
      <c r="AM975" s="294" t="str">
        <f t="shared" si="135"/>
        <v/>
      </c>
      <c r="AN975" s="219" t="str">
        <f t="shared" si="126"/>
        <v/>
      </c>
      <c r="AO975" s="219">
        <f t="shared" si="136"/>
        <v>0</v>
      </c>
      <c r="AP975" s="219">
        <f t="shared" si="132"/>
        <v>0</v>
      </c>
      <c r="AQ975" s="220">
        <f t="shared" si="137"/>
        <v>0</v>
      </c>
      <c r="AR975" s="221">
        <f t="shared" si="138"/>
        <v>0</v>
      </c>
      <c r="AZ975" s="471"/>
      <c r="BA975" s="181"/>
      <c r="BB975" s="182"/>
      <c r="BC975" s="209"/>
      <c r="BD975" s="182"/>
      <c r="BE975" s="209"/>
      <c r="BF975" s="182"/>
      <c r="BG975" s="209"/>
      <c r="BH975" s="182"/>
      <c r="BI975" s="209"/>
      <c r="BJ975" s="183"/>
      <c r="BK975" s="209"/>
      <c r="BL975" s="182"/>
      <c r="BM975" s="210"/>
      <c r="BO975" s="28" t="e">
        <f t="shared" si="133"/>
        <v>#DIV/0!</v>
      </c>
      <c r="BP975" s="28">
        <f t="shared" si="134"/>
        <v>0</v>
      </c>
    </row>
    <row r="976" spans="22:68" x14ac:dyDescent="0.25">
      <c r="V976" s="178"/>
      <c r="W976" s="174"/>
      <c r="X976" s="179"/>
      <c r="Y976" s="247"/>
      <c r="Z976" s="248"/>
      <c r="AA976" s="294" t="str">
        <f t="shared" si="127"/>
        <v/>
      </c>
      <c r="AB976" s="219" t="str">
        <f t="shared" si="125"/>
        <v/>
      </c>
      <c r="AC976" s="219">
        <f t="shared" si="128"/>
        <v>0</v>
      </c>
      <c r="AD976" s="219">
        <f t="shared" si="129"/>
        <v>0</v>
      </c>
      <c r="AE976" s="220">
        <f t="shared" si="130"/>
        <v>0</v>
      </c>
      <c r="AF976" s="221">
        <f t="shared" si="131"/>
        <v>0</v>
      </c>
      <c r="AG976" s="204"/>
      <c r="AH976" s="178"/>
      <c r="AI976" s="174"/>
      <c r="AJ976" s="179"/>
      <c r="AK976" s="247"/>
      <c r="AL976" s="248"/>
      <c r="AM976" s="294" t="str">
        <f t="shared" si="135"/>
        <v/>
      </c>
      <c r="AN976" s="219" t="str">
        <f t="shared" si="126"/>
        <v/>
      </c>
      <c r="AO976" s="219">
        <f t="shared" si="136"/>
        <v>0</v>
      </c>
      <c r="AP976" s="219">
        <f t="shared" si="132"/>
        <v>0</v>
      </c>
      <c r="AQ976" s="220">
        <f t="shared" si="137"/>
        <v>0</v>
      </c>
      <c r="AR976" s="221">
        <f t="shared" si="138"/>
        <v>0</v>
      </c>
      <c r="AZ976" s="471"/>
      <c r="BA976" s="181"/>
      <c r="BB976" s="182"/>
      <c r="BC976" s="209"/>
      <c r="BD976" s="182"/>
      <c r="BE976" s="209"/>
      <c r="BF976" s="182"/>
      <c r="BG976" s="209"/>
      <c r="BH976" s="182"/>
      <c r="BI976" s="209"/>
      <c r="BJ976" s="183"/>
      <c r="BK976" s="209"/>
      <c r="BL976" s="182"/>
      <c r="BM976" s="210"/>
      <c r="BO976" s="28" t="e">
        <f t="shared" si="133"/>
        <v>#DIV/0!</v>
      </c>
      <c r="BP976" s="28">
        <f t="shared" si="134"/>
        <v>0</v>
      </c>
    </row>
    <row r="977" spans="22:68" x14ac:dyDescent="0.25">
      <c r="V977" s="178"/>
      <c r="W977" s="174"/>
      <c r="X977" s="179"/>
      <c r="Y977" s="247"/>
      <c r="Z977" s="248"/>
      <c r="AA977" s="294" t="str">
        <f t="shared" si="127"/>
        <v/>
      </c>
      <c r="AB977" s="219" t="str">
        <f t="shared" si="125"/>
        <v/>
      </c>
      <c r="AC977" s="219">
        <f t="shared" si="128"/>
        <v>0</v>
      </c>
      <c r="AD977" s="219">
        <f t="shared" si="129"/>
        <v>0</v>
      </c>
      <c r="AE977" s="220">
        <f t="shared" si="130"/>
        <v>0</v>
      </c>
      <c r="AF977" s="221">
        <f t="shared" si="131"/>
        <v>0</v>
      </c>
      <c r="AG977" s="204"/>
      <c r="AH977" s="178"/>
      <c r="AI977" s="174"/>
      <c r="AJ977" s="179"/>
      <c r="AK977" s="247"/>
      <c r="AL977" s="248"/>
      <c r="AM977" s="294" t="str">
        <f t="shared" si="135"/>
        <v/>
      </c>
      <c r="AN977" s="219" t="str">
        <f t="shared" si="126"/>
        <v/>
      </c>
      <c r="AO977" s="219">
        <f t="shared" si="136"/>
        <v>0</v>
      </c>
      <c r="AP977" s="219">
        <f t="shared" si="132"/>
        <v>0</v>
      </c>
      <c r="AQ977" s="220">
        <f t="shared" si="137"/>
        <v>0</v>
      </c>
      <c r="AR977" s="221">
        <f t="shared" si="138"/>
        <v>0</v>
      </c>
      <c r="AZ977" s="471"/>
      <c r="BA977" s="181"/>
      <c r="BB977" s="182"/>
      <c r="BC977" s="209"/>
      <c r="BD977" s="182"/>
      <c r="BE977" s="209"/>
      <c r="BF977" s="182"/>
      <c r="BG977" s="209"/>
      <c r="BH977" s="182"/>
      <c r="BI977" s="209"/>
      <c r="BJ977" s="183"/>
      <c r="BK977" s="209"/>
      <c r="BL977" s="182"/>
      <c r="BM977" s="210"/>
      <c r="BO977" s="28" t="e">
        <f t="shared" si="133"/>
        <v>#DIV/0!</v>
      </c>
      <c r="BP977" s="28">
        <f t="shared" si="134"/>
        <v>0</v>
      </c>
    </row>
    <row r="978" spans="22:68" x14ac:dyDescent="0.25">
      <c r="V978" s="178"/>
      <c r="W978" s="174"/>
      <c r="X978" s="179"/>
      <c r="Y978" s="247"/>
      <c r="Z978" s="248"/>
      <c r="AA978" s="294" t="str">
        <f t="shared" si="127"/>
        <v/>
      </c>
      <c r="AB978" s="219" t="str">
        <f t="shared" si="125"/>
        <v/>
      </c>
      <c r="AC978" s="219">
        <f t="shared" si="128"/>
        <v>0</v>
      </c>
      <c r="AD978" s="219">
        <f t="shared" si="129"/>
        <v>0</v>
      </c>
      <c r="AE978" s="220">
        <f t="shared" si="130"/>
        <v>0</v>
      </c>
      <c r="AF978" s="221">
        <f t="shared" si="131"/>
        <v>0</v>
      </c>
      <c r="AG978" s="204"/>
      <c r="AH978" s="178"/>
      <c r="AI978" s="174"/>
      <c r="AJ978" s="179"/>
      <c r="AK978" s="247"/>
      <c r="AL978" s="248"/>
      <c r="AM978" s="294" t="str">
        <f t="shared" si="135"/>
        <v/>
      </c>
      <c r="AN978" s="219" t="str">
        <f t="shared" si="126"/>
        <v/>
      </c>
      <c r="AO978" s="219">
        <f t="shared" si="136"/>
        <v>0</v>
      </c>
      <c r="AP978" s="219">
        <f t="shared" si="132"/>
        <v>0</v>
      </c>
      <c r="AQ978" s="220">
        <f t="shared" si="137"/>
        <v>0</v>
      </c>
      <c r="AR978" s="221">
        <f t="shared" si="138"/>
        <v>0</v>
      </c>
      <c r="AZ978" s="471"/>
      <c r="BA978" s="181"/>
      <c r="BB978" s="182"/>
      <c r="BC978" s="209"/>
      <c r="BD978" s="182"/>
      <c r="BE978" s="209"/>
      <c r="BF978" s="182"/>
      <c r="BG978" s="209"/>
      <c r="BH978" s="182"/>
      <c r="BI978" s="209"/>
      <c r="BJ978" s="183"/>
      <c r="BK978" s="209"/>
      <c r="BL978" s="182"/>
      <c r="BM978" s="210"/>
      <c r="BO978" s="28" t="e">
        <f t="shared" si="133"/>
        <v>#DIV/0!</v>
      </c>
      <c r="BP978" s="28">
        <f t="shared" si="134"/>
        <v>0</v>
      </c>
    </row>
    <row r="979" spans="22:68" x14ac:dyDescent="0.25">
      <c r="V979" s="178"/>
      <c r="W979" s="174"/>
      <c r="X979" s="179"/>
      <c r="Y979" s="247"/>
      <c r="Z979" s="248"/>
      <c r="AA979" s="294" t="str">
        <f t="shared" si="127"/>
        <v/>
      </c>
      <c r="AB979" s="219" t="str">
        <f t="shared" si="125"/>
        <v/>
      </c>
      <c r="AC979" s="219">
        <f t="shared" si="128"/>
        <v>0</v>
      </c>
      <c r="AD979" s="219">
        <f t="shared" si="129"/>
        <v>0</v>
      </c>
      <c r="AE979" s="220">
        <f t="shared" si="130"/>
        <v>0</v>
      </c>
      <c r="AF979" s="221">
        <f t="shared" si="131"/>
        <v>0</v>
      </c>
      <c r="AG979" s="204"/>
      <c r="AH979" s="178"/>
      <c r="AI979" s="174"/>
      <c r="AJ979" s="179"/>
      <c r="AK979" s="247"/>
      <c r="AL979" s="248"/>
      <c r="AM979" s="294" t="str">
        <f t="shared" si="135"/>
        <v/>
      </c>
      <c r="AN979" s="219" t="str">
        <f t="shared" si="126"/>
        <v/>
      </c>
      <c r="AO979" s="219">
        <f t="shared" si="136"/>
        <v>0</v>
      </c>
      <c r="AP979" s="219">
        <f t="shared" si="132"/>
        <v>0</v>
      </c>
      <c r="AQ979" s="220">
        <f t="shared" si="137"/>
        <v>0</v>
      </c>
      <c r="AR979" s="221">
        <f t="shared" si="138"/>
        <v>0</v>
      </c>
      <c r="AZ979" s="471"/>
      <c r="BA979" s="181"/>
      <c r="BB979" s="182"/>
      <c r="BC979" s="209"/>
      <c r="BD979" s="182"/>
      <c r="BE979" s="209"/>
      <c r="BF979" s="182"/>
      <c r="BG979" s="209"/>
      <c r="BH979" s="182"/>
      <c r="BI979" s="209"/>
      <c r="BJ979" s="183"/>
      <c r="BK979" s="209"/>
      <c r="BL979" s="182"/>
      <c r="BM979" s="210"/>
      <c r="BO979" s="28" t="e">
        <f t="shared" si="133"/>
        <v>#DIV/0!</v>
      </c>
      <c r="BP979" s="28">
        <f t="shared" si="134"/>
        <v>0</v>
      </c>
    </row>
    <row r="980" spans="22:68" x14ac:dyDescent="0.25">
      <c r="V980" s="178"/>
      <c r="W980" s="174"/>
      <c r="X980" s="179"/>
      <c r="Y980" s="247"/>
      <c r="Z980" s="248"/>
      <c r="AA980" s="294" t="str">
        <f t="shared" si="127"/>
        <v/>
      </c>
      <c r="AB980" s="219" t="str">
        <f t="shared" si="125"/>
        <v/>
      </c>
      <c r="AC980" s="219">
        <f t="shared" si="128"/>
        <v>0</v>
      </c>
      <c r="AD980" s="219">
        <f t="shared" si="129"/>
        <v>0</v>
      </c>
      <c r="AE980" s="220">
        <f t="shared" si="130"/>
        <v>0</v>
      </c>
      <c r="AF980" s="221">
        <f t="shared" si="131"/>
        <v>0</v>
      </c>
      <c r="AG980" s="204"/>
      <c r="AH980" s="178"/>
      <c r="AI980" s="174"/>
      <c r="AJ980" s="179"/>
      <c r="AK980" s="247"/>
      <c r="AL980" s="248"/>
      <c r="AM980" s="294" t="str">
        <f t="shared" si="135"/>
        <v/>
      </c>
      <c r="AN980" s="219" t="str">
        <f t="shared" si="126"/>
        <v/>
      </c>
      <c r="AO980" s="219">
        <f t="shared" si="136"/>
        <v>0</v>
      </c>
      <c r="AP980" s="219">
        <f t="shared" si="132"/>
        <v>0</v>
      </c>
      <c r="AQ980" s="220">
        <f t="shared" si="137"/>
        <v>0</v>
      </c>
      <c r="AR980" s="221">
        <f t="shared" si="138"/>
        <v>0</v>
      </c>
      <c r="AZ980" s="471"/>
      <c r="BA980" s="181"/>
      <c r="BB980" s="182"/>
      <c r="BC980" s="209"/>
      <c r="BD980" s="182"/>
      <c r="BE980" s="209"/>
      <c r="BF980" s="182"/>
      <c r="BG980" s="209"/>
      <c r="BH980" s="182"/>
      <c r="BI980" s="209"/>
      <c r="BJ980" s="183"/>
      <c r="BK980" s="209"/>
      <c r="BL980" s="182"/>
      <c r="BM980" s="210"/>
      <c r="BO980" s="28" t="e">
        <f t="shared" si="133"/>
        <v>#DIV/0!</v>
      </c>
      <c r="BP980" s="28">
        <f t="shared" si="134"/>
        <v>0</v>
      </c>
    </row>
    <row r="981" spans="22:68" x14ac:dyDescent="0.25">
      <c r="V981" s="178"/>
      <c r="W981" s="174"/>
      <c r="X981" s="179"/>
      <c r="Y981" s="247"/>
      <c r="Z981" s="248"/>
      <c r="AA981" s="294" t="str">
        <f t="shared" si="127"/>
        <v/>
      </c>
      <c r="AB981" s="219" t="str">
        <f t="shared" si="125"/>
        <v/>
      </c>
      <c r="AC981" s="219">
        <f t="shared" si="128"/>
        <v>0</v>
      </c>
      <c r="AD981" s="219">
        <f t="shared" si="129"/>
        <v>0</v>
      </c>
      <c r="AE981" s="220">
        <f t="shared" si="130"/>
        <v>0</v>
      </c>
      <c r="AF981" s="221">
        <f t="shared" si="131"/>
        <v>0</v>
      </c>
      <c r="AG981" s="204"/>
      <c r="AH981" s="178"/>
      <c r="AI981" s="174"/>
      <c r="AJ981" s="179"/>
      <c r="AK981" s="247"/>
      <c r="AL981" s="248"/>
      <c r="AM981" s="294" t="str">
        <f t="shared" si="135"/>
        <v/>
      </c>
      <c r="AN981" s="219" t="str">
        <f t="shared" si="126"/>
        <v/>
      </c>
      <c r="AO981" s="219">
        <f t="shared" si="136"/>
        <v>0</v>
      </c>
      <c r="AP981" s="219">
        <f t="shared" si="132"/>
        <v>0</v>
      </c>
      <c r="AQ981" s="220">
        <f t="shared" si="137"/>
        <v>0</v>
      </c>
      <c r="AR981" s="221">
        <f t="shared" si="138"/>
        <v>0</v>
      </c>
      <c r="AZ981" s="471"/>
      <c r="BA981" s="181"/>
      <c r="BB981" s="182"/>
      <c r="BC981" s="209"/>
      <c r="BD981" s="182"/>
      <c r="BE981" s="209"/>
      <c r="BF981" s="182"/>
      <c r="BG981" s="209"/>
      <c r="BH981" s="182"/>
      <c r="BI981" s="209"/>
      <c r="BJ981" s="183"/>
      <c r="BK981" s="209"/>
      <c r="BL981" s="182"/>
      <c r="BM981" s="210"/>
      <c r="BO981" s="28" t="e">
        <f t="shared" si="133"/>
        <v>#DIV/0!</v>
      </c>
      <c r="BP981" s="28">
        <f t="shared" si="134"/>
        <v>0</v>
      </c>
    </row>
    <row r="982" spans="22:68" x14ac:dyDescent="0.25">
      <c r="V982" s="178"/>
      <c r="W982" s="174"/>
      <c r="X982" s="179"/>
      <c r="Y982" s="247"/>
      <c r="Z982" s="248"/>
      <c r="AA982" s="294" t="str">
        <f t="shared" si="127"/>
        <v/>
      </c>
      <c r="AB982" s="219" t="str">
        <f t="shared" si="125"/>
        <v/>
      </c>
      <c r="AC982" s="219">
        <f t="shared" si="128"/>
        <v>0</v>
      </c>
      <c r="AD982" s="219">
        <f t="shared" si="129"/>
        <v>0</v>
      </c>
      <c r="AE982" s="220">
        <f t="shared" si="130"/>
        <v>0</v>
      </c>
      <c r="AF982" s="221">
        <f t="shared" si="131"/>
        <v>0</v>
      </c>
      <c r="AG982" s="204"/>
      <c r="AH982" s="178"/>
      <c r="AI982" s="174"/>
      <c r="AJ982" s="179"/>
      <c r="AK982" s="247"/>
      <c r="AL982" s="248"/>
      <c r="AM982" s="294" t="str">
        <f t="shared" si="135"/>
        <v/>
      </c>
      <c r="AN982" s="219" t="str">
        <f t="shared" si="126"/>
        <v/>
      </c>
      <c r="AO982" s="219">
        <f t="shared" si="136"/>
        <v>0</v>
      </c>
      <c r="AP982" s="219">
        <f t="shared" si="132"/>
        <v>0</v>
      </c>
      <c r="AQ982" s="220">
        <f t="shared" si="137"/>
        <v>0</v>
      </c>
      <c r="AR982" s="221">
        <f t="shared" si="138"/>
        <v>0</v>
      </c>
      <c r="AZ982" s="471"/>
      <c r="BA982" s="181"/>
      <c r="BB982" s="182"/>
      <c r="BC982" s="209"/>
      <c r="BD982" s="182"/>
      <c r="BE982" s="209"/>
      <c r="BF982" s="182"/>
      <c r="BG982" s="209"/>
      <c r="BH982" s="182"/>
      <c r="BI982" s="209"/>
      <c r="BJ982" s="183"/>
      <c r="BK982" s="209"/>
      <c r="BL982" s="182"/>
      <c r="BM982" s="210"/>
      <c r="BO982" s="28" t="e">
        <f t="shared" si="133"/>
        <v>#DIV/0!</v>
      </c>
      <c r="BP982" s="28">
        <f t="shared" si="134"/>
        <v>0</v>
      </c>
    </row>
    <row r="983" spans="22:68" x14ac:dyDescent="0.25">
      <c r="V983" s="178"/>
      <c r="W983" s="174"/>
      <c r="X983" s="179"/>
      <c r="Y983" s="247"/>
      <c r="Z983" s="248"/>
      <c r="AA983" s="294" t="str">
        <f t="shared" si="127"/>
        <v/>
      </c>
      <c r="AB983" s="219" t="str">
        <f t="shared" si="125"/>
        <v/>
      </c>
      <c r="AC983" s="219">
        <f t="shared" si="128"/>
        <v>0</v>
      </c>
      <c r="AD983" s="219">
        <f t="shared" si="129"/>
        <v>0</v>
      </c>
      <c r="AE983" s="220">
        <f t="shared" si="130"/>
        <v>0</v>
      </c>
      <c r="AF983" s="221">
        <f t="shared" si="131"/>
        <v>0</v>
      </c>
      <c r="AG983" s="204"/>
      <c r="AH983" s="178"/>
      <c r="AI983" s="174"/>
      <c r="AJ983" s="179"/>
      <c r="AK983" s="247"/>
      <c r="AL983" s="248"/>
      <c r="AM983" s="294" t="str">
        <f t="shared" si="135"/>
        <v/>
      </c>
      <c r="AN983" s="219" t="str">
        <f t="shared" si="126"/>
        <v/>
      </c>
      <c r="AO983" s="219">
        <f t="shared" si="136"/>
        <v>0</v>
      </c>
      <c r="AP983" s="219">
        <f t="shared" si="132"/>
        <v>0</v>
      </c>
      <c r="AQ983" s="220">
        <f t="shared" si="137"/>
        <v>0</v>
      </c>
      <c r="AR983" s="221">
        <f t="shared" si="138"/>
        <v>0</v>
      </c>
      <c r="AZ983" s="471"/>
      <c r="BA983" s="181"/>
      <c r="BB983" s="182"/>
      <c r="BC983" s="209"/>
      <c r="BD983" s="182"/>
      <c r="BE983" s="209"/>
      <c r="BF983" s="182"/>
      <c r="BG983" s="209"/>
      <c r="BH983" s="182"/>
      <c r="BI983" s="209"/>
      <c r="BJ983" s="183"/>
      <c r="BK983" s="209"/>
      <c r="BL983" s="182"/>
      <c r="BM983" s="210"/>
      <c r="BO983" s="28" t="e">
        <f t="shared" si="133"/>
        <v>#DIV/0!</v>
      </c>
      <c r="BP983" s="28">
        <f t="shared" si="134"/>
        <v>0</v>
      </c>
    </row>
    <row r="984" spans="22:68" x14ac:dyDescent="0.25">
      <c r="V984" s="178"/>
      <c r="W984" s="174"/>
      <c r="X984" s="179"/>
      <c r="Y984" s="247"/>
      <c r="Z984" s="248"/>
      <c r="AA984" s="294" t="str">
        <f t="shared" si="127"/>
        <v/>
      </c>
      <c r="AB984" s="219" t="str">
        <f t="shared" si="125"/>
        <v/>
      </c>
      <c r="AC984" s="219">
        <f t="shared" si="128"/>
        <v>0</v>
      </c>
      <c r="AD984" s="219">
        <f t="shared" si="129"/>
        <v>0</v>
      </c>
      <c r="AE984" s="220">
        <f t="shared" si="130"/>
        <v>0</v>
      </c>
      <c r="AF984" s="221">
        <f t="shared" si="131"/>
        <v>0</v>
      </c>
      <c r="AG984" s="204"/>
      <c r="AH984" s="178"/>
      <c r="AI984" s="174"/>
      <c r="AJ984" s="179"/>
      <c r="AK984" s="247"/>
      <c r="AL984" s="248"/>
      <c r="AM984" s="294" t="str">
        <f t="shared" si="135"/>
        <v/>
      </c>
      <c r="AN984" s="219" t="str">
        <f t="shared" si="126"/>
        <v/>
      </c>
      <c r="AO984" s="219">
        <f t="shared" si="136"/>
        <v>0</v>
      </c>
      <c r="AP984" s="219">
        <f t="shared" si="132"/>
        <v>0</v>
      </c>
      <c r="AQ984" s="220">
        <f t="shared" si="137"/>
        <v>0</v>
      </c>
      <c r="AR984" s="221">
        <f t="shared" si="138"/>
        <v>0</v>
      </c>
      <c r="AZ984" s="471"/>
      <c r="BA984" s="181"/>
      <c r="BB984" s="182"/>
      <c r="BC984" s="209"/>
      <c r="BD984" s="182"/>
      <c r="BE984" s="209"/>
      <c r="BF984" s="182"/>
      <c r="BG984" s="209"/>
      <c r="BH984" s="182"/>
      <c r="BI984" s="209"/>
      <c r="BJ984" s="183"/>
      <c r="BK984" s="209"/>
      <c r="BL984" s="182"/>
      <c r="BM984" s="210"/>
      <c r="BO984" s="28" t="e">
        <f t="shared" si="133"/>
        <v>#DIV/0!</v>
      </c>
      <c r="BP984" s="28">
        <f t="shared" si="134"/>
        <v>0</v>
      </c>
    </row>
    <row r="985" spans="22:68" x14ac:dyDescent="0.25">
      <c r="V985" s="178"/>
      <c r="W985" s="174"/>
      <c r="X985" s="179"/>
      <c r="Y985" s="247"/>
      <c r="Z985" s="248"/>
      <c r="AA985" s="294" t="str">
        <f t="shared" si="127"/>
        <v/>
      </c>
      <c r="AB985" s="219" t="str">
        <f t="shared" si="125"/>
        <v/>
      </c>
      <c r="AC985" s="219">
        <f t="shared" si="128"/>
        <v>0</v>
      </c>
      <c r="AD985" s="219">
        <f t="shared" si="129"/>
        <v>0</v>
      </c>
      <c r="AE985" s="220">
        <f t="shared" si="130"/>
        <v>0</v>
      </c>
      <c r="AF985" s="221">
        <f t="shared" si="131"/>
        <v>0</v>
      </c>
      <c r="AG985" s="204"/>
      <c r="AH985" s="178"/>
      <c r="AI985" s="174"/>
      <c r="AJ985" s="179"/>
      <c r="AK985" s="247"/>
      <c r="AL985" s="248"/>
      <c r="AM985" s="294" t="str">
        <f t="shared" si="135"/>
        <v/>
      </c>
      <c r="AN985" s="219" t="str">
        <f t="shared" si="126"/>
        <v/>
      </c>
      <c r="AO985" s="219">
        <f t="shared" si="136"/>
        <v>0</v>
      </c>
      <c r="AP985" s="219">
        <f t="shared" si="132"/>
        <v>0</v>
      </c>
      <c r="AQ985" s="220">
        <f t="shared" si="137"/>
        <v>0</v>
      </c>
      <c r="AR985" s="221">
        <f t="shared" si="138"/>
        <v>0</v>
      </c>
      <c r="AZ985" s="471"/>
      <c r="BA985" s="181"/>
      <c r="BB985" s="182"/>
      <c r="BC985" s="209"/>
      <c r="BD985" s="182"/>
      <c r="BE985" s="209"/>
      <c r="BF985" s="182"/>
      <c r="BG985" s="209"/>
      <c r="BH985" s="182"/>
      <c r="BI985" s="209"/>
      <c r="BJ985" s="183"/>
      <c r="BK985" s="209"/>
      <c r="BL985" s="182"/>
      <c r="BM985" s="210"/>
      <c r="BO985" s="28" t="e">
        <f t="shared" si="133"/>
        <v>#DIV/0!</v>
      </c>
      <c r="BP985" s="28">
        <f t="shared" si="134"/>
        <v>0</v>
      </c>
    </row>
    <row r="986" spans="22:68" x14ac:dyDescent="0.25">
      <c r="V986" s="178"/>
      <c r="W986" s="174"/>
      <c r="X986" s="179"/>
      <c r="Y986" s="247"/>
      <c r="Z986" s="248"/>
      <c r="AA986" s="294" t="str">
        <f t="shared" si="127"/>
        <v/>
      </c>
      <c r="AB986" s="219" t="str">
        <f t="shared" si="125"/>
        <v/>
      </c>
      <c r="AC986" s="219">
        <f t="shared" si="128"/>
        <v>0</v>
      </c>
      <c r="AD986" s="219">
        <f t="shared" si="129"/>
        <v>0</v>
      </c>
      <c r="AE986" s="220">
        <f t="shared" si="130"/>
        <v>0</v>
      </c>
      <c r="AF986" s="221">
        <f t="shared" si="131"/>
        <v>0</v>
      </c>
      <c r="AG986" s="204"/>
      <c r="AH986" s="178"/>
      <c r="AI986" s="174"/>
      <c r="AJ986" s="179"/>
      <c r="AK986" s="247"/>
      <c r="AL986" s="248"/>
      <c r="AM986" s="294" t="str">
        <f t="shared" si="135"/>
        <v/>
      </c>
      <c r="AN986" s="219" t="str">
        <f t="shared" si="126"/>
        <v/>
      </c>
      <c r="AO986" s="219">
        <f t="shared" si="136"/>
        <v>0</v>
      </c>
      <c r="AP986" s="219">
        <f t="shared" si="132"/>
        <v>0</v>
      </c>
      <c r="AQ986" s="220">
        <f t="shared" si="137"/>
        <v>0</v>
      </c>
      <c r="AR986" s="221">
        <f t="shared" si="138"/>
        <v>0</v>
      </c>
      <c r="AZ986" s="471"/>
      <c r="BA986" s="181"/>
      <c r="BB986" s="182"/>
      <c r="BC986" s="209"/>
      <c r="BD986" s="182"/>
      <c r="BE986" s="209"/>
      <c r="BF986" s="182"/>
      <c r="BG986" s="209"/>
      <c r="BH986" s="182"/>
      <c r="BI986" s="209"/>
      <c r="BJ986" s="183"/>
      <c r="BK986" s="209"/>
      <c r="BL986" s="182"/>
      <c r="BM986" s="210"/>
      <c r="BO986" s="28" t="e">
        <f t="shared" si="133"/>
        <v>#DIV/0!</v>
      </c>
      <c r="BP986" s="28">
        <f t="shared" si="134"/>
        <v>0</v>
      </c>
    </row>
    <row r="987" spans="22:68" x14ac:dyDescent="0.25">
      <c r="V987" s="178"/>
      <c r="W987" s="174"/>
      <c r="X987" s="179"/>
      <c r="Y987" s="247"/>
      <c r="Z987" s="248"/>
      <c r="AA987" s="294" t="str">
        <f t="shared" si="127"/>
        <v/>
      </c>
      <c r="AB987" s="219" t="str">
        <f t="shared" si="125"/>
        <v/>
      </c>
      <c r="AC987" s="219">
        <f t="shared" si="128"/>
        <v>0</v>
      </c>
      <c r="AD987" s="219">
        <f t="shared" si="129"/>
        <v>0</v>
      </c>
      <c r="AE987" s="220">
        <f t="shared" si="130"/>
        <v>0</v>
      </c>
      <c r="AF987" s="221">
        <f t="shared" si="131"/>
        <v>0</v>
      </c>
      <c r="AG987" s="204"/>
      <c r="AH987" s="178"/>
      <c r="AI987" s="174"/>
      <c r="AJ987" s="179"/>
      <c r="AK987" s="247"/>
      <c r="AL987" s="248"/>
      <c r="AM987" s="294" t="str">
        <f t="shared" si="135"/>
        <v/>
      </c>
      <c r="AN987" s="219" t="str">
        <f t="shared" si="126"/>
        <v/>
      </c>
      <c r="AO987" s="219">
        <f t="shared" si="136"/>
        <v>0</v>
      </c>
      <c r="AP987" s="219">
        <f t="shared" si="132"/>
        <v>0</v>
      </c>
      <c r="AQ987" s="220">
        <f t="shared" si="137"/>
        <v>0</v>
      </c>
      <c r="AR987" s="221">
        <f t="shared" si="138"/>
        <v>0</v>
      </c>
      <c r="AZ987" s="471"/>
      <c r="BA987" s="181"/>
      <c r="BB987" s="182"/>
      <c r="BC987" s="209"/>
      <c r="BD987" s="182"/>
      <c r="BE987" s="209"/>
      <c r="BF987" s="182"/>
      <c r="BG987" s="209"/>
      <c r="BH987" s="182"/>
      <c r="BI987" s="209"/>
      <c r="BJ987" s="183"/>
      <c r="BK987" s="209"/>
      <c r="BL987" s="182"/>
      <c r="BM987" s="210"/>
      <c r="BO987" s="28" t="e">
        <f t="shared" si="133"/>
        <v>#DIV/0!</v>
      </c>
      <c r="BP987" s="28">
        <f t="shared" si="134"/>
        <v>0</v>
      </c>
    </row>
    <row r="988" spans="22:68" x14ac:dyDescent="0.25">
      <c r="V988" s="178"/>
      <c r="W988" s="174"/>
      <c r="X988" s="179"/>
      <c r="Y988" s="247"/>
      <c r="Z988" s="248"/>
      <c r="AA988" s="294" t="str">
        <f t="shared" si="127"/>
        <v/>
      </c>
      <c r="AB988" s="219" t="str">
        <f t="shared" si="125"/>
        <v/>
      </c>
      <c r="AC988" s="219">
        <f t="shared" si="128"/>
        <v>0</v>
      </c>
      <c r="AD988" s="219">
        <f t="shared" si="129"/>
        <v>0</v>
      </c>
      <c r="AE988" s="220">
        <f t="shared" si="130"/>
        <v>0</v>
      </c>
      <c r="AF988" s="221">
        <f t="shared" si="131"/>
        <v>0</v>
      </c>
      <c r="AG988" s="204"/>
      <c r="AH988" s="178"/>
      <c r="AI988" s="174"/>
      <c r="AJ988" s="179"/>
      <c r="AK988" s="247"/>
      <c r="AL988" s="248"/>
      <c r="AM988" s="294" t="str">
        <f t="shared" si="135"/>
        <v/>
      </c>
      <c r="AN988" s="219" t="str">
        <f t="shared" si="126"/>
        <v/>
      </c>
      <c r="AO988" s="219">
        <f t="shared" si="136"/>
        <v>0</v>
      </c>
      <c r="AP988" s="219">
        <f t="shared" si="132"/>
        <v>0</v>
      </c>
      <c r="AQ988" s="220">
        <f t="shared" si="137"/>
        <v>0</v>
      </c>
      <c r="AR988" s="221">
        <f t="shared" si="138"/>
        <v>0</v>
      </c>
      <c r="AZ988" s="471"/>
      <c r="BA988" s="181"/>
      <c r="BB988" s="182"/>
      <c r="BC988" s="209"/>
      <c r="BD988" s="182"/>
      <c r="BE988" s="209"/>
      <c r="BF988" s="182"/>
      <c r="BG988" s="209"/>
      <c r="BH988" s="182"/>
      <c r="BI988" s="209"/>
      <c r="BJ988" s="183"/>
      <c r="BK988" s="209"/>
      <c r="BL988" s="182"/>
      <c r="BM988" s="210"/>
      <c r="BO988" s="28" t="e">
        <f t="shared" si="133"/>
        <v>#DIV/0!</v>
      </c>
      <c r="BP988" s="28">
        <f t="shared" si="134"/>
        <v>0</v>
      </c>
    </row>
    <row r="989" spans="22:68" x14ac:dyDescent="0.25">
      <c r="V989" s="178"/>
      <c r="W989" s="174"/>
      <c r="X989" s="179"/>
      <c r="Y989" s="247"/>
      <c r="Z989" s="248"/>
      <c r="AA989" s="294" t="str">
        <f t="shared" si="127"/>
        <v/>
      </c>
      <c r="AB989" s="219" t="str">
        <f t="shared" si="125"/>
        <v/>
      </c>
      <c r="AC989" s="219">
        <f t="shared" si="128"/>
        <v>0</v>
      </c>
      <c r="AD989" s="219">
        <f t="shared" si="129"/>
        <v>0</v>
      </c>
      <c r="AE989" s="220">
        <f t="shared" si="130"/>
        <v>0</v>
      </c>
      <c r="AF989" s="221">
        <f t="shared" si="131"/>
        <v>0</v>
      </c>
      <c r="AG989" s="204"/>
      <c r="AH989" s="178"/>
      <c r="AI989" s="174"/>
      <c r="AJ989" s="179"/>
      <c r="AK989" s="247"/>
      <c r="AL989" s="248"/>
      <c r="AM989" s="294" t="str">
        <f t="shared" si="135"/>
        <v/>
      </c>
      <c r="AN989" s="219" t="str">
        <f t="shared" si="126"/>
        <v/>
      </c>
      <c r="AO989" s="219">
        <f t="shared" si="136"/>
        <v>0</v>
      </c>
      <c r="AP989" s="219">
        <f t="shared" si="132"/>
        <v>0</v>
      </c>
      <c r="AQ989" s="220">
        <f t="shared" si="137"/>
        <v>0</v>
      </c>
      <c r="AR989" s="221">
        <f t="shared" si="138"/>
        <v>0</v>
      </c>
      <c r="AZ989" s="471"/>
      <c r="BA989" s="181"/>
      <c r="BB989" s="182"/>
      <c r="BC989" s="209"/>
      <c r="BD989" s="182"/>
      <c r="BE989" s="209"/>
      <c r="BF989" s="182"/>
      <c r="BG989" s="209"/>
      <c r="BH989" s="182"/>
      <c r="BI989" s="209"/>
      <c r="BJ989" s="183"/>
      <c r="BK989" s="209"/>
      <c r="BL989" s="182"/>
      <c r="BM989" s="210"/>
      <c r="BO989" s="28" t="e">
        <f t="shared" si="133"/>
        <v>#DIV/0!</v>
      </c>
      <c r="BP989" s="28">
        <f t="shared" si="134"/>
        <v>0</v>
      </c>
    </row>
    <row r="990" spans="22:68" x14ac:dyDescent="0.25">
      <c r="V990" s="178"/>
      <c r="W990" s="174"/>
      <c r="X990" s="179"/>
      <c r="Y990" s="247"/>
      <c r="Z990" s="248"/>
      <c r="AA990" s="294" t="str">
        <f t="shared" si="127"/>
        <v/>
      </c>
      <c r="AB990" s="219" t="str">
        <f t="shared" si="125"/>
        <v/>
      </c>
      <c r="AC990" s="219">
        <f t="shared" si="128"/>
        <v>0</v>
      </c>
      <c r="AD990" s="219">
        <f t="shared" si="129"/>
        <v>0</v>
      </c>
      <c r="AE990" s="220">
        <f t="shared" si="130"/>
        <v>0</v>
      </c>
      <c r="AF990" s="221">
        <f t="shared" si="131"/>
        <v>0</v>
      </c>
      <c r="AG990" s="204"/>
      <c r="AH990" s="178"/>
      <c r="AI990" s="174"/>
      <c r="AJ990" s="179"/>
      <c r="AK990" s="247"/>
      <c r="AL990" s="248"/>
      <c r="AM990" s="294" t="str">
        <f t="shared" si="135"/>
        <v/>
      </c>
      <c r="AN990" s="219" t="str">
        <f t="shared" si="126"/>
        <v/>
      </c>
      <c r="AO990" s="219">
        <f t="shared" si="136"/>
        <v>0</v>
      </c>
      <c r="AP990" s="219">
        <f t="shared" si="132"/>
        <v>0</v>
      </c>
      <c r="AQ990" s="220">
        <f t="shared" si="137"/>
        <v>0</v>
      </c>
      <c r="AR990" s="221">
        <f t="shared" si="138"/>
        <v>0</v>
      </c>
      <c r="AZ990" s="471"/>
      <c r="BA990" s="181"/>
      <c r="BB990" s="182"/>
      <c r="BC990" s="209"/>
      <c r="BD990" s="182"/>
      <c r="BE990" s="209"/>
      <c r="BF990" s="182"/>
      <c r="BG990" s="209"/>
      <c r="BH990" s="182"/>
      <c r="BI990" s="209"/>
      <c r="BJ990" s="183"/>
      <c r="BK990" s="209"/>
      <c r="BL990" s="182"/>
      <c r="BM990" s="210"/>
      <c r="BO990" s="28" t="e">
        <f t="shared" si="133"/>
        <v>#DIV/0!</v>
      </c>
      <c r="BP990" s="28">
        <f t="shared" si="134"/>
        <v>0</v>
      </c>
    </row>
    <row r="991" spans="22:68" x14ac:dyDescent="0.25">
      <c r="V991" s="178"/>
      <c r="W991" s="174"/>
      <c r="X991" s="179"/>
      <c r="Y991" s="247"/>
      <c r="Z991" s="248"/>
      <c r="AA991" s="294" t="str">
        <f t="shared" si="127"/>
        <v/>
      </c>
      <c r="AB991" s="219" t="str">
        <f t="shared" si="125"/>
        <v/>
      </c>
      <c r="AC991" s="219">
        <f t="shared" si="128"/>
        <v>0</v>
      </c>
      <c r="AD991" s="219">
        <f t="shared" si="129"/>
        <v>0</v>
      </c>
      <c r="AE991" s="220">
        <f t="shared" si="130"/>
        <v>0</v>
      </c>
      <c r="AF991" s="221">
        <f t="shared" si="131"/>
        <v>0</v>
      </c>
      <c r="AG991" s="204"/>
      <c r="AH991" s="178"/>
      <c r="AI991" s="174"/>
      <c r="AJ991" s="179"/>
      <c r="AK991" s="247"/>
      <c r="AL991" s="248"/>
      <c r="AM991" s="294" t="str">
        <f t="shared" si="135"/>
        <v/>
      </c>
      <c r="AN991" s="219" t="str">
        <f t="shared" si="126"/>
        <v/>
      </c>
      <c r="AO991" s="219">
        <f t="shared" si="136"/>
        <v>0</v>
      </c>
      <c r="AP991" s="219">
        <f t="shared" si="132"/>
        <v>0</v>
      </c>
      <c r="AQ991" s="220">
        <f t="shared" si="137"/>
        <v>0</v>
      </c>
      <c r="AR991" s="221">
        <f t="shared" si="138"/>
        <v>0</v>
      </c>
      <c r="AZ991" s="471"/>
      <c r="BA991" s="181"/>
      <c r="BB991" s="182"/>
      <c r="BC991" s="209"/>
      <c r="BD991" s="182"/>
      <c r="BE991" s="209"/>
      <c r="BF991" s="182"/>
      <c r="BG991" s="209"/>
      <c r="BH991" s="182"/>
      <c r="BI991" s="209"/>
      <c r="BJ991" s="183"/>
      <c r="BK991" s="209"/>
      <c r="BL991" s="182"/>
      <c r="BM991" s="210"/>
      <c r="BO991" s="28" t="e">
        <f t="shared" si="133"/>
        <v>#DIV/0!</v>
      </c>
      <c r="BP991" s="28">
        <f t="shared" si="134"/>
        <v>0</v>
      </c>
    </row>
    <row r="992" spans="22:68" x14ac:dyDescent="0.25">
      <c r="V992" s="178"/>
      <c r="W992" s="174"/>
      <c r="X992" s="179"/>
      <c r="Y992" s="247"/>
      <c r="Z992" s="248"/>
      <c r="AA992" s="294" t="str">
        <f t="shared" si="127"/>
        <v/>
      </c>
      <c r="AB992" s="219" t="str">
        <f t="shared" si="125"/>
        <v/>
      </c>
      <c r="AC992" s="219">
        <f t="shared" si="128"/>
        <v>0</v>
      </c>
      <c r="AD992" s="219">
        <f t="shared" si="129"/>
        <v>0</v>
      </c>
      <c r="AE992" s="220">
        <f t="shared" si="130"/>
        <v>0</v>
      </c>
      <c r="AF992" s="221">
        <f t="shared" si="131"/>
        <v>0</v>
      </c>
      <c r="AG992" s="204"/>
      <c r="AH992" s="178"/>
      <c r="AI992" s="174"/>
      <c r="AJ992" s="179"/>
      <c r="AK992" s="247"/>
      <c r="AL992" s="248"/>
      <c r="AM992" s="294" t="str">
        <f t="shared" si="135"/>
        <v/>
      </c>
      <c r="AN992" s="219" t="str">
        <f t="shared" si="126"/>
        <v/>
      </c>
      <c r="AO992" s="219">
        <f t="shared" si="136"/>
        <v>0</v>
      </c>
      <c r="AP992" s="219">
        <f t="shared" si="132"/>
        <v>0</v>
      </c>
      <c r="AQ992" s="220">
        <f t="shared" si="137"/>
        <v>0</v>
      </c>
      <c r="AR992" s="221">
        <f t="shared" si="138"/>
        <v>0</v>
      </c>
      <c r="AZ992" s="471"/>
      <c r="BA992" s="181"/>
      <c r="BB992" s="182"/>
      <c r="BC992" s="209"/>
      <c r="BD992" s="182"/>
      <c r="BE992" s="209"/>
      <c r="BF992" s="182"/>
      <c r="BG992" s="209"/>
      <c r="BH992" s="182"/>
      <c r="BI992" s="209"/>
      <c r="BJ992" s="183"/>
      <c r="BK992" s="209"/>
      <c r="BL992" s="182"/>
      <c r="BM992" s="210"/>
      <c r="BO992" s="28" t="e">
        <f t="shared" si="133"/>
        <v>#DIV/0!</v>
      </c>
      <c r="BP992" s="28">
        <f t="shared" si="134"/>
        <v>0</v>
      </c>
    </row>
    <row r="993" spans="22:68" x14ac:dyDescent="0.25">
      <c r="V993" s="178"/>
      <c r="W993" s="174"/>
      <c r="X993" s="179"/>
      <c r="Y993" s="247"/>
      <c r="Z993" s="248"/>
      <c r="AA993" s="294" t="str">
        <f t="shared" si="127"/>
        <v/>
      </c>
      <c r="AB993" s="219" t="str">
        <f t="shared" si="125"/>
        <v/>
      </c>
      <c r="AC993" s="219">
        <f t="shared" si="128"/>
        <v>0</v>
      </c>
      <c r="AD993" s="219">
        <f t="shared" si="129"/>
        <v>0</v>
      </c>
      <c r="AE993" s="220">
        <f t="shared" si="130"/>
        <v>0</v>
      </c>
      <c r="AF993" s="221">
        <f t="shared" si="131"/>
        <v>0</v>
      </c>
      <c r="AG993" s="204"/>
      <c r="AH993" s="178"/>
      <c r="AI993" s="174"/>
      <c r="AJ993" s="179"/>
      <c r="AK993" s="247"/>
      <c r="AL993" s="248"/>
      <c r="AM993" s="294" t="str">
        <f t="shared" si="135"/>
        <v/>
      </c>
      <c r="AN993" s="219" t="str">
        <f t="shared" si="126"/>
        <v/>
      </c>
      <c r="AO993" s="219">
        <f t="shared" si="136"/>
        <v>0</v>
      </c>
      <c r="AP993" s="219">
        <f t="shared" si="132"/>
        <v>0</v>
      </c>
      <c r="AQ993" s="220">
        <f t="shared" si="137"/>
        <v>0</v>
      </c>
      <c r="AR993" s="221">
        <f t="shared" si="138"/>
        <v>0</v>
      </c>
      <c r="AZ993" s="471"/>
      <c r="BA993" s="181"/>
      <c r="BB993" s="182"/>
      <c r="BC993" s="209"/>
      <c r="BD993" s="182"/>
      <c r="BE993" s="209"/>
      <c r="BF993" s="182"/>
      <c r="BG993" s="209"/>
      <c r="BH993" s="182"/>
      <c r="BI993" s="209"/>
      <c r="BJ993" s="183"/>
      <c r="BK993" s="209"/>
      <c r="BL993" s="182"/>
      <c r="BM993" s="210"/>
      <c r="BO993" s="28" t="e">
        <f t="shared" si="133"/>
        <v>#DIV/0!</v>
      </c>
      <c r="BP993" s="28">
        <f t="shared" si="134"/>
        <v>0</v>
      </c>
    </row>
    <row r="994" spans="22:68" x14ac:dyDescent="0.25">
      <c r="V994" s="178"/>
      <c r="W994" s="174"/>
      <c r="X994" s="179"/>
      <c r="Y994" s="247"/>
      <c r="Z994" s="248"/>
      <c r="AA994" s="294" t="str">
        <f t="shared" si="127"/>
        <v/>
      </c>
      <c r="AB994" s="219" t="str">
        <f t="shared" si="125"/>
        <v/>
      </c>
      <c r="AC994" s="219">
        <f t="shared" si="128"/>
        <v>0</v>
      </c>
      <c r="AD994" s="219">
        <f t="shared" si="129"/>
        <v>0</v>
      </c>
      <c r="AE994" s="220">
        <f t="shared" si="130"/>
        <v>0</v>
      </c>
      <c r="AF994" s="221">
        <f t="shared" si="131"/>
        <v>0</v>
      </c>
      <c r="AG994" s="204"/>
      <c r="AH994" s="178"/>
      <c r="AI994" s="174"/>
      <c r="AJ994" s="179"/>
      <c r="AK994" s="247"/>
      <c r="AL994" s="248"/>
      <c r="AM994" s="294" t="str">
        <f t="shared" si="135"/>
        <v/>
      </c>
      <c r="AN994" s="219" t="str">
        <f t="shared" si="126"/>
        <v/>
      </c>
      <c r="AO994" s="219">
        <f t="shared" si="136"/>
        <v>0</v>
      </c>
      <c r="AP994" s="219">
        <f t="shared" si="132"/>
        <v>0</v>
      </c>
      <c r="AQ994" s="220">
        <f t="shared" si="137"/>
        <v>0</v>
      </c>
      <c r="AR994" s="221">
        <f t="shared" si="138"/>
        <v>0</v>
      </c>
      <c r="AZ994" s="471"/>
      <c r="BA994" s="181"/>
      <c r="BB994" s="182"/>
      <c r="BC994" s="209"/>
      <c r="BD994" s="182"/>
      <c r="BE994" s="209"/>
      <c r="BF994" s="182"/>
      <c r="BG994" s="209"/>
      <c r="BH994" s="182"/>
      <c r="BI994" s="209"/>
      <c r="BJ994" s="183"/>
      <c r="BK994" s="209"/>
      <c r="BL994" s="182"/>
      <c r="BM994" s="210"/>
      <c r="BO994" s="28" t="e">
        <f t="shared" si="133"/>
        <v>#DIV/0!</v>
      </c>
      <c r="BP994" s="28">
        <f t="shared" si="134"/>
        <v>0</v>
      </c>
    </row>
    <row r="995" spans="22:68" x14ac:dyDescent="0.25">
      <c r="V995" s="178"/>
      <c r="W995" s="174"/>
      <c r="X995" s="179"/>
      <c r="Y995" s="247"/>
      <c r="Z995" s="248"/>
      <c r="AA995" s="294" t="str">
        <f t="shared" si="127"/>
        <v/>
      </c>
      <c r="AB995" s="219" t="str">
        <f t="shared" si="125"/>
        <v/>
      </c>
      <c r="AC995" s="219">
        <f t="shared" si="128"/>
        <v>0</v>
      </c>
      <c r="AD995" s="219">
        <f t="shared" si="129"/>
        <v>0</v>
      </c>
      <c r="AE995" s="220">
        <f t="shared" si="130"/>
        <v>0</v>
      </c>
      <c r="AF995" s="221">
        <f t="shared" si="131"/>
        <v>0</v>
      </c>
      <c r="AG995" s="204"/>
      <c r="AH995" s="178"/>
      <c r="AI995" s="174"/>
      <c r="AJ995" s="179"/>
      <c r="AK995" s="247"/>
      <c r="AL995" s="248"/>
      <c r="AM995" s="294" t="str">
        <f t="shared" si="135"/>
        <v/>
      </c>
      <c r="AN995" s="219" t="str">
        <f t="shared" si="126"/>
        <v/>
      </c>
      <c r="AO995" s="219">
        <f t="shared" si="136"/>
        <v>0</v>
      </c>
      <c r="AP995" s="219">
        <f t="shared" si="132"/>
        <v>0</v>
      </c>
      <c r="AQ995" s="220">
        <f t="shared" si="137"/>
        <v>0</v>
      </c>
      <c r="AR995" s="221">
        <f t="shared" si="138"/>
        <v>0</v>
      </c>
      <c r="AZ995" s="471"/>
      <c r="BA995" s="181"/>
      <c r="BB995" s="182"/>
      <c r="BC995" s="209"/>
      <c r="BD995" s="182"/>
      <c r="BE995" s="209"/>
      <c r="BF995" s="182"/>
      <c r="BG995" s="209"/>
      <c r="BH995" s="182"/>
      <c r="BI995" s="209"/>
      <c r="BJ995" s="183"/>
      <c r="BK995" s="209"/>
      <c r="BL995" s="182"/>
      <c r="BM995" s="210"/>
      <c r="BO995" s="28" t="e">
        <f t="shared" si="133"/>
        <v>#DIV/0!</v>
      </c>
      <c r="BP995" s="28">
        <f t="shared" si="134"/>
        <v>0</v>
      </c>
    </row>
    <row r="996" spans="22:68" x14ac:dyDescent="0.25">
      <c r="V996" s="178"/>
      <c r="W996" s="174"/>
      <c r="X996" s="179"/>
      <c r="Y996" s="247"/>
      <c r="Z996" s="248"/>
      <c r="AA996" s="294" t="str">
        <f t="shared" si="127"/>
        <v/>
      </c>
      <c r="AB996" s="219" t="str">
        <f t="shared" si="125"/>
        <v/>
      </c>
      <c r="AC996" s="219">
        <f t="shared" si="128"/>
        <v>0</v>
      </c>
      <c r="AD996" s="219">
        <f t="shared" si="129"/>
        <v>0</v>
      </c>
      <c r="AE996" s="220">
        <f t="shared" si="130"/>
        <v>0</v>
      </c>
      <c r="AF996" s="221">
        <f t="shared" si="131"/>
        <v>0</v>
      </c>
      <c r="AG996" s="204"/>
      <c r="AH996" s="178"/>
      <c r="AI996" s="174"/>
      <c r="AJ996" s="179"/>
      <c r="AK996" s="247"/>
      <c r="AL996" s="248"/>
      <c r="AM996" s="294" t="str">
        <f t="shared" si="135"/>
        <v/>
      </c>
      <c r="AN996" s="219" t="str">
        <f t="shared" si="126"/>
        <v/>
      </c>
      <c r="AO996" s="219">
        <f t="shared" si="136"/>
        <v>0</v>
      </c>
      <c r="AP996" s="219">
        <f t="shared" si="132"/>
        <v>0</v>
      </c>
      <c r="AQ996" s="220">
        <f t="shared" si="137"/>
        <v>0</v>
      </c>
      <c r="AR996" s="221">
        <f t="shared" si="138"/>
        <v>0</v>
      </c>
      <c r="AZ996" s="471"/>
      <c r="BA996" s="181"/>
      <c r="BB996" s="182"/>
      <c r="BC996" s="209"/>
      <c r="BD996" s="182"/>
      <c r="BE996" s="209"/>
      <c r="BF996" s="182"/>
      <c r="BG996" s="209"/>
      <c r="BH996" s="182"/>
      <c r="BI996" s="209"/>
      <c r="BJ996" s="183"/>
      <c r="BK996" s="209"/>
      <c r="BL996" s="182"/>
      <c r="BM996" s="210"/>
      <c r="BO996" s="28" t="e">
        <f t="shared" si="133"/>
        <v>#DIV/0!</v>
      </c>
      <c r="BP996" s="28">
        <f t="shared" si="134"/>
        <v>0</v>
      </c>
    </row>
    <row r="997" spans="22:68" x14ac:dyDescent="0.25">
      <c r="V997" s="178"/>
      <c r="W997" s="174"/>
      <c r="X997" s="179"/>
      <c r="Y997" s="247"/>
      <c r="Z997" s="248"/>
      <c r="AA997" s="294" t="str">
        <f t="shared" si="127"/>
        <v/>
      </c>
      <c r="AB997" s="219" t="str">
        <f t="shared" si="125"/>
        <v/>
      </c>
      <c r="AC997" s="219">
        <f t="shared" si="128"/>
        <v>0</v>
      </c>
      <c r="AD997" s="219">
        <f t="shared" si="129"/>
        <v>0</v>
      </c>
      <c r="AE997" s="220">
        <f t="shared" si="130"/>
        <v>0</v>
      </c>
      <c r="AF997" s="221">
        <f t="shared" si="131"/>
        <v>0</v>
      </c>
      <c r="AG997" s="204"/>
      <c r="AH997" s="178"/>
      <c r="AI997" s="174"/>
      <c r="AJ997" s="179"/>
      <c r="AK997" s="247"/>
      <c r="AL997" s="248"/>
      <c r="AM997" s="294" t="str">
        <f t="shared" si="135"/>
        <v/>
      </c>
      <c r="AN997" s="219" t="str">
        <f t="shared" si="126"/>
        <v/>
      </c>
      <c r="AO997" s="219">
        <f t="shared" si="136"/>
        <v>0</v>
      </c>
      <c r="AP997" s="219">
        <f t="shared" si="132"/>
        <v>0</v>
      </c>
      <c r="AQ997" s="220">
        <f t="shared" si="137"/>
        <v>0</v>
      </c>
      <c r="AR997" s="221">
        <f t="shared" si="138"/>
        <v>0</v>
      </c>
      <c r="AZ997" s="471"/>
      <c r="BA997" s="181"/>
      <c r="BB997" s="182"/>
      <c r="BC997" s="209"/>
      <c r="BD997" s="182"/>
      <c r="BE997" s="209"/>
      <c r="BF997" s="182"/>
      <c r="BG997" s="209"/>
      <c r="BH997" s="182"/>
      <c r="BI997" s="209"/>
      <c r="BJ997" s="183"/>
      <c r="BK997" s="209"/>
      <c r="BL997" s="182"/>
      <c r="BM997" s="210"/>
      <c r="BO997" s="28" t="e">
        <f t="shared" si="133"/>
        <v>#DIV/0!</v>
      </c>
      <c r="BP997" s="28">
        <f t="shared" si="134"/>
        <v>0</v>
      </c>
    </row>
    <row r="998" spans="22:68" x14ac:dyDescent="0.25">
      <c r="V998" s="178"/>
      <c r="W998" s="174"/>
      <c r="X998" s="179"/>
      <c r="Y998" s="247"/>
      <c r="Z998" s="248"/>
      <c r="AA998" s="294" t="str">
        <f t="shared" si="127"/>
        <v/>
      </c>
      <c r="AB998" s="219" t="str">
        <f t="shared" si="125"/>
        <v/>
      </c>
      <c r="AC998" s="219">
        <f t="shared" si="128"/>
        <v>0</v>
      </c>
      <c r="AD998" s="219">
        <f t="shared" si="129"/>
        <v>0</v>
      </c>
      <c r="AE998" s="220">
        <f t="shared" si="130"/>
        <v>0</v>
      </c>
      <c r="AF998" s="221">
        <f t="shared" si="131"/>
        <v>0</v>
      </c>
      <c r="AG998" s="204"/>
      <c r="AH998" s="178"/>
      <c r="AI998" s="174"/>
      <c r="AJ998" s="179"/>
      <c r="AK998" s="247"/>
      <c r="AL998" s="248"/>
      <c r="AM998" s="294" t="str">
        <f t="shared" si="135"/>
        <v/>
      </c>
      <c r="AN998" s="219" t="str">
        <f t="shared" si="126"/>
        <v/>
      </c>
      <c r="AO998" s="219">
        <f t="shared" si="136"/>
        <v>0</v>
      </c>
      <c r="AP998" s="219">
        <f t="shared" si="132"/>
        <v>0</v>
      </c>
      <c r="AQ998" s="220">
        <f t="shared" si="137"/>
        <v>0</v>
      </c>
      <c r="AR998" s="221">
        <f t="shared" si="138"/>
        <v>0</v>
      </c>
      <c r="AZ998" s="471"/>
      <c r="BA998" s="181"/>
      <c r="BB998" s="182"/>
      <c r="BC998" s="209"/>
      <c r="BD998" s="182"/>
      <c r="BE998" s="209"/>
      <c r="BF998" s="182"/>
      <c r="BG998" s="209"/>
      <c r="BH998" s="182"/>
      <c r="BI998" s="209"/>
      <c r="BJ998" s="183"/>
      <c r="BK998" s="209"/>
      <c r="BL998" s="182"/>
      <c r="BM998" s="210"/>
      <c r="BO998" s="28" t="e">
        <f t="shared" si="133"/>
        <v>#DIV/0!</v>
      </c>
      <c r="BP998" s="28">
        <f t="shared" si="134"/>
        <v>0</v>
      </c>
    </row>
    <row r="999" spans="22:68" x14ac:dyDescent="0.25">
      <c r="V999" s="178"/>
      <c r="W999" s="174"/>
      <c r="X999" s="179"/>
      <c r="Y999" s="247"/>
      <c r="Z999" s="248"/>
      <c r="AA999" s="294" t="str">
        <f t="shared" si="127"/>
        <v/>
      </c>
      <c r="AB999" s="219" t="str">
        <f t="shared" si="125"/>
        <v/>
      </c>
      <c r="AC999" s="219">
        <f t="shared" si="128"/>
        <v>0</v>
      </c>
      <c r="AD999" s="219">
        <f t="shared" si="129"/>
        <v>0</v>
      </c>
      <c r="AE999" s="220">
        <f t="shared" si="130"/>
        <v>0</v>
      </c>
      <c r="AF999" s="221">
        <f t="shared" si="131"/>
        <v>0</v>
      </c>
      <c r="AG999" s="204"/>
      <c r="AH999" s="178"/>
      <c r="AI999" s="174"/>
      <c r="AJ999" s="179"/>
      <c r="AK999" s="247"/>
      <c r="AL999" s="248"/>
      <c r="AM999" s="294" t="str">
        <f t="shared" si="135"/>
        <v/>
      </c>
      <c r="AN999" s="219" t="str">
        <f t="shared" si="126"/>
        <v/>
      </c>
      <c r="AO999" s="219">
        <f t="shared" si="136"/>
        <v>0</v>
      </c>
      <c r="AP999" s="219">
        <f t="shared" si="132"/>
        <v>0</v>
      </c>
      <c r="AQ999" s="220">
        <f t="shared" si="137"/>
        <v>0</v>
      </c>
      <c r="AR999" s="221">
        <f t="shared" si="138"/>
        <v>0</v>
      </c>
      <c r="AZ999" s="471"/>
      <c r="BA999" s="181"/>
      <c r="BB999" s="182"/>
      <c r="BC999" s="209"/>
      <c r="BD999" s="182"/>
      <c r="BE999" s="209"/>
      <c r="BF999" s="182"/>
      <c r="BG999" s="209"/>
      <c r="BH999" s="182"/>
      <c r="BI999" s="209"/>
      <c r="BJ999" s="183"/>
      <c r="BK999" s="209"/>
      <c r="BL999" s="182"/>
      <c r="BM999" s="210"/>
      <c r="BO999" s="28" t="e">
        <f t="shared" si="133"/>
        <v>#DIV/0!</v>
      </c>
      <c r="BP999" s="28">
        <f t="shared" si="134"/>
        <v>0</v>
      </c>
    </row>
    <row r="1000" spans="22:68" x14ac:dyDescent="0.25">
      <c r="V1000" s="178"/>
      <c r="W1000" s="174"/>
      <c r="X1000" s="179"/>
      <c r="Y1000" s="247"/>
      <c r="Z1000" s="248"/>
      <c r="AA1000" s="294" t="str">
        <f t="shared" si="127"/>
        <v/>
      </c>
      <c r="AB1000" s="219" t="str">
        <f t="shared" si="125"/>
        <v/>
      </c>
      <c r="AC1000" s="219">
        <f t="shared" si="128"/>
        <v>0</v>
      </c>
      <c r="AD1000" s="219">
        <f t="shared" si="129"/>
        <v>0</v>
      </c>
      <c r="AE1000" s="220">
        <f t="shared" si="130"/>
        <v>0</v>
      </c>
      <c r="AF1000" s="221">
        <f t="shared" si="131"/>
        <v>0</v>
      </c>
      <c r="AG1000" s="204"/>
      <c r="AH1000" s="178"/>
      <c r="AI1000" s="174"/>
      <c r="AJ1000" s="179"/>
      <c r="AK1000" s="247"/>
      <c r="AL1000" s="248"/>
      <c r="AM1000" s="294" t="str">
        <f t="shared" si="135"/>
        <v/>
      </c>
      <c r="AN1000" s="219" t="str">
        <f t="shared" si="126"/>
        <v/>
      </c>
      <c r="AO1000" s="219">
        <f t="shared" si="136"/>
        <v>0</v>
      </c>
      <c r="AP1000" s="219">
        <f t="shared" si="132"/>
        <v>0</v>
      </c>
      <c r="AQ1000" s="220">
        <f t="shared" si="137"/>
        <v>0</v>
      </c>
      <c r="AR1000" s="221">
        <f t="shared" si="138"/>
        <v>0</v>
      </c>
      <c r="AZ1000" s="471"/>
      <c r="BA1000" s="181"/>
      <c r="BB1000" s="182"/>
      <c r="BC1000" s="209"/>
      <c r="BD1000" s="182"/>
      <c r="BE1000" s="209"/>
      <c r="BF1000" s="182"/>
      <c r="BG1000" s="209"/>
      <c r="BH1000" s="182"/>
      <c r="BI1000" s="209"/>
      <c r="BJ1000" s="183"/>
      <c r="BK1000" s="209"/>
      <c r="BL1000" s="182"/>
      <c r="BM1000" s="210"/>
      <c r="BO1000" s="28" t="e">
        <f t="shared" si="133"/>
        <v>#DIV/0!</v>
      </c>
      <c r="BP1000" s="28">
        <f t="shared" si="134"/>
        <v>0</v>
      </c>
    </row>
    <row r="1001" spans="22:68" x14ac:dyDescent="0.25">
      <c r="V1001" s="178"/>
      <c r="W1001" s="174"/>
      <c r="X1001" s="179"/>
      <c r="Y1001" s="247"/>
      <c r="Z1001" s="248"/>
      <c r="AA1001" s="294" t="str">
        <f t="shared" si="127"/>
        <v/>
      </c>
      <c r="AB1001" s="219" t="str">
        <f t="shared" si="125"/>
        <v/>
      </c>
      <c r="AC1001" s="219">
        <f t="shared" si="128"/>
        <v>0</v>
      </c>
      <c r="AD1001" s="219">
        <f t="shared" si="129"/>
        <v>0</v>
      </c>
      <c r="AE1001" s="220">
        <f t="shared" si="130"/>
        <v>0</v>
      </c>
      <c r="AF1001" s="221">
        <f t="shared" si="131"/>
        <v>0</v>
      </c>
      <c r="AG1001" s="204"/>
      <c r="AH1001" s="178"/>
      <c r="AI1001" s="174"/>
      <c r="AJ1001" s="179"/>
      <c r="AK1001" s="247"/>
      <c r="AL1001" s="248"/>
      <c r="AM1001" s="294" t="str">
        <f t="shared" si="135"/>
        <v/>
      </c>
      <c r="AN1001" s="219" t="str">
        <f t="shared" si="126"/>
        <v/>
      </c>
      <c r="AO1001" s="219">
        <f t="shared" si="136"/>
        <v>0</v>
      </c>
      <c r="AP1001" s="219">
        <f t="shared" si="132"/>
        <v>0</v>
      </c>
      <c r="AQ1001" s="220">
        <f t="shared" si="137"/>
        <v>0</v>
      </c>
      <c r="AR1001" s="221">
        <f t="shared" si="138"/>
        <v>0</v>
      </c>
      <c r="AZ1001" s="471"/>
      <c r="BA1001" s="181"/>
      <c r="BB1001" s="182"/>
      <c r="BC1001" s="209"/>
      <c r="BD1001" s="182"/>
      <c r="BE1001" s="209"/>
      <c r="BF1001" s="182"/>
      <c r="BG1001" s="209"/>
      <c r="BH1001" s="182"/>
      <c r="BI1001" s="209"/>
      <c r="BJ1001" s="183"/>
      <c r="BK1001" s="209"/>
      <c r="BL1001" s="182"/>
      <c r="BM1001" s="210"/>
      <c r="BO1001" s="28" t="e">
        <f t="shared" si="133"/>
        <v>#DIV/0!</v>
      </c>
      <c r="BP1001" s="28">
        <f t="shared" si="134"/>
        <v>0</v>
      </c>
    </row>
    <row r="1002" spans="22:68" x14ac:dyDescent="0.25">
      <c r="V1002" s="178"/>
      <c r="W1002" s="174"/>
      <c r="X1002" s="179"/>
      <c r="Y1002" s="247"/>
      <c r="Z1002" s="248"/>
      <c r="AA1002" s="294" t="str">
        <f t="shared" si="127"/>
        <v/>
      </c>
      <c r="AB1002" s="219" t="str">
        <f t="shared" si="125"/>
        <v/>
      </c>
      <c r="AC1002" s="219">
        <f t="shared" si="128"/>
        <v>0</v>
      </c>
      <c r="AD1002" s="219">
        <f t="shared" si="129"/>
        <v>0</v>
      </c>
      <c r="AE1002" s="220">
        <f t="shared" si="130"/>
        <v>0</v>
      </c>
      <c r="AF1002" s="221">
        <f t="shared" si="131"/>
        <v>0</v>
      </c>
      <c r="AG1002" s="204"/>
      <c r="AH1002" s="178"/>
      <c r="AI1002" s="174"/>
      <c r="AJ1002" s="179"/>
      <c r="AK1002" s="247"/>
      <c r="AL1002" s="248"/>
      <c r="AM1002" s="294" t="str">
        <f t="shared" si="135"/>
        <v/>
      </c>
      <c r="AN1002" s="219" t="str">
        <f t="shared" si="126"/>
        <v/>
      </c>
      <c r="AO1002" s="219">
        <f t="shared" si="136"/>
        <v>0</v>
      </c>
      <c r="AP1002" s="219">
        <f t="shared" si="132"/>
        <v>0</v>
      </c>
      <c r="AQ1002" s="220">
        <f t="shared" si="137"/>
        <v>0</v>
      </c>
      <c r="AR1002" s="221">
        <f t="shared" si="138"/>
        <v>0</v>
      </c>
      <c r="AZ1002" s="471"/>
      <c r="BA1002" s="181"/>
      <c r="BB1002" s="182"/>
      <c r="BC1002" s="209"/>
      <c r="BD1002" s="182"/>
      <c r="BE1002" s="209"/>
      <c r="BF1002" s="182"/>
      <c r="BG1002" s="209"/>
      <c r="BH1002" s="182"/>
      <c r="BI1002" s="209"/>
      <c r="BJ1002" s="183"/>
      <c r="BK1002" s="209"/>
      <c r="BL1002" s="182"/>
      <c r="BM1002" s="210"/>
      <c r="BO1002" s="28" t="e">
        <f t="shared" si="133"/>
        <v>#DIV/0!</v>
      </c>
      <c r="BP1002" s="28">
        <f t="shared" si="134"/>
        <v>0</v>
      </c>
    </row>
    <row r="1003" spans="22:68" x14ac:dyDescent="0.25">
      <c r="V1003" s="178"/>
      <c r="W1003" s="174"/>
      <c r="X1003" s="179"/>
      <c r="Y1003" s="247"/>
      <c r="Z1003" s="248"/>
      <c r="AA1003" s="294" t="str">
        <f t="shared" si="127"/>
        <v/>
      </c>
      <c r="AB1003" s="219" t="str">
        <f t="shared" si="125"/>
        <v/>
      </c>
      <c r="AC1003" s="219">
        <f t="shared" si="128"/>
        <v>0</v>
      </c>
      <c r="AD1003" s="219">
        <f t="shared" si="129"/>
        <v>0</v>
      </c>
      <c r="AE1003" s="220">
        <f t="shared" si="130"/>
        <v>0</v>
      </c>
      <c r="AF1003" s="221">
        <f t="shared" si="131"/>
        <v>0</v>
      </c>
      <c r="AG1003" s="204"/>
      <c r="AH1003" s="178"/>
      <c r="AI1003" s="174"/>
      <c r="AJ1003" s="179"/>
      <c r="AK1003" s="247"/>
      <c r="AL1003" s="248"/>
      <c r="AM1003" s="294" t="str">
        <f t="shared" si="135"/>
        <v/>
      </c>
      <c r="AN1003" s="219" t="str">
        <f t="shared" si="126"/>
        <v/>
      </c>
      <c r="AO1003" s="219">
        <f t="shared" si="136"/>
        <v>0</v>
      </c>
      <c r="AP1003" s="219">
        <f t="shared" si="132"/>
        <v>0</v>
      </c>
      <c r="AQ1003" s="220">
        <f t="shared" si="137"/>
        <v>0</v>
      </c>
      <c r="AR1003" s="221">
        <f t="shared" si="138"/>
        <v>0</v>
      </c>
      <c r="AZ1003" s="471"/>
      <c r="BA1003" s="181"/>
      <c r="BB1003" s="182"/>
      <c r="BC1003" s="209"/>
      <c r="BD1003" s="182"/>
      <c r="BE1003" s="209"/>
      <c r="BF1003" s="182"/>
      <c r="BG1003" s="209"/>
      <c r="BH1003" s="182"/>
      <c r="BI1003" s="209"/>
      <c r="BJ1003" s="183"/>
      <c r="BK1003" s="209"/>
      <c r="BL1003" s="182"/>
      <c r="BM1003" s="210"/>
      <c r="BO1003" s="28" t="e">
        <f t="shared" si="133"/>
        <v>#DIV/0!</v>
      </c>
      <c r="BP1003" s="28">
        <f t="shared" si="134"/>
        <v>0</v>
      </c>
    </row>
    <row r="1004" spans="22:68" x14ac:dyDescent="0.25">
      <c r="V1004" s="178"/>
      <c r="W1004" s="174"/>
      <c r="X1004" s="179"/>
      <c r="Y1004" s="247"/>
      <c r="Z1004" s="248"/>
      <c r="AA1004" s="294" t="str">
        <f t="shared" si="127"/>
        <v/>
      </c>
      <c r="AB1004" s="219" t="str">
        <f t="shared" si="125"/>
        <v/>
      </c>
      <c r="AC1004" s="219">
        <f t="shared" si="128"/>
        <v>0</v>
      </c>
      <c r="AD1004" s="219">
        <f t="shared" si="129"/>
        <v>0</v>
      </c>
      <c r="AE1004" s="220">
        <f t="shared" si="130"/>
        <v>0</v>
      </c>
      <c r="AF1004" s="221">
        <f t="shared" si="131"/>
        <v>0</v>
      </c>
      <c r="AG1004" s="204"/>
      <c r="AH1004" s="178"/>
      <c r="AI1004" s="174"/>
      <c r="AJ1004" s="179"/>
      <c r="AK1004" s="247"/>
      <c r="AL1004" s="248"/>
      <c r="AM1004" s="294" t="str">
        <f t="shared" si="135"/>
        <v/>
      </c>
      <c r="AN1004" s="219" t="str">
        <f t="shared" si="126"/>
        <v/>
      </c>
      <c r="AO1004" s="219">
        <f t="shared" si="136"/>
        <v>0</v>
      </c>
      <c r="AP1004" s="219">
        <f t="shared" si="132"/>
        <v>0</v>
      </c>
      <c r="AQ1004" s="220">
        <f t="shared" si="137"/>
        <v>0</v>
      </c>
      <c r="AR1004" s="221">
        <f t="shared" si="138"/>
        <v>0</v>
      </c>
      <c r="AZ1004" s="471"/>
      <c r="BA1004" s="181"/>
      <c r="BB1004" s="182"/>
      <c r="BC1004" s="209"/>
      <c r="BD1004" s="182"/>
      <c r="BE1004" s="209"/>
      <c r="BF1004" s="182"/>
      <c r="BG1004" s="209"/>
      <c r="BH1004" s="182"/>
      <c r="BI1004" s="209"/>
      <c r="BJ1004" s="183"/>
      <c r="BK1004" s="209"/>
      <c r="BL1004" s="182"/>
      <c r="BM1004" s="210"/>
      <c r="BO1004" s="28" t="e">
        <f t="shared" si="133"/>
        <v>#DIV/0!</v>
      </c>
      <c r="BP1004" s="28">
        <f t="shared" si="134"/>
        <v>0</v>
      </c>
    </row>
    <row r="1005" spans="22:68" x14ac:dyDescent="0.25">
      <c r="V1005" s="178"/>
      <c r="W1005" s="174"/>
      <c r="X1005" s="179"/>
      <c r="Y1005" s="247"/>
      <c r="Z1005" s="248"/>
      <c r="AA1005" s="294" t="str">
        <f t="shared" si="127"/>
        <v/>
      </c>
      <c r="AB1005" s="219" t="str">
        <f t="shared" si="125"/>
        <v/>
      </c>
      <c r="AC1005" s="219">
        <f t="shared" si="128"/>
        <v>0</v>
      </c>
      <c r="AD1005" s="219">
        <f t="shared" si="129"/>
        <v>0</v>
      </c>
      <c r="AE1005" s="220">
        <f t="shared" si="130"/>
        <v>0</v>
      </c>
      <c r="AF1005" s="221">
        <f t="shared" si="131"/>
        <v>0</v>
      </c>
      <c r="AG1005" s="204"/>
      <c r="AH1005" s="178"/>
      <c r="AI1005" s="174"/>
      <c r="AJ1005" s="179"/>
      <c r="AK1005" s="247"/>
      <c r="AL1005" s="248"/>
      <c r="AM1005" s="294" t="str">
        <f t="shared" si="135"/>
        <v/>
      </c>
      <c r="AN1005" s="219" t="str">
        <f t="shared" si="126"/>
        <v/>
      </c>
      <c r="AO1005" s="219">
        <f t="shared" si="136"/>
        <v>0</v>
      </c>
      <c r="AP1005" s="219">
        <f t="shared" si="132"/>
        <v>0</v>
      </c>
      <c r="AQ1005" s="220">
        <f t="shared" si="137"/>
        <v>0</v>
      </c>
      <c r="AR1005" s="221">
        <f t="shared" si="138"/>
        <v>0</v>
      </c>
      <c r="AZ1005" s="471"/>
      <c r="BA1005" s="181"/>
      <c r="BB1005" s="182"/>
      <c r="BC1005" s="209"/>
      <c r="BD1005" s="182"/>
      <c r="BE1005" s="209"/>
      <c r="BF1005" s="182"/>
      <c r="BG1005" s="209"/>
      <c r="BH1005" s="182"/>
      <c r="BI1005" s="209"/>
      <c r="BJ1005" s="183"/>
      <c r="BK1005" s="209"/>
      <c r="BL1005" s="182"/>
      <c r="BM1005" s="210"/>
      <c r="BO1005" s="28" t="e">
        <f t="shared" si="133"/>
        <v>#DIV/0!</v>
      </c>
      <c r="BP1005" s="28">
        <f t="shared" si="134"/>
        <v>0</v>
      </c>
    </row>
    <row r="1006" spans="22:68" x14ac:dyDescent="0.25">
      <c r="V1006" s="178"/>
      <c r="W1006" s="174"/>
      <c r="X1006" s="179"/>
      <c r="Y1006" s="247"/>
      <c r="Z1006" s="248"/>
      <c r="AA1006" s="294" t="str">
        <f t="shared" si="127"/>
        <v/>
      </c>
      <c r="AB1006" s="219" t="str">
        <f t="shared" si="125"/>
        <v/>
      </c>
      <c r="AC1006" s="219">
        <f t="shared" si="128"/>
        <v>0</v>
      </c>
      <c r="AD1006" s="219">
        <f t="shared" si="129"/>
        <v>0</v>
      </c>
      <c r="AE1006" s="220">
        <f t="shared" si="130"/>
        <v>0</v>
      </c>
      <c r="AF1006" s="221">
        <f t="shared" si="131"/>
        <v>0</v>
      </c>
      <c r="AG1006" s="204"/>
      <c r="AH1006" s="178"/>
      <c r="AI1006" s="174"/>
      <c r="AJ1006" s="179"/>
      <c r="AK1006" s="247"/>
      <c r="AL1006" s="248"/>
      <c r="AM1006" s="294" t="str">
        <f t="shared" si="135"/>
        <v/>
      </c>
      <c r="AN1006" s="219" t="str">
        <f t="shared" si="126"/>
        <v/>
      </c>
      <c r="AO1006" s="219">
        <f t="shared" si="136"/>
        <v>0</v>
      </c>
      <c r="AP1006" s="219">
        <f t="shared" si="132"/>
        <v>0</v>
      </c>
      <c r="AQ1006" s="220">
        <f t="shared" si="137"/>
        <v>0</v>
      </c>
      <c r="AR1006" s="221">
        <f t="shared" si="138"/>
        <v>0</v>
      </c>
      <c r="AZ1006" s="471"/>
      <c r="BA1006" s="181"/>
      <c r="BB1006" s="182"/>
      <c r="BC1006" s="209"/>
      <c r="BD1006" s="182"/>
      <c r="BE1006" s="209"/>
      <c r="BF1006" s="182"/>
      <c r="BG1006" s="209"/>
      <c r="BH1006" s="182"/>
      <c r="BI1006" s="209"/>
      <c r="BJ1006" s="183"/>
      <c r="BK1006" s="209"/>
      <c r="BL1006" s="182"/>
      <c r="BM1006" s="210"/>
      <c r="BO1006" s="28" t="e">
        <f t="shared" si="133"/>
        <v>#DIV/0!</v>
      </c>
      <c r="BP1006" s="28">
        <f t="shared" si="134"/>
        <v>0</v>
      </c>
    </row>
    <row r="1007" spans="22:68" x14ac:dyDescent="0.25">
      <c r="V1007" s="178"/>
      <c r="W1007" s="174"/>
      <c r="X1007" s="179"/>
      <c r="Y1007" s="247"/>
      <c r="Z1007" s="248"/>
      <c r="AA1007" s="294" t="str">
        <f t="shared" si="127"/>
        <v/>
      </c>
      <c r="AB1007" s="219" t="str">
        <f t="shared" si="125"/>
        <v/>
      </c>
      <c r="AC1007" s="219">
        <f t="shared" si="128"/>
        <v>0</v>
      </c>
      <c r="AD1007" s="219">
        <f t="shared" si="129"/>
        <v>0</v>
      </c>
      <c r="AE1007" s="220">
        <f t="shared" si="130"/>
        <v>0</v>
      </c>
      <c r="AF1007" s="221">
        <f t="shared" si="131"/>
        <v>0</v>
      </c>
      <c r="AG1007" s="204"/>
      <c r="AH1007" s="178"/>
      <c r="AI1007" s="174"/>
      <c r="AJ1007" s="179"/>
      <c r="AK1007" s="247"/>
      <c r="AL1007" s="248"/>
      <c r="AM1007" s="294" t="str">
        <f t="shared" si="135"/>
        <v/>
      </c>
      <c r="AN1007" s="219" t="str">
        <f t="shared" si="126"/>
        <v/>
      </c>
      <c r="AO1007" s="219">
        <f t="shared" si="136"/>
        <v>0</v>
      </c>
      <c r="AP1007" s="219">
        <f t="shared" si="132"/>
        <v>0</v>
      </c>
      <c r="AQ1007" s="220">
        <f t="shared" si="137"/>
        <v>0</v>
      </c>
      <c r="AR1007" s="221">
        <f t="shared" si="138"/>
        <v>0</v>
      </c>
      <c r="AZ1007" s="471"/>
      <c r="BA1007" s="181"/>
      <c r="BB1007" s="182"/>
      <c r="BC1007" s="209"/>
      <c r="BD1007" s="182"/>
      <c r="BE1007" s="209"/>
      <c r="BF1007" s="182"/>
      <c r="BG1007" s="209"/>
      <c r="BH1007" s="182"/>
      <c r="BI1007" s="209"/>
      <c r="BJ1007" s="183"/>
      <c r="BK1007" s="209"/>
      <c r="BL1007" s="182"/>
      <c r="BM1007" s="210"/>
      <c r="BO1007" s="28" t="e">
        <f t="shared" si="133"/>
        <v>#DIV/0!</v>
      </c>
      <c r="BP1007" s="28">
        <f t="shared" si="134"/>
        <v>0</v>
      </c>
    </row>
    <row r="1008" spans="22:68" x14ac:dyDescent="0.25">
      <c r="V1008" s="178"/>
      <c r="W1008" s="177"/>
      <c r="X1008" s="180"/>
      <c r="Y1008" s="247"/>
      <c r="Z1008" s="248"/>
      <c r="AA1008" s="294" t="str">
        <f t="shared" si="127"/>
        <v/>
      </c>
      <c r="AB1008" s="219" t="str">
        <f t="shared" si="125"/>
        <v/>
      </c>
      <c r="AC1008" s="219">
        <f t="shared" si="128"/>
        <v>0</v>
      </c>
      <c r="AD1008" s="219">
        <f t="shared" si="129"/>
        <v>0</v>
      </c>
      <c r="AE1008" s="220">
        <f t="shared" si="130"/>
        <v>0</v>
      </c>
      <c r="AF1008" s="221">
        <f t="shared" si="131"/>
        <v>0</v>
      </c>
      <c r="AG1008" s="204"/>
      <c r="AH1008" s="178"/>
      <c r="AI1008" s="177"/>
      <c r="AJ1008" s="180"/>
      <c r="AK1008" s="247"/>
      <c r="AL1008" s="248"/>
      <c r="AM1008" s="294" t="str">
        <f t="shared" si="135"/>
        <v/>
      </c>
      <c r="AN1008" s="219" t="str">
        <f t="shared" si="126"/>
        <v/>
      </c>
      <c r="AO1008" s="219">
        <f t="shared" si="136"/>
        <v>0</v>
      </c>
      <c r="AP1008" s="219">
        <f t="shared" si="132"/>
        <v>0</v>
      </c>
      <c r="AQ1008" s="220">
        <f t="shared" si="137"/>
        <v>0</v>
      </c>
      <c r="AR1008" s="221">
        <f t="shared" si="138"/>
        <v>0</v>
      </c>
      <c r="AZ1008" s="471"/>
      <c r="BA1008" s="181"/>
      <c r="BB1008" s="182"/>
      <c r="BC1008" s="209"/>
      <c r="BD1008" s="182"/>
      <c r="BE1008" s="209"/>
      <c r="BF1008" s="182"/>
      <c r="BG1008" s="209"/>
      <c r="BH1008" s="182"/>
      <c r="BI1008" s="209"/>
      <c r="BJ1008" s="183"/>
      <c r="BK1008" s="209"/>
      <c r="BL1008" s="182"/>
      <c r="BM1008" s="210"/>
      <c r="BO1008" s="28" t="e">
        <f t="shared" si="133"/>
        <v>#DIV/0!</v>
      </c>
      <c r="BP1008" s="28">
        <f t="shared" si="134"/>
        <v>0</v>
      </c>
    </row>
    <row r="1009" spans="52:68" x14ac:dyDescent="0.25">
      <c r="AZ1009" s="471"/>
      <c r="BA1009" s="181"/>
      <c r="BB1009" s="182"/>
      <c r="BC1009" s="209"/>
      <c r="BD1009" s="182"/>
      <c r="BE1009" s="209"/>
      <c r="BF1009" s="182"/>
      <c r="BG1009" s="209"/>
      <c r="BH1009" s="182"/>
      <c r="BI1009" s="209"/>
      <c r="BJ1009" s="183"/>
      <c r="BK1009" s="209"/>
      <c r="BL1009" s="182"/>
      <c r="BM1009" s="210"/>
      <c r="BO1009" s="28" t="e">
        <f t="shared" si="133"/>
        <v>#DIV/0!</v>
      </c>
      <c r="BP1009" s="28">
        <f t="shared" si="134"/>
        <v>0</v>
      </c>
    </row>
    <row r="1010" spans="52:68" x14ac:dyDescent="0.25">
      <c r="AZ1010" s="471"/>
      <c r="BA1010" s="181"/>
      <c r="BB1010" s="182"/>
      <c r="BC1010" s="209"/>
      <c r="BD1010" s="182"/>
      <c r="BE1010" s="209"/>
      <c r="BF1010" s="182"/>
      <c r="BG1010" s="209"/>
      <c r="BH1010" s="182"/>
      <c r="BI1010" s="209"/>
      <c r="BJ1010" s="183"/>
      <c r="BK1010" s="209"/>
      <c r="BL1010" s="182"/>
      <c r="BM1010" s="210"/>
      <c r="BO1010" s="28" t="e">
        <f t="shared" si="133"/>
        <v>#DIV/0!</v>
      </c>
      <c r="BP1010" s="28">
        <f t="shared" si="134"/>
        <v>0</v>
      </c>
    </row>
    <row r="1011" spans="52:68" x14ac:dyDescent="0.25">
      <c r="AZ1011" s="471"/>
      <c r="BA1011" s="181"/>
      <c r="BB1011" s="182"/>
      <c r="BC1011" s="209"/>
      <c r="BD1011" s="182"/>
      <c r="BE1011" s="209"/>
      <c r="BF1011" s="182"/>
      <c r="BG1011" s="209"/>
      <c r="BH1011" s="182"/>
      <c r="BI1011" s="209"/>
      <c r="BJ1011" s="183"/>
      <c r="BK1011" s="209"/>
      <c r="BL1011" s="182"/>
      <c r="BM1011" s="210"/>
      <c r="BO1011" s="28" t="e">
        <f t="shared" si="133"/>
        <v>#DIV/0!</v>
      </c>
      <c r="BP1011" s="28">
        <f t="shared" si="134"/>
        <v>0</v>
      </c>
    </row>
    <row r="1012" spans="52:68" x14ac:dyDescent="0.25">
      <c r="AZ1012" s="471"/>
      <c r="BA1012" s="181"/>
      <c r="BB1012" s="182"/>
      <c r="BC1012" s="209"/>
      <c r="BD1012" s="182"/>
      <c r="BE1012" s="209"/>
      <c r="BF1012" s="182"/>
      <c r="BG1012" s="209"/>
      <c r="BH1012" s="182"/>
      <c r="BI1012" s="209"/>
      <c r="BJ1012" s="183"/>
      <c r="BK1012" s="209"/>
      <c r="BL1012" s="182"/>
      <c r="BM1012" s="210"/>
      <c r="BO1012" s="28" t="e">
        <f t="shared" si="133"/>
        <v>#DIV/0!</v>
      </c>
      <c r="BP1012" s="28">
        <f t="shared" si="134"/>
        <v>0</v>
      </c>
    </row>
    <row r="1013" spans="52:68" x14ac:dyDescent="0.25">
      <c r="AZ1013" s="471"/>
      <c r="BA1013" s="181"/>
      <c r="BB1013" s="182"/>
      <c r="BC1013" s="209"/>
      <c r="BD1013" s="182"/>
      <c r="BE1013" s="209"/>
      <c r="BF1013" s="182"/>
      <c r="BG1013" s="209"/>
      <c r="BH1013" s="182"/>
      <c r="BI1013" s="209"/>
      <c r="BJ1013" s="183"/>
      <c r="BK1013" s="209"/>
      <c r="BL1013" s="182"/>
      <c r="BM1013" s="210"/>
      <c r="BO1013" s="28" t="e">
        <f t="shared" si="133"/>
        <v>#DIV/0!</v>
      </c>
      <c r="BP1013" s="28">
        <f t="shared" si="134"/>
        <v>0</v>
      </c>
    </row>
    <row r="1014" spans="52:68" x14ac:dyDescent="0.25">
      <c r="AZ1014" s="471"/>
      <c r="BA1014" s="181"/>
      <c r="BB1014" s="182"/>
      <c r="BC1014" s="209"/>
      <c r="BD1014" s="182"/>
      <c r="BE1014" s="209"/>
      <c r="BF1014" s="182"/>
      <c r="BG1014" s="209"/>
      <c r="BH1014" s="182"/>
      <c r="BI1014" s="209"/>
      <c r="BJ1014" s="183"/>
      <c r="BK1014" s="209"/>
      <c r="BL1014" s="182"/>
      <c r="BM1014" s="210"/>
      <c r="BO1014" s="28" t="e">
        <f t="shared" si="133"/>
        <v>#DIV/0!</v>
      </c>
      <c r="BP1014" s="28">
        <f t="shared" si="134"/>
        <v>0</v>
      </c>
    </row>
    <row r="1015" spans="52:68" x14ac:dyDescent="0.25">
      <c r="AZ1015" s="471"/>
      <c r="BA1015" s="181"/>
      <c r="BB1015" s="182"/>
      <c r="BC1015" s="209"/>
      <c r="BD1015" s="182"/>
      <c r="BE1015" s="209"/>
      <c r="BF1015" s="182"/>
      <c r="BG1015" s="209"/>
      <c r="BH1015" s="182"/>
      <c r="BI1015" s="209"/>
      <c r="BJ1015" s="183"/>
      <c r="BK1015" s="209"/>
      <c r="BL1015" s="182"/>
      <c r="BM1015" s="210"/>
      <c r="BO1015" s="28" t="e">
        <f t="shared" si="133"/>
        <v>#DIV/0!</v>
      </c>
      <c r="BP1015" s="28">
        <f t="shared" si="134"/>
        <v>0</v>
      </c>
    </row>
    <row r="1016" spans="52:68" x14ac:dyDescent="0.25">
      <c r="AZ1016" s="471"/>
      <c r="BA1016" s="181"/>
      <c r="BB1016" s="182"/>
      <c r="BC1016" s="209"/>
      <c r="BD1016" s="182"/>
      <c r="BE1016" s="209"/>
      <c r="BF1016" s="182"/>
      <c r="BG1016" s="209"/>
      <c r="BH1016" s="182"/>
      <c r="BI1016" s="209"/>
      <c r="BJ1016" s="183"/>
      <c r="BK1016" s="209"/>
      <c r="BL1016" s="182"/>
      <c r="BM1016" s="210"/>
      <c r="BO1016" s="28" t="e">
        <f t="shared" si="133"/>
        <v>#DIV/0!</v>
      </c>
      <c r="BP1016" s="28">
        <f t="shared" si="134"/>
        <v>0</v>
      </c>
    </row>
    <row r="1017" spans="52:68" x14ac:dyDescent="0.25">
      <c r="AZ1017" s="471"/>
      <c r="BA1017" s="181"/>
      <c r="BB1017" s="182"/>
      <c r="BC1017" s="209"/>
      <c r="BD1017" s="182"/>
      <c r="BE1017" s="209"/>
      <c r="BF1017" s="182"/>
      <c r="BG1017" s="209"/>
      <c r="BH1017" s="182"/>
      <c r="BI1017" s="209"/>
      <c r="BJ1017" s="183"/>
      <c r="BK1017" s="209"/>
      <c r="BL1017" s="182"/>
      <c r="BM1017" s="210"/>
      <c r="BO1017" s="28" t="e">
        <f t="shared" si="133"/>
        <v>#DIV/0!</v>
      </c>
      <c r="BP1017" s="28">
        <f t="shared" si="134"/>
        <v>0</v>
      </c>
    </row>
    <row r="1018" spans="52:68" x14ac:dyDescent="0.25">
      <c r="AZ1018" s="471"/>
      <c r="BA1018" s="181"/>
      <c r="BB1018" s="182"/>
      <c r="BC1018" s="209"/>
      <c r="BD1018" s="182"/>
      <c r="BE1018" s="209"/>
      <c r="BF1018" s="182"/>
      <c r="BG1018" s="209"/>
      <c r="BH1018" s="182"/>
      <c r="BI1018" s="209"/>
      <c r="BJ1018" s="183"/>
      <c r="BK1018" s="209"/>
      <c r="BL1018" s="182"/>
      <c r="BM1018" s="210"/>
      <c r="BO1018" s="28" t="e">
        <f t="shared" si="133"/>
        <v>#DIV/0!</v>
      </c>
      <c r="BP1018" s="28">
        <f t="shared" si="134"/>
        <v>0</v>
      </c>
    </row>
    <row r="1019" spans="52:68" x14ac:dyDescent="0.25">
      <c r="AZ1019" s="471"/>
      <c r="BA1019" s="181"/>
      <c r="BB1019" s="182"/>
      <c r="BC1019" s="209"/>
      <c r="BD1019" s="182"/>
      <c r="BE1019" s="209"/>
      <c r="BF1019" s="182"/>
      <c r="BG1019" s="209"/>
      <c r="BH1019" s="182"/>
      <c r="BI1019" s="209"/>
      <c r="BJ1019" s="183"/>
      <c r="BK1019" s="209"/>
      <c r="BL1019" s="182"/>
      <c r="BM1019" s="210"/>
      <c r="BO1019" s="28" t="e">
        <f t="shared" si="133"/>
        <v>#DIV/0!</v>
      </c>
      <c r="BP1019" s="28">
        <f t="shared" si="134"/>
        <v>0</v>
      </c>
    </row>
    <row r="1020" spans="52:68" x14ac:dyDescent="0.25">
      <c r="AZ1020" s="471"/>
      <c r="BA1020" s="181"/>
      <c r="BB1020" s="182"/>
      <c r="BC1020" s="209"/>
      <c r="BD1020" s="182"/>
      <c r="BE1020" s="209"/>
      <c r="BF1020" s="182"/>
      <c r="BG1020" s="209"/>
      <c r="BH1020" s="182"/>
      <c r="BI1020" s="209"/>
      <c r="BJ1020" s="183"/>
      <c r="BK1020" s="209"/>
      <c r="BL1020" s="182"/>
      <c r="BM1020" s="210"/>
      <c r="BO1020" s="28" t="e">
        <f t="shared" si="133"/>
        <v>#DIV/0!</v>
      </c>
      <c r="BP1020" s="28">
        <f t="shared" si="134"/>
        <v>0</v>
      </c>
    </row>
    <row r="1021" spans="52:68" x14ac:dyDescent="0.25">
      <c r="AZ1021" s="471"/>
      <c r="BA1021" s="181"/>
      <c r="BB1021" s="182"/>
      <c r="BC1021" s="209"/>
      <c r="BD1021" s="182"/>
      <c r="BE1021" s="209"/>
      <c r="BF1021" s="182"/>
      <c r="BG1021" s="209"/>
      <c r="BH1021" s="182"/>
      <c r="BI1021" s="209"/>
      <c r="BJ1021" s="183"/>
      <c r="BK1021" s="209"/>
      <c r="BL1021" s="182"/>
      <c r="BM1021" s="210"/>
      <c r="BO1021" s="28" t="e">
        <f t="shared" si="133"/>
        <v>#DIV/0!</v>
      </c>
      <c r="BP1021" s="28">
        <f t="shared" si="134"/>
        <v>0</v>
      </c>
    </row>
    <row r="1022" spans="52:68" x14ac:dyDescent="0.25">
      <c r="AZ1022" s="471"/>
      <c r="BA1022" s="181"/>
      <c r="BB1022" s="182"/>
      <c r="BC1022" s="209"/>
      <c r="BD1022" s="182"/>
      <c r="BE1022" s="209"/>
      <c r="BF1022" s="182"/>
      <c r="BG1022" s="209"/>
      <c r="BH1022" s="182"/>
      <c r="BI1022" s="209"/>
      <c r="BJ1022" s="183"/>
      <c r="BK1022" s="209"/>
      <c r="BL1022" s="182"/>
      <c r="BM1022" s="210"/>
      <c r="BO1022" s="28" t="e">
        <f t="shared" si="133"/>
        <v>#DIV/0!</v>
      </c>
      <c r="BP1022" s="28">
        <f t="shared" si="134"/>
        <v>0</v>
      </c>
    </row>
    <row r="1023" spans="52:68" x14ac:dyDescent="0.25">
      <c r="AZ1023" s="471"/>
      <c r="BA1023" s="181"/>
      <c r="BB1023" s="182"/>
      <c r="BC1023" s="209"/>
      <c r="BD1023" s="182"/>
      <c r="BE1023" s="209"/>
      <c r="BF1023" s="182"/>
      <c r="BG1023" s="209"/>
      <c r="BH1023" s="182"/>
      <c r="BI1023" s="209"/>
      <c r="BJ1023" s="183"/>
      <c r="BK1023" s="209"/>
      <c r="BL1023" s="182"/>
      <c r="BM1023" s="210"/>
      <c r="BO1023" s="28" t="e">
        <f t="shared" si="133"/>
        <v>#DIV/0!</v>
      </c>
      <c r="BP1023" s="28">
        <f t="shared" si="134"/>
        <v>0</v>
      </c>
    </row>
    <row r="1024" spans="52:68" x14ac:dyDescent="0.25">
      <c r="AZ1024" s="471"/>
      <c r="BA1024" s="181"/>
      <c r="BB1024" s="182"/>
      <c r="BC1024" s="209"/>
      <c r="BD1024" s="182"/>
      <c r="BE1024" s="209"/>
      <c r="BF1024" s="182"/>
      <c r="BG1024" s="209"/>
      <c r="BH1024" s="182"/>
      <c r="BI1024" s="209"/>
      <c r="BJ1024" s="183"/>
      <c r="BK1024" s="209"/>
      <c r="BL1024" s="182"/>
      <c r="BM1024" s="210"/>
      <c r="BO1024" s="28" t="e">
        <f t="shared" si="133"/>
        <v>#DIV/0!</v>
      </c>
      <c r="BP1024" s="28">
        <f t="shared" si="134"/>
        <v>0</v>
      </c>
    </row>
    <row r="1025" spans="52:68" x14ac:dyDescent="0.25">
      <c r="AZ1025" s="471"/>
      <c r="BA1025" s="181"/>
      <c r="BB1025" s="182"/>
      <c r="BC1025" s="209"/>
      <c r="BD1025" s="182"/>
      <c r="BE1025" s="209"/>
      <c r="BF1025" s="182"/>
      <c r="BG1025" s="209"/>
      <c r="BH1025" s="182"/>
      <c r="BI1025" s="209"/>
      <c r="BJ1025" s="183"/>
      <c r="BK1025" s="209"/>
      <c r="BL1025" s="182"/>
      <c r="BM1025" s="210"/>
      <c r="BO1025" s="28" t="e">
        <f t="shared" si="133"/>
        <v>#DIV/0!</v>
      </c>
      <c r="BP1025" s="28">
        <f t="shared" si="134"/>
        <v>0</v>
      </c>
    </row>
    <row r="1026" spans="52:68" x14ac:dyDescent="0.25">
      <c r="AZ1026" s="471"/>
      <c r="BA1026" s="181"/>
      <c r="BB1026" s="182"/>
      <c r="BC1026" s="209"/>
      <c r="BD1026" s="182"/>
      <c r="BE1026" s="209"/>
      <c r="BF1026" s="182"/>
      <c r="BG1026" s="209"/>
      <c r="BH1026" s="182"/>
      <c r="BI1026" s="209"/>
      <c r="BJ1026" s="183"/>
      <c r="BK1026" s="209"/>
      <c r="BL1026" s="182"/>
      <c r="BM1026" s="210"/>
      <c r="BO1026" s="28" t="e">
        <f t="shared" si="133"/>
        <v>#DIV/0!</v>
      </c>
      <c r="BP1026" s="28">
        <f t="shared" si="134"/>
        <v>0</v>
      </c>
    </row>
    <row r="1027" spans="52:68" x14ac:dyDescent="0.25">
      <c r="AZ1027" s="471"/>
      <c r="BA1027" s="181"/>
      <c r="BB1027" s="182"/>
      <c r="BC1027" s="209"/>
      <c r="BD1027" s="182"/>
      <c r="BE1027" s="209"/>
      <c r="BF1027" s="182"/>
      <c r="BG1027" s="209"/>
      <c r="BH1027" s="182"/>
      <c r="BI1027" s="209"/>
      <c r="BJ1027" s="183"/>
      <c r="BK1027" s="209"/>
      <c r="BL1027" s="182"/>
      <c r="BM1027" s="210"/>
      <c r="BO1027" s="28" t="e">
        <f t="shared" si="133"/>
        <v>#DIV/0!</v>
      </c>
      <c r="BP1027" s="28">
        <f t="shared" si="134"/>
        <v>0</v>
      </c>
    </row>
    <row r="1028" spans="52:68" x14ac:dyDescent="0.25">
      <c r="AZ1028" s="471"/>
      <c r="BA1028" s="181"/>
      <c r="BB1028" s="182"/>
      <c r="BC1028" s="209"/>
      <c r="BD1028" s="182"/>
      <c r="BE1028" s="209"/>
      <c r="BF1028" s="182"/>
      <c r="BG1028" s="209"/>
      <c r="BH1028" s="182"/>
      <c r="BI1028" s="209"/>
      <c r="BJ1028" s="183"/>
      <c r="BK1028" s="209"/>
      <c r="BL1028" s="182"/>
      <c r="BM1028" s="210"/>
      <c r="BO1028" s="28" t="e">
        <f t="shared" si="133"/>
        <v>#DIV/0!</v>
      </c>
      <c r="BP1028" s="28">
        <f t="shared" si="134"/>
        <v>0</v>
      </c>
    </row>
    <row r="1029" spans="52:68" x14ac:dyDescent="0.25">
      <c r="AZ1029" s="471"/>
      <c r="BA1029" s="181"/>
      <c r="BB1029" s="182"/>
      <c r="BC1029" s="209"/>
      <c r="BD1029" s="182"/>
      <c r="BE1029" s="209"/>
      <c r="BF1029" s="182"/>
      <c r="BG1029" s="209"/>
      <c r="BH1029" s="182"/>
      <c r="BI1029" s="209"/>
      <c r="BJ1029" s="183"/>
      <c r="BK1029" s="209"/>
      <c r="BL1029" s="182"/>
      <c r="BM1029" s="210"/>
      <c r="BO1029" s="28" t="e">
        <f t="shared" si="133"/>
        <v>#DIV/0!</v>
      </c>
      <c r="BP1029" s="28">
        <f t="shared" si="134"/>
        <v>0</v>
      </c>
    </row>
    <row r="1030" spans="52:68" x14ac:dyDescent="0.25">
      <c r="AZ1030" s="471"/>
      <c r="BA1030" s="181"/>
      <c r="BB1030" s="182"/>
      <c r="BC1030" s="209"/>
      <c r="BD1030" s="182"/>
      <c r="BE1030" s="209"/>
      <c r="BF1030" s="182"/>
      <c r="BG1030" s="209"/>
      <c r="BH1030" s="182"/>
      <c r="BI1030" s="209"/>
      <c r="BJ1030" s="183"/>
      <c r="BK1030" s="209"/>
      <c r="BL1030" s="182"/>
      <c r="BM1030" s="210"/>
      <c r="BO1030" s="28" t="e">
        <f t="shared" si="133"/>
        <v>#DIV/0!</v>
      </c>
      <c r="BP1030" s="28">
        <f t="shared" si="134"/>
        <v>0</v>
      </c>
    </row>
    <row r="1031" spans="52:68" x14ac:dyDescent="0.25">
      <c r="AZ1031" s="471"/>
      <c r="BA1031" s="181"/>
      <c r="BB1031" s="182"/>
      <c r="BC1031" s="209"/>
      <c r="BD1031" s="182"/>
      <c r="BE1031" s="209"/>
      <c r="BF1031" s="182"/>
      <c r="BG1031" s="209"/>
      <c r="BH1031" s="182"/>
      <c r="BI1031" s="209"/>
      <c r="BJ1031" s="183"/>
      <c r="BK1031" s="209"/>
      <c r="BL1031" s="182"/>
      <c r="BM1031" s="210"/>
      <c r="BO1031" s="28" t="e">
        <f t="shared" si="133"/>
        <v>#DIV/0!</v>
      </c>
      <c r="BP1031" s="28">
        <f t="shared" si="134"/>
        <v>0</v>
      </c>
    </row>
    <row r="1032" spans="52:68" x14ac:dyDescent="0.25">
      <c r="AZ1032" s="471"/>
      <c r="BA1032" s="181"/>
      <c r="BB1032" s="182"/>
      <c r="BC1032" s="209"/>
      <c r="BD1032" s="182"/>
      <c r="BE1032" s="209"/>
      <c r="BF1032" s="182"/>
      <c r="BG1032" s="209"/>
      <c r="BH1032" s="182"/>
      <c r="BI1032" s="209"/>
      <c r="BJ1032" s="183"/>
      <c r="BK1032" s="209"/>
      <c r="BL1032" s="182"/>
      <c r="BM1032" s="210"/>
      <c r="BO1032" s="28" t="e">
        <f t="shared" si="133"/>
        <v>#DIV/0!</v>
      </c>
      <c r="BP1032" s="28">
        <f t="shared" si="134"/>
        <v>0</v>
      </c>
    </row>
    <row r="1033" spans="52:68" x14ac:dyDescent="0.25">
      <c r="AZ1033" s="471"/>
      <c r="BA1033" s="181"/>
      <c r="BB1033" s="182"/>
      <c r="BC1033" s="209"/>
      <c r="BD1033" s="182"/>
      <c r="BE1033" s="209"/>
      <c r="BF1033" s="182"/>
      <c r="BG1033" s="209"/>
      <c r="BH1033" s="182"/>
      <c r="BI1033" s="209"/>
      <c r="BJ1033" s="183"/>
      <c r="BK1033" s="209"/>
      <c r="BL1033" s="182"/>
      <c r="BM1033" s="210"/>
      <c r="BO1033" s="28" t="e">
        <f t="shared" ref="BO1033:BO1096" si="139">AVERAGE(BB1033:BM1033)</f>
        <v>#DIV/0!</v>
      </c>
      <c r="BP1033" s="28">
        <f t="shared" ref="BP1033:BP1096" si="140">SUM(BB1033:BM1033)</f>
        <v>0</v>
      </c>
    </row>
    <row r="1034" spans="52:68" x14ac:dyDescent="0.25">
      <c r="AZ1034" s="471"/>
      <c r="BA1034" s="181"/>
      <c r="BB1034" s="182"/>
      <c r="BC1034" s="209"/>
      <c r="BD1034" s="182"/>
      <c r="BE1034" s="209"/>
      <c r="BF1034" s="182"/>
      <c r="BG1034" s="209"/>
      <c r="BH1034" s="182"/>
      <c r="BI1034" s="209"/>
      <c r="BJ1034" s="183"/>
      <c r="BK1034" s="209"/>
      <c r="BL1034" s="182"/>
      <c r="BM1034" s="210"/>
      <c r="BO1034" s="28" t="e">
        <f t="shared" si="139"/>
        <v>#DIV/0!</v>
      </c>
      <c r="BP1034" s="28">
        <f t="shared" si="140"/>
        <v>0</v>
      </c>
    </row>
    <row r="1035" spans="52:68" x14ac:dyDescent="0.25">
      <c r="AZ1035" s="471"/>
      <c r="BA1035" s="181"/>
      <c r="BB1035" s="182"/>
      <c r="BC1035" s="209"/>
      <c r="BD1035" s="182"/>
      <c r="BE1035" s="209"/>
      <c r="BF1035" s="182"/>
      <c r="BG1035" s="209"/>
      <c r="BH1035" s="182"/>
      <c r="BI1035" s="209"/>
      <c r="BJ1035" s="183"/>
      <c r="BK1035" s="209"/>
      <c r="BL1035" s="182"/>
      <c r="BM1035" s="210"/>
      <c r="BO1035" s="28" t="e">
        <f t="shared" si="139"/>
        <v>#DIV/0!</v>
      </c>
      <c r="BP1035" s="28">
        <f t="shared" si="140"/>
        <v>0</v>
      </c>
    </row>
    <row r="1036" spans="52:68" x14ac:dyDescent="0.25">
      <c r="AZ1036" s="471"/>
      <c r="BA1036" s="181"/>
      <c r="BB1036" s="182"/>
      <c r="BC1036" s="209"/>
      <c r="BD1036" s="182"/>
      <c r="BE1036" s="209"/>
      <c r="BF1036" s="182"/>
      <c r="BG1036" s="209"/>
      <c r="BH1036" s="182"/>
      <c r="BI1036" s="209"/>
      <c r="BJ1036" s="183"/>
      <c r="BK1036" s="209"/>
      <c r="BL1036" s="182"/>
      <c r="BM1036" s="210"/>
      <c r="BO1036" s="28" t="e">
        <f t="shared" si="139"/>
        <v>#DIV/0!</v>
      </c>
      <c r="BP1036" s="28">
        <f t="shared" si="140"/>
        <v>0</v>
      </c>
    </row>
    <row r="1037" spans="52:68" x14ac:dyDescent="0.25">
      <c r="AZ1037" s="471"/>
      <c r="BA1037" s="181"/>
      <c r="BB1037" s="182"/>
      <c r="BC1037" s="209"/>
      <c r="BD1037" s="182"/>
      <c r="BE1037" s="209"/>
      <c r="BF1037" s="182"/>
      <c r="BG1037" s="209"/>
      <c r="BH1037" s="182"/>
      <c r="BI1037" s="209"/>
      <c r="BJ1037" s="183"/>
      <c r="BK1037" s="209"/>
      <c r="BL1037" s="182"/>
      <c r="BM1037" s="210"/>
      <c r="BO1037" s="28" t="e">
        <f t="shared" si="139"/>
        <v>#DIV/0!</v>
      </c>
      <c r="BP1037" s="28">
        <f t="shared" si="140"/>
        <v>0</v>
      </c>
    </row>
    <row r="1038" spans="52:68" x14ac:dyDescent="0.25">
      <c r="AZ1038" s="471"/>
      <c r="BA1038" s="181"/>
      <c r="BB1038" s="182"/>
      <c r="BC1038" s="209"/>
      <c r="BD1038" s="182"/>
      <c r="BE1038" s="209"/>
      <c r="BF1038" s="182"/>
      <c r="BG1038" s="209"/>
      <c r="BH1038" s="182"/>
      <c r="BI1038" s="209"/>
      <c r="BJ1038" s="183"/>
      <c r="BK1038" s="209"/>
      <c r="BL1038" s="182"/>
      <c r="BM1038" s="210"/>
      <c r="BO1038" s="28" t="e">
        <f t="shared" si="139"/>
        <v>#DIV/0!</v>
      </c>
      <c r="BP1038" s="28">
        <f t="shared" si="140"/>
        <v>0</v>
      </c>
    </row>
    <row r="1039" spans="52:68" x14ac:dyDescent="0.25">
      <c r="AZ1039" s="471"/>
      <c r="BA1039" s="181"/>
      <c r="BB1039" s="182"/>
      <c r="BC1039" s="209"/>
      <c r="BD1039" s="182"/>
      <c r="BE1039" s="209"/>
      <c r="BF1039" s="182"/>
      <c r="BG1039" s="209"/>
      <c r="BH1039" s="182"/>
      <c r="BI1039" s="209"/>
      <c r="BJ1039" s="183"/>
      <c r="BK1039" s="209"/>
      <c r="BL1039" s="182"/>
      <c r="BM1039" s="210"/>
      <c r="BO1039" s="28" t="e">
        <f t="shared" si="139"/>
        <v>#DIV/0!</v>
      </c>
      <c r="BP1039" s="28">
        <f t="shared" si="140"/>
        <v>0</v>
      </c>
    </row>
    <row r="1040" spans="52:68" x14ac:dyDescent="0.25">
      <c r="AZ1040" s="471"/>
      <c r="BA1040" s="181"/>
      <c r="BB1040" s="182"/>
      <c r="BC1040" s="209"/>
      <c r="BD1040" s="182"/>
      <c r="BE1040" s="209"/>
      <c r="BF1040" s="182"/>
      <c r="BG1040" s="209"/>
      <c r="BH1040" s="182"/>
      <c r="BI1040" s="209"/>
      <c r="BJ1040" s="183"/>
      <c r="BK1040" s="209"/>
      <c r="BL1040" s="182"/>
      <c r="BM1040" s="210"/>
      <c r="BO1040" s="28" t="e">
        <f t="shared" si="139"/>
        <v>#DIV/0!</v>
      </c>
      <c r="BP1040" s="28">
        <f t="shared" si="140"/>
        <v>0</v>
      </c>
    </row>
    <row r="1041" spans="52:68" x14ac:dyDescent="0.25">
      <c r="AZ1041" s="471"/>
      <c r="BA1041" s="181"/>
      <c r="BB1041" s="182"/>
      <c r="BC1041" s="209"/>
      <c r="BD1041" s="182"/>
      <c r="BE1041" s="209"/>
      <c r="BF1041" s="182"/>
      <c r="BG1041" s="209"/>
      <c r="BH1041" s="182"/>
      <c r="BI1041" s="209"/>
      <c r="BJ1041" s="183"/>
      <c r="BK1041" s="209"/>
      <c r="BL1041" s="182"/>
      <c r="BM1041" s="210"/>
      <c r="BO1041" s="28" t="e">
        <f t="shared" si="139"/>
        <v>#DIV/0!</v>
      </c>
      <c r="BP1041" s="28">
        <f t="shared" si="140"/>
        <v>0</v>
      </c>
    </row>
    <row r="1042" spans="52:68" x14ac:dyDescent="0.25">
      <c r="AZ1042" s="471"/>
      <c r="BA1042" s="181"/>
      <c r="BB1042" s="182"/>
      <c r="BC1042" s="209"/>
      <c r="BD1042" s="182"/>
      <c r="BE1042" s="209"/>
      <c r="BF1042" s="182"/>
      <c r="BG1042" s="209"/>
      <c r="BH1042" s="182"/>
      <c r="BI1042" s="209"/>
      <c r="BJ1042" s="183"/>
      <c r="BK1042" s="209"/>
      <c r="BL1042" s="182"/>
      <c r="BM1042" s="210"/>
      <c r="BO1042" s="28" t="e">
        <f t="shared" si="139"/>
        <v>#DIV/0!</v>
      </c>
      <c r="BP1042" s="28">
        <f t="shared" si="140"/>
        <v>0</v>
      </c>
    </row>
    <row r="1043" spans="52:68" x14ac:dyDescent="0.25">
      <c r="AZ1043" s="471"/>
      <c r="BA1043" s="181"/>
      <c r="BB1043" s="182"/>
      <c r="BC1043" s="209"/>
      <c r="BD1043" s="182"/>
      <c r="BE1043" s="209"/>
      <c r="BF1043" s="182"/>
      <c r="BG1043" s="209"/>
      <c r="BH1043" s="182"/>
      <c r="BI1043" s="209"/>
      <c r="BJ1043" s="183"/>
      <c r="BK1043" s="209"/>
      <c r="BL1043" s="182"/>
      <c r="BM1043" s="210"/>
      <c r="BO1043" s="28" t="e">
        <f t="shared" si="139"/>
        <v>#DIV/0!</v>
      </c>
      <c r="BP1043" s="28">
        <f t="shared" si="140"/>
        <v>0</v>
      </c>
    </row>
    <row r="1044" spans="52:68" x14ac:dyDescent="0.25">
      <c r="AZ1044" s="471"/>
      <c r="BA1044" s="181"/>
      <c r="BB1044" s="182"/>
      <c r="BC1044" s="209"/>
      <c r="BD1044" s="182"/>
      <c r="BE1044" s="209"/>
      <c r="BF1044" s="182"/>
      <c r="BG1044" s="209"/>
      <c r="BH1044" s="182"/>
      <c r="BI1044" s="209"/>
      <c r="BJ1044" s="183"/>
      <c r="BK1044" s="209"/>
      <c r="BL1044" s="182"/>
      <c r="BM1044" s="210"/>
      <c r="BO1044" s="28" t="e">
        <f t="shared" si="139"/>
        <v>#DIV/0!</v>
      </c>
      <c r="BP1044" s="28">
        <f t="shared" si="140"/>
        <v>0</v>
      </c>
    </row>
    <row r="1045" spans="52:68" x14ac:dyDescent="0.25">
      <c r="AZ1045" s="471"/>
      <c r="BA1045" s="181"/>
      <c r="BB1045" s="182"/>
      <c r="BC1045" s="209"/>
      <c r="BD1045" s="182"/>
      <c r="BE1045" s="209"/>
      <c r="BF1045" s="182"/>
      <c r="BG1045" s="209"/>
      <c r="BH1045" s="182"/>
      <c r="BI1045" s="209"/>
      <c r="BJ1045" s="183"/>
      <c r="BK1045" s="209"/>
      <c r="BL1045" s="182"/>
      <c r="BM1045" s="210"/>
      <c r="BO1045" s="28" t="e">
        <f t="shared" si="139"/>
        <v>#DIV/0!</v>
      </c>
      <c r="BP1045" s="28">
        <f t="shared" si="140"/>
        <v>0</v>
      </c>
    </row>
    <row r="1046" spans="52:68" x14ac:dyDescent="0.25">
      <c r="AZ1046" s="471"/>
      <c r="BA1046" s="181"/>
      <c r="BB1046" s="182"/>
      <c r="BC1046" s="209"/>
      <c r="BD1046" s="182"/>
      <c r="BE1046" s="209"/>
      <c r="BF1046" s="182"/>
      <c r="BG1046" s="209"/>
      <c r="BH1046" s="182"/>
      <c r="BI1046" s="209"/>
      <c r="BJ1046" s="183"/>
      <c r="BK1046" s="209"/>
      <c r="BL1046" s="182"/>
      <c r="BM1046" s="210"/>
      <c r="BO1046" s="28" t="e">
        <f t="shared" si="139"/>
        <v>#DIV/0!</v>
      </c>
      <c r="BP1046" s="28">
        <f t="shared" si="140"/>
        <v>0</v>
      </c>
    </row>
    <row r="1047" spans="52:68" x14ac:dyDescent="0.25">
      <c r="AZ1047" s="471"/>
      <c r="BA1047" s="181"/>
      <c r="BB1047" s="182"/>
      <c r="BC1047" s="209"/>
      <c r="BD1047" s="182"/>
      <c r="BE1047" s="209"/>
      <c r="BF1047" s="182"/>
      <c r="BG1047" s="209"/>
      <c r="BH1047" s="182"/>
      <c r="BI1047" s="209"/>
      <c r="BJ1047" s="183"/>
      <c r="BK1047" s="209"/>
      <c r="BL1047" s="182"/>
      <c r="BM1047" s="210"/>
      <c r="BO1047" s="28" t="e">
        <f t="shared" si="139"/>
        <v>#DIV/0!</v>
      </c>
      <c r="BP1047" s="28">
        <f t="shared" si="140"/>
        <v>0</v>
      </c>
    </row>
    <row r="1048" spans="52:68" x14ac:dyDescent="0.25">
      <c r="AZ1048" s="471"/>
      <c r="BA1048" s="181"/>
      <c r="BB1048" s="182"/>
      <c r="BC1048" s="209"/>
      <c r="BD1048" s="182"/>
      <c r="BE1048" s="209"/>
      <c r="BF1048" s="182"/>
      <c r="BG1048" s="209"/>
      <c r="BH1048" s="182"/>
      <c r="BI1048" s="209"/>
      <c r="BJ1048" s="183"/>
      <c r="BK1048" s="209"/>
      <c r="BL1048" s="182"/>
      <c r="BM1048" s="210"/>
      <c r="BO1048" s="28" t="e">
        <f t="shared" si="139"/>
        <v>#DIV/0!</v>
      </c>
      <c r="BP1048" s="28">
        <f t="shared" si="140"/>
        <v>0</v>
      </c>
    </row>
    <row r="1049" spans="52:68" x14ac:dyDescent="0.25">
      <c r="AZ1049" s="471"/>
      <c r="BA1049" s="181"/>
      <c r="BB1049" s="182"/>
      <c r="BC1049" s="209"/>
      <c r="BD1049" s="182"/>
      <c r="BE1049" s="209"/>
      <c r="BF1049" s="182"/>
      <c r="BG1049" s="209"/>
      <c r="BH1049" s="182"/>
      <c r="BI1049" s="209"/>
      <c r="BJ1049" s="183"/>
      <c r="BK1049" s="209"/>
      <c r="BL1049" s="182"/>
      <c r="BM1049" s="210"/>
      <c r="BO1049" s="28" t="e">
        <f t="shared" si="139"/>
        <v>#DIV/0!</v>
      </c>
      <c r="BP1049" s="28">
        <f t="shared" si="140"/>
        <v>0</v>
      </c>
    </row>
    <row r="1050" spans="52:68" x14ac:dyDescent="0.25">
      <c r="AZ1050" s="471"/>
      <c r="BA1050" s="181"/>
      <c r="BB1050" s="182"/>
      <c r="BC1050" s="209"/>
      <c r="BD1050" s="182"/>
      <c r="BE1050" s="209"/>
      <c r="BF1050" s="182"/>
      <c r="BG1050" s="209"/>
      <c r="BH1050" s="182"/>
      <c r="BI1050" s="209"/>
      <c r="BJ1050" s="183"/>
      <c r="BK1050" s="209"/>
      <c r="BL1050" s="182"/>
      <c r="BM1050" s="210"/>
      <c r="BO1050" s="28" t="e">
        <f t="shared" si="139"/>
        <v>#DIV/0!</v>
      </c>
      <c r="BP1050" s="28">
        <f t="shared" si="140"/>
        <v>0</v>
      </c>
    </row>
    <row r="1051" spans="52:68" x14ac:dyDescent="0.25">
      <c r="AZ1051" s="471"/>
      <c r="BA1051" s="181"/>
      <c r="BB1051" s="182"/>
      <c r="BC1051" s="209"/>
      <c r="BD1051" s="182"/>
      <c r="BE1051" s="209"/>
      <c r="BF1051" s="182"/>
      <c r="BG1051" s="209"/>
      <c r="BH1051" s="182"/>
      <c r="BI1051" s="209"/>
      <c r="BJ1051" s="183"/>
      <c r="BK1051" s="209"/>
      <c r="BL1051" s="182"/>
      <c r="BM1051" s="210"/>
      <c r="BO1051" s="28" t="e">
        <f t="shared" si="139"/>
        <v>#DIV/0!</v>
      </c>
      <c r="BP1051" s="28">
        <f t="shared" si="140"/>
        <v>0</v>
      </c>
    </row>
    <row r="1052" spans="52:68" x14ac:dyDescent="0.25">
      <c r="AZ1052" s="471"/>
      <c r="BA1052" s="181"/>
      <c r="BB1052" s="182"/>
      <c r="BC1052" s="209"/>
      <c r="BD1052" s="182"/>
      <c r="BE1052" s="209"/>
      <c r="BF1052" s="182"/>
      <c r="BG1052" s="209"/>
      <c r="BH1052" s="182"/>
      <c r="BI1052" s="209"/>
      <c r="BJ1052" s="183"/>
      <c r="BK1052" s="209"/>
      <c r="BL1052" s="182"/>
      <c r="BM1052" s="210"/>
      <c r="BO1052" s="28" t="e">
        <f t="shared" si="139"/>
        <v>#DIV/0!</v>
      </c>
      <c r="BP1052" s="28">
        <f t="shared" si="140"/>
        <v>0</v>
      </c>
    </row>
    <row r="1053" spans="52:68" x14ac:dyDescent="0.25">
      <c r="AZ1053" s="471"/>
      <c r="BA1053" s="181"/>
      <c r="BB1053" s="182"/>
      <c r="BC1053" s="209"/>
      <c r="BD1053" s="182"/>
      <c r="BE1053" s="209"/>
      <c r="BF1053" s="182"/>
      <c r="BG1053" s="209"/>
      <c r="BH1053" s="182"/>
      <c r="BI1053" s="209"/>
      <c r="BJ1053" s="183"/>
      <c r="BK1053" s="209"/>
      <c r="BL1053" s="182"/>
      <c r="BM1053" s="210"/>
      <c r="BO1053" s="28" t="e">
        <f t="shared" si="139"/>
        <v>#DIV/0!</v>
      </c>
      <c r="BP1053" s="28">
        <f t="shared" si="140"/>
        <v>0</v>
      </c>
    </row>
    <row r="1054" spans="52:68" x14ac:dyDescent="0.25">
      <c r="AZ1054" s="471"/>
      <c r="BA1054" s="181"/>
      <c r="BB1054" s="182"/>
      <c r="BC1054" s="209"/>
      <c r="BD1054" s="182"/>
      <c r="BE1054" s="209"/>
      <c r="BF1054" s="182"/>
      <c r="BG1054" s="209"/>
      <c r="BH1054" s="182"/>
      <c r="BI1054" s="209"/>
      <c r="BJ1054" s="183"/>
      <c r="BK1054" s="209"/>
      <c r="BL1054" s="182"/>
      <c r="BM1054" s="210"/>
      <c r="BO1054" s="28" t="e">
        <f t="shared" si="139"/>
        <v>#DIV/0!</v>
      </c>
      <c r="BP1054" s="28">
        <f t="shared" si="140"/>
        <v>0</v>
      </c>
    </row>
    <row r="1055" spans="52:68" x14ac:dyDescent="0.25">
      <c r="AZ1055" s="471"/>
      <c r="BA1055" s="181"/>
      <c r="BB1055" s="182"/>
      <c r="BC1055" s="209"/>
      <c r="BD1055" s="182"/>
      <c r="BE1055" s="209"/>
      <c r="BF1055" s="182"/>
      <c r="BG1055" s="209"/>
      <c r="BH1055" s="182"/>
      <c r="BI1055" s="209"/>
      <c r="BJ1055" s="183"/>
      <c r="BK1055" s="209"/>
      <c r="BL1055" s="182"/>
      <c r="BM1055" s="210"/>
      <c r="BO1055" s="28" t="e">
        <f t="shared" si="139"/>
        <v>#DIV/0!</v>
      </c>
      <c r="BP1055" s="28">
        <f t="shared" si="140"/>
        <v>0</v>
      </c>
    </row>
    <row r="1056" spans="52:68" x14ac:dyDescent="0.25">
      <c r="AZ1056" s="471"/>
      <c r="BA1056" s="181"/>
      <c r="BB1056" s="182"/>
      <c r="BC1056" s="209"/>
      <c r="BD1056" s="182"/>
      <c r="BE1056" s="209"/>
      <c r="BF1056" s="182"/>
      <c r="BG1056" s="209"/>
      <c r="BH1056" s="182"/>
      <c r="BI1056" s="209"/>
      <c r="BJ1056" s="183"/>
      <c r="BK1056" s="209"/>
      <c r="BL1056" s="182"/>
      <c r="BM1056" s="210"/>
      <c r="BO1056" s="28" t="e">
        <f t="shared" si="139"/>
        <v>#DIV/0!</v>
      </c>
      <c r="BP1056" s="28">
        <f t="shared" si="140"/>
        <v>0</v>
      </c>
    </row>
    <row r="1057" spans="52:68" x14ac:dyDescent="0.25">
      <c r="AZ1057" s="471"/>
      <c r="BA1057" s="181"/>
      <c r="BB1057" s="182"/>
      <c r="BC1057" s="209"/>
      <c r="BD1057" s="182"/>
      <c r="BE1057" s="209"/>
      <c r="BF1057" s="182"/>
      <c r="BG1057" s="209"/>
      <c r="BH1057" s="182"/>
      <c r="BI1057" s="209"/>
      <c r="BJ1057" s="183"/>
      <c r="BK1057" s="209"/>
      <c r="BL1057" s="182"/>
      <c r="BM1057" s="210"/>
      <c r="BO1057" s="28" t="e">
        <f t="shared" si="139"/>
        <v>#DIV/0!</v>
      </c>
      <c r="BP1057" s="28">
        <f t="shared" si="140"/>
        <v>0</v>
      </c>
    </row>
    <row r="1058" spans="52:68" x14ac:dyDescent="0.25">
      <c r="AZ1058" s="471"/>
      <c r="BA1058" s="181"/>
      <c r="BB1058" s="182"/>
      <c r="BC1058" s="209"/>
      <c r="BD1058" s="182"/>
      <c r="BE1058" s="209"/>
      <c r="BF1058" s="182"/>
      <c r="BG1058" s="209"/>
      <c r="BH1058" s="182"/>
      <c r="BI1058" s="209"/>
      <c r="BJ1058" s="183"/>
      <c r="BK1058" s="209"/>
      <c r="BL1058" s="182"/>
      <c r="BM1058" s="210"/>
      <c r="BO1058" s="28" t="e">
        <f t="shared" si="139"/>
        <v>#DIV/0!</v>
      </c>
      <c r="BP1058" s="28">
        <f t="shared" si="140"/>
        <v>0</v>
      </c>
    </row>
    <row r="1059" spans="52:68" x14ac:dyDescent="0.25">
      <c r="AZ1059" s="471"/>
      <c r="BA1059" s="181"/>
      <c r="BB1059" s="182"/>
      <c r="BC1059" s="209"/>
      <c r="BD1059" s="182"/>
      <c r="BE1059" s="209"/>
      <c r="BF1059" s="182"/>
      <c r="BG1059" s="209"/>
      <c r="BH1059" s="182"/>
      <c r="BI1059" s="209"/>
      <c r="BJ1059" s="183"/>
      <c r="BK1059" s="209"/>
      <c r="BL1059" s="182"/>
      <c r="BM1059" s="210"/>
      <c r="BO1059" s="28" t="e">
        <f t="shared" si="139"/>
        <v>#DIV/0!</v>
      </c>
      <c r="BP1059" s="28">
        <f t="shared" si="140"/>
        <v>0</v>
      </c>
    </row>
    <row r="1060" spans="52:68" x14ac:dyDescent="0.25">
      <c r="AZ1060" s="471"/>
      <c r="BA1060" s="181"/>
      <c r="BB1060" s="182"/>
      <c r="BC1060" s="209"/>
      <c r="BD1060" s="182"/>
      <c r="BE1060" s="209"/>
      <c r="BF1060" s="182"/>
      <c r="BG1060" s="209"/>
      <c r="BH1060" s="182"/>
      <c r="BI1060" s="209"/>
      <c r="BJ1060" s="183"/>
      <c r="BK1060" s="209"/>
      <c r="BL1060" s="182"/>
      <c r="BM1060" s="210"/>
      <c r="BO1060" s="28" t="e">
        <f t="shared" si="139"/>
        <v>#DIV/0!</v>
      </c>
      <c r="BP1060" s="28">
        <f t="shared" si="140"/>
        <v>0</v>
      </c>
    </row>
    <row r="1061" spans="52:68" x14ac:dyDescent="0.25">
      <c r="AZ1061" s="471"/>
      <c r="BA1061" s="181"/>
      <c r="BB1061" s="182"/>
      <c r="BC1061" s="209"/>
      <c r="BD1061" s="182"/>
      <c r="BE1061" s="209"/>
      <c r="BF1061" s="182"/>
      <c r="BG1061" s="209"/>
      <c r="BH1061" s="182"/>
      <c r="BI1061" s="209"/>
      <c r="BJ1061" s="183"/>
      <c r="BK1061" s="209"/>
      <c r="BL1061" s="182"/>
      <c r="BM1061" s="210"/>
      <c r="BO1061" s="28" t="e">
        <f t="shared" si="139"/>
        <v>#DIV/0!</v>
      </c>
      <c r="BP1061" s="28">
        <f t="shared" si="140"/>
        <v>0</v>
      </c>
    </row>
    <row r="1062" spans="52:68" x14ac:dyDescent="0.25">
      <c r="AZ1062" s="471"/>
      <c r="BA1062" s="181"/>
      <c r="BB1062" s="182"/>
      <c r="BC1062" s="209"/>
      <c r="BD1062" s="182"/>
      <c r="BE1062" s="209"/>
      <c r="BF1062" s="182"/>
      <c r="BG1062" s="209"/>
      <c r="BH1062" s="182"/>
      <c r="BI1062" s="209"/>
      <c r="BJ1062" s="183"/>
      <c r="BK1062" s="209"/>
      <c r="BL1062" s="182"/>
      <c r="BM1062" s="210"/>
      <c r="BO1062" s="28" t="e">
        <f t="shared" si="139"/>
        <v>#DIV/0!</v>
      </c>
      <c r="BP1062" s="28">
        <f t="shared" si="140"/>
        <v>0</v>
      </c>
    </row>
    <row r="1063" spans="52:68" x14ac:dyDescent="0.25">
      <c r="AZ1063" s="471"/>
      <c r="BA1063" s="181"/>
      <c r="BB1063" s="182"/>
      <c r="BC1063" s="209"/>
      <c r="BD1063" s="182"/>
      <c r="BE1063" s="209"/>
      <c r="BF1063" s="182"/>
      <c r="BG1063" s="209"/>
      <c r="BH1063" s="182"/>
      <c r="BI1063" s="209"/>
      <c r="BJ1063" s="183"/>
      <c r="BK1063" s="209"/>
      <c r="BL1063" s="182"/>
      <c r="BM1063" s="210"/>
      <c r="BO1063" s="28" t="e">
        <f t="shared" si="139"/>
        <v>#DIV/0!</v>
      </c>
      <c r="BP1063" s="28">
        <f t="shared" si="140"/>
        <v>0</v>
      </c>
    </row>
    <row r="1064" spans="52:68" x14ac:dyDescent="0.25">
      <c r="AZ1064" s="471"/>
      <c r="BA1064" s="181"/>
      <c r="BB1064" s="182"/>
      <c r="BC1064" s="209"/>
      <c r="BD1064" s="182"/>
      <c r="BE1064" s="209"/>
      <c r="BF1064" s="182"/>
      <c r="BG1064" s="209"/>
      <c r="BH1064" s="182"/>
      <c r="BI1064" s="209"/>
      <c r="BJ1064" s="183"/>
      <c r="BK1064" s="209"/>
      <c r="BL1064" s="182"/>
      <c r="BM1064" s="210"/>
      <c r="BO1064" s="28" t="e">
        <f t="shared" si="139"/>
        <v>#DIV/0!</v>
      </c>
      <c r="BP1064" s="28">
        <f t="shared" si="140"/>
        <v>0</v>
      </c>
    </row>
    <row r="1065" spans="52:68" x14ac:dyDescent="0.25">
      <c r="AZ1065" s="471"/>
      <c r="BA1065" s="181"/>
      <c r="BB1065" s="182"/>
      <c r="BC1065" s="209"/>
      <c r="BD1065" s="182"/>
      <c r="BE1065" s="209"/>
      <c r="BF1065" s="182"/>
      <c r="BG1065" s="209"/>
      <c r="BH1065" s="182"/>
      <c r="BI1065" s="209"/>
      <c r="BJ1065" s="183"/>
      <c r="BK1065" s="209"/>
      <c r="BL1065" s="182"/>
      <c r="BM1065" s="210"/>
      <c r="BO1065" s="28" t="e">
        <f t="shared" si="139"/>
        <v>#DIV/0!</v>
      </c>
      <c r="BP1065" s="28">
        <f t="shared" si="140"/>
        <v>0</v>
      </c>
    </row>
    <row r="1066" spans="52:68" x14ac:dyDescent="0.25">
      <c r="AZ1066" s="471"/>
      <c r="BA1066" s="181"/>
      <c r="BB1066" s="182"/>
      <c r="BC1066" s="209"/>
      <c r="BD1066" s="182"/>
      <c r="BE1066" s="209"/>
      <c r="BF1066" s="182"/>
      <c r="BG1066" s="209"/>
      <c r="BH1066" s="182"/>
      <c r="BI1066" s="209"/>
      <c r="BJ1066" s="183"/>
      <c r="BK1066" s="209"/>
      <c r="BL1066" s="182"/>
      <c r="BM1066" s="210"/>
      <c r="BO1066" s="28" t="e">
        <f t="shared" si="139"/>
        <v>#DIV/0!</v>
      </c>
      <c r="BP1066" s="28">
        <f t="shared" si="140"/>
        <v>0</v>
      </c>
    </row>
    <row r="1067" spans="52:68" x14ac:dyDescent="0.25">
      <c r="AZ1067" s="471"/>
      <c r="BA1067" s="181"/>
      <c r="BB1067" s="182"/>
      <c r="BC1067" s="209"/>
      <c r="BD1067" s="182"/>
      <c r="BE1067" s="209"/>
      <c r="BF1067" s="182"/>
      <c r="BG1067" s="209"/>
      <c r="BH1067" s="182"/>
      <c r="BI1067" s="209"/>
      <c r="BJ1067" s="183"/>
      <c r="BK1067" s="209"/>
      <c r="BL1067" s="182"/>
      <c r="BM1067" s="210"/>
      <c r="BO1067" s="28" t="e">
        <f t="shared" si="139"/>
        <v>#DIV/0!</v>
      </c>
      <c r="BP1067" s="28">
        <f t="shared" si="140"/>
        <v>0</v>
      </c>
    </row>
    <row r="1068" spans="52:68" x14ac:dyDescent="0.25">
      <c r="AZ1068" s="471"/>
      <c r="BA1068" s="181"/>
      <c r="BB1068" s="182"/>
      <c r="BC1068" s="209"/>
      <c r="BD1068" s="182"/>
      <c r="BE1068" s="209"/>
      <c r="BF1068" s="182"/>
      <c r="BG1068" s="209"/>
      <c r="BH1068" s="182"/>
      <c r="BI1068" s="209"/>
      <c r="BJ1068" s="183"/>
      <c r="BK1068" s="209"/>
      <c r="BL1068" s="182"/>
      <c r="BM1068" s="210"/>
      <c r="BO1068" s="28" t="e">
        <f t="shared" si="139"/>
        <v>#DIV/0!</v>
      </c>
      <c r="BP1068" s="28">
        <f t="shared" si="140"/>
        <v>0</v>
      </c>
    </row>
    <row r="1069" spans="52:68" x14ac:dyDescent="0.25">
      <c r="AZ1069" s="471"/>
      <c r="BA1069" s="181"/>
      <c r="BB1069" s="182"/>
      <c r="BC1069" s="209"/>
      <c r="BD1069" s="182"/>
      <c r="BE1069" s="209"/>
      <c r="BF1069" s="182"/>
      <c r="BG1069" s="209"/>
      <c r="BH1069" s="182"/>
      <c r="BI1069" s="209"/>
      <c r="BJ1069" s="183"/>
      <c r="BK1069" s="209"/>
      <c r="BL1069" s="182"/>
      <c r="BM1069" s="210"/>
      <c r="BO1069" s="28" t="e">
        <f t="shared" si="139"/>
        <v>#DIV/0!</v>
      </c>
      <c r="BP1069" s="28">
        <f t="shared" si="140"/>
        <v>0</v>
      </c>
    </row>
    <row r="1070" spans="52:68" x14ac:dyDescent="0.25">
      <c r="AZ1070" s="471"/>
      <c r="BA1070" s="181"/>
      <c r="BB1070" s="182"/>
      <c r="BC1070" s="209"/>
      <c r="BD1070" s="182"/>
      <c r="BE1070" s="209"/>
      <c r="BF1070" s="182"/>
      <c r="BG1070" s="209"/>
      <c r="BH1070" s="182"/>
      <c r="BI1070" s="209"/>
      <c r="BJ1070" s="183"/>
      <c r="BK1070" s="209"/>
      <c r="BL1070" s="182"/>
      <c r="BM1070" s="210"/>
      <c r="BO1070" s="28" t="e">
        <f t="shared" si="139"/>
        <v>#DIV/0!</v>
      </c>
      <c r="BP1070" s="28">
        <f t="shared" si="140"/>
        <v>0</v>
      </c>
    </row>
    <row r="1071" spans="52:68" x14ac:dyDescent="0.25">
      <c r="AZ1071" s="471"/>
      <c r="BA1071" s="181"/>
      <c r="BB1071" s="182"/>
      <c r="BC1071" s="209"/>
      <c r="BD1071" s="182"/>
      <c r="BE1071" s="209"/>
      <c r="BF1071" s="182"/>
      <c r="BG1071" s="209"/>
      <c r="BH1071" s="182"/>
      <c r="BI1071" s="209"/>
      <c r="BJ1071" s="183"/>
      <c r="BK1071" s="209"/>
      <c r="BL1071" s="182"/>
      <c r="BM1071" s="210"/>
      <c r="BO1071" s="28" t="e">
        <f t="shared" si="139"/>
        <v>#DIV/0!</v>
      </c>
      <c r="BP1071" s="28">
        <f t="shared" si="140"/>
        <v>0</v>
      </c>
    </row>
    <row r="1072" spans="52:68" x14ac:dyDescent="0.25">
      <c r="AZ1072" s="471"/>
      <c r="BA1072" s="181"/>
      <c r="BB1072" s="182"/>
      <c r="BC1072" s="209"/>
      <c r="BD1072" s="182"/>
      <c r="BE1072" s="209"/>
      <c r="BF1072" s="182"/>
      <c r="BG1072" s="209"/>
      <c r="BH1072" s="182"/>
      <c r="BI1072" s="209"/>
      <c r="BJ1072" s="183"/>
      <c r="BK1072" s="209"/>
      <c r="BL1072" s="182"/>
      <c r="BM1072" s="210"/>
      <c r="BO1072" s="28" t="e">
        <f t="shared" si="139"/>
        <v>#DIV/0!</v>
      </c>
      <c r="BP1072" s="28">
        <f t="shared" si="140"/>
        <v>0</v>
      </c>
    </row>
    <row r="1073" spans="52:68" x14ac:dyDescent="0.25">
      <c r="AZ1073" s="471"/>
      <c r="BA1073" s="181"/>
      <c r="BB1073" s="182"/>
      <c r="BC1073" s="209"/>
      <c r="BD1073" s="182"/>
      <c r="BE1073" s="209"/>
      <c r="BF1073" s="182"/>
      <c r="BG1073" s="209"/>
      <c r="BH1073" s="182"/>
      <c r="BI1073" s="209"/>
      <c r="BJ1073" s="183"/>
      <c r="BK1073" s="209"/>
      <c r="BL1073" s="182"/>
      <c r="BM1073" s="210"/>
      <c r="BO1073" s="28" t="e">
        <f t="shared" si="139"/>
        <v>#DIV/0!</v>
      </c>
      <c r="BP1073" s="28">
        <f t="shared" si="140"/>
        <v>0</v>
      </c>
    </row>
    <row r="1074" spans="52:68" x14ac:dyDescent="0.25">
      <c r="AZ1074" s="471"/>
      <c r="BA1074" s="181"/>
      <c r="BB1074" s="182"/>
      <c r="BC1074" s="209"/>
      <c r="BD1074" s="182"/>
      <c r="BE1074" s="209"/>
      <c r="BF1074" s="182"/>
      <c r="BG1074" s="209"/>
      <c r="BH1074" s="182"/>
      <c r="BI1074" s="209"/>
      <c r="BJ1074" s="183"/>
      <c r="BK1074" s="209"/>
      <c r="BL1074" s="182"/>
      <c r="BM1074" s="210"/>
      <c r="BO1074" s="28" t="e">
        <f t="shared" si="139"/>
        <v>#DIV/0!</v>
      </c>
      <c r="BP1074" s="28">
        <f t="shared" si="140"/>
        <v>0</v>
      </c>
    </row>
    <row r="1075" spans="52:68" x14ac:dyDescent="0.25">
      <c r="AZ1075" s="471"/>
      <c r="BA1075" s="181"/>
      <c r="BB1075" s="182"/>
      <c r="BC1075" s="209"/>
      <c r="BD1075" s="182"/>
      <c r="BE1075" s="209"/>
      <c r="BF1075" s="182"/>
      <c r="BG1075" s="209"/>
      <c r="BH1075" s="182"/>
      <c r="BI1075" s="209"/>
      <c r="BJ1075" s="183"/>
      <c r="BK1075" s="209"/>
      <c r="BL1075" s="182"/>
      <c r="BM1075" s="210"/>
      <c r="BO1075" s="28" t="e">
        <f t="shared" si="139"/>
        <v>#DIV/0!</v>
      </c>
      <c r="BP1075" s="28">
        <f t="shared" si="140"/>
        <v>0</v>
      </c>
    </row>
    <row r="1076" spans="52:68" x14ac:dyDescent="0.25">
      <c r="AZ1076" s="471"/>
      <c r="BA1076" s="181"/>
      <c r="BB1076" s="182"/>
      <c r="BC1076" s="209"/>
      <c r="BD1076" s="182"/>
      <c r="BE1076" s="209"/>
      <c r="BF1076" s="182"/>
      <c r="BG1076" s="209"/>
      <c r="BH1076" s="182"/>
      <c r="BI1076" s="209"/>
      <c r="BJ1076" s="183"/>
      <c r="BK1076" s="209"/>
      <c r="BL1076" s="182"/>
      <c r="BM1076" s="210"/>
      <c r="BO1076" s="28" t="e">
        <f t="shared" si="139"/>
        <v>#DIV/0!</v>
      </c>
      <c r="BP1076" s="28">
        <f t="shared" si="140"/>
        <v>0</v>
      </c>
    </row>
    <row r="1077" spans="52:68" x14ac:dyDescent="0.25">
      <c r="AZ1077" s="471"/>
      <c r="BA1077" s="181"/>
      <c r="BB1077" s="182"/>
      <c r="BC1077" s="209"/>
      <c r="BD1077" s="182"/>
      <c r="BE1077" s="209"/>
      <c r="BF1077" s="182"/>
      <c r="BG1077" s="209"/>
      <c r="BH1077" s="182"/>
      <c r="BI1077" s="209"/>
      <c r="BJ1077" s="183"/>
      <c r="BK1077" s="209"/>
      <c r="BL1077" s="182"/>
      <c r="BM1077" s="210"/>
      <c r="BO1077" s="28" t="e">
        <f t="shared" si="139"/>
        <v>#DIV/0!</v>
      </c>
      <c r="BP1077" s="28">
        <f t="shared" si="140"/>
        <v>0</v>
      </c>
    </row>
    <row r="1078" spans="52:68" x14ac:dyDescent="0.25">
      <c r="AZ1078" s="471"/>
      <c r="BA1078" s="181"/>
      <c r="BB1078" s="182"/>
      <c r="BC1078" s="209"/>
      <c r="BD1078" s="182"/>
      <c r="BE1078" s="209"/>
      <c r="BF1078" s="182"/>
      <c r="BG1078" s="209"/>
      <c r="BH1078" s="182"/>
      <c r="BI1078" s="209"/>
      <c r="BJ1078" s="183"/>
      <c r="BK1078" s="209"/>
      <c r="BL1078" s="182"/>
      <c r="BM1078" s="210"/>
      <c r="BO1078" s="28" t="e">
        <f t="shared" si="139"/>
        <v>#DIV/0!</v>
      </c>
      <c r="BP1078" s="28">
        <f t="shared" si="140"/>
        <v>0</v>
      </c>
    </row>
    <row r="1079" spans="52:68" x14ac:dyDescent="0.25">
      <c r="AZ1079" s="471"/>
      <c r="BA1079" s="181"/>
      <c r="BB1079" s="182"/>
      <c r="BC1079" s="209"/>
      <c r="BD1079" s="182"/>
      <c r="BE1079" s="209"/>
      <c r="BF1079" s="182"/>
      <c r="BG1079" s="209"/>
      <c r="BH1079" s="182"/>
      <c r="BI1079" s="209"/>
      <c r="BJ1079" s="183"/>
      <c r="BK1079" s="209"/>
      <c r="BL1079" s="182"/>
      <c r="BM1079" s="210"/>
      <c r="BO1079" s="28" t="e">
        <f t="shared" si="139"/>
        <v>#DIV/0!</v>
      </c>
      <c r="BP1079" s="28">
        <f t="shared" si="140"/>
        <v>0</v>
      </c>
    </row>
    <row r="1080" spans="52:68" x14ac:dyDescent="0.25">
      <c r="AZ1080" s="471"/>
      <c r="BA1080" s="181"/>
      <c r="BB1080" s="182"/>
      <c r="BC1080" s="209"/>
      <c r="BD1080" s="182"/>
      <c r="BE1080" s="209"/>
      <c r="BF1080" s="182"/>
      <c r="BG1080" s="209"/>
      <c r="BH1080" s="182"/>
      <c r="BI1080" s="209"/>
      <c r="BJ1080" s="183"/>
      <c r="BK1080" s="209"/>
      <c r="BL1080" s="182"/>
      <c r="BM1080" s="210"/>
      <c r="BO1080" s="28" t="e">
        <f t="shared" si="139"/>
        <v>#DIV/0!</v>
      </c>
      <c r="BP1080" s="28">
        <f t="shared" si="140"/>
        <v>0</v>
      </c>
    </row>
    <row r="1081" spans="52:68" x14ac:dyDescent="0.25">
      <c r="AZ1081" s="471"/>
      <c r="BA1081" s="181"/>
      <c r="BB1081" s="182"/>
      <c r="BC1081" s="209"/>
      <c r="BD1081" s="182"/>
      <c r="BE1081" s="209"/>
      <c r="BF1081" s="182"/>
      <c r="BG1081" s="209"/>
      <c r="BH1081" s="182"/>
      <c r="BI1081" s="209"/>
      <c r="BJ1081" s="183"/>
      <c r="BK1081" s="209"/>
      <c r="BL1081" s="182"/>
      <c r="BM1081" s="210"/>
      <c r="BO1081" s="28" t="e">
        <f t="shared" si="139"/>
        <v>#DIV/0!</v>
      </c>
      <c r="BP1081" s="28">
        <f t="shared" si="140"/>
        <v>0</v>
      </c>
    </row>
    <row r="1082" spans="52:68" x14ac:dyDescent="0.25">
      <c r="AZ1082" s="471"/>
      <c r="BA1082" s="181"/>
      <c r="BB1082" s="182"/>
      <c r="BC1082" s="209"/>
      <c r="BD1082" s="182"/>
      <c r="BE1082" s="209"/>
      <c r="BF1082" s="182"/>
      <c r="BG1082" s="209"/>
      <c r="BH1082" s="182"/>
      <c r="BI1082" s="209"/>
      <c r="BJ1082" s="183"/>
      <c r="BK1082" s="209"/>
      <c r="BL1082" s="182"/>
      <c r="BM1082" s="210"/>
      <c r="BO1082" s="28" t="e">
        <f t="shared" si="139"/>
        <v>#DIV/0!</v>
      </c>
      <c r="BP1082" s="28">
        <f t="shared" si="140"/>
        <v>0</v>
      </c>
    </row>
    <row r="1083" spans="52:68" x14ac:dyDescent="0.25">
      <c r="AZ1083" s="471"/>
      <c r="BA1083" s="181"/>
      <c r="BB1083" s="182"/>
      <c r="BC1083" s="209"/>
      <c r="BD1083" s="182"/>
      <c r="BE1083" s="209"/>
      <c r="BF1083" s="182"/>
      <c r="BG1083" s="209"/>
      <c r="BH1083" s="182"/>
      <c r="BI1083" s="209"/>
      <c r="BJ1083" s="183"/>
      <c r="BK1083" s="209"/>
      <c r="BL1083" s="182"/>
      <c r="BM1083" s="210"/>
      <c r="BO1083" s="28" t="e">
        <f t="shared" si="139"/>
        <v>#DIV/0!</v>
      </c>
      <c r="BP1083" s="28">
        <f t="shared" si="140"/>
        <v>0</v>
      </c>
    </row>
    <row r="1084" spans="52:68" x14ac:dyDescent="0.25">
      <c r="AZ1084" s="471"/>
      <c r="BA1084" s="181"/>
      <c r="BB1084" s="182"/>
      <c r="BC1084" s="209"/>
      <c r="BD1084" s="182"/>
      <c r="BE1084" s="209"/>
      <c r="BF1084" s="182"/>
      <c r="BG1084" s="209"/>
      <c r="BH1084" s="182"/>
      <c r="BI1084" s="209"/>
      <c r="BJ1084" s="183"/>
      <c r="BK1084" s="209"/>
      <c r="BL1084" s="182"/>
      <c r="BM1084" s="210"/>
      <c r="BO1084" s="28" t="e">
        <f t="shared" si="139"/>
        <v>#DIV/0!</v>
      </c>
      <c r="BP1084" s="28">
        <f t="shared" si="140"/>
        <v>0</v>
      </c>
    </row>
    <row r="1085" spans="52:68" x14ac:dyDescent="0.25">
      <c r="AZ1085" s="471"/>
      <c r="BA1085" s="181"/>
      <c r="BB1085" s="182"/>
      <c r="BC1085" s="209"/>
      <c r="BD1085" s="182"/>
      <c r="BE1085" s="209"/>
      <c r="BF1085" s="182"/>
      <c r="BG1085" s="209"/>
      <c r="BH1085" s="182"/>
      <c r="BI1085" s="209"/>
      <c r="BJ1085" s="183"/>
      <c r="BK1085" s="209"/>
      <c r="BL1085" s="182"/>
      <c r="BM1085" s="210"/>
      <c r="BO1085" s="28" t="e">
        <f t="shared" si="139"/>
        <v>#DIV/0!</v>
      </c>
      <c r="BP1085" s="28">
        <f t="shared" si="140"/>
        <v>0</v>
      </c>
    </row>
    <row r="1086" spans="52:68" x14ac:dyDescent="0.25">
      <c r="AZ1086" s="471"/>
      <c r="BA1086" s="181"/>
      <c r="BB1086" s="182"/>
      <c r="BC1086" s="209"/>
      <c r="BD1086" s="182"/>
      <c r="BE1086" s="209"/>
      <c r="BF1086" s="182"/>
      <c r="BG1086" s="209"/>
      <c r="BH1086" s="182"/>
      <c r="BI1086" s="209"/>
      <c r="BJ1086" s="183"/>
      <c r="BK1086" s="209"/>
      <c r="BL1086" s="182"/>
      <c r="BM1086" s="210"/>
      <c r="BO1086" s="28" t="e">
        <f t="shared" si="139"/>
        <v>#DIV/0!</v>
      </c>
      <c r="BP1086" s="28">
        <f t="shared" si="140"/>
        <v>0</v>
      </c>
    </row>
    <row r="1087" spans="52:68" x14ac:dyDescent="0.25">
      <c r="AZ1087" s="471"/>
      <c r="BA1087" s="181"/>
      <c r="BB1087" s="182"/>
      <c r="BC1087" s="209"/>
      <c r="BD1087" s="182"/>
      <c r="BE1087" s="209"/>
      <c r="BF1087" s="182"/>
      <c r="BG1087" s="209"/>
      <c r="BH1087" s="182"/>
      <c r="BI1087" s="209"/>
      <c r="BJ1087" s="183"/>
      <c r="BK1087" s="209"/>
      <c r="BL1087" s="182"/>
      <c r="BM1087" s="210"/>
      <c r="BO1087" s="28" t="e">
        <f t="shared" si="139"/>
        <v>#DIV/0!</v>
      </c>
      <c r="BP1087" s="28">
        <f t="shared" si="140"/>
        <v>0</v>
      </c>
    </row>
    <row r="1088" spans="52:68" x14ac:dyDescent="0.25">
      <c r="AZ1088" s="471"/>
      <c r="BA1088" s="181"/>
      <c r="BB1088" s="182"/>
      <c r="BC1088" s="209"/>
      <c r="BD1088" s="182"/>
      <c r="BE1088" s="209"/>
      <c r="BF1088" s="182"/>
      <c r="BG1088" s="209"/>
      <c r="BH1088" s="182"/>
      <c r="BI1088" s="209"/>
      <c r="BJ1088" s="183"/>
      <c r="BK1088" s="209"/>
      <c r="BL1088" s="182"/>
      <c r="BM1088" s="210"/>
      <c r="BO1088" s="28" t="e">
        <f t="shared" si="139"/>
        <v>#DIV/0!</v>
      </c>
      <c r="BP1088" s="28">
        <f t="shared" si="140"/>
        <v>0</v>
      </c>
    </row>
    <row r="1089" spans="52:68" x14ac:dyDescent="0.25">
      <c r="AZ1089" s="471"/>
      <c r="BA1089" s="181"/>
      <c r="BB1089" s="182"/>
      <c r="BC1089" s="209"/>
      <c r="BD1089" s="182"/>
      <c r="BE1089" s="209"/>
      <c r="BF1089" s="182"/>
      <c r="BG1089" s="209"/>
      <c r="BH1089" s="182"/>
      <c r="BI1089" s="209"/>
      <c r="BJ1089" s="183"/>
      <c r="BK1089" s="209"/>
      <c r="BL1089" s="182"/>
      <c r="BM1089" s="210"/>
      <c r="BO1089" s="28" t="e">
        <f t="shared" si="139"/>
        <v>#DIV/0!</v>
      </c>
      <c r="BP1089" s="28">
        <f t="shared" si="140"/>
        <v>0</v>
      </c>
    </row>
    <row r="1090" spans="52:68" x14ac:dyDescent="0.25">
      <c r="AZ1090" s="471"/>
      <c r="BA1090" s="181"/>
      <c r="BB1090" s="182"/>
      <c r="BC1090" s="209"/>
      <c r="BD1090" s="182"/>
      <c r="BE1090" s="209"/>
      <c r="BF1090" s="182"/>
      <c r="BG1090" s="209"/>
      <c r="BH1090" s="182"/>
      <c r="BI1090" s="209"/>
      <c r="BJ1090" s="183"/>
      <c r="BK1090" s="209"/>
      <c r="BL1090" s="182"/>
      <c r="BM1090" s="210"/>
      <c r="BO1090" s="28" t="e">
        <f t="shared" si="139"/>
        <v>#DIV/0!</v>
      </c>
      <c r="BP1090" s="28">
        <f t="shared" si="140"/>
        <v>0</v>
      </c>
    </row>
    <row r="1091" spans="52:68" x14ac:dyDescent="0.25">
      <c r="AZ1091" s="471"/>
      <c r="BA1091" s="181"/>
      <c r="BB1091" s="182"/>
      <c r="BC1091" s="209"/>
      <c r="BD1091" s="182"/>
      <c r="BE1091" s="209"/>
      <c r="BF1091" s="182"/>
      <c r="BG1091" s="209"/>
      <c r="BH1091" s="182"/>
      <c r="BI1091" s="209"/>
      <c r="BJ1091" s="183"/>
      <c r="BK1091" s="209"/>
      <c r="BL1091" s="182"/>
      <c r="BM1091" s="210"/>
      <c r="BO1091" s="28" t="e">
        <f t="shared" si="139"/>
        <v>#DIV/0!</v>
      </c>
      <c r="BP1091" s="28">
        <f t="shared" si="140"/>
        <v>0</v>
      </c>
    </row>
    <row r="1092" spans="52:68" x14ac:dyDescent="0.25">
      <c r="AZ1092" s="471"/>
      <c r="BA1092" s="181"/>
      <c r="BB1092" s="182"/>
      <c r="BC1092" s="209"/>
      <c r="BD1092" s="182"/>
      <c r="BE1092" s="209"/>
      <c r="BF1092" s="182"/>
      <c r="BG1092" s="209"/>
      <c r="BH1092" s="182"/>
      <c r="BI1092" s="209"/>
      <c r="BJ1092" s="183"/>
      <c r="BK1092" s="209"/>
      <c r="BL1092" s="182"/>
      <c r="BM1092" s="210"/>
      <c r="BO1092" s="28" t="e">
        <f t="shared" si="139"/>
        <v>#DIV/0!</v>
      </c>
      <c r="BP1092" s="28">
        <f t="shared" si="140"/>
        <v>0</v>
      </c>
    </row>
    <row r="1093" spans="52:68" x14ac:dyDescent="0.25">
      <c r="AZ1093" s="471"/>
      <c r="BA1093" s="181"/>
      <c r="BB1093" s="182"/>
      <c r="BC1093" s="209"/>
      <c r="BD1093" s="182"/>
      <c r="BE1093" s="209"/>
      <c r="BF1093" s="182"/>
      <c r="BG1093" s="209"/>
      <c r="BH1093" s="182"/>
      <c r="BI1093" s="209"/>
      <c r="BJ1093" s="183"/>
      <c r="BK1093" s="209"/>
      <c r="BL1093" s="182"/>
      <c r="BM1093" s="210"/>
      <c r="BO1093" s="28" t="e">
        <f t="shared" si="139"/>
        <v>#DIV/0!</v>
      </c>
      <c r="BP1093" s="28">
        <f t="shared" si="140"/>
        <v>0</v>
      </c>
    </row>
    <row r="1094" spans="52:68" x14ac:dyDescent="0.25">
      <c r="AZ1094" s="471"/>
      <c r="BA1094" s="181"/>
      <c r="BB1094" s="182"/>
      <c r="BC1094" s="209"/>
      <c r="BD1094" s="182"/>
      <c r="BE1094" s="209"/>
      <c r="BF1094" s="182"/>
      <c r="BG1094" s="209"/>
      <c r="BH1094" s="182"/>
      <c r="BI1094" s="209"/>
      <c r="BJ1094" s="183"/>
      <c r="BK1094" s="209"/>
      <c r="BL1094" s="182"/>
      <c r="BM1094" s="210"/>
      <c r="BO1094" s="28" t="e">
        <f t="shared" si="139"/>
        <v>#DIV/0!</v>
      </c>
      <c r="BP1094" s="28">
        <f t="shared" si="140"/>
        <v>0</v>
      </c>
    </row>
    <row r="1095" spans="52:68" x14ac:dyDescent="0.25">
      <c r="AZ1095" s="471"/>
      <c r="BA1095" s="181"/>
      <c r="BB1095" s="182"/>
      <c r="BC1095" s="209"/>
      <c r="BD1095" s="182"/>
      <c r="BE1095" s="209"/>
      <c r="BF1095" s="182"/>
      <c r="BG1095" s="209"/>
      <c r="BH1095" s="182"/>
      <c r="BI1095" s="209"/>
      <c r="BJ1095" s="183"/>
      <c r="BK1095" s="209"/>
      <c r="BL1095" s="182"/>
      <c r="BM1095" s="210"/>
      <c r="BO1095" s="28" t="e">
        <f t="shared" si="139"/>
        <v>#DIV/0!</v>
      </c>
      <c r="BP1095" s="28">
        <f t="shared" si="140"/>
        <v>0</v>
      </c>
    </row>
    <row r="1096" spans="52:68" x14ac:dyDescent="0.25">
      <c r="AZ1096" s="471"/>
      <c r="BA1096" s="181"/>
      <c r="BB1096" s="182"/>
      <c r="BC1096" s="209"/>
      <c r="BD1096" s="182"/>
      <c r="BE1096" s="209"/>
      <c r="BF1096" s="182"/>
      <c r="BG1096" s="209"/>
      <c r="BH1096" s="182"/>
      <c r="BI1096" s="209"/>
      <c r="BJ1096" s="183"/>
      <c r="BK1096" s="209"/>
      <c r="BL1096" s="182"/>
      <c r="BM1096" s="210"/>
      <c r="BO1096" s="28" t="e">
        <f t="shared" si="139"/>
        <v>#DIV/0!</v>
      </c>
      <c r="BP1096" s="28">
        <f t="shared" si="140"/>
        <v>0</v>
      </c>
    </row>
    <row r="1097" spans="52:68" x14ac:dyDescent="0.25">
      <c r="AZ1097" s="471"/>
      <c r="BA1097" s="181"/>
      <c r="BB1097" s="182"/>
      <c r="BC1097" s="209"/>
      <c r="BD1097" s="182"/>
      <c r="BE1097" s="209"/>
      <c r="BF1097" s="182"/>
      <c r="BG1097" s="209"/>
      <c r="BH1097" s="182"/>
      <c r="BI1097" s="209"/>
      <c r="BJ1097" s="183"/>
      <c r="BK1097" s="209"/>
      <c r="BL1097" s="182"/>
      <c r="BM1097" s="210"/>
      <c r="BO1097" s="28" t="e">
        <f t="shared" ref="BO1097:BO1160" si="141">AVERAGE(BB1097:BM1097)</f>
        <v>#DIV/0!</v>
      </c>
      <c r="BP1097" s="28">
        <f t="shared" ref="BP1097:BP1160" si="142">SUM(BB1097:BM1097)</f>
        <v>0</v>
      </c>
    </row>
    <row r="1098" spans="52:68" x14ac:dyDescent="0.25">
      <c r="AZ1098" s="471"/>
      <c r="BA1098" s="181"/>
      <c r="BB1098" s="182"/>
      <c r="BC1098" s="209"/>
      <c r="BD1098" s="182"/>
      <c r="BE1098" s="209"/>
      <c r="BF1098" s="182"/>
      <c r="BG1098" s="209"/>
      <c r="BH1098" s="182"/>
      <c r="BI1098" s="209"/>
      <c r="BJ1098" s="183"/>
      <c r="BK1098" s="209"/>
      <c r="BL1098" s="182"/>
      <c r="BM1098" s="210"/>
      <c r="BO1098" s="28" t="e">
        <f t="shared" si="141"/>
        <v>#DIV/0!</v>
      </c>
      <c r="BP1098" s="28">
        <f t="shared" si="142"/>
        <v>0</v>
      </c>
    </row>
    <row r="1099" spans="52:68" x14ac:dyDescent="0.25">
      <c r="AZ1099" s="471"/>
      <c r="BA1099" s="181"/>
      <c r="BB1099" s="182"/>
      <c r="BC1099" s="209"/>
      <c r="BD1099" s="182"/>
      <c r="BE1099" s="209"/>
      <c r="BF1099" s="182"/>
      <c r="BG1099" s="209"/>
      <c r="BH1099" s="182"/>
      <c r="BI1099" s="209"/>
      <c r="BJ1099" s="183"/>
      <c r="BK1099" s="209"/>
      <c r="BL1099" s="182"/>
      <c r="BM1099" s="210"/>
      <c r="BO1099" s="28" t="e">
        <f t="shared" si="141"/>
        <v>#DIV/0!</v>
      </c>
      <c r="BP1099" s="28">
        <f t="shared" si="142"/>
        <v>0</v>
      </c>
    </row>
    <row r="1100" spans="52:68" x14ac:dyDescent="0.25">
      <c r="AZ1100" s="471"/>
      <c r="BA1100" s="181"/>
      <c r="BB1100" s="182"/>
      <c r="BC1100" s="209"/>
      <c r="BD1100" s="182"/>
      <c r="BE1100" s="209"/>
      <c r="BF1100" s="182"/>
      <c r="BG1100" s="209"/>
      <c r="BH1100" s="182"/>
      <c r="BI1100" s="209"/>
      <c r="BJ1100" s="183"/>
      <c r="BK1100" s="209"/>
      <c r="BL1100" s="182"/>
      <c r="BM1100" s="210"/>
      <c r="BO1100" s="28" t="e">
        <f t="shared" si="141"/>
        <v>#DIV/0!</v>
      </c>
      <c r="BP1100" s="28">
        <f t="shared" si="142"/>
        <v>0</v>
      </c>
    </row>
    <row r="1101" spans="52:68" x14ac:dyDescent="0.25">
      <c r="AZ1101" s="471"/>
      <c r="BA1101" s="181"/>
      <c r="BB1101" s="182"/>
      <c r="BC1101" s="209"/>
      <c r="BD1101" s="182"/>
      <c r="BE1101" s="209"/>
      <c r="BF1101" s="182"/>
      <c r="BG1101" s="209"/>
      <c r="BH1101" s="182"/>
      <c r="BI1101" s="209"/>
      <c r="BJ1101" s="183"/>
      <c r="BK1101" s="209"/>
      <c r="BL1101" s="182"/>
      <c r="BM1101" s="210"/>
      <c r="BO1101" s="28" t="e">
        <f t="shared" si="141"/>
        <v>#DIV/0!</v>
      </c>
      <c r="BP1101" s="28">
        <f t="shared" si="142"/>
        <v>0</v>
      </c>
    </row>
    <row r="1102" spans="52:68" x14ac:dyDescent="0.25">
      <c r="AZ1102" s="471"/>
      <c r="BA1102" s="181"/>
      <c r="BB1102" s="182"/>
      <c r="BC1102" s="209"/>
      <c r="BD1102" s="182"/>
      <c r="BE1102" s="209"/>
      <c r="BF1102" s="182"/>
      <c r="BG1102" s="209"/>
      <c r="BH1102" s="182"/>
      <c r="BI1102" s="209"/>
      <c r="BJ1102" s="183"/>
      <c r="BK1102" s="209"/>
      <c r="BL1102" s="182"/>
      <c r="BM1102" s="210"/>
      <c r="BO1102" s="28" t="e">
        <f t="shared" si="141"/>
        <v>#DIV/0!</v>
      </c>
      <c r="BP1102" s="28">
        <f t="shared" si="142"/>
        <v>0</v>
      </c>
    </row>
    <row r="1103" spans="52:68" x14ac:dyDescent="0.25">
      <c r="AZ1103" s="471"/>
      <c r="BA1103" s="181"/>
      <c r="BB1103" s="182"/>
      <c r="BC1103" s="209"/>
      <c r="BD1103" s="182"/>
      <c r="BE1103" s="209"/>
      <c r="BF1103" s="182"/>
      <c r="BG1103" s="209"/>
      <c r="BH1103" s="182"/>
      <c r="BI1103" s="209"/>
      <c r="BJ1103" s="183"/>
      <c r="BK1103" s="209"/>
      <c r="BL1103" s="182"/>
      <c r="BM1103" s="210"/>
      <c r="BO1103" s="28" t="e">
        <f t="shared" si="141"/>
        <v>#DIV/0!</v>
      </c>
      <c r="BP1103" s="28">
        <f t="shared" si="142"/>
        <v>0</v>
      </c>
    </row>
    <row r="1104" spans="52:68" x14ac:dyDescent="0.25">
      <c r="AZ1104" s="471"/>
      <c r="BA1104" s="181"/>
      <c r="BB1104" s="182"/>
      <c r="BC1104" s="209"/>
      <c r="BD1104" s="182"/>
      <c r="BE1104" s="209"/>
      <c r="BF1104" s="182"/>
      <c r="BG1104" s="209"/>
      <c r="BH1104" s="182"/>
      <c r="BI1104" s="209"/>
      <c r="BJ1104" s="183"/>
      <c r="BK1104" s="209"/>
      <c r="BL1104" s="182"/>
      <c r="BM1104" s="210"/>
      <c r="BO1104" s="28" t="e">
        <f t="shared" si="141"/>
        <v>#DIV/0!</v>
      </c>
      <c r="BP1104" s="28">
        <f t="shared" si="142"/>
        <v>0</v>
      </c>
    </row>
    <row r="1105" spans="52:68" x14ac:dyDescent="0.25">
      <c r="AZ1105" s="471"/>
      <c r="BA1105" s="181"/>
      <c r="BB1105" s="182"/>
      <c r="BC1105" s="209"/>
      <c r="BD1105" s="182"/>
      <c r="BE1105" s="209"/>
      <c r="BF1105" s="182"/>
      <c r="BG1105" s="209"/>
      <c r="BH1105" s="182"/>
      <c r="BI1105" s="209"/>
      <c r="BJ1105" s="183"/>
      <c r="BK1105" s="209"/>
      <c r="BL1105" s="182"/>
      <c r="BM1105" s="210"/>
      <c r="BO1105" s="28" t="e">
        <f t="shared" si="141"/>
        <v>#DIV/0!</v>
      </c>
      <c r="BP1105" s="28">
        <f t="shared" si="142"/>
        <v>0</v>
      </c>
    </row>
    <row r="1106" spans="52:68" x14ac:dyDescent="0.25">
      <c r="AZ1106" s="471"/>
      <c r="BA1106" s="181"/>
      <c r="BB1106" s="182"/>
      <c r="BC1106" s="209"/>
      <c r="BD1106" s="182"/>
      <c r="BE1106" s="209"/>
      <c r="BF1106" s="182"/>
      <c r="BG1106" s="209"/>
      <c r="BH1106" s="182"/>
      <c r="BI1106" s="209"/>
      <c r="BJ1106" s="183"/>
      <c r="BK1106" s="209"/>
      <c r="BL1106" s="182"/>
      <c r="BM1106" s="210"/>
      <c r="BO1106" s="28" t="e">
        <f t="shared" si="141"/>
        <v>#DIV/0!</v>
      </c>
      <c r="BP1106" s="28">
        <f t="shared" si="142"/>
        <v>0</v>
      </c>
    </row>
    <row r="1107" spans="52:68" x14ac:dyDescent="0.25">
      <c r="AZ1107" s="471"/>
      <c r="BA1107" s="181"/>
      <c r="BB1107" s="184"/>
      <c r="BC1107" s="209"/>
      <c r="BD1107" s="184"/>
      <c r="BE1107" s="209"/>
      <c r="BF1107" s="182"/>
      <c r="BG1107" s="209"/>
      <c r="BH1107" s="182"/>
      <c r="BI1107" s="209"/>
      <c r="BJ1107" s="183"/>
      <c r="BK1107" s="209"/>
      <c r="BL1107" s="182"/>
      <c r="BM1107" s="210"/>
      <c r="BO1107" s="28" t="e">
        <f t="shared" si="141"/>
        <v>#DIV/0!</v>
      </c>
      <c r="BP1107" s="28">
        <f t="shared" si="142"/>
        <v>0</v>
      </c>
    </row>
    <row r="1108" spans="52:68" x14ac:dyDescent="0.25">
      <c r="AZ1108" s="471"/>
      <c r="BA1108" s="181"/>
      <c r="BB1108" s="184"/>
      <c r="BC1108" s="209"/>
      <c r="BD1108" s="184"/>
      <c r="BE1108" s="209"/>
      <c r="BF1108" s="182"/>
      <c r="BG1108" s="209"/>
      <c r="BH1108" s="182"/>
      <c r="BI1108" s="209"/>
      <c r="BJ1108" s="183"/>
      <c r="BK1108" s="209"/>
      <c r="BL1108" s="182"/>
      <c r="BM1108" s="210"/>
      <c r="BO1108" s="28" t="e">
        <f t="shared" si="141"/>
        <v>#DIV/0!</v>
      </c>
      <c r="BP1108" s="28">
        <f t="shared" si="142"/>
        <v>0</v>
      </c>
    </row>
    <row r="1109" spans="52:68" x14ac:dyDescent="0.25">
      <c r="AZ1109" s="471"/>
      <c r="BA1109" s="181"/>
      <c r="BB1109" s="184"/>
      <c r="BC1109" s="209"/>
      <c r="BD1109" s="184"/>
      <c r="BE1109" s="209"/>
      <c r="BF1109" s="182"/>
      <c r="BG1109" s="209"/>
      <c r="BH1109" s="182"/>
      <c r="BI1109" s="209"/>
      <c r="BJ1109" s="183"/>
      <c r="BK1109" s="209"/>
      <c r="BL1109" s="182"/>
      <c r="BM1109" s="210"/>
      <c r="BO1109" s="28" t="e">
        <f t="shared" si="141"/>
        <v>#DIV/0!</v>
      </c>
      <c r="BP1109" s="28">
        <f t="shared" si="142"/>
        <v>0</v>
      </c>
    </row>
    <row r="1110" spans="52:68" x14ac:dyDescent="0.25">
      <c r="AZ1110" s="471"/>
      <c r="BA1110" s="181"/>
      <c r="BB1110" s="182"/>
      <c r="BC1110" s="209"/>
      <c r="BD1110" s="182"/>
      <c r="BE1110" s="209"/>
      <c r="BF1110" s="182"/>
      <c r="BG1110" s="209"/>
      <c r="BH1110" s="182"/>
      <c r="BI1110" s="209"/>
      <c r="BJ1110" s="183"/>
      <c r="BK1110" s="209"/>
      <c r="BL1110" s="182"/>
      <c r="BM1110" s="210"/>
      <c r="BO1110" s="28" t="e">
        <f t="shared" si="141"/>
        <v>#DIV/0!</v>
      </c>
      <c r="BP1110" s="28">
        <f t="shared" si="142"/>
        <v>0</v>
      </c>
    </row>
    <row r="1111" spans="52:68" x14ac:dyDescent="0.25">
      <c r="AZ1111" s="471"/>
      <c r="BA1111" s="181"/>
      <c r="BB1111" s="182"/>
      <c r="BC1111" s="209"/>
      <c r="BD1111" s="182"/>
      <c r="BE1111" s="209"/>
      <c r="BF1111" s="182"/>
      <c r="BG1111" s="209"/>
      <c r="BH1111" s="182"/>
      <c r="BI1111" s="209"/>
      <c r="BJ1111" s="183"/>
      <c r="BK1111" s="209"/>
      <c r="BL1111" s="182"/>
      <c r="BM1111" s="210"/>
      <c r="BO1111" s="28" t="e">
        <f t="shared" si="141"/>
        <v>#DIV/0!</v>
      </c>
      <c r="BP1111" s="28">
        <f t="shared" si="142"/>
        <v>0</v>
      </c>
    </row>
    <row r="1112" spans="52:68" x14ac:dyDescent="0.25">
      <c r="AZ1112" s="471"/>
      <c r="BA1112" s="181"/>
      <c r="BB1112" s="182"/>
      <c r="BC1112" s="209"/>
      <c r="BD1112" s="182"/>
      <c r="BE1112" s="209"/>
      <c r="BF1112" s="182"/>
      <c r="BG1112" s="209"/>
      <c r="BH1112" s="182"/>
      <c r="BI1112" s="209"/>
      <c r="BJ1112" s="183"/>
      <c r="BK1112" s="209"/>
      <c r="BL1112" s="182"/>
      <c r="BM1112" s="210"/>
      <c r="BO1112" s="28" t="e">
        <f t="shared" si="141"/>
        <v>#DIV/0!</v>
      </c>
      <c r="BP1112" s="28">
        <f t="shared" si="142"/>
        <v>0</v>
      </c>
    </row>
    <row r="1113" spans="52:68" x14ac:dyDescent="0.25">
      <c r="AZ1113" s="471"/>
      <c r="BA1113" s="181"/>
      <c r="BB1113" s="182"/>
      <c r="BC1113" s="209"/>
      <c r="BD1113" s="182"/>
      <c r="BE1113" s="209"/>
      <c r="BF1113" s="182"/>
      <c r="BG1113" s="209"/>
      <c r="BH1113" s="182"/>
      <c r="BI1113" s="209"/>
      <c r="BJ1113" s="183"/>
      <c r="BK1113" s="209"/>
      <c r="BL1113" s="182"/>
      <c r="BM1113" s="210"/>
      <c r="BO1113" s="28" t="e">
        <f t="shared" si="141"/>
        <v>#DIV/0!</v>
      </c>
      <c r="BP1113" s="28">
        <f t="shared" si="142"/>
        <v>0</v>
      </c>
    </row>
    <row r="1114" spans="52:68" x14ac:dyDescent="0.25">
      <c r="AZ1114" s="471"/>
      <c r="BA1114" s="181"/>
      <c r="BB1114" s="182"/>
      <c r="BC1114" s="209"/>
      <c r="BD1114" s="182"/>
      <c r="BE1114" s="209"/>
      <c r="BF1114" s="182"/>
      <c r="BG1114" s="209"/>
      <c r="BH1114" s="182"/>
      <c r="BI1114" s="209"/>
      <c r="BJ1114" s="183"/>
      <c r="BK1114" s="209"/>
      <c r="BL1114" s="182"/>
      <c r="BM1114" s="210"/>
      <c r="BO1114" s="28" t="e">
        <f t="shared" si="141"/>
        <v>#DIV/0!</v>
      </c>
      <c r="BP1114" s="28">
        <f t="shared" si="142"/>
        <v>0</v>
      </c>
    </row>
    <row r="1115" spans="52:68" x14ac:dyDescent="0.25">
      <c r="AZ1115" s="471"/>
      <c r="BA1115" s="181"/>
      <c r="BB1115" s="182"/>
      <c r="BC1115" s="209"/>
      <c r="BD1115" s="182"/>
      <c r="BE1115" s="209"/>
      <c r="BF1115" s="182"/>
      <c r="BG1115" s="209"/>
      <c r="BH1115" s="182"/>
      <c r="BI1115" s="209"/>
      <c r="BJ1115" s="183"/>
      <c r="BK1115" s="209"/>
      <c r="BL1115" s="182"/>
      <c r="BM1115" s="210"/>
      <c r="BO1115" s="28" t="e">
        <f t="shared" si="141"/>
        <v>#DIV/0!</v>
      </c>
      <c r="BP1115" s="28">
        <f t="shared" si="142"/>
        <v>0</v>
      </c>
    </row>
    <row r="1116" spans="52:68" x14ac:dyDescent="0.25">
      <c r="AZ1116" s="471"/>
      <c r="BA1116" s="181"/>
      <c r="BB1116" s="182"/>
      <c r="BC1116" s="209"/>
      <c r="BD1116" s="182"/>
      <c r="BE1116" s="209"/>
      <c r="BF1116" s="182"/>
      <c r="BG1116" s="209"/>
      <c r="BH1116" s="182"/>
      <c r="BI1116" s="209"/>
      <c r="BJ1116" s="183"/>
      <c r="BK1116" s="209"/>
      <c r="BL1116" s="182"/>
      <c r="BM1116" s="210"/>
      <c r="BO1116" s="28" t="e">
        <f t="shared" si="141"/>
        <v>#DIV/0!</v>
      </c>
      <c r="BP1116" s="28">
        <f t="shared" si="142"/>
        <v>0</v>
      </c>
    </row>
    <row r="1117" spans="52:68" x14ac:dyDescent="0.25">
      <c r="AZ1117" s="471"/>
      <c r="BA1117" s="181"/>
      <c r="BB1117" s="182"/>
      <c r="BC1117" s="209"/>
      <c r="BD1117" s="182"/>
      <c r="BE1117" s="209"/>
      <c r="BF1117" s="182"/>
      <c r="BG1117" s="209"/>
      <c r="BH1117" s="182"/>
      <c r="BI1117" s="209"/>
      <c r="BJ1117" s="183"/>
      <c r="BK1117" s="209"/>
      <c r="BL1117" s="182"/>
      <c r="BM1117" s="210"/>
      <c r="BO1117" s="28" t="e">
        <f t="shared" si="141"/>
        <v>#DIV/0!</v>
      </c>
      <c r="BP1117" s="28">
        <f t="shared" si="142"/>
        <v>0</v>
      </c>
    </row>
    <row r="1118" spans="52:68" x14ac:dyDescent="0.25">
      <c r="AZ1118" s="471"/>
      <c r="BA1118" s="181"/>
      <c r="BB1118" s="182"/>
      <c r="BC1118" s="209"/>
      <c r="BD1118" s="182"/>
      <c r="BE1118" s="209"/>
      <c r="BF1118" s="182"/>
      <c r="BG1118" s="209"/>
      <c r="BH1118" s="182"/>
      <c r="BI1118" s="209"/>
      <c r="BJ1118" s="183"/>
      <c r="BK1118" s="209"/>
      <c r="BL1118" s="182"/>
      <c r="BM1118" s="210"/>
      <c r="BO1118" s="28" t="e">
        <f t="shared" si="141"/>
        <v>#DIV/0!</v>
      </c>
      <c r="BP1118" s="28">
        <f t="shared" si="142"/>
        <v>0</v>
      </c>
    </row>
    <row r="1119" spans="52:68" x14ac:dyDescent="0.25">
      <c r="AZ1119" s="471"/>
      <c r="BA1119" s="181"/>
      <c r="BB1119" s="184"/>
      <c r="BC1119" s="209"/>
      <c r="BD1119" s="184"/>
      <c r="BE1119" s="209"/>
      <c r="BF1119" s="182"/>
      <c r="BG1119" s="209"/>
      <c r="BH1119" s="182"/>
      <c r="BI1119" s="209"/>
      <c r="BJ1119" s="183"/>
      <c r="BK1119" s="209"/>
      <c r="BL1119" s="182"/>
      <c r="BM1119" s="210"/>
      <c r="BO1119" s="28" t="e">
        <f t="shared" si="141"/>
        <v>#DIV/0!</v>
      </c>
      <c r="BP1119" s="28">
        <f t="shared" si="142"/>
        <v>0</v>
      </c>
    </row>
    <row r="1120" spans="52:68" x14ac:dyDescent="0.25">
      <c r="AZ1120" s="471"/>
      <c r="BA1120" s="181"/>
      <c r="BB1120" s="182"/>
      <c r="BC1120" s="209"/>
      <c r="BD1120" s="182"/>
      <c r="BE1120" s="209"/>
      <c r="BF1120" s="182"/>
      <c r="BG1120" s="209"/>
      <c r="BH1120" s="182"/>
      <c r="BI1120" s="209"/>
      <c r="BJ1120" s="183"/>
      <c r="BK1120" s="209"/>
      <c r="BL1120" s="182"/>
      <c r="BM1120" s="210"/>
      <c r="BO1120" s="28" t="e">
        <f t="shared" si="141"/>
        <v>#DIV/0!</v>
      </c>
      <c r="BP1120" s="28">
        <f t="shared" si="142"/>
        <v>0</v>
      </c>
    </row>
    <row r="1121" spans="52:68" x14ac:dyDescent="0.25">
      <c r="AZ1121" s="471"/>
      <c r="BA1121" s="181"/>
      <c r="BB1121" s="182"/>
      <c r="BC1121" s="209"/>
      <c r="BD1121" s="182"/>
      <c r="BE1121" s="209"/>
      <c r="BF1121" s="182"/>
      <c r="BG1121" s="209"/>
      <c r="BH1121" s="182"/>
      <c r="BI1121" s="209"/>
      <c r="BJ1121" s="183"/>
      <c r="BK1121" s="209"/>
      <c r="BL1121" s="182"/>
      <c r="BM1121" s="210"/>
      <c r="BO1121" s="28" t="e">
        <f t="shared" si="141"/>
        <v>#DIV/0!</v>
      </c>
      <c r="BP1121" s="28">
        <f t="shared" si="142"/>
        <v>0</v>
      </c>
    </row>
    <row r="1122" spans="52:68" x14ac:dyDescent="0.25">
      <c r="AZ1122" s="471"/>
      <c r="BA1122" s="181"/>
      <c r="BB1122" s="182"/>
      <c r="BC1122" s="209"/>
      <c r="BD1122" s="182"/>
      <c r="BE1122" s="209"/>
      <c r="BF1122" s="182"/>
      <c r="BG1122" s="209"/>
      <c r="BH1122" s="182"/>
      <c r="BI1122" s="209"/>
      <c r="BJ1122" s="183"/>
      <c r="BK1122" s="209"/>
      <c r="BL1122" s="182"/>
      <c r="BM1122" s="210"/>
      <c r="BO1122" s="28" t="e">
        <f t="shared" si="141"/>
        <v>#DIV/0!</v>
      </c>
      <c r="BP1122" s="28">
        <f t="shared" si="142"/>
        <v>0</v>
      </c>
    </row>
    <row r="1123" spans="52:68" x14ac:dyDescent="0.25">
      <c r="AZ1123" s="471"/>
      <c r="BA1123" s="181"/>
      <c r="BB1123" s="182"/>
      <c r="BC1123" s="209"/>
      <c r="BD1123" s="182"/>
      <c r="BE1123" s="209"/>
      <c r="BF1123" s="182"/>
      <c r="BG1123" s="209"/>
      <c r="BH1123" s="182"/>
      <c r="BI1123" s="209"/>
      <c r="BJ1123" s="183"/>
      <c r="BK1123" s="209"/>
      <c r="BL1123" s="182"/>
      <c r="BM1123" s="210"/>
      <c r="BO1123" s="28" t="e">
        <f t="shared" si="141"/>
        <v>#DIV/0!</v>
      </c>
      <c r="BP1123" s="28">
        <f t="shared" si="142"/>
        <v>0</v>
      </c>
    </row>
    <row r="1124" spans="52:68" x14ac:dyDescent="0.25">
      <c r="AZ1124" s="471"/>
      <c r="BA1124" s="181"/>
      <c r="BB1124" s="182"/>
      <c r="BC1124" s="209"/>
      <c r="BD1124" s="182"/>
      <c r="BE1124" s="209"/>
      <c r="BF1124" s="182"/>
      <c r="BG1124" s="209"/>
      <c r="BH1124" s="182"/>
      <c r="BI1124" s="209"/>
      <c r="BJ1124" s="183"/>
      <c r="BK1124" s="209"/>
      <c r="BL1124" s="182"/>
      <c r="BM1124" s="210"/>
      <c r="BO1124" s="28" t="e">
        <f t="shared" si="141"/>
        <v>#DIV/0!</v>
      </c>
      <c r="BP1124" s="28">
        <f t="shared" si="142"/>
        <v>0</v>
      </c>
    </row>
    <row r="1125" spans="52:68" x14ac:dyDescent="0.25">
      <c r="AZ1125" s="471"/>
      <c r="BA1125" s="181"/>
      <c r="BB1125" s="182"/>
      <c r="BC1125" s="209"/>
      <c r="BD1125" s="182"/>
      <c r="BE1125" s="209"/>
      <c r="BF1125" s="182"/>
      <c r="BG1125" s="209"/>
      <c r="BH1125" s="182"/>
      <c r="BI1125" s="209"/>
      <c r="BJ1125" s="183"/>
      <c r="BK1125" s="209"/>
      <c r="BL1125" s="182"/>
      <c r="BM1125" s="210"/>
      <c r="BO1125" s="28" t="e">
        <f t="shared" si="141"/>
        <v>#DIV/0!</v>
      </c>
      <c r="BP1125" s="28">
        <f t="shared" si="142"/>
        <v>0</v>
      </c>
    </row>
    <row r="1126" spans="52:68" x14ac:dyDescent="0.25">
      <c r="AZ1126" s="471"/>
      <c r="BA1126" s="181"/>
      <c r="BB1126" s="182"/>
      <c r="BC1126" s="209"/>
      <c r="BD1126" s="182"/>
      <c r="BE1126" s="209"/>
      <c r="BF1126" s="182"/>
      <c r="BG1126" s="209"/>
      <c r="BH1126" s="182"/>
      <c r="BI1126" s="209"/>
      <c r="BJ1126" s="183"/>
      <c r="BK1126" s="209"/>
      <c r="BL1126" s="182"/>
      <c r="BM1126" s="210"/>
      <c r="BO1126" s="28" t="e">
        <f t="shared" si="141"/>
        <v>#DIV/0!</v>
      </c>
      <c r="BP1126" s="28">
        <f t="shared" si="142"/>
        <v>0</v>
      </c>
    </row>
    <row r="1127" spans="52:68" x14ac:dyDescent="0.25">
      <c r="AZ1127" s="471"/>
      <c r="BA1127" s="181"/>
      <c r="BB1127" s="182"/>
      <c r="BC1127" s="209"/>
      <c r="BD1127" s="182"/>
      <c r="BE1127" s="209"/>
      <c r="BF1127" s="182"/>
      <c r="BG1127" s="209"/>
      <c r="BH1127" s="182"/>
      <c r="BI1127" s="209"/>
      <c r="BJ1127" s="183"/>
      <c r="BK1127" s="209"/>
      <c r="BL1127" s="182"/>
      <c r="BM1127" s="210"/>
      <c r="BO1127" s="28" t="e">
        <f t="shared" si="141"/>
        <v>#DIV/0!</v>
      </c>
      <c r="BP1127" s="28">
        <f t="shared" si="142"/>
        <v>0</v>
      </c>
    </row>
    <row r="1128" spans="52:68" x14ac:dyDescent="0.25">
      <c r="AZ1128" s="471"/>
      <c r="BA1128" s="181"/>
      <c r="BB1128" s="182"/>
      <c r="BC1128" s="209"/>
      <c r="BD1128" s="182"/>
      <c r="BE1128" s="209"/>
      <c r="BF1128" s="182"/>
      <c r="BG1128" s="209"/>
      <c r="BH1128" s="182"/>
      <c r="BI1128" s="209"/>
      <c r="BJ1128" s="183"/>
      <c r="BK1128" s="209"/>
      <c r="BL1128" s="182"/>
      <c r="BM1128" s="210"/>
      <c r="BO1128" s="28" t="e">
        <f t="shared" si="141"/>
        <v>#DIV/0!</v>
      </c>
      <c r="BP1128" s="28">
        <f t="shared" si="142"/>
        <v>0</v>
      </c>
    </row>
    <row r="1129" spans="52:68" x14ac:dyDescent="0.25">
      <c r="AZ1129" s="471"/>
      <c r="BA1129" s="181"/>
      <c r="BB1129" s="182"/>
      <c r="BC1129" s="209"/>
      <c r="BD1129" s="182"/>
      <c r="BE1129" s="209"/>
      <c r="BF1129" s="182"/>
      <c r="BG1129" s="209"/>
      <c r="BH1129" s="182"/>
      <c r="BI1129" s="209"/>
      <c r="BJ1129" s="183"/>
      <c r="BK1129" s="209"/>
      <c r="BL1129" s="182"/>
      <c r="BM1129" s="210"/>
      <c r="BO1129" s="28" t="e">
        <f t="shared" si="141"/>
        <v>#DIV/0!</v>
      </c>
      <c r="BP1129" s="28">
        <f t="shared" si="142"/>
        <v>0</v>
      </c>
    </row>
    <row r="1130" spans="52:68" x14ac:dyDescent="0.25">
      <c r="AZ1130" s="471"/>
      <c r="BA1130" s="181"/>
      <c r="BB1130" s="182"/>
      <c r="BC1130" s="209"/>
      <c r="BD1130" s="182"/>
      <c r="BE1130" s="209"/>
      <c r="BF1130" s="182"/>
      <c r="BG1130" s="209"/>
      <c r="BH1130" s="182"/>
      <c r="BI1130" s="209"/>
      <c r="BJ1130" s="183"/>
      <c r="BK1130" s="209"/>
      <c r="BL1130" s="182"/>
      <c r="BM1130" s="210"/>
      <c r="BO1130" s="28" t="e">
        <f t="shared" si="141"/>
        <v>#DIV/0!</v>
      </c>
      <c r="BP1130" s="28">
        <f t="shared" si="142"/>
        <v>0</v>
      </c>
    </row>
    <row r="1131" spans="52:68" x14ac:dyDescent="0.25">
      <c r="AZ1131" s="471"/>
      <c r="BA1131" s="181"/>
      <c r="BB1131" s="182"/>
      <c r="BC1131" s="209"/>
      <c r="BD1131" s="182"/>
      <c r="BE1131" s="209"/>
      <c r="BF1131" s="182"/>
      <c r="BG1131" s="209"/>
      <c r="BH1131" s="182"/>
      <c r="BI1131" s="209"/>
      <c r="BJ1131" s="183"/>
      <c r="BK1131" s="209"/>
      <c r="BL1131" s="182"/>
      <c r="BM1131" s="210"/>
      <c r="BO1131" s="28" t="e">
        <f t="shared" si="141"/>
        <v>#DIV/0!</v>
      </c>
      <c r="BP1131" s="28">
        <f t="shared" si="142"/>
        <v>0</v>
      </c>
    </row>
    <row r="1132" spans="52:68" x14ac:dyDescent="0.25">
      <c r="AZ1132" s="471"/>
      <c r="BA1132" s="181"/>
      <c r="BB1132" s="182"/>
      <c r="BC1132" s="209"/>
      <c r="BD1132" s="182"/>
      <c r="BE1132" s="209"/>
      <c r="BF1132" s="182"/>
      <c r="BG1132" s="209"/>
      <c r="BH1132" s="182"/>
      <c r="BI1132" s="209"/>
      <c r="BJ1132" s="183"/>
      <c r="BK1132" s="209"/>
      <c r="BL1132" s="182"/>
      <c r="BM1132" s="210"/>
      <c r="BO1132" s="28" t="e">
        <f t="shared" si="141"/>
        <v>#DIV/0!</v>
      </c>
      <c r="BP1132" s="28">
        <f t="shared" si="142"/>
        <v>0</v>
      </c>
    </row>
    <row r="1133" spans="52:68" x14ac:dyDescent="0.25">
      <c r="AZ1133" s="471"/>
      <c r="BA1133" s="181"/>
      <c r="BB1133" s="182"/>
      <c r="BC1133" s="209"/>
      <c r="BD1133" s="182"/>
      <c r="BE1133" s="209"/>
      <c r="BF1133" s="182"/>
      <c r="BG1133" s="209"/>
      <c r="BH1133" s="182"/>
      <c r="BI1133" s="209"/>
      <c r="BJ1133" s="183"/>
      <c r="BK1133" s="209"/>
      <c r="BL1133" s="182"/>
      <c r="BM1133" s="210"/>
      <c r="BO1133" s="28" t="e">
        <f t="shared" si="141"/>
        <v>#DIV/0!</v>
      </c>
      <c r="BP1133" s="28">
        <f t="shared" si="142"/>
        <v>0</v>
      </c>
    </row>
    <row r="1134" spans="52:68" x14ac:dyDescent="0.25">
      <c r="AZ1134" s="471"/>
      <c r="BA1134" s="181"/>
      <c r="BB1134" s="182"/>
      <c r="BC1134" s="209"/>
      <c r="BD1134" s="182"/>
      <c r="BE1134" s="209"/>
      <c r="BF1134" s="182"/>
      <c r="BG1134" s="209"/>
      <c r="BH1134" s="182"/>
      <c r="BI1134" s="209"/>
      <c r="BJ1134" s="183"/>
      <c r="BK1134" s="209"/>
      <c r="BL1134" s="182"/>
      <c r="BM1134" s="210"/>
      <c r="BO1134" s="28" t="e">
        <f t="shared" si="141"/>
        <v>#DIV/0!</v>
      </c>
      <c r="BP1134" s="28">
        <f t="shared" si="142"/>
        <v>0</v>
      </c>
    </row>
    <row r="1135" spans="52:68" x14ac:dyDescent="0.25">
      <c r="AZ1135" s="471"/>
      <c r="BA1135" s="181"/>
      <c r="BB1135" s="182"/>
      <c r="BC1135" s="209"/>
      <c r="BD1135" s="182"/>
      <c r="BE1135" s="209"/>
      <c r="BF1135" s="182"/>
      <c r="BG1135" s="209"/>
      <c r="BH1135" s="182"/>
      <c r="BI1135" s="209"/>
      <c r="BJ1135" s="183"/>
      <c r="BK1135" s="209"/>
      <c r="BL1135" s="182"/>
      <c r="BM1135" s="210"/>
      <c r="BO1135" s="28" t="e">
        <f t="shared" si="141"/>
        <v>#DIV/0!</v>
      </c>
      <c r="BP1135" s="28">
        <f t="shared" si="142"/>
        <v>0</v>
      </c>
    </row>
    <row r="1136" spans="52:68" x14ac:dyDescent="0.25">
      <c r="AZ1136" s="471"/>
      <c r="BA1136" s="181"/>
      <c r="BB1136" s="182"/>
      <c r="BC1136" s="209"/>
      <c r="BD1136" s="182"/>
      <c r="BE1136" s="209"/>
      <c r="BF1136" s="182"/>
      <c r="BG1136" s="209"/>
      <c r="BH1136" s="182"/>
      <c r="BI1136" s="209"/>
      <c r="BJ1136" s="183"/>
      <c r="BK1136" s="209"/>
      <c r="BL1136" s="182"/>
      <c r="BM1136" s="210"/>
      <c r="BO1136" s="28" t="e">
        <f t="shared" si="141"/>
        <v>#DIV/0!</v>
      </c>
      <c r="BP1136" s="28">
        <f t="shared" si="142"/>
        <v>0</v>
      </c>
    </row>
    <row r="1137" spans="52:68" x14ac:dyDescent="0.25">
      <c r="AZ1137" s="471"/>
      <c r="BA1137" s="181"/>
      <c r="BB1137" s="182"/>
      <c r="BC1137" s="209"/>
      <c r="BD1137" s="182"/>
      <c r="BE1137" s="209"/>
      <c r="BF1137" s="182"/>
      <c r="BG1137" s="209"/>
      <c r="BH1137" s="182"/>
      <c r="BI1137" s="209"/>
      <c r="BJ1137" s="183"/>
      <c r="BK1137" s="209"/>
      <c r="BL1137" s="182"/>
      <c r="BM1137" s="210"/>
      <c r="BO1137" s="28" t="e">
        <f t="shared" si="141"/>
        <v>#DIV/0!</v>
      </c>
      <c r="BP1137" s="28">
        <f t="shared" si="142"/>
        <v>0</v>
      </c>
    </row>
    <row r="1138" spans="52:68" x14ac:dyDescent="0.25">
      <c r="AZ1138" s="471"/>
      <c r="BA1138" s="181"/>
      <c r="BB1138" s="184"/>
      <c r="BC1138" s="209"/>
      <c r="BD1138" s="184"/>
      <c r="BE1138" s="209"/>
      <c r="BF1138" s="182"/>
      <c r="BG1138" s="209"/>
      <c r="BH1138" s="182"/>
      <c r="BI1138" s="209"/>
      <c r="BJ1138" s="183"/>
      <c r="BK1138" s="209"/>
      <c r="BL1138" s="182"/>
      <c r="BM1138" s="210"/>
      <c r="BO1138" s="28" t="e">
        <f t="shared" si="141"/>
        <v>#DIV/0!</v>
      </c>
      <c r="BP1138" s="28">
        <f t="shared" si="142"/>
        <v>0</v>
      </c>
    </row>
    <row r="1139" spans="52:68" x14ac:dyDescent="0.25">
      <c r="AZ1139" s="471"/>
      <c r="BA1139" s="181"/>
      <c r="BB1139" s="182"/>
      <c r="BC1139" s="209"/>
      <c r="BD1139" s="182"/>
      <c r="BE1139" s="209"/>
      <c r="BF1139" s="182"/>
      <c r="BG1139" s="209"/>
      <c r="BH1139" s="182"/>
      <c r="BI1139" s="209"/>
      <c r="BJ1139" s="183"/>
      <c r="BK1139" s="209"/>
      <c r="BL1139" s="182"/>
      <c r="BM1139" s="210"/>
      <c r="BO1139" s="28" t="e">
        <f t="shared" si="141"/>
        <v>#DIV/0!</v>
      </c>
      <c r="BP1139" s="28">
        <f t="shared" si="142"/>
        <v>0</v>
      </c>
    </row>
    <row r="1140" spans="52:68" x14ac:dyDescent="0.25">
      <c r="AZ1140" s="471"/>
      <c r="BA1140" s="181"/>
      <c r="BB1140" s="182"/>
      <c r="BC1140" s="209"/>
      <c r="BD1140" s="182"/>
      <c r="BE1140" s="209"/>
      <c r="BF1140" s="182"/>
      <c r="BG1140" s="209"/>
      <c r="BH1140" s="182"/>
      <c r="BI1140" s="209"/>
      <c r="BJ1140" s="183"/>
      <c r="BK1140" s="209"/>
      <c r="BL1140" s="182"/>
      <c r="BM1140" s="210"/>
      <c r="BO1140" s="28" t="e">
        <f t="shared" si="141"/>
        <v>#DIV/0!</v>
      </c>
      <c r="BP1140" s="28">
        <f t="shared" si="142"/>
        <v>0</v>
      </c>
    </row>
    <row r="1141" spans="52:68" x14ac:dyDescent="0.25">
      <c r="AZ1141" s="471"/>
      <c r="BA1141" s="181"/>
      <c r="BB1141" s="182"/>
      <c r="BC1141" s="209"/>
      <c r="BD1141" s="182"/>
      <c r="BE1141" s="209"/>
      <c r="BF1141" s="182"/>
      <c r="BG1141" s="209"/>
      <c r="BH1141" s="182"/>
      <c r="BI1141" s="209"/>
      <c r="BJ1141" s="183"/>
      <c r="BK1141" s="209"/>
      <c r="BL1141" s="182"/>
      <c r="BM1141" s="210"/>
      <c r="BO1141" s="28" t="e">
        <f t="shared" si="141"/>
        <v>#DIV/0!</v>
      </c>
      <c r="BP1141" s="28">
        <f t="shared" si="142"/>
        <v>0</v>
      </c>
    </row>
    <row r="1142" spans="52:68" x14ac:dyDescent="0.25">
      <c r="AZ1142" s="471"/>
      <c r="BA1142" s="181"/>
      <c r="BB1142" s="182"/>
      <c r="BC1142" s="209"/>
      <c r="BD1142" s="182"/>
      <c r="BE1142" s="209"/>
      <c r="BF1142" s="182"/>
      <c r="BG1142" s="209"/>
      <c r="BH1142" s="182"/>
      <c r="BI1142" s="209"/>
      <c r="BJ1142" s="183"/>
      <c r="BK1142" s="209"/>
      <c r="BL1142" s="182"/>
      <c r="BM1142" s="210"/>
      <c r="BO1142" s="28" t="e">
        <f t="shared" si="141"/>
        <v>#DIV/0!</v>
      </c>
      <c r="BP1142" s="28">
        <f t="shared" si="142"/>
        <v>0</v>
      </c>
    </row>
    <row r="1143" spans="52:68" x14ac:dyDescent="0.25">
      <c r="AZ1143" s="471"/>
      <c r="BA1143" s="181"/>
      <c r="BB1143" s="182"/>
      <c r="BC1143" s="209"/>
      <c r="BD1143" s="182"/>
      <c r="BE1143" s="209"/>
      <c r="BF1143" s="182"/>
      <c r="BG1143" s="209"/>
      <c r="BH1143" s="182"/>
      <c r="BI1143" s="209"/>
      <c r="BJ1143" s="183"/>
      <c r="BK1143" s="209"/>
      <c r="BL1143" s="182"/>
      <c r="BM1143" s="210"/>
      <c r="BO1143" s="28" t="e">
        <f t="shared" si="141"/>
        <v>#DIV/0!</v>
      </c>
      <c r="BP1143" s="28">
        <f t="shared" si="142"/>
        <v>0</v>
      </c>
    </row>
    <row r="1144" spans="52:68" x14ac:dyDescent="0.25">
      <c r="AZ1144" s="471"/>
      <c r="BA1144" s="181"/>
      <c r="BB1144" s="182"/>
      <c r="BC1144" s="209"/>
      <c r="BD1144" s="182"/>
      <c r="BE1144" s="209"/>
      <c r="BF1144" s="182"/>
      <c r="BG1144" s="209"/>
      <c r="BH1144" s="182"/>
      <c r="BI1144" s="209"/>
      <c r="BJ1144" s="183"/>
      <c r="BK1144" s="209"/>
      <c r="BL1144" s="182"/>
      <c r="BM1144" s="210"/>
      <c r="BO1144" s="28" t="e">
        <f t="shared" si="141"/>
        <v>#DIV/0!</v>
      </c>
      <c r="BP1144" s="28">
        <f t="shared" si="142"/>
        <v>0</v>
      </c>
    </row>
    <row r="1145" spans="52:68" x14ac:dyDescent="0.25">
      <c r="AZ1145" s="471"/>
      <c r="BA1145" s="181"/>
      <c r="BB1145" s="182"/>
      <c r="BC1145" s="209"/>
      <c r="BD1145" s="182"/>
      <c r="BE1145" s="209"/>
      <c r="BF1145" s="182"/>
      <c r="BG1145" s="209"/>
      <c r="BH1145" s="182"/>
      <c r="BI1145" s="209"/>
      <c r="BJ1145" s="183"/>
      <c r="BK1145" s="209"/>
      <c r="BL1145" s="182"/>
      <c r="BM1145" s="210"/>
      <c r="BO1145" s="28" t="e">
        <f t="shared" si="141"/>
        <v>#DIV/0!</v>
      </c>
      <c r="BP1145" s="28">
        <f t="shared" si="142"/>
        <v>0</v>
      </c>
    </row>
    <row r="1146" spans="52:68" x14ac:dyDescent="0.25">
      <c r="AZ1146" s="471"/>
      <c r="BA1146" s="181"/>
      <c r="BB1146" s="182"/>
      <c r="BC1146" s="209"/>
      <c r="BD1146" s="182"/>
      <c r="BE1146" s="209"/>
      <c r="BF1146" s="182"/>
      <c r="BG1146" s="209"/>
      <c r="BH1146" s="182"/>
      <c r="BI1146" s="209"/>
      <c r="BJ1146" s="183"/>
      <c r="BK1146" s="209"/>
      <c r="BL1146" s="182"/>
      <c r="BM1146" s="210"/>
      <c r="BO1146" s="28" t="e">
        <f t="shared" si="141"/>
        <v>#DIV/0!</v>
      </c>
      <c r="BP1146" s="28">
        <f t="shared" si="142"/>
        <v>0</v>
      </c>
    </row>
    <row r="1147" spans="52:68" x14ac:dyDescent="0.25">
      <c r="AZ1147" s="471"/>
      <c r="BA1147" s="181"/>
      <c r="BB1147" s="182"/>
      <c r="BC1147" s="209"/>
      <c r="BD1147" s="182"/>
      <c r="BE1147" s="209"/>
      <c r="BF1147" s="182"/>
      <c r="BG1147" s="209"/>
      <c r="BH1147" s="182"/>
      <c r="BI1147" s="209"/>
      <c r="BJ1147" s="183"/>
      <c r="BK1147" s="209"/>
      <c r="BL1147" s="182"/>
      <c r="BM1147" s="210"/>
      <c r="BO1147" s="28" t="e">
        <f t="shared" si="141"/>
        <v>#DIV/0!</v>
      </c>
      <c r="BP1147" s="28">
        <f t="shared" si="142"/>
        <v>0</v>
      </c>
    </row>
    <row r="1148" spans="52:68" x14ac:dyDescent="0.25">
      <c r="AZ1148" s="471"/>
      <c r="BA1148" s="181"/>
      <c r="BB1148" s="182"/>
      <c r="BC1148" s="209"/>
      <c r="BD1148" s="182"/>
      <c r="BE1148" s="209"/>
      <c r="BF1148" s="182"/>
      <c r="BG1148" s="209"/>
      <c r="BH1148" s="182"/>
      <c r="BI1148" s="209"/>
      <c r="BJ1148" s="183"/>
      <c r="BK1148" s="209"/>
      <c r="BL1148" s="182"/>
      <c r="BM1148" s="210"/>
      <c r="BO1148" s="28" t="e">
        <f t="shared" si="141"/>
        <v>#DIV/0!</v>
      </c>
      <c r="BP1148" s="28">
        <f t="shared" si="142"/>
        <v>0</v>
      </c>
    </row>
    <row r="1149" spans="52:68" x14ac:dyDescent="0.25">
      <c r="AZ1149" s="471"/>
      <c r="BA1149" s="181"/>
      <c r="BB1149" s="182"/>
      <c r="BC1149" s="209"/>
      <c r="BD1149" s="182"/>
      <c r="BE1149" s="209"/>
      <c r="BF1149" s="182"/>
      <c r="BG1149" s="209"/>
      <c r="BH1149" s="182"/>
      <c r="BI1149" s="209"/>
      <c r="BJ1149" s="183"/>
      <c r="BK1149" s="209"/>
      <c r="BL1149" s="182"/>
      <c r="BM1149" s="210"/>
      <c r="BO1149" s="28" t="e">
        <f t="shared" si="141"/>
        <v>#DIV/0!</v>
      </c>
      <c r="BP1149" s="28">
        <f t="shared" si="142"/>
        <v>0</v>
      </c>
    </row>
    <row r="1150" spans="52:68" x14ac:dyDescent="0.25">
      <c r="AZ1150" s="471"/>
      <c r="BA1150" s="181"/>
      <c r="BB1150" s="182"/>
      <c r="BC1150" s="209"/>
      <c r="BD1150" s="182"/>
      <c r="BE1150" s="209"/>
      <c r="BF1150" s="182"/>
      <c r="BG1150" s="209"/>
      <c r="BH1150" s="182"/>
      <c r="BI1150" s="209"/>
      <c r="BJ1150" s="183"/>
      <c r="BK1150" s="209"/>
      <c r="BL1150" s="182"/>
      <c r="BM1150" s="210"/>
      <c r="BO1150" s="28" t="e">
        <f t="shared" si="141"/>
        <v>#DIV/0!</v>
      </c>
      <c r="BP1150" s="28">
        <f t="shared" si="142"/>
        <v>0</v>
      </c>
    </row>
    <row r="1151" spans="52:68" x14ac:dyDescent="0.25">
      <c r="AZ1151" s="471"/>
      <c r="BA1151" s="181"/>
      <c r="BB1151" s="182"/>
      <c r="BC1151" s="209"/>
      <c r="BD1151" s="182"/>
      <c r="BE1151" s="209"/>
      <c r="BF1151" s="182"/>
      <c r="BG1151" s="209"/>
      <c r="BH1151" s="182"/>
      <c r="BI1151" s="209"/>
      <c r="BJ1151" s="183"/>
      <c r="BK1151" s="209"/>
      <c r="BL1151" s="182"/>
      <c r="BM1151" s="210"/>
      <c r="BO1151" s="28" t="e">
        <f t="shared" si="141"/>
        <v>#DIV/0!</v>
      </c>
      <c r="BP1151" s="28">
        <f t="shared" si="142"/>
        <v>0</v>
      </c>
    </row>
    <row r="1152" spans="52:68" x14ac:dyDescent="0.25">
      <c r="AZ1152" s="471"/>
      <c r="BA1152" s="181"/>
      <c r="BB1152" s="182"/>
      <c r="BC1152" s="209"/>
      <c r="BD1152" s="182"/>
      <c r="BE1152" s="209"/>
      <c r="BF1152" s="182"/>
      <c r="BG1152" s="209"/>
      <c r="BH1152" s="182"/>
      <c r="BI1152" s="209"/>
      <c r="BJ1152" s="183"/>
      <c r="BK1152" s="209"/>
      <c r="BL1152" s="182"/>
      <c r="BM1152" s="210"/>
      <c r="BO1152" s="28" t="e">
        <f t="shared" si="141"/>
        <v>#DIV/0!</v>
      </c>
      <c r="BP1152" s="28">
        <f t="shared" si="142"/>
        <v>0</v>
      </c>
    </row>
    <row r="1153" spans="52:68" x14ac:dyDescent="0.25">
      <c r="AZ1153" s="471"/>
      <c r="BA1153" s="181"/>
      <c r="BB1153" s="182"/>
      <c r="BC1153" s="209"/>
      <c r="BD1153" s="182"/>
      <c r="BE1153" s="209"/>
      <c r="BF1153" s="182"/>
      <c r="BG1153" s="209"/>
      <c r="BH1153" s="182"/>
      <c r="BI1153" s="209"/>
      <c r="BJ1153" s="183"/>
      <c r="BK1153" s="209"/>
      <c r="BL1153" s="182"/>
      <c r="BM1153" s="210"/>
      <c r="BO1153" s="28" t="e">
        <f t="shared" si="141"/>
        <v>#DIV/0!</v>
      </c>
      <c r="BP1153" s="28">
        <f t="shared" si="142"/>
        <v>0</v>
      </c>
    </row>
    <row r="1154" spans="52:68" x14ac:dyDescent="0.25">
      <c r="AZ1154" s="471"/>
      <c r="BA1154" s="181"/>
      <c r="BB1154" s="182"/>
      <c r="BC1154" s="209"/>
      <c r="BD1154" s="182"/>
      <c r="BE1154" s="209"/>
      <c r="BF1154" s="182"/>
      <c r="BG1154" s="209"/>
      <c r="BH1154" s="182"/>
      <c r="BI1154" s="209"/>
      <c r="BJ1154" s="183"/>
      <c r="BK1154" s="209"/>
      <c r="BL1154" s="182"/>
      <c r="BM1154" s="210"/>
      <c r="BO1154" s="28" t="e">
        <f t="shared" si="141"/>
        <v>#DIV/0!</v>
      </c>
      <c r="BP1154" s="28">
        <f t="shared" si="142"/>
        <v>0</v>
      </c>
    </row>
    <row r="1155" spans="52:68" x14ac:dyDescent="0.25">
      <c r="AZ1155" s="471"/>
      <c r="BA1155" s="181"/>
      <c r="BB1155" s="182"/>
      <c r="BC1155" s="209"/>
      <c r="BD1155" s="182"/>
      <c r="BE1155" s="209"/>
      <c r="BF1155" s="182"/>
      <c r="BG1155" s="209"/>
      <c r="BH1155" s="182"/>
      <c r="BI1155" s="209"/>
      <c r="BJ1155" s="183"/>
      <c r="BK1155" s="209"/>
      <c r="BL1155" s="182"/>
      <c r="BM1155" s="210"/>
      <c r="BO1155" s="28" t="e">
        <f t="shared" si="141"/>
        <v>#DIV/0!</v>
      </c>
      <c r="BP1155" s="28">
        <f t="shared" si="142"/>
        <v>0</v>
      </c>
    </row>
    <row r="1156" spans="52:68" x14ac:dyDescent="0.25">
      <c r="AZ1156" s="471"/>
      <c r="BA1156" s="181"/>
      <c r="BB1156" s="182"/>
      <c r="BC1156" s="209"/>
      <c r="BD1156" s="182"/>
      <c r="BE1156" s="209"/>
      <c r="BF1156" s="182"/>
      <c r="BG1156" s="209"/>
      <c r="BH1156" s="182"/>
      <c r="BI1156" s="209"/>
      <c r="BJ1156" s="183"/>
      <c r="BK1156" s="209"/>
      <c r="BL1156" s="182"/>
      <c r="BM1156" s="210"/>
      <c r="BO1156" s="28" t="e">
        <f t="shared" si="141"/>
        <v>#DIV/0!</v>
      </c>
      <c r="BP1156" s="28">
        <f t="shared" si="142"/>
        <v>0</v>
      </c>
    </row>
    <row r="1157" spans="52:68" x14ac:dyDescent="0.25">
      <c r="AZ1157" s="471"/>
      <c r="BA1157" s="181"/>
      <c r="BB1157" s="182"/>
      <c r="BC1157" s="209"/>
      <c r="BD1157" s="182"/>
      <c r="BE1157" s="209"/>
      <c r="BF1157" s="182"/>
      <c r="BG1157" s="209"/>
      <c r="BH1157" s="182"/>
      <c r="BI1157" s="209"/>
      <c r="BJ1157" s="183"/>
      <c r="BK1157" s="209"/>
      <c r="BL1157" s="182"/>
      <c r="BM1157" s="210"/>
      <c r="BO1157" s="28" t="e">
        <f t="shared" si="141"/>
        <v>#DIV/0!</v>
      </c>
      <c r="BP1157" s="28">
        <f t="shared" si="142"/>
        <v>0</v>
      </c>
    </row>
    <row r="1158" spans="52:68" x14ac:dyDescent="0.25">
      <c r="AZ1158" s="471"/>
      <c r="BA1158" s="181"/>
      <c r="BB1158" s="182"/>
      <c r="BC1158" s="209"/>
      <c r="BD1158" s="182"/>
      <c r="BE1158" s="209"/>
      <c r="BF1158" s="182"/>
      <c r="BG1158" s="209"/>
      <c r="BH1158" s="182"/>
      <c r="BI1158" s="209"/>
      <c r="BJ1158" s="183"/>
      <c r="BK1158" s="209"/>
      <c r="BL1158" s="182"/>
      <c r="BM1158" s="210"/>
      <c r="BO1158" s="28" t="e">
        <f t="shared" si="141"/>
        <v>#DIV/0!</v>
      </c>
      <c r="BP1158" s="28">
        <f t="shared" si="142"/>
        <v>0</v>
      </c>
    </row>
    <row r="1159" spans="52:68" x14ac:dyDescent="0.25">
      <c r="AZ1159" s="471"/>
      <c r="BA1159" s="181"/>
      <c r="BB1159" s="182"/>
      <c r="BC1159" s="209"/>
      <c r="BD1159" s="182"/>
      <c r="BE1159" s="209"/>
      <c r="BF1159" s="182"/>
      <c r="BG1159" s="209"/>
      <c r="BH1159" s="182"/>
      <c r="BI1159" s="209"/>
      <c r="BJ1159" s="183"/>
      <c r="BK1159" s="209"/>
      <c r="BL1159" s="182"/>
      <c r="BM1159" s="210"/>
      <c r="BO1159" s="28" t="e">
        <f t="shared" si="141"/>
        <v>#DIV/0!</v>
      </c>
      <c r="BP1159" s="28">
        <f t="shared" si="142"/>
        <v>0</v>
      </c>
    </row>
    <row r="1160" spans="52:68" x14ac:dyDescent="0.25">
      <c r="AZ1160" s="471"/>
      <c r="BA1160" s="181"/>
      <c r="BB1160" s="184"/>
      <c r="BC1160" s="209"/>
      <c r="BD1160" s="184"/>
      <c r="BE1160" s="209"/>
      <c r="BF1160" s="182"/>
      <c r="BG1160" s="209"/>
      <c r="BH1160" s="182"/>
      <c r="BI1160" s="209"/>
      <c r="BJ1160" s="183"/>
      <c r="BK1160" s="209"/>
      <c r="BL1160" s="182"/>
      <c r="BM1160" s="210"/>
      <c r="BO1160" s="28" t="e">
        <f t="shared" si="141"/>
        <v>#DIV/0!</v>
      </c>
      <c r="BP1160" s="28">
        <f t="shared" si="142"/>
        <v>0</v>
      </c>
    </row>
    <row r="1161" spans="52:68" x14ac:dyDescent="0.25">
      <c r="AZ1161" s="471"/>
      <c r="BA1161" s="181"/>
      <c r="BB1161" s="182"/>
      <c r="BC1161" s="209"/>
      <c r="BD1161" s="182"/>
      <c r="BE1161" s="209"/>
      <c r="BF1161" s="182"/>
      <c r="BG1161" s="209"/>
      <c r="BH1161" s="182"/>
      <c r="BI1161" s="209"/>
      <c r="BJ1161" s="183"/>
      <c r="BK1161" s="209"/>
      <c r="BL1161" s="182"/>
      <c r="BM1161" s="210"/>
      <c r="BO1161" s="28" t="e">
        <f t="shared" ref="BO1161:BO1224" si="143">AVERAGE(BB1161:BM1161)</f>
        <v>#DIV/0!</v>
      </c>
      <c r="BP1161" s="28">
        <f t="shared" ref="BP1161:BP1224" si="144">SUM(BB1161:BM1161)</f>
        <v>0</v>
      </c>
    </row>
    <row r="1162" spans="52:68" x14ac:dyDescent="0.25">
      <c r="AZ1162" s="471"/>
      <c r="BA1162" s="181"/>
      <c r="BB1162" s="182"/>
      <c r="BC1162" s="209"/>
      <c r="BD1162" s="182"/>
      <c r="BE1162" s="209"/>
      <c r="BF1162" s="182"/>
      <c r="BG1162" s="209"/>
      <c r="BH1162" s="182"/>
      <c r="BI1162" s="209"/>
      <c r="BJ1162" s="183"/>
      <c r="BK1162" s="209"/>
      <c r="BL1162" s="182"/>
      <c r="BM1162" s="210"/>
      <c r="BO1162" s="28" t="e">
        <f t="shared" si="143"/>
        <v>#DIV/0!</v>
      </c>
      <c r="BP1162" s="28">
        <f t="shared" si="144"/>
        <v>0</v>
      </c>
    </row>
    <row r="1163" spans="52:68" x14ac:dyDescent="0.25">
      <c r="AZ1163" s="471"/>
      <c r="BA1163" s="181"/>
      <c r="BB1163" s="182"/>
      <c r="BC1163" s="209"/>
      <c r="BD1163" s="182"/>
      <c r="BE1163" s="209"/>
      <c r="BF1163" s="182"/>
      <c r="BG1163" s="209"/>
      <c r="BH1163" s="182"/>
      <c r="BI1163" s="209"/>
      <c r="BJ1163" s="183"/>
      <c r="BK1163" s="209"/>
      <c r="BL1163" s="182"/>
      <c r="BM1163" s="210"/>
      <c r="BO1163" s="28" t="e">
        <f t="shared" si="143"/>
        <v>#DIV/0!</v>
      </c>
      <c r="BP1163" s="28">
        <f t="shared" si="144"/>
        <v>0</v>
      </c>
    </row>
    <row r="1164" spans="52:68" x14ac:dyDescent="0.25">
      <c r="AZ1164" s="471"/>
      <c r="BA1164" s="181"/>
      <c r="BB1164" s="182"/>
      <c r="BC1164" s="209"/>
      <c r="BD1164" s="182"/>
      <c r="BE1164" s="209"/>
      <c r="BF1164" s="182"/>
      <c r="BG1164" s="209"/>
      <c r="BH1164" s="182"/>
      <c r="BI1164" s="209"/>
      <c r="BJ1164" s="183"/>
      <c r="BK1164" s="209"/>
      <c r="BL1164" s="182"/>
      <c r="BM1164" s="210"/>
      <c r="BO1164" s="28" t="e">
        <f t="shared" si="143"/>
        <v>#DIV/0!</v>
      </c>
      <c r="BP1164" s="28">
        <f t="shared" si="144"/>
        <v>0</v>
      </c>
    </row>
    <row r="1165" spans="52:68" x14ac:dyDescent="0.25">
      <c r="AZ1165" s="471"/>
      <c r="BA1165" s="181"/>
      <c r="BB1165" s="182"/>
      <c r="BC1165" s="209"/>
      <c r="BD1165" s="182"/>
      <c r="BE1165" s="209"/>
      <c r="BF1165" s="182"/>
      <c r="BG1165" s="209"/>
      <c r="BH1165" s="182"/>
      <c r="BI1165" s="209"/>
      <c r="BJ1165" s="183"/>
      <c r="BK1165" s="209"/>
      <c r="BL1165" s="182"/>
      <c r="BM1165" s="210"/>
      <c r="BO1165" s="28" t="e">
        <f t="shared" si="143"/>
        <v>#DIV/0!</v>
      </c>
      <c r="BP1165" s="28">
        <f t="shared" si="144"/>
        <v>0</v>
      </c>
    </row>
    <row r="1166" spans="52:68" x14ac:dyDescent="0.25">
      <c r="AZ1166" s="471"/>
      <c r="BA1166" s="181"/>
      <c r="BB1166" s="182"/>
      <c r="BC1166" s="209"/>
      <c r="BD1166" s="182"/>
      <c r="BE1166" s="209"/>
      <c r="BF1166" s="182"/>
      <c r="BG1166" s="209"/>
      <c r="BH1166" s="182"/>
      <c r="BI1166" s="209"/>
      <c r="BJ1166" s="183"/>
      <c r="BK1166" s="209"/>
      <c r="BL1166" s="182"/>
      <c r="BM1166" s="210"/>
      <c r="BO1166" s="28" t="e">
        <f t="shared" si="143"/>
        <v>#DIV/0!</v>
      </c>
      <c r="BP1166" s="28">
        <f t="shared" si="144"/>
        <v>0</v>
      </c>
    </row>
    <row r="1167" spans="52:68" x14ac:dyDescent="0.25">
      <c r="AZ1167" s="471"/>
      <c r="BA1167" s="181"/>
      <c r="BB1167" s="182"/>
      <c r="BC1167" s="209"/>
      <c r="BD1167" s="182"/>
      <c r="BE1167" s="209"/>
      <c r="BF1167" s="182"/>
      <c r="BG1167" s="209"/>
      <c r="BH1167" s="182"/>
      <c r="BI1167" s="209"/>
      <c r="BJ1167" s="183"/>
      <c r="BK1167" s="209"/>
      <c r="BL1167" s="182"/>
      <c r="BM1167" s="210"/>
      <c r="BO1167" s="28" t="e">
        <f t="shared" si="143"/>
        <v>#DIV/0!</v>
      </c>
      <c r="BP1167" s="28">
        <f t="shared" si="144"/>
        <v>0</v>
      </c>
    </row>
    <row r="1168" spans="52:68" x14ac:dyDescent="0.25">
      <c r="AZ1168" s="471"/>
      <c r="BA1168" s="181"/>
      <c r="BB1168" s="182"/>
      <c r="BC1168" s="209"/>
      <c r="BD1168" s="182"/>
      <c r="BE1168" s="209"/>
      <c r="BF1168" s="182"/>
      <c r="BG1168" s="209"/>
      <c r="BH1168" s="182"/>
      <c r="BI1168" s="209"/>
      <c r="BJ1168" s="183"/>
      <c r="BK1168" s="209"/>
      <c r="BL1168" s="182"/>
      <c r="BM1168" s="210"/>
      <c r="BO1168" s="28" t="e">
        <f t="shared" si="143"/>
        <v>#DIV/0!</v>
      </c>
      <c r="BP1168" s="28">
        <f t="shared" si="144"/>
        <v>0</v>
      </c>
    </row>
    <row r="1169" spans="52:68" x14ac:dyDescent="0.25">
      <c r="AZ1169" s="471"/>
      <c r="BA1169" s="181"/>
      <c r="BB1169" s="182"/>
      <c r="BC1169" s="209"/>
      <c r="BD1169" s="182"/>
      <c r="BE1169" s="209"/>
      <c r="BF1169" s="182"/>
      <c r="BG1169" s="209"/>
      <c r="BH1169" s="182"/>
      <c r="BI1169" s="209"/>
      <c r="BJ1169" s="183"/>
      <c r="BK1169" s="209"/>
      <c r="BL1169" s="182"/>
      <c r="BM1169" s="210"/>
      <c r="BO1169" s="28" t="e">
        <f t="shared" si="143"/>
        <v>#DIV/0!</v>
      </c>
      <c r="BP1169" s="28">
        <f t="shared" si="144"/>
        <v>0</v>
      </c>
    </row>
    <row r="1170" spans="52:68" x14ac:dyDescent="0.25">
      <c r="AZ1170" s="471"/>
      <c r="BA1170" s="181"/>
      <c r="BB1170" s="182"/>
      <c r="BC1170" s="209"/>
      <c r="BD1170" s="182"/>
      <c r="BE1170" s="209"/>
      <c r="BF1170" s="182"/>
      <c r="BG1170" s="209"/>
      <c r="BH1170" s="182"/>
      <c r="BI1170" s="209"/>
      <c r="BJ1170" s="183"/>
      <c r="BK1170" s="209"/>
      <c r="BL1170" s="182"/>
      <c r="BM1170" s="210"/>
      <c r="BO1170" s="28" t="e">
        <f t="shared" si="143"/>
        <v>#DIV/0!</v>
      </c>
      <c r="BP1170" s="28">
        <f t="shared" si="144"/>
        <v>0</v>
      </c>
    </row>
    <row r="1171" spans="52:68" x14ac:dyDescent="0.25">
      <c r="AZ1171" s="471"/>
      <c r="BA1171" s="181"/>
      <c r="BB1171" s="182"/>
      <c r="BC1171" s="209"/>
      <c r="BD1171" s="182"/>
      <c r="BE1171" s="209"/>
      <c r="BF1171" s="182"/>
      <c r="BG1171" s="209"/>
      <c r="BH1171" s="182"/>
      <c r="BI1171" s="209"/>
      <c r="BJ1171" s="183"/>
      <c r="BK1171" s="209"/>
      <c r="BL1171" s="182"/>
      <c r="BM1171" s="210"/>
      <c r="BO1171" s="28" t="e">
        <f t="shared" si="143"/>
        <v>#DIV/0!</v>
      </c>
      <c r="BP1171" s="28">
        <f t="shared" si="144"/>
        <v>0</v>
      </c>
    </row>
    <row r="1172" spans="52:68" x14ac:dyDescent="0.25">
      <c r="AZ1172" s="471"/>
      <c r="BA1172" s="181"/>
      <c r="BB1172" s="182"/>
      <c r="BC1172" s="209"/>
      <c r="BD1172" s="182"/>
      <c r="BE1172" s="209"/>
      <c r="BF1172" s="182"/>
      <c r="BG1172" s="209"/>
      <c r="BH1172" s="182"/>
      <c r="BI1172" s="209"/>
      <c r="BJ1172" s="183"/>
      <c r="BK1172" s="209"/>
      <c r="BL1172" s="182"/>
      <c r="BM1172" s="210"/>
      <c r="BO1172" s="28" t="e">
        <f t="shared" si="143"/>
        <v>#DIV/0!</v>
      </c>
      <c r="BP1172" s="28">
        <f t="shared" si="144"/>
        <v>0</v>
      </c>
    </row>
    <row r="1173" spans="52:68" x14ac:dyDescent="0.25">
      <c r="AZ1173" s="471"/>
      <c r="BA1173" s="181"/>
      <c r="BB1173" s="182"/>
      <c r="BC1173" s="209"/>
      <c r="BD1173" s="182"/>
      <c r="BE1173" s="209"/>
      <c r="BF1173" s="182"/>
      <c r="BG1173" s="209"/>
      <c r="BH1173" s="182"/>
      <c r="BI1173" s="209"/>
      <c r="BJ1173" s="183"/>
      <c r="BK1173" s="209"/>
      <c r="BL1173" s="182"/>
      <c r="BM1173" s="210"/>
      <c r="BO1173" s="28" t="e">
        <f t="shared" si="143"/>
        <v>#DIV/0!</v>
      </c>
      <c r="BP1173" s="28">
        <f t="shared" si="144"/>
        <v>0</v>
      </c>
    </row>
    <row r="1174" spans="52:68" x14ac:dyDescent="0.25">
      <c r="AZ1174" s="471"/>
      <c r="BA1174" s="181"/>
      <c r="BB1174" s="182"/>
      <c r="BC1174" s="209"/>
      <c r="BD1174" s="182"/>
      <c r="BE1174" s="209"/>
      <c r="BF1174" s="182"/>
      <c r="BG1174" s="209"/>
      <c r="BH1174" s="182"/>
      <c r="BI1174" s="209"/>
      <c r="BJ1174" s="183"/>
      <c r="BK1174" s="209"/>
      <c r="BL1174" s="182"/>
      <c r="BM1174" s="210"/>
      <c r="BO1174" s="28" t="e">
        <f t="shared" si="143"/>
        <v>#DIV/0!</v>
      </c>
      <c r="BP1174" s="28">
        <f t="shared" si="144"/>
        <v>0</v>
      </c>
    </row>
    <row r="1175" spans="52:68" x14ac:dyDescent="0.25">
      <c r="AZ1175" s="471"/>
      <c r="BA1175" s="181"/>
      <c r="BB1175" s="182"/>
      <c r="BC1175" s="209"/>
      <c r="BD1175" s="182"/>
      <c r="BE1175" s="209"/>
      <c r="BF1175" s="182"/>
      <c r="BG1175" s="209"/>
      <c r="BH1175" s="182"/>
      <c r="BI1175" s="209"/>
      <c r="BJ1175" s="183"/>
      <c r="BK1175" s="209"/>
      <c r="BL1175" s="182"/>
      <c r="BM1175" s="210"/>
      <c r="BO1175" s="28" t="e">
        <f t="shared" si="143"/>
        <v>#DIV/0!</v>
      </c>
      <c r="BP1175" s="28">
        <f t="shared" si="144"/>
        <v>0</v>
      </c>
    </row>
    <row r="1176" spans="52:68" x14ac:dyDescent="0.25">
      <c r="AZ1176" s="471"/>
      <c r="BA1176" s="181"/>
      <c r="BB1176" s="182"/>
      <c r="BC1176" s="209"/>
      <c r="BD1176" s="182"/>
      <c r="BE1176" s="209"/>
      <c r="BF1176" s="182"/>
      <c r="BG1176" s="209"/>
      <c r="BH1176" s="182"/>
      <c r="BI1176" s="209"/>
      <c r="BJ1176" s="183"/>
      <c r="BK1176" s="209"/>
      <c r="BL1176" s="182"/>
      <c r="BM1176" s="210"/>
      <c r="BO1176" s="28" t="e">
        <f t="shared" si="143"/>
        <v>#DIV/0!</v>
      </c>
      <c r="BP1176" s="28">
        <f t="shared" si="144"/>
        <v>0</v>
      </c>
    </row>
    <row r="1177" spans="52:68" x14ac:dyDescent="0.25">
      <c r="AZ1177" s="471"/>
      <c r="BA1177" s="181"/>
      <c r="BB1177" s="182"/>
      <c r="BC1177" s="209"/>
      <c r="BD1177" s="182"/>
      <c r="BE1177" s="209"/>
      <c r="BF1177" s="182"/>
      <c r="BG1177" s="209"/>
      <c r="BH1177" s="182"/>
      <c r="BI1177" s="209"/>
      <c r="BJ1177" s="183"/>
      <c r="BK1177" s="209"/>
      <c r="BL1177" s="182"/>
      <c r="BM1177" s="210"/>
      <c r="BO1177" s="28" t="e">
        <f t="shared" si="143"/>
        <v>#DIV/0!</v>
      </c>
      <c r="BP1177" s="28">
        <f t="shared" si="144"/>
        <v>0</v>
      </c>
    </row>
    <row r="1178" spans="52:68" x14ac:dyDescent="0.25">
      <c r="AZ1178" s="471"/>
      <c r="BA1178" s="181"/>
      <c r="BB1178" s="182"/>
      <c r="BC1178" s="209"/>
      <c r="BD1178" s="182"/>
      <c r="BE1178" s="209"/>
      <c r="BF1178" s="182"/>
      <c r="BG1178" s="209"/>
      <c r="BH1178" s="182"/>
      <c r="BI1178" s="209"/>
      <c r="BJ1178" s="183"/>
      <c r="BK1178" s="209"/>
      <c r="BL1178" s="182"/>
      <c r="BM1178" s="210"/>
      <c r="BO1178" s="28" t="e">
        <f t="shared" si="143"/>
        <v>#DIV/0!</v>
      </c>
      <c r="BP1178" s="28">
        <f t="shared" si="144"/>
        <v>0</v>
      </c>
    </row>
    <row r="1179" spans="52:68" x14ac:dyDescent="0.25">
      <c r="AZ1179" s="471"/>
      <c r="BA1179" s="181"/>
      <c r="BB1179" s="182"/>
      <c r="BC1179" s="209"/>
      <c r="BD1179" s="182"/>
      <c r="BE1179" s="209"/>
      <c r="BF1179" s="182"/>
      <c r="BG1179" s="209"/>
      <c r="BH1179" s="182"/>
      <c r="BI1179" s="209"/>
      <c r="BJ1179" s="183"/>
      <c r="BK1179" s="209"/>
      <c r="BL1179" s="182"/>
      <c r="BM1179" s="210"/>
      <c r="BO1179" s="28" t="e">
        <f t="shared" si="143"/>
        <v>#DIV/0!</v>
      </c>
      <c r="BP1179" s="28">
        <f t="shared" si="144"/>
        <v>0</v>
      </c>
    </row>
    <row r="1180" spans="52:68" x14ac:dyDescent="0.25">
      <c r="AZ1180" s="471"/>
      <c r="BA1180" s="181"/>
      <c r="BB1180" s="182"/>
      <c r="BC1180" s="209"/>
      <c r="BD1180" s="182"/>
      <c r="BE1180" s="209"/>
      <c r="BF1180" s="182"/>
      <c r="BG1180" s="209"/>
      <c r="BH1180" s="182"/>
      <c r="BI1180" s="209"/>
      <c r="BJ1180" s="183"/>
      <c r="BK1180" s="209"/>
      <c r="BL1180" s="182"/>
      <c r="BM1180" s="210"/>
      <c r="BO1180" s="28" t="e">
        <f t="shared" si="143"/>
        <v>#DIV/0!</v>
      </c>
      <c r="BP1180" s="28">
        <f t="shared" si="144"/>
        <v>0</v>
      </c>
    </row>
    <row r="1181" spans="52:68" x14ac:dyDescent="0.25">
      <c r="AZ1181" s="471"/>
      <c r="BA1181" s="181"/>
      <c r="BB1181" s="182"/>
      <c r="BC1181" s="209"/>
      <c r="BD1181" s="182"/>
      <c r="BE1181" s="209"/>
      <c r="BF1181" s="182"/>
      <c r="BG1181" s="209"/>
      <c r="BH1181" s="182"/>
      <c r="BI1181" s="209"/>
      <c r="BJ1181" s="183"/>
      <c r="BK1181" s="209"/>
      <c r="BL1181" s="182"/>
      <c r="BM1181" s="210"/>
      <c r="BO1181" s="28" t="e">
        <f t="shared" si="143"/>
        <v>#DIV/0!</v>
      </c>
      <c r="BP1181" s="28">
        <f t="shared" si="144"/>
        <v>0</v>
      </c>
    </row>
    <row r="1182" spans="52:68" x14ac:dyDescent="0.25">
      <c r="AZ1182" s="471"/>
      <c r="BA1182" s="181"/>
      <c r="BB1182" s="182"/>
      <c r="BC1182" s="209"/>
      <c r="BD1182" s="182"/>
      <c r="BE1182" s="209"/>
      <c r="BF1182" s="182"/>
      <c r="BG1182" s="209"/>
      <c r="BH1182" s="182"/>
      <c r="BI1182" s="209"/>
      <c r="BJ1182" s="183"/>
      <c r="BK1182" s="209"/>
      <c r="BL1182" s="182"/>
      <c r="BM1182" s="210"/>
      <c r="BO1182" s="28" t="e">
        <f t="shared" si="143"/>
        <v>#DIV/0!</v>
      </c>
      <c r="BP1182" s="28">
        <f t="shared" si="144"/>
        <v>0</v>
      </c>
    </row>
    <row r="1183" spans="52:68" x14ac:dyDescent="0.25">
      <c r="AZ1183" s="471"/>
      <c r="BA1183" s="181"/>
      <c r="BB1183" s="182"/>
      <c r="BC1183" s="209"/>
      <c r="BD1183" s="182"/>
      <c r="BE1183" s="209"/>
      <c r="BF1183" s="182"/>
      <c r="BG1183" s="209"/>
      <c r="BH1183" s="182"/>
      <c r="BI1183" s="209"/>
      <c r="BJ1183" s="183"/>
      <c r="BK1183" s="209"/>
      <c r="BL1183" s="182"/>
      <c r="BM1183" s="210"/>
      <c r="BO1183" s="28" t="e">
        <f t="shared" si="143"/>
        <v>#DIV/0!</v>
      </c>
      <c r="BP1183" s="28">
        <f t="shared" si="144"/>
        <v>0</v>
      </c>
    </row>
    <row r="1184" spans="52:68" x14ac:dyDescent="0.25">
      <c r="AZ1184" s="471"/>
      <c r="BA1184" s="181"/>
      <c r="BB1184" s="182"/>
      <c r="BC1184" s="209"/>
      <c r="BD1184" s="182"/>
      <c r="BE1184" s="209"/>
      <c r="BF1184" s="182"/>
      <c r="BG1184" s="209"/>
      <c r="BH1184" s="182"/>
      <c r="BI1184" s="209"/>
      <c r="BJ1184" s="183"/>
      <c r="BK1184" s="209"/>
      <c r="BL1184" s="182"/>
      <c r="BM1184" s="210"/>
      <c r="BO1184" s="28" t="e">
        <f t="shared" si="143"/>
        <v>#DIV/0!</v>
      </c>
      <c r="BP1184" s="28">
        <f t="shared" si="144"/>
        <v>0</v>
      </c>
    </row>
    <row r="1185" spans="52:68" x14ac:dyDescent="0.25">
      <c r="AZ1185" s="471"/>
      <c r="BA1185" s="181"/>
      <c r="BB1185" s="182"/>
      <c r="BC1185" s="209"/>
      <c r="BD1185" s="182"/>
      <c r="BE1185" s="209"/>
      <c r="BF1185" s="182"/>
      <c r="BG1185" s="209"/>
      <c r="BH1185" s="182"/>
      <c r="BI1185" s="209"/>
      <c r="BJ1185" s="183"/>
      <c r="BK1185" s="209"/>
      <c r="BL1185" s="182"/>
      <c r="BM1185" s="210"/>
      <c r="BO1185" s="28" t="e">
        <f t="shared" si="143"/>
        <v>#DIV/0!</v>
      </c>
      <c r="BP1185" s="28">
        <f t="shared" si="144"/>
        <v>0</v>
      </c>
    </row>
    <row r="1186" spans="52:68" x14ac:dyDescent="0.25">
      <c r="AZ1186" s="471"/>
      <c r="BA1186" s="181"/>
      <c r="BB1186" s="182"/>
      <c r="BC1186" s="209"/>
      <c r="BD1186" s="182"/>
      <c r="BE1186" s="209"/>
      <c r="BF1186" s="182"/>
      <c r="BG1186" s="209"/>
      <c r="BH1186" s="182"/>
      <c r="BI1186" s="209"/>
      <c r="BJ1186" s="183"/>
      <c r="BK1186" s="209"/>
      <c r="BL1186" s="182"/>
      <c r="BM1186" s="210"/>
      <c r="BO1186" s="28" t="e">
        <f t="shared" si="143"/>
        <v>#DIV/0!</v>
      </c>
      <c r="BP1186" s="28">
        <f t="shared" si="144"/>
        <v>0</v>
      </c>
    </row>
    <row r="1187" spans="52:68" x14ac:dyDescent="0.25">
      <c r="AZ1187" s="471"/>
      <c r="BA1187" s="181"/>
      <c r="BB1187" s="182"/>
      <c r="BC1187" s="209"/>
      <c r="BD1187" s="182"/>
      <c r="BE1187" s="209"/>
      <c r="BF1187" s="182"/>
      <c r="BG1187" s="209"/>
      <c r="BH1187" s="182"/>
      <c r="BI1187" s="209"/>
      <c r="BJ1187" s="183"/>
      <c r="BK1187" s="209"/>
      <c r="BL1187" s="182"/>
      <c r="BM1187" s="210"/>
      <c r="BO1187" s="28" t="e">
        <f t="shared" si="143"/>
        <v>#DIV/0!</v>
      </c>
      <c r="BP1187" s="28">
        <f t="shared" si="144"/>
        <v>0</v>
      </c>
    </row>
    <row r="1188" spans="52:68" x14ac:dyDescent="0.25">
      <c r="AZ1188" s="471"/>
      <c r="BA1188" s="181"/>
      <c r="BB1188" s="182"/>
      <c r="BC1188" s="209"/>
      <c r="BD1188" s="182"/>
      <c r="BE1188" s="209"/>
      <c r="BF1188" s="182"/>
      <c r="BG1188" s="209"/>
      <c r="BH1188" s="182"/>
      <c r="BI1188" s="209"/>
      <c r="BJ1188" s="183"/>
      <c r="BK1188" s="209"/>
      <c r="BL1188" s="182"/>
      <c r="BM1188" s="210"/>
      <c r="BO1188" s="28" t="e">
        <f t="shared" si="143"/>
        <v>#DIV/0!</v>
      </c>
      <c r="BP1188" s="28">
        <f t="shared" si="144"/>
        <v>0</v>
      </c>
    </row>
    <row r="1189" spans="52:68" x14ac:dyDescent="0.25">
      <c r="AZ1189" s="471"/>
      <c r="BA1189" s="181"/>
      <c r="BB1189" s="182"/>
      <c r="BC1189" s="209"/>
      <c r="BD1189" s="182"/>
      <c r="BE1189" s="209"/>
      <c r="BF1189" s="182"/>
      <c r="BG1189" s="209"/>
      <c r="BH1189" s="182"/>
      <c r="BI1189" s="209"/>
      <c r="BJ1189" s="183"/>
      <c r="BK1189" s="209"/>
      <c r="BL1189" s="182"/>
      <c r="BM1189" s="210"/>
      <c r="BO1189" s="28" t="e">
        <f t="shared" si="143"/>
        <v>#DIV/0!</v>
      </c>
      <c r="BP1189" s="28">
        <f t="shared" si="144"/>
        <v>0</v>
      </c>
    </row>
    <row r="1190" spans="52:68" x14ac:dyDescent="0.25">
      <c r="AZ1190" s="471"/>
      <c r="BA1190" s="181"/>
      <c r="BB1190" s="182"/>
      <c r="BC1190" s="209"/>
      <c r="BD1190" s="182"/>
      <c r="BE1190" s="209"/>
      <c r="BF1190" s="182"/>
      <c r="BG1190" s="209"/>
      <c r="BH1190" s="182"/>
      <c r="BI1190" s="209"/>
      <c r="BJ1190" s="183"/>
      <c r="BK1190" s="209"/>
      <c r="BL1190" s="182"/>
      <c r="BM1190" s="210"/>
      <c r="BO1190" s="28" t="e">
        <f t="shared" si="143"/>
        <v>#DIV/0!</v>
      </c>
      <c r="BP1190" s="28">
        <f t="shared" si="144"/>
        <v>0</v>
      </c>
    </row>
    <row r="1191" spans="52:68" x14ac:dyDescent="0.25">
      <c r="AZ1191" s="471"/>
      <c r="BA1191" s="181"/>
      <c r="BB1191" s="182"/>
      <c r="BC1191" s="209"/>
      <c r="BD1191" s="182"/>
      <c r="BE1191" s="209"/>
      <c r="BF1191" s="182"/>
      <c r="BG1191" s="209"/>
      <c r="BH1191" s="182"/>
      <c r="BI1191" s="209"/>
      <c r="BJ1191" s="183"/>
      <c r="BK1191" s="209"/>
      <c r="BL1191" s="182"/>
      <c r="BM1191" s="210"/>
      <c r="BO1191" s="28" t="e">
        <f t="shared" si="143"/>
        <v>#DIV/0!</v>
      </c>
      <c r="BP1191" s="28">
        <f t="shared" si="144"/>
        <v>0</v>
      </c>
    </row>
    <row r="1192" spans="52:68" x14ac:dyDescent="0.25">
      <c r="AZ1192" s="471"/>
      <c r="BA1192" s="181"/>
      <c r="BB1192" s="182"/>
      <c r="BC1192" s="209"/>
      <c r="BD1192" s="182"/>
      <c r="BE1192" s="209"/>
      <c r="BF1192" s="182"/>
      <c r="BG1192" s="209"/>
      <c r="BH1192" s="182"/>
      <c r="BI1192" s="209"/>
      <c r="BJ1192" s="183"/>
      <c r="BK1192" s="209"/>
      <c r="BL1192" s="182"/>
      <c r="BM1192" s="210"/>
      <c r="BO1192" s="28" t="e">
        <f t="shared" si="143"/>
        <v>#DIV/0!</v>
      </c>
      <c r="BP1192" s="28">
        <f t="shared" si="144"/>
        <v>0</v>
      </c>
    </row>
    <row r="1193" spans="52:68" x14ac:dyDescent="0.25">
      <c r="AZ1193" s="471"/>
      <c r="BA1193" s="181"/>
      <c r="BB1193" s="182"/>
      <c r="BC1193" s="209"/>
      <c r="BD1193" s="182"/>
      <c r="BE1193" s="209"/>
      <c r="BF1193" s="182"/>
      <c r="BG1193" s="209"/>
      <c r="BH1193" s="182"/>
      <c r="BI1193" s="209"/>
      <c r="BJ1193" s="183"/>
      <c r="BK1193" s="209"/>
      <c r="BL1193" s="182"/>
      <c r="BM1193" s="210"/>
      <c r="BO1193" s="28" t="e">
        <f t="shared" si="143"/>
        <v>#DIV/0!</v>
      </c>
      <c r="BP1193" s="28">
        <f t="shared" si="144"/>
        <v>0</v>
      </c>
    </row>
    <row r="1194" spans="52:68" x14ac:dyDescent="0.25">
      <c r="AZ1194" s="471"/>
      <c r="BA1194" s="181"/>
      <c r="BB1194" s="182"/>
      <c r="BC1194" s="209"/>
      <c r="BD1194" s="182"/>
      <c r="BE1194" s="209"/>
      <c r="BF1194" s="182"/>
      <c r="BG1194" s="209"/>
      <c r="BH1194" s="182"/>
      <c r="BI1194" s="209"/>
      <c r="BJ1194" s="183"/>
      <c r="BK1194" s="209"/>
      <c r="BL1194" s="182"/>
      <c r="BM1194" s="210"/>
      <c r="BO1194" s="28" t="e">
        <f t="shared" si="143"/>
        <v>#DIV/0!</v>
      </c>
      <c r="BP1194" s="28">
        <f t="shared" si="144"/>
        <v>0</v>
      </c>
    </row>
    <row r="1195" spans="52:68" x14ac:dyDescent="0.25">
      <c r="AZ1195" s="471"/>
      <c r="BA1195" s="181"/>
      <c r="BB1195" s="182"/>
      <c r="BC1195" s="209"/>
      <c r="BD1195" s="182"/>
      <c r="BE1195" s="209"/>
      <c r="BF1195" s="182"/>
      <c r="BG1195" s="209"/>
      <c r="BH1195" s="182"/>
      <c r="BI1195" s="209"/>
      <c r="BJ1195" s="183"/>
      <c r="BK1195" s="209"/>
      <c r="BL1195" s="182"/>
      <c r="BM1195" s="210"/>
      <c r="BO1195" s="28" t="e">
        <f t="shared" si="143"/>
        <v>#DIV/0!</v>
      </c>
      <c r="BP1195" s="28">
        <f t="shared" si="144"/>
        <v>0</v>
      </c>
    </row>
    <row r="1196" spans="52:68" x14ac:dyDescent="0.25">
      <c r="AZ1196" s="471"/>
      <c r="BA1196" s="181"/>
      <c r="BB1196" s="182"/>
      <c r="BC1196" s="209"/>
      <c r="BD1196" s="182"/>
      <c r="BE1196" s="209"/>
      <c r="BF1196" s="182"/>
      <c r="BG1196" s="209"/>
      <c r="BH1196" s="182"/>
      <c r="BI1196" s="209"/>
      <c r="BJ1196" s="183"/>
      <c r="BK1196" s="209"/>
      <c r="BL1196" s="182"/>
      <c r="BM1196" s="210"/>
      <c r="BO1196" s="28" t="e">
        <f t="shared" si="143"/>
        <v>#DIV/0!</v>
      </c>
      <c r="BP1196" s="28">
        <f t="shared" si="144"/>
        <v>0</v>
      </c>
    </row>
    <row r="1197" spans="52:68" x14ac:dyDescent="0.25">
      <c r="AZ1197" s="471"/>
      <c r="BA1197" s="181"/>
      <c r="BB1197" s="182"/>
      <c r="BC1197" s="209"/>
      <c r="BD1197" s="182"/>
      <c r="BE1197" s="209"/>
      <c r="BF1197" s="182"/>
      <c r="BG1197" s="209"/>
      <c r="BH1197" s="182"/>
      <c r="BI1197" s="209"/>
      <c r="BJ1197" s="183"/>
      <c r="BK1197" s="209"/>
      <c r="BL1197" s="182"/>
      <c r="BM1197" s="210"/>
      <c r="BO1197" s="28" t="e">
        <f t="shared" si="143"/>
        <v>#DIV/0!</v>
      </c>
      <c r="BP1197" s="28">
        <f t="shared" si="144"/>
        <v>0</v>
      </c>
    </row>
    <row r="1198" spans="52:68" x14ac:dyDescent="0.25">
      <c r="AZ1198" s="471"/>
      <c r="BA1198" s="181"/>
      <c r="BB1198" s="182"/>
      <c r="BC1198" s="209"/>
      <c r="BD1198" s="182"/>
      <c r="BE1198" s="209"/>
      <c r="BF1198" s="182"/>
      <c r="BG1198" s="209"/>
      <c r="BH1198" s="182"/>
      <c r="BI1198" s="209"/>
      <c r="BJ1198" s="183"/>
      <c r="BK1198" s="209"/>
      <c r="BL1198" s="182"/>
      <c r="BM1198" s="210"/>
      <c r="BO1198" s="28" t="e">
        <f t="shared" si="143"/>
        <v>#DIV/0!</v>
      </c>
      <c r="BP1198" s="28">
        <f t="shared" si="144"/>
        <v>0</v>
      </c>
    </row>
    <row r="1199" spans="52:68" x14ac:dyDescent="0.25">
      <c r="AZ1199" s="471"/>
      <c r="BA1199" s="181"/>
      <c r="BB1199" s="182"/>
      <c r="BC1199" s="209"/>
      <c r="BD1199" s="182"/>
      <c r="BE1199" s="209"/>
      <c r="BF1199" s="182"/>
      <c r="BG1199" s="209"/>
      <c r="BH1199" s="182"/>
      <c r="BI1199" s="209"/>
      <c r="BJ1199" s="183"/>
      <c r="BK1199" s="209"/>
      <c r="BL1199" s="182"/>
      <c r="BM1199" s="210"/>
      <c r="BO1199" s="28" t="e">
        <f t="shared" si="143"/>
        <v>#DIV/0!</v>
      </c>
      <c r="BP1199" s="28">
        <f t="shared" si="144"/>
        <v>0</v>
      </c>
    </row>
    <row r="1200" spans="52:68" x14ac:dyDescent="0.25">
      <c r="AZ1200" s="471"/>
      <c r="BA1200" s="181"/>
      <c r="BB1200" s="182"/>
      <c r="BC1200" s="209"/>
      <c r="BD1200" s="182"/>
      <c r="BE1200" s="209"/>
      <c r="BF1200" s="182"/>
      <c r="BG1200" s="209"/>
      <c r="BH1200" s="182"/>
      <c r="BI1200" s="209"/>
      <c r="BJ1200" s="183"/>
      <c r="BK1200" s="209"/>
      <c r="BL1200" s="182"/>
      <c r="BM1200" s="210"/>
      <c r="BO1200" s="28" t="e">
        <f t="shared" si="143"/>
        <v>#DIV/0!</v>
      </c>
      <c r="BP1200" s="28">
        <f t="shared" si="144"/>
        <v>0</v>
      </c>
    </row>
    <row r="1201" spans="52:68" x14ac:dyDescent="0.25">
      <c r="AZ1201" s="471"/>
      <c r="BA1201" s="181"/>
      <c r="BB1201" s="182"/>
      <c r="BC1201" s="209"/>
      <c r="BD1201" s="182"/>
      <c r="BE1201" s="209"/>
      <c r="BF1201" s="182"/>
      <c r="BG1201" s="209"/>
      <c r="BH1201" s="182"/>
      <c r="BI1201" s="209"/>
      <c r="BJ1201" s="183"/>
      <c r="BK1201" s="209"/>
      <c r="BL1201" s="182"/>
      <c r="BM1201" s="210"/>
      <c r="BO1201" s="28" t="e">
        <f t="shared" si="143"/>
        <v>#DIV/0!</v>
      </c>
      <c r="BP1201" s="28">
        <f t="shared" si="144"/>
        <v>0</v>
      </c>
    </row>
    <row r="1202" spans="52:68" x14ac:dyDescent="0.25">
      <c r="AZ1202" s="471"/>
      <c r="BA1202" s="181"/>
      <c r="BB1202" s="182"/>
      <c r="BC1202" s="209"/>
      <c r="BD1202" s="182"/>
      <c r="BE1202" s="209"/>
      <c r="BF1202" s="182"/>
      <c r="BG1202" s="209"/>
      <c r="BH1202" s="182"/>
      <c r="BI1202" s="209"/>
      <c r="BJ1202" s="183"/>
      <c r="BK1202" s="209"/>
      <c r="BL1202" s="182"/>
      <c r="BM1202" s="210"/>
      <c r="BO1202" s="28" t="e">
        <f t="shared" si="143"/>
        <v>#DIV/0!</v>
      </c>
      <c r="BP1202" s="28">
        <f t="shared" si="144"/>
        <v>0</v>
      </c>
    </row>
    <row r="1203" spans="52:68" x14ac:dyDescent="0.25">
      <c r="AZ1203" s="471"/>
      <c r="BA1203" s="181"/>
      <c r="BB1203" s="182"/>
      <c r="BC1203" s="209"/>
      <c r="BD1203" s="182"/>
      <c r="BE1203" s="209"/>
      <c r="BF1203" s="182"/>
      <c r="BG1203" s="209"/>
      <c r="BH1203" s="182"/>
      <c r="BI1203" s="209"/>
      <c r="BJ1203" s="183"/>
      <c r="BK1203" s="209"/>
      <c r="BL1203" s="182"/>
      <c r="BM1203" s="210"/>
      <c r="BO1203" s="28" t="e">
        <f t="shared" si="143"/>
        <v>#DIV/0!</v>
      </c>
      <c r="BP1203" s="28">
        <f t="shared" si="144"/>
        <v>0</v>
      </c>
    </row>
    <row r="1204" spans="52:68" x14ac:dyDescent="0.25">
      <c r="AZ1204" s="471"/>
      <c r="BA1204" s="181"/>
      <c r="BB1204" s="182"/>
      <c r="BC1204" s="209"/>
      <c r="BD1204" s="182"/>
      <c r="BE1204" s="209"/>
      <c r="BF1204" s="182"/>
      <c r="BG1204" s="209"/>
      <c r="BH1204" s="182"/>
      <c r="BI1204" s="209"/>
      <c r="BJ1204" s="183"/>
      <c r="BK1204" s="209"/>
      <c r="BL1204" s="182"/>
      <c r="BM1204" s="210"/>
      <c r="BO1204" s="28" t="e">
        <f t="shared" si="143"/>
        <v>#DIV/0!</v>
      </c>
      <c r="BP1204" s="28">
        <f t="shared" si="144"/>
        <v>0</v>
      </c>
    </row>
    <row r="1205" spans="52:68" x14ac:dyDescent="0.25">
      <c r="AZ1205" s="471"/>
      <c r="BA1205" s="181"/>
      <c r="BB1205" s="182"/>
      <c r="BC1205" s="209"/>
      <c r="BD1205" s="182"/>
      <c r="BE1205" s="209"/>
      <c r="BF1205" s="182"/>
      <c r="BG1205" s="209"/>
      <c r="BH1205" s="182"/>
      <c r="BI1205" s="209"/>
      <c r="BJ1205" s="183"/>
      <c r="BK1205" s="209"/>
      <c r="BL1205" s="182"/>
      <c r="BM1205" s="210"/>
      <c r="BO1205" s="28" t="e">
        <f t="shared" si="143"/>
        <v>#DIV/0!</v>
      </c>
      <c r="BP1205" s="28">
        <f t="shared" si="144"/>
        <v>0</v>
      </c>
    </row>
    <row r="1206" spans="52:68" x14ac:dyDescent="0.25">
      <c r="AZ1206" s="471"/>
      <c r="BA1206" s="181"/>
      <c r="BB1206" s="182"/>
      <c r="BC1206" s="209"/>
      <c r="BD1206" s="182"/>
      <c r="BE1206" s="209"/>
      <c r="BF1206" s="182"/>
      <c r="BG1206" s="209"/>
      <c r="BH1206" s="182"/>
      <c r="BI1206" s="209"/>
      <c r="BJ1206" s="183"/>
      <c r="BK1206" s="209"/>
      <c r="BL1206" s="182"/>
      <c r="BM1206" s="210"/>
      <c r="BO1206" s="28" t="e">
        <f t="shared" si="143"/>
        <v>#DIV/0!</v>
      </c>
      <c r="BP1206" s="28">
        <f t="shared" si="144"/>
        <v>0</v>
      </c>
    </row>
    <row r="1207" spans="52:68" x14ac:dyDescent="0.25">
      <c r="AZ1207" s="471"/>
      <c r="BA1207" s="181"/>
      <c r="BB1207" s="182"/>
      <c r="BC1207" s="209"/>
      <c r="BD1207" s="182"/>
      <c r="BE1207" s="209"/>
      <c r="BF1207" s="182"/>
      <c r="BG1207" s="209"/>
      <c r="BH1207" s="182"/>
      <c r="BI1207" s="209"/>
      <c r="BJ1207" s="183"/>
      <c r="BK1207" s="209"/>
      <c r="BL1207" s="182"/>
      <c r="BM1207" s="210"/>
      <c r="BO1207" s="28" t="e">
        <f t="shared" si="143"/>
        <v>#DIV/0!</v>
      </c>
      <c r="BP1207" s="28">
        <f t="shared" si="144"/>
        <v>0</v>
      </c>
    </row>
    <row r="1208" spans="52:68" x14ac:dyDescent="0.25">
      <c r="AZ1208" s="471"/>
      <c r="BA1208" s="181"/>
      <c r="BB1208" s="182"/>
      <c r="BC1208" s="209"/>
      <c r="BD1208" s="182"/>
      <c r="BE1208" s="209"/>
      <c r="BF1208" s="182"/>
      <c r="BG1208" s="209"/>
      <c r="BH1208" s="182"/>
      <c r="BI1208" s="209"/>
      <c r="BJ1208" s="183"/>
      <c r="BK1208" s="209"/>
      <c r="BL1208" s="182"/>
      <c r="BM1208" s="210"/>
      <c r="BO1208" s="28" t="e">
        <f t="shared" si="143"/>
        <v>#DIV/0!</v>
      </c>
      <c r="BP1208" s="28">
        <f t="shared" si="144"/>
        <v>0</v>
      </c>
    </row>
    <row r="1209" spans="52:68" x14ac:dyDescent="0.25">
      <c r="AZ1209" s="471"/>
      <c r="BA1209" s="181"/>
      <c r="BB1209" s="182"/>
      <c r="BC1209" s="209"/>
      <c r="BD1209" s="182"/>
      <c r="BE1209" s="209"/>
      <c r="BF1209" s="182"/>
      <c r="BG1209" s="209"/>
      <c r="BH1209" s="182"/>
      <c r="BI1209" s="209"/>
      <c r="BJ1209" s="183"/>
      <c r="BK1209" s="209"/>
      <c r="BL1209" s="182"/>
      <c r="BM1209" s="210"/>
      <c r="BO1209" s="28" t="e">
        <f t="shared" si="143"/>
        <v>#DIV/0!</v>
      </c>
      <c r="BP1209" s="28">
        <f t="shared" si="144"/>
        <v>0</v>
      </c>
    </row>
    <row r="1210" spans="52:68" x14ac:dyDescent="0.25">
      <c r="AZ1210" s="471"/>
      <c r="BA1210" s="181"/>
      <c r="BB1210" s="182"/>
      <c r="BC1210" s="209"/>
      <c r="BD1210" s="182"/>
      <c r="BE1210" s="209"/>
      <c r="BF1210" s="182"/>
      <c r="BG1210" s="209"/>
      <c r="BH1210" s="182"/>
      <c r="BI1210" s="209"/>
      <c r="BJ1210" s="183"/>
      <c r="BK1210" s="209"/>
      <c r="BL1210" s="182"/>
      <c r="BM1210" s="210"/>
      <c r="BO1210" s="28" t="e">
        <f t="shared" si="143"/>
        <v>#DIV/0!</v>
      </c>
      <c r="BP1210" s="28">
        <f t="shared" si="144"/>
        <v>0</v>
      </c>
    </row>
    <row r="1211" spans="52:68" x14ac:dyDescent="0.25">
      <c r="AZ1211" s="471"/>
      <c r="BA1211" s="181"/>
      <c r="BB1211" s="182"/>
      <c r="BC1211" s="209"/>
      <c r="BD1211" s="182"/>
      <c r="BE1211" s="209"/>
      <c r="BF1211" s="182"/>
      <c r="BG1211" s="209"/>
      <c r="BH1211" s="182"/>
      <c r="BI1211" s="209"/>
      <c r="BJ1211" s="183"/>
      <c r="BK1211" s="209"/>
      <c r="BL1211" s="182"/>
      <c r="BM1211" s="210"/>
      <c r="BO1211" s="28" t="e">
        <f t="shared" si="143"/>
        <v>#DIV/0!</v>
      </c>
      <c r="BP1211" s="28">
        <f t="shared" si="144"/>
        <v>0</v>
      </c>
    </row>
    <row r="1212" spans="52:68" x14ac:dyDescent="0.25">
      <c r="AZ1212" s="471"/>
      <c r="BA1212" s="181"/>
      <c r="BB1212" s="182"/>
      <c r="BC1212" s="209"/>
      <c r="BD1212" s="182"/>
      <c r="BE1212" s="209"/>
      <c r="BF1212" s="182"/>
      <c r="BG1212" s="209"/>
      <c r="BH1212" s="182"/>
      <c r="BI1212" s="209"/>
      <c r="BJ1212" s="183"/>
      <c r="BK1212" s="209"/>
      <c r="BL1212" s="182"/>
      <c r="BM1212" s="210"/>
      <c r="BO1212" s="28" t="e">
        <f t="shared" si="143"/>
        <v>#DIV/0!</v>
      </c>
      <c r="BP1212" s="28">
        <f t="shared" si="144"/>
        <v>0</v>
      </c>
    </row>
    <row r="1213" spans="52:68" x14ac:dyDescent="0.25">
      <c r="AZ1213" s="471"/>
      <c r="BA1213" s="181"/>
      <c r="BB1213" s="182"/>
      <c r="BC1213" s="209"/>
      <c r="BD1213" s="182"/>
      <c r="BE1213" s="209"/>
      <c r="BF1213" s="182"/>
      <c r="BG1213" s="209"/>
      <c r="BH1213" s="182"/>
      <c r="BI1213" s="209"/>
      <c r="BJ1213" s="183"/>
      <c r="BK1213" s="209"/>
      <c r="BL1213" s="182"/>
      <c r="BM1213" s="210"/>
      <c r="BO1213" s="28" t="e">
        <f t="shared" si="143"/>
        <v>#DIV/0!</v>
      </c>
      <c r="BP1213" s="28">
        <f t="shared" si="144"/>
        <v>0</v>
      </c>
    </row>
    <row r="1214" spans="52:68" x14ac:dyDescent="0.25">
      <c r="AZ1214" s="471"/>
      <c r="BA1214" s="181"/>
      <c r="BB1214" s="182"/>
      <c r="BC1214" s="209"/>
      <c r="BD1214" s="182"/>
      <c r="BE1214" s="209"/>
      <c r="BF1214" s="182"/>
      <c r="BG1214" s="209"/>
      <c r="BH1214" s="182"/>
      <c r="BI1214" s="209"/>
      <c r="BJ1214" s="183"/>
      <c r="BK1214" s="209"/>
      <c r="BL1214" s="182"/>
      <c r="BM1214" s="210"/>
      <c r="BO1214" s="28" t="e">
        <f t="shared" si="143"/>
        <v>#DIV/0!</v>
      </c>
      <c r="BP1214" s="28">
        <f t="shared" si="144"/>
        <v>0</v>
      </c>
    </row>
    <row r="1215" spans="52:68" x14ac:dyDescent="0.25">
      <c r="AZ1215" s="471"/>
      <c r="BA1215" s="181"/>
      <c r="BB1215" s="182"/>
      <c r="BC1215" s="209"/>
      <c r="BD1215" s="182"/>
      <c r="BE1215" s="209"/>
      <c r="BF1215" s="182"/>
      <c r="BG1215" s="209"/>
      <c r="BH1215" s="182"/>
      <c r="BI1215" s="209"/>
      <c r="BJ1215" s="183"/>
      <c r="BK1215" s="209"/>
      <c r="BL1215" s="182"/>
      <c r="BM1215" s="210"/>
      <c r="BO1215" s="28" t="e">
        <f t="shared" si="143"/>
        <v>#DIV/0!</v>
      </c>
      <c r="BP1215" s="28">
        <f t="shared" si="144"/>
        <v>0</v>
      </c>
    </row>
    <row r="1216" spans="52:68" x14ac:dyDescent="0.25">
      <c r="AZ1216" s="471"/>
      <c r="BA1216" s="181"/>
      <c r="BB1216" s="182"/>
      <c r="BC1216" s="209"/>
      <c r="BD1216" s="182"/>
      <c r="BE1216" s="209"/>
      <c r="BF1216" s="182"/>
      <c r="BG1216" s="209"/>
      <c r="BH1216" s="182"/>
      <c r="BI1216" s="209"/>
      <c r="BJ1216" s="183"/>
      <c r="BK1216" s="209"/>
      <c r="BL1216" s="182"/>
      <c r="BM1216" s="210"/>
      <c r="BO1216" s="28" t="e">
        <f t="shared" si="143"/>
        <v>#DIV/0!</v>
      </c>
      <c r="BP1216" s="28">
        <f t="shared" si="144"/>
        <v>0</v>
      </c>
    </row>
    <row r="1217" spans="52:68" x14ac:dyDescent="0.25">
      <c r="AZ1217" s="471"/>
      <c r="BA1217" s="181"/>
      <c r="BB1217" s="182"/>
      <c r="BC1217" s="209"/>
      <c r="BD1217" s="182"/>
      <c r="BE1217" s="209"/>
      <c r="BF1217" s="182"/>
      <c r="BG1217" s="209"/>
      <c r="BH1217" s="182"/>
      <c r="BI1217" s="209"/>
      <c r="BJ1217" s="183"/>
      <c r="BK1217" s="209"/>
      <c r="BL1217" s="182"/>
      <c r="BM1217" s="210"/>
      <c r="BO1217" s="28" t="e">
        <f t="shared" si="143"/>
        <v>#DIV/0!</v>
      </c>
      <c r="BP1217" s="28">
        <f t="shared" si="144"/>
        <v>0</v>
      </c>
    </row>
    <row r="1218" spans="52:68" x14ac:dyDescent="0.25">
      <c r="AZ1218" s="471"/>
      <c r="BA1218" s="181"/>
      <c r="BB1218" s="182"/>
      <c r="BC1218" s="209"/>
      <c r="BD1218" s="182"/>
      <c r="BE1218" s="209"/>
      <c r="BF1218" s="182"/>
      <c r="BG1218" s="209"/>
      <c r="BH1218" s="182"/>
      <c r="BI1218" s="209"/>
      <c r="BJ1218" s="183"/>
      <c r="BK1218" s="209"/>
      <c r="BL1218" s="182"/>
      <c r="BM1218" s="210"/>
      <c r="BO1218" s="28" t="e">
        <f t="shared" si="143"/>
        <v>#DIV/0!</v>
      </c>
      <c r="BP1218" s="28">
        <f t="shared" si="144"/>
        <v>0</v>
      </c>
    </row>
    <row r="1219" spans="52:68" x14ac:dyDescent="0.25">
      <c r="AZ1219" s="471"/>
      <c r="BA1219" s="181"/>
      <c r="BB1219" s="187"/>
      <c r="BC1219" s="209"/>
      <c r="BD1219" s="187"/>
      <c r="BE1219" s="209"/>
      <c r="BF1219" s="182"/>
      <c r="BG1219" s="209"/>
      <c r="BH1219" s="182"/>
      <c r="BI1219" s="209"/>
      <c r="BJ1219" s="183"/>
      <c r="BK1219" s="209"/>
      <c r="BL1219" s="182"/>
      <c r="BM1219" s="210"/>
      <c r="BO1219" s="28" t="e">
        <f t="shared" si="143"/>
        <v>#DIV/0!</v>
      </c>
      <c r="BP1219" s="28">
        <f t="shared" si="144"/>
        <v>0</v>
      </c>
    </row>
    <row r="1220" spans="52:68" x14ac:dyDescent="0.25">
      <c r="AZ1220" s="471"/>
      <c r="BA1220" s="181"/>
      <c r="BB1220" s="182"/>
      <c r="BC1220" s="209"/>
      <c r="BD1220" s="182"/>
      <c r="BE1220" s="209"/>
      <c r="BF1220" s="182"/>
      <c r="BG1220" s="209"/>
      <c r="BH1220" s="182"/>
      <c r="BI1220" s="209"/>
      <c r="BJ1220" s="183"/>
      <c r="BK1220" s="209"/>
      <c r="BL1220" s="182"/>
      <c r="BM1220" s="210"/>
      <c r="BO1220" s="28" t="e">
        <f t="shared" si="143"/>
        <v>#DIV/0!</v>
      </c>
      <c r="BP1220" s="28">
        <f t="shared" si="144"/>
        <v>0</v>
      </c>
    </row>
    <row r="1221" spans="52:68" x14ac:dyDescent="0.25">
      <c r="AZ1221" s="471"/>
      <c r="BA1221" s="181"/>
      <c r="BB1221" s="182"/>
      <c r="BC1221" s="209"/>
      <c r="BD1221" s="182"/>
      <c r="BE1221" s="209"/>
      <c r="BF1221" s="182"/>
      <c r="BG1221" s="209"/>
      <c r="BH1221" s="182"/>
      <c r="BI1221" s="209"/>
      <c r="BJ1221" s="183"/>
      <c r="BK1221" s="209"/>
      <c r="BL1221" s="182"/>
      <c r="BM1221" s="210"/>
      <c r="BO1221" s="28" t="e">
        <f t="shared" si="143"/>
        <v>#DIV/0!</v>
      </c>
      <c r="BP1221" s="28">
        <f t="shared" si="144"/>
        <v>0</v>
      </c>
    </row>
    <row r="1222" spans="52:68" x14ac:dyDescent="0.25">
      <c r="AZ1222" s="471"/>
      <c r="BA1222" s="181"/>
      <c r="BB1222" s="182"/>
      <c r="BC1222" s="209"/>
      <c r="BD1222" s="182"/>
      <c r="BE1222" s="209"/>
      <c r="BF1222" s="182"/>
      <c r="BG1222" s="209"/>
      <c r="BH1222" s="182"/>
      <c r="BI1222" s="209"/>
      <c r="BJ1222" s="183"/>
      <c r="BK1222" s="209"/>
      <c r="BL1222" s="182"/>
      <c r="BM1222" s="210"/>
      <c r="BO1222" s="28" t="e">
        <f t="shared" si="143"/>
        <v>#DIV/0!</v>
      </c>
      <c r="BP1222" s="28">
        <f t="shared" si="144"/>
        <v>0</v>
      </c>
    </row>
    <row r="1223" spans="52:68" x14ac:dyDescent="0.25">
      <c r="AZ1223" s="471"/>
      <c r="BA1223" s="181"/>
      <c r="BB1223" s="182"/>
      <c r="BC1223" s="209"/>
      <c r="BD1223" s="182"/>
      <c r="BE1223" s="209"/>
      <c r="BF1223" s="182"/>
      <c r="BG1223" s="209"/>
      <c r="BH1223" s="182"/>
      <c r="BI1223" s="209"/>
      <c r="BJ1223" s="183"/>
      <c r="BK1223" s="209"/>
      <c r="BL1223" s="182"/>
      <c r="BM1223" s="210"/>
      <c r="BO1223" s="28" t="e">
        <f t="shared" si="143"/>
        <v>#DIV/0!</v>
      </c>
      <c r="BP1223" s="28">
        <f t="shared" si="144"/>
        <v>0</v>
      </c>
    </row>
    <row r="1224" spans="52:68" x14ac:dyDescent="0.25">
      <c r="AZ1224" s="471"/>
      <c r="BA1224" s="181"/>
      <c r="BB1224" s="182"/>
      <c r="BC1224" s="209"/>
      <c r="BD1224" s="182"/>
      <c r="BE1224" s="209"/>
      <c r="BF1224" s="182"/>
      <c r="BG1224" s="209"/>
      <c r="BH1224" s="182"/>
      <c r="BI1224" s="209"/>
      <c r="BJ1224" s="183"/>
      <c r="BK1224" s="209"/>
      <c r="BL1224" s="182"/>
      <c r="BM1224" s="210"/>
      <c r="BO1224" s="28" t="e">
        <f t="shared" si="143"/>
        <v>#DIV/0!</v>
      </c>
      <c r="BP1224" s="28">
        <f t="shared" si="144"/>
        <v>0</v>
      </c>
    </row>
    <row r="1225" spans="52:68" x14ac:dyDescent="0.25">
      <c r="AZ1225" s="471"/>
      <c r="BA1225" s="181"/>
      <c r="BB1225" s="182"/>
      <c r="BC1225" s="209"/>
      <c r="BD1225" s="182"/>
      <c r="BE1225" s="209"/>
      <c r="BF1225" s="182"/>
      <c r="BG1225" s="209"/>
      <c r="BH1225" s="182"/>
      <c r="BI1225" s="209"/>
      <c r="BJ1225" s="183"/>
      <c r="BK1225" s="209"/>
      <c r="BL1225" s="182"/>
      <c r="BM1225" s="210"/>
      <c r="BO1225" s="28" t="e">
        <f t="shared" ref="BO1225:BO1288" si="145">AVERAGE(BB1225:BM1225)</f>
        <v>#DIV/0!</v>
      </c>
      <c r="BP1225" s="28">
        <f t="shared" ref="BP1225:BP1288" si="146">SUM(BB1225:BM1225)</f>
        <v>0</v>
      </c>
    </row>
    <row r="1226" spans="52:68" x14ac:dyDescent="0.25">
      <c r="AZ1226" s="471"/>
      <c r="BA1226" s="181"/>
      <c r="BB1226" s="182"/>
      <c r="BC1226" s="209"/>
      <c r="BD1226" s="182"/>
      <c r="BE1226" s="209"/>
      <c r="BF1226" s="182"/>
      <c r="BG1226" s="209"/>
      <c r="BH1226" s="182"/>
      <c r="BI1226" s="209"/>
      <c r="BJ1226" s="183"/>
      <c r="BK1226" s="209"/>
      <c r="BL1226" s="182"/>
      <c r="BM1226" s="210"/>
      <c r="BO1226" s="28" t="e">
        <f t="shared" si="145"/>
        <v>#DIV/0!</v>
      </c>
      <c r="BP1226" s="28">
        <f t="shared" si="146"/>
        <v>0</v>
      </c>
    </row>
    <row r="1227" spans="52:68" x14ac:dyDescent="0.25">
      <c r="AZ1227" s="471"/>
      <c r="BA1227" s="181"/>
      <c r="BB1227" s="182"/>
      <c r="BC1227" s="209"/>
      <c r="BD1227" s="182"/>
      <c r="BE1227" s="209"/>
      <c r="BF1227" s="182"/>
      <c r="BG1227" s="209"/>
      <c r="BH1227" s="182"/>
      <c r="BI1227" s="209"/>
      <c r="BJ1227" s="183"/>
      <c r="BK1227" s="209"/>
      <c r="BL1227" s="182"/>
      <c r="BM1227" s="210"/>
      <c r="BO1227" s="28" t="e">
        <f t="shared" si="145"/>
        <v>#DIV/0!</v>
      </c>
      <c r="BP1227" s="28">
        <f t="shared" si="146"/>
        <v>0</v>
      </c>
    </row>
    <row r="1228" spans="52:68" x14ac:dyDescent="0.25">
      <c r="AZ1228" s="471"/>
      <c r="BA1228" s="181"/>
      <c r="BB1228" s="182"/>
      <c r="BC1228" s="209"/>
      <c r="BD1228" s="182"/>
      <c r="BE1228" s="209"/>
      <c r="BF1228" s="182"/>
      <c r="BG1228" s="209"/>
      <c r="BH1228" s="182"/>
      <c r="BI1228" s="209"/>
      <c r="BJ1228" s="183"/>
      <c r="BK1228" s="209"/>
      <c r="BL1228" s="182"/>
      <c r="BM1228" s="210"/>
      <c r="BO1228" s="28" t="e">
        <f t="shared" si="145"/>
        <v>#DIV/0!</v>
      </c>
      <c r="BP1228" s="28">
        <f t="shared" si="146"/>
        <v>0</v>
      </c>
    </row>
    <row r="1229" spans="52:68" x14ac:dyDescent="0.25">
      <c r="AZ1229" s="471"/>
      <c r="BA1229" s="181"/>
      <c r="BB1229" s="182"/>
      <c r="BC1229" s="209"/>
      <c r="BD1229" s="182"/>
      <c r="BE1229" s="209"/>
      <c r="BF1229" s="182"/>
      <c r="BG1229" s="209"/>
      <c r="BH1229" s="182"/>
      <c r="BI1229" s="209"/>
      <c r="BJ1229" s="183"/>
      <c r="BK1229" s="209"/>
      <c r="BL1229" s="182"/>
      <c r="BM1229" s="210"/>
      <c r="BO1229" s="28" t="e">
        <f t="shared" si="145"/>
        <v>#DIV/0!</v>
      </c>
      <c r="BP1229" s="28">
        <f t="shared" si="146"/>
        <v>0</v>
      </c>
    </row>
    <row r="1230" spans="52:68" x14ac:dyDescent="0.25">
      <c r="AZ1230" s="471"/>
      <c r="BA1230" s="181"/>
      <c r="BB1230" s="182"/>
      <c r="BC1230" s="209"/>
      <c r="BD1230" s="182"/>
      <c r="BE1230" s="209"/>
      <c r="BF1230" s="182"/>
      <c r="BG1230" s="209"/>
      <c r="BH1230" s="182"/>
      <c r="BI1230" s="209"/>
      <c r="BJ1230" s="183"/>
      <c r="BK1230" s="209"/>
      <c r="BL1230" s="182"/>
      <c r="BM1230" s="210"/>
      <c r="BO1230" s="28" t="e">
        <f t="shared" si="145"/>
        <v>#DIV/0!</v>
      </c>
      <c r="BP1230" s="28">
        <f t="shared" si="146"/>
        <v>0</v>
      </c>
    </row>
    <row r="1231" spans="52:68" x14ac:dyDescent="0.25">
      <c r="AZ1231" s="471"/>
      <c r="BA1231" s="181"/>
      <c r="BB1231" s="182"/>
      <c r="BC1231" s="209"/>
      <c r="BD1231" s="182"/>
      <c r="BE1231" s="209"/>
      <c r="BF1231" s="182"/>
      <c r="BG1231" s="209"/>
      <c r="BH1231" s="182"/>
      <c r="BI1231" s="209"/>
      <c r="BJ1231" s="183"/>
      <c r="BK1231" s="209"/>
      <c r="BL1231" s="182"/>
      <c r="BM1231" s="210"/>
      <c r="BO1231" s="28" t="e">
        <f t="shared" si="145"/>
        <v>#DIV/0!</v>
      </c>
      <c r="BP1231" s="28">
        <f t="shared" si="146"/>
        <v>0</v>
      </c>
    </row>
    <row r="1232" spans="52:68" x14ac:dyDescent="0.25">
      <c r="AZ1232" s="471"/>
      <c r="BA1232" s="181"/>
      <c r="BB1232" s="182"/>
      <c r="BC1232" s="209"/>
      <c r="BD1232" s="182"/>
      <c r="BE1232" s="209"/>
      <c r="BF1232" s="182"/>
      <c r="BG1232" s="209"/>
      <c r="BH1232" s="182"/>
      <c r="BI1232" s="209"/>
      <c r="BJ1232" s="183"/>
      <c r="BK1232" s="209"/>
      <c r="BL1232" s="182"/>
      <c r="BM1232" s="210"/>
      <c r="BO1232" s="28" t="e">
        <f t="shared" si="145"/>
        <v>#DIV/0!</v>
      </c>
      <c r="BP1232" s="28">
        <f t="shared" si="146"/>
        <v>0</v>
      </c>
    </row>
    <row r="1233" spans="52:68" x14ac:dyDescent="0.25">
      <c r="AZ1233" s="471"/>
      <c r="BA1233" s="181"/>
      <c r="BB1233" s="182"/>
      <c r="BC1233" s="209"/>
      <c r="BD1233" s="182"/>
      <c r="BE1233" s="209"/>
      <c r="BF1233" s="182"/>
      <c r="BG1233" s="209"/>
      <c r="BH1233" s="182"/>
      <c r="BI1233" s="209"/>
      <c r="BJ1233" s="183"/>
      <c r="BK1233" s="209"/>
      <c r="BL1233" s="182"/>
      <c r="BM1233" s="210"/>
      <c r="BO1233" s="28" t="e">
        <f t="shared" si="145"/>
        <v>#DIV/0!</v>
      </c>
      <c r="BP1233" s="28">
        <f t="shared" si="146"/>
        <v>0</v>
      </c>
    </row>
    <row r="1234" spans="52:68" x14ac:dyDescent="0.25">
      <c r="AZ1234" s="471"/>
      <c r="BA1234" s="181"/>
      <c r="BB1234" s="182"/>
      <c r="BC1234" s="209"/>
      <c r="BD1234" s="182"/>
      <c r="BE1234" s="209"/>
      <c r="BF1234" s="182"/>
      <c r="BG1234" s="209"/>
      <c r="BH1234" s="182"/>
      <c r="BI1234" s="209"/>
      <c r="BJ1234" s="183"/>
      <c r="BK1234" s="209"/>
      <c r="BL1234" s="182"/>
      <c r="BM1234" s="210"/>
      <c r="BO1234" s="28" t="e">
        <f t="shared" si="145"/>
        <v>#DIV/0!</v>
      </c>
      <c r="BP1234" s="28">
        <f t="shared" si="146"/>
        <v>0</v>
      </c>
    </row>
    <row r="1235" spans="52:68" x14ac:dyDescent="0.25">
      <c r="AZ1235" s="471"/>
      <c r="BA1235" s="181"/>
      <c r="BB1235" s="182"/>
      <c r="BC1235" s="209"/>
      <c r="BD1235" s="182"/>
      <c r="BE1235" s="209"/>
      <c r="BF1235" s="182"/>
      <c r="BG1235" s="209"/>
      <c r="BH1235" s="182"/>
      <c r="BI1235" s="209"/>
      <c r="BJ1235" s="183"/>
      <c r="BK1235" s="209"/>
      <c r="BL1235" s="182"/>
      <c r="BM1235" s="210"/>
      <c r="BO1235" s="28" t="e">
        <f t="shared" si="145"/>
        <v>#DIV/0!</v>
      </c>
      <c r="BP1235" s="28">
        <f t="shared" si="146"/>
        <v>0</v>
      </c>
    </row>
    <row r="1236" spans="52:68" x14ac:dyDescent="0.25">
      <c r="AZ1236" s="471"/>
      <c r="BA1236" s="181"/>
      <c r="BB1236" s="182"/>
      <c r="BC1236" s="209"/>
      <c r="BD1236" s="182"/>
      <c r="BE1236" s="209"/>
      <c r="BF1236" s="182"/>
      <c r="BG1236" s="209"/>
      <c r="BH1236" s="182"/>
      <c r="BI1236" s="209"/>
      <c r="BJ1236" s="183"/>
      <c r="BK1236" s="209"/>
      <c r="BL1236" s="182"/>
      <c r="BM1236" s="210"/>
      <c r="BO1236" s="28" t="e">
        <f t="shared" si="145"/>
        <v>#DIV/0!</v>
      </c>
      <c r="BP1236" s="28">
        <f t="shared" si="146"/>
        <v>0</v>
      </c>
    </row>
    <row r="1237" spans="52:68" x14ac:dyDescent="0.25">
      <c r="AZ1237" s="471"/>
      <c r="BA1237" s="181"/>
      <c r="BB1237" s="182"/>
      <c r="BC1237" s="209"/>
      <c r="BD1237" s="182"/>
      <c r="BE1237" s="209"/>
      <c r="BF1237" s="182"/>
      <c r="BG1237" s="209"/>
      <c r="BH1237" s="182"/>
      <c r="BI1237" s="209"/>
      <c r="BJ1237" s="183"/>
      <c r="BK1237" s="209"/>
      <c r="BL1237" s="182"/>
      <c r="BM1237" s="210"/>
      <c r="BO1237" s="28" t="e">
        <f t="shared" si="145"/>
        <v>#DIV/0!</v>
      </c>
      <c r="BP1237" s="28">
        <f t="shared" si="146"/>
        <v>0</v>
      </c>
    </row>
    <row r="1238" spans="52:68" x14ac:dyDescent="0.25">
      <c r="AZ1238" s="471"/>
      <c r="BA1238" s="181"/>
      <c r="BB1238" s="182"/>
      <c r="BC1238" s="209"/>
      <c r="BD1238" s="182"/>
      <c r="BE1238" s="209"/>
      <c r="BF1238" s="182"/>
      <c r="BG1238" s="209"/>
      <c r="BH1238" s="182"/>
      <c r="BI1238" s="209"/>
      <c r="BJ1238" s="183"/>
      <c r="BK1238" s="209"/>
      <c r="BL1238" s="182"/>
      <c r="BM1238" s="210"/>
      <c r="BO1238" s="28" t="e">
        <f t="shared" si="145"/>
        <v>#DIV/0!</v>
      </c>
      <c r="BP1238" s="28">
        <f t="shared" si="146"/>
        <v>0</v>
      </c>
    </row>
    <row r="1239" spans="52:68" x14ac:dyDescent="0.25">
      <c r="AZ1239" s="471"/>
      <c r="BA1239" s="181"/>
      <c r="BB1239" s="182"/>
      <c r="BC1239" s="209"/>
      <c r="BD1239" s="182"/>
      <c r="BE1239" s="209"/>
      <c r="BF1239" s="182"/>
      <c r="BG1239" s="209"/>
      <c r="BH1239" s="182"/>
      <c r="BI1239" s="209"/>
      <c r="BJ1239" s="183"/>
      <c r="BK1239" s="209"/>
      <c r="BL1239" s="182"/>
      <c r="BM1239" s="210"/>
      <c r="BO1239" s="28" t="e">
        <f t="shared" si="145"/>
        <v>#DIV/0!</v>
      </c>
      <c r="BP1239" s="28">
        <f t="shared" si="146"/>
        <v>0</v>
      </c>
    </row>
    <row r="1240" spans="52:68" x14ac:dyDescent="0.25">
      <c r="AZ1240" s="471"/>
      <c r="BA1240" s="181"/>
      <c r="BB1240" s="182"/>
      <c r="BC1240" s="209"/>
      <c r="BD1240" s="182"/>
      <c r="BE1240" s="209"/>
      <c r="BF1240" s="182"/>
      <c r="BG1240" s="209"/>
      <c r="BH1240" s="182"/>
      <c r="BI1240" s="209"/>
      <c r="BJ1240" s="183"/>
      <c r="BK1240" s="209"/>
      <c r="BL1240" s="182"/>
      <c r="BM1240" s="210"/>
      <c r="BO1240" s="28" t="e">
        <f t="shared" si="145"/>
        <v>#DIV/0!</v>
      </c>
      <c r="BP1240" s="28">
        <f t="shared" si="146"/>
        <v>0</v>
      </c>
    </row>
    <row r="1241" spans="52:68" x14ac:dyDescent="0.25">
      <c r="AZ1241" s="471"/>
      <c r="BA1241" s="181"/>
      <c r="BB1241" s="182"/>
      <c r="BC1241" s="209"/>
      <c r="BD1241" s="182"/>
      <c r="BE1241" s="209"/>
      <c r="BF1241" s="182"/>
      <c r="BG1241" s="209"/>
      <c r="BH1241" s="182"/>
      <c r="BI1241" s="209"/>
      <c r="BJ1241" s="183"/>
      <c r="BK1241" s="209"/>
      <c r="BL1241" s="182"/>
      <c r="BM1241" s="210"/>
      <c r="BO1241" s="28" t="e">
        <f t="shared" si="145"/>
        <v>#DIV/0!</v>
      </c>
      <c r="BP1241" s="28">
        <f t="shared" si="146"/>
        <v>0</v>
      </c>
    </row>
    <row r="1242" spans="52:68" x14ac:dyDescent="0.25">
      <c r="AZ1242" s="471"/>
      <c r="BA1242" s="181"/>
      <c r="BB1242" s="182"/>
      <c r="BC1242" s="209"/>
      <c r="BD1242" s="182"/>
      <c r="BE1242" s="209"/>
      <c r="BF1242" s="182"/>
      <c r="BG1242" s="209"/>
      <c r="BH1242" s="182"/>
      <c r="BI1242" s="209"/>
      <c r="BJ1242" s="183"/>
      <c r="BK1242" s="209"/>
      <c r="BL1242" s="182"/>
      <c r="BM1242" s="210"/>
      <c r="BO1242" s="28" t="e">
        <f t="shared" si="145"/>
        <v>#DIV/0!</v>
      </c>
      <c r="BP1242" s="28">
        <f t="shared" si="146"/>
        <v>0</v>
      </c>
    </row>
    <row r="1243" spans="52:68" x14ac:dyDescent="0.25">
      <c r="AZ1243" s="471"/>
      <c r="BA1243" s="181"/>
      <c r="BB1243" s="182"/>
      <c r="BC1243" s="209"/>
      <c r="BD1243" s="182"/>
      <c r="BE1243" s="209"/>
      <c r="BF1243" s="182"/>
      <c r="BG1243" s="209"/>
      <c r="BH1243" s="182"/>
      <c r="BI1243" s="209"/>
      <c r="BJ1243" s="183"/>
      <c r="BK1243" s="209"/>
      <c r="BL1243" s="182"/>
      <c r="BM1243" s="210"/>
      <c r="BO1243" s="28" t="e">
        <f t="shared" si="145"/>
        <v>#DIV/0!</v>
      </c>
      <c r="BP1243" s="28">
        <f t="shared" si="146"/>
        <v>0</v>
      </c>
    </row>
    <row r="1244" spans="52:68" x14ac:dyDescent="0.25">
      <c r="AZ1244" s="471"/>
      <c r="BA1244" s="181"/>
      <c r="BB1244" s="182"/>
      <c r="BC1244" s="209"/>
      <c r="BD1244" s="182"/>
      <c r="BE1244" s="209"/>
      <c r="BF1244" s="182"/>
      <c r="BG1244" s="209"/>
      <c r="BH1244" s="182"/>
      <c r="BI1244" s="209"/>
      <c r="BJ1244" s="183"/>
      <c r="BK1244" s="209"/>
      <c r="BL1244" s="182"/>
      <c r="BM1244" s="210"/>
      <c r="BO1244" s="28" t="e">
        <f t="shared" si="145"/>
        <v>#DIV/0!</v>
      </c>
      <c r="BP1244" s="28">
        <f t="shared" si="146"/>
        <v>0</v>
      </c>
    </row>
    <row r="1245" spans="52:68" x14ac:dyDescent="0.25">
      <c r="AZ1245" s="471"/>
      <c r="BA1245" s="181"/>
      <c r="BB1245" s="182"/>
      <c r="BC1245" s="209"/>
      <c r="BD1245" s="182"/>
      <c r="BE1245" s="209"/>
      <c r="BF1245" s="182"/>
      <c r="BG1245" s="209"/>
      <c r="BH1245" s="182"/>
      <c r="BI1245" s="209"/>
      <c r="BJ1245" s="183"/>
      <c r="BK1245" s="209"/>
      <c r="BL1245" s="182"/>
      <c r="BM1245" s="210"/>
      <c r="BO1245" s="28" t="e">
        <f t="shared" si="145"/>
        <v>#DIV/0!</v>
      </c>
      <c r="BP1245" s="28">
        <f t="shared" si="146"/>
        <v>0</v>
      </c>
    </row>
    <row r="1246" spans="52:68" x14ac:dyDescent="0.25">
      <c r="AZ1246" s="471"/>
      <c r="BA1246" s="181"/>
      <c r="BB1246" s="182"/>
      <c r="BC1246" s="209"/>
      <c r="BD1246" s="182"/>
      <c r="BE1246" s="209"/>
      <c r="BF1246" s="182"/>
      <c r="BG1246" s="209"/>
      <c r="BH1246" s="182"/>
      <c r="BI1246" s="209"/>
      <c r="BJ1246" s="183"/>
      <c r="BK1246" s="209"/>
      <c r="BL1246" s="182"/>
      <c r="BM1246" s="210"/>
      <c r="BO1246" s="28" t="e">
        <f t="shared" si="145"/>
        <v>#DIV/0!</v>
      </c>
      <c r="BP1246" s="28">
        <f t="shared" si="146"/>
        <v>0</v>
      </c>
    </row>
    <row r="1247" spans="52:68" x14ac:dyDescent="0.25">
      <c r="AZ1247" s="471"/>
      <c r="BA1247" s="181"/>
      <c r="BB1247" s="182"/>
      <c r="BC1247" s="209"/>
      <c r="BD1247" s="182"/>
      <c r="BE1247" s="209"/>
      <c r="BF1247" s="182"/>
      <c r="BG1247" s="209"/>
      <c r="BH1247" s="182"/>
      <c r="BI1247" s="209"/>
      <c r="BJ1247" s="183"/>
      <c r="BK1247" s="209"/>
      <c r="BL1247" s="182"/>
      <c r="BM1247" s="210"/>
      <c r="BO1247" s="28" t="e">
        <f t="shared" si="145"/>
        <v>#DIV/0!</v>
      </c>
      <c r="BP1247" s="28">
        <f t="shared" si="146"/>
        <v>0</v>
      </c>
    </row>
    <row r="1248" spans="52:68" x14ac:dyDescent="0.25">
      <c r="AZ1248" s="471"/>
      <c r="BA1248" s="181"/>
      <c r="BB1248" s="182"/>
      <c r="BC1248" s="209"/>
      <c r="BD1248" s="182"/>
      <c r="BE1248" s="209"/>
      <c r="BF1248" s="182"/>
      <c r="BG1248" s="209"/>
      <c r="BH1248" s="182"/>
      <c r="BI1248" s="209"/>
      <c r="BJ1248" s="183"/>
      <c r="BK1248" s="209"/>
      <c r="BL1248" s="182"/>
      <c r="BM1248" s="210"/>
      <c r="BO1248" s="28" t="e">
        <f t="shared" si="145"/>
        <v>#DIV/0!</v>
      </c>
      <c r="BP1248" s="28">
        <f t="shared" si="146"/>
        <v>0</v>
      </c>
    </row>
    <row r="1249" spans="52:68" x14ac:dyDescent="0.25">
      <c r="AZ1249" s="471"/>
      <c r="BA1249" s="181"/>
      <c r="BB1249" s="182"/>
      <c r="BC1249" s="209"/>
      <c r="BD1249" s="182"/>
      <c r="BE1249" s="209"/>
      <c r="BF1249" s="182"/>
      <c r="BG1249" s="209"/>
      <c r="BH1249" s="182"/>
      <c r="BI1249" s="209"/>
      <c r="BJ1249" s="183"/>
      <c r="BK1249" s="209"/>
      <c r="BL1249" s="182"/>
      <c r="BM1249" s="210"/>
      <c r="BO1249" s="28" t="e">
        <f t="shared" si="145"/>
        <v>#DIV/0!</v>
      </c>
      <c r="BP1249" s="28">
        <f t="shared" si="146"/>
        <v>0</v>
      </c>
    </row>
    <row r="1250" spans="52:68" x14ac:dyDescent="0.25">
      <c r="AZ1250" s="471"/>
      <c r="BA1250" s="181"/>
      <c r="BB1250" s="182"/>
      <c r="BC1250" s="209"/>
      <c r="BD1250" s="182"/>
      <c r="BE1250" s="209"/>
      <c r="BF1250" s="182"/>
      <c r="BG1250" s="209"/>
      <c r="BH1250" s="182"/>
      <c r="BI1250" s="209"/>
      <c r="BJ1250" s="183"/>
      <c r="BK1250" s="209"/>
      <c r="BL1250" s="182"/>
      <c r="BM1250" s="210"/>
      <c r="BO1250" s="28" t="e">
        <f t="shared" si="145"/>
        <v>#DIV/0!</v>
      </c>
      <c r="BP1250" s="28">
        <f t="shared" si="146"/>
        <v>0</v>
      </c>
    </row>
    <row r="1251" spans="52:68" x14ac:dyDescent="0.25">
      <c r="AZ1251" s="471"/>
      <c r="BA1251" s="181"/>
      <c r="BB1251" s="182"/>
      <c r="BC1251" s="209"/>
      <c r="BD1251" s="182"/>
      <c r="BE1251" s="209"/>
      <c r="BF1251" s="182"/>
      <c r="BG1251" s="209"/>
      <c r="BH1251" s="182"/>
      <c r="BI1251" s="209"/>
      <c r="BJ1251" s="183"/>
      <c r="BK1251" s="209"/>
      <c r="BL1251" s="182"/>
      <c r="BM1251" s="210"/>
      <c r="BO1251" s="28" t="e">
        <f t="shared" si="145"/>
        <v>#DIV/0!</v>
      </c>
      <c r="BP1251" s="28">
        <f t="shared" si="146"/>
        <v>0</v>
      </c>
    </row>
    <row r="1252" spans="52:68" x14ac:dyDescent="0.25">
      <c r="AZ1252" s="471"/>
      <c r="BA1252" s="181"/>
      <c r="BB1252" s="182"/>
      <c r="BC1252" s="209"/>
      <c r="BD1252" s="182"/>
      <c r="BE1252" s="209"/>
      <c r="BF1252" s="182"/>
      <c r="BG1252" s="209"/>
      <c r="BH1252" s="182"/>
      <c r="BI1252" s="209"/>
      <c r="BJ1252" s="183"/>
      <c r="BK1252" s="209"/>
      <c r="BL1252" s="182"/>
      <c r="BM1252" s="210"/>
      <c r="BO1252" s="28" t="e">
        <f t="shared" si="145"/>
        <v>#DIV/0!</v>
      </c>
      <c r="BP1252" s="28">
        <f t="shared" si="146"/>
        <v>0</v>
      </c>
    </row>
    <row r="1253" spans="52:68" x14ac:dyDescent="0.25">
      <c r="AZ1253" s="471"/>
      <c r="BA1253" s="181"/>
      <c r="BB1253" s="182"/>
      <c r="BC1253" s="209"/>
      <c r="BD1253" s="182"/>
      <c r="BE1253" s="209"/>
      <c r="BF1253" s="182"/>
      <c r="BG1253" s="209"/>
      <c r="BH1253" s="182"/>
      <c r="BI1253" s="209"/>
      <c r="BJ1253" s="183"/>
      <c r="BK1253" s="209"/>
      <c r="BL1253" s="182"/>
      <c r="BM1253" s="210"/>
      <c r="BO1253" s="28" t="e">
        <f t="shared" si="145"/>
        <v>#DIV/0!</v>
      </c>
      <c r="BP1253" s="28">
        <f t="shared" si="146"/>
        <v>0</v>
      </c>
    </row>
    <row r="1254" spans="52:68" x14ac:dyDescent="0.25">
      <c r="AZ1254" s="471"/>
      <c r="BA1254" s="181"/>
      <c r="BB1254" s="182"/>
      <c r="BC1254" s="209"/>
      <c r="BD1254" s="182"/>
      <c r="BE1254" s="209"/>
      <c r="BF1254" s="182"/>
      <c r="BG1254" s="209"/>
      <c r="BH1254" s="182"/>
      <c r="BI1254" s="209"/>
      <c r="BJ1254" s="183"/>
      <c r="BK1254" s="209"/>
      <c r="BL1254" s="182"/>
      <c r="BM1254" s="210"/>
      <c r="BO1254" s="28" t="e">
        <f t="shared" si="145"/>
        <v>#DIV/0!</v>
      </c>
      <c r="BP1254" s="28">
        <f t="shared" si="146"/>
        <v>0</v>
      </c>
    </row>
    <row r="1255" spans="52:68" x14ac:dyDescent="0.25">
      <c r="AZ1255" s="471"/>
      <c r="BA1255" s="181"/>
      <c r="BB1255" s="182"/>
      <c r="BC1255" s="209"/>
      <c r="BD1255" s="182"/>
      <c r="BE1255" s="209"/>
      <c r="BF1255" s="182"/>
      <c r="BG1255" s="209"/>
      <c r="BH1255" s="182"/>
      <c r="BI1255" s="209"/>
      <c r="BJ1255" s="183"/>
      <c r="BK1255" s="209"/>
      <c r="BL1255" s="182"/>
      <c r="BM1255" s="210"/>
      <c r="BO1255" s="28" t="e">
        <f t="shared" si="145"/>
        <v>#DIV/0!</v>
      </c>
      <c r="BP1255" s="28">
        <f t="shared" si="146"/>
        <v>0</v>
      </c>
    </row>
    <row r="1256" spans="52:68" x14ac:dyDescent="0.25">
      <c r="AZ1256" s="471"/>
      <c r="BA1256" s="181"/>
      <c r="BB1256" s="182"/>
      <c r="BC1256" s="209"/>
      <c r="BD1256" s="182"/>
      <c r="BE1256" s="209"/>
      <c r="BF1256" s="182"/>
      <c r="BG1256" s="209"/>
      <c r="BH1256" s="182"/>
      <c r="BI1256" s="209"/>
      <c r="BJ1256" s="183"/>
      <c r="BK1256" s="209"/>
      <c r="BL1256" s="182"/>
      <c r="BM1256" s="210"/>
      <c r="BO1256" s="28" t="e">
        <f t="shared" si="145"/>
        <v>#DIV/0!</v>
      </c>
      <c r="BP1256" s="28">
        <f t="shared" si="146"/>
        <v>0</v>
      </c>
    </row>
    <row r="1257" spans="52:68" x14ac:dyDescent="0.25">
      <c r="AZ1257" s="471"/>
      <c r="BA1257" s="181"/>
      <c r="BB1257" s="182"/>
      <c r="BC1257" s="209"/>
      <c r="BD1257" s="182"/>
      <c r="BE1257" s="209"/>
      <c r="BF1257" s="182"/>
      <c r="BG1257" s="209"/>
      <c r="BH1257" s="182"/>
      <c r="BI1257" s="209"/>
      <c r="BJ1257" s="183"/>
      <c r="BK1257" s="209"/>
      <c r="BL1257" s="182"/>
      <c r="BM1257" s="210"/>
      <c r="BO1257" s="28" t="e">
        <f t="shared" si="145"/>
        <v>#DIV/0!</v>
      </c>
      <c r="BP1257" s="28">
        <f t="shared" si="146"/>
        <v>0</v>
      </c>
    </row>
    <row r="1258" spans="52:68" x14ac:dyDescent="0.25">
      <c r="AZ1258" s="471"/>
      <c r="BA1258" s="181"/>
      <c r="BB1258" s="182"/>
      <c r="BC1258" s="209"/>
      <c r="BD1258" s="182"/>
      <c r="BE1258" s="209"/>
      <c r="BF1258" s="182"/>
      <c r="BG1258" s="209"/>
      <c r="BH1258" s="182"/>
      <c r="BI1258" s="209"/>
      <c r="BJ1258" s="183"/>
      <c r="BK1258" s="209"/>
      <c r="BL1258" s="182"/>
      <c r="BM1258" s="210"/>
      <c r="BO1258" s="28" t="e">
        <f t="shared" si="145"/>
        <v>#DIV/0!</v>
      </c>
      <c r="BP1258" s="28">
        <f t="shared" si="146"/>
        <v>0</v>
      </c>
    </row>
    <row r="1259" spans="52:68" x14ac:dyDescent="0.25">
      <c r="AZ1259" s="471"/>
      <c r="BA1259" s="181"/>
      <c r="BB1259" s="182"/>
      <c r="BC1259" s="209"/>
      <c r="BD1259" s="182"/>
      <c r="BE1259" s="209"/>
      <c r="BF1259" s="182"/>
      <c r="BG1259" s="209"/>
      <c r="BH1259" s="182"/>
      <c r="BI1259" s="209"/>
      <c r="BJ1259" s="183"/>
      <c r="BK1259" s="209"/>
      <c r="BL1259" s="182"/>
      <c r="BM1259" s="210"/>
      <c r="BO1259" s="28" t="e">
        <f t="shared" si="145"/>
        <v>#DIV/0!</v>
      </c>
      <c r="BP1259" s="28">
        <f t="shared" si="146"/>
        <v>0</v>
      </c>
    </row>
    <row r="1260" spans="52:68" x14ac:dyDescent="0.25">
      <c r="AZ1260" s="471"/>
      <c r="BA1260" s="181"/>
      <c r="BB1260" s="182"/>
      <c r="BC1260" s="209"/>
      <c r="BD1260" s="182"/>
      <c r="BE1260" s="209"/>
      <c r="BF1260" s="182"/>
      <c r="BG1260" s="209"/>
      <c r="BH1260" s="182"/>
      <c r="BI1260" s="209"/>
      <c r="BJ1260" s="183"/>
      <c r="BK1260" s="209"/>
      <c r="BL1260" s="182"/>
      <c r="BM1260" s="210"/>
      <c r="BO1260" s="28" t="e">
        <f t="shared" si="145"/>
        <v>#DIV/0!</v>
      </c>
      <c r="BP1260" s="28">
        <f t="shared" si="146"/>
        <v>0</v>
      </c>
    </row>
    <row r="1261" spans="52:68" x14ac:dyDescent="0.25">
      <c r="AZ1261" s="471"/>
      <c r="BA1261" s="181"/>
      <c r="BB1261" s="182"/>
      <c r="BC1261" s="209"/>
      <c r="BD1261" s="182"/>
      <c r="BE1261" s="209"/>
      <c r="BF1261" s="182"/>
      <c r="BG1261" s="209"/>
      <c r="BH1261" s="182"/>
      <c r="BI1261" s="209"/>
      <c r="BJ1261" s="183"/>
      <c r="BK1261" s="209"/>
      <c r="BL1261" s="182"/>
      <c r="BM1261" s="210"/>
      <c r="BO1261" s="28" t="e">
        <f t="shared" si="145"/>
        <v>#DIV/0!</v>
      </c>
      <c r="BP1261" s="28">
        <f t="shared" si="146"/>
        <v>0</v>
      </c>
    </row>
    <row r="1262" spans="52:68" x14ac:dyDescent="0.25">
      <c r="AZ1262" s="471"/>
      <c r="BA1262" s="181"/>
      <c r="BB1262" s="182"/>
      <c r="BC1262" s="209"/>
      <c r="BD1262" s="182"/>
      <c r="BE1262" s="209"/>
      <c r="BF1262" s="182"/>
      <c r="BG1262" s="209"/>
      <c r="BH1262" s="182"/>
      <c r="BI1262" s="209"/>
      <c r="BJ1262" s="183"/>
      <c r="BK1262" s="209"/>
      <c r="BL1262" s="182"/>
      <c r="BM1262" s="210"/>
      <c r="BO1262" s="28" t="e">
        <f t="shared" si="145"/>
        <v>#DIV/0!</v>
      </c>
      <c r="BP1262" s="28">
        <f t="shared" si="146"/>
        <v>0</v>
      </c>
    </row>
    <row r="1263" spans="52:68" x14ac:dyDescent="0.25">
      <c r="AZ1263" s="471"/>
      <c r="BA1263" s="181"/>
      <c r="BB1263" s="182"/>
      <c r="BC1263" s="209"/>
      <c r="BD1263" s="182"/>
      <c r="BE1263" s="209"/>
      <c r="BF1263" s="182"/>
      <c r="BG1263" s="209"/>
      <c r="BH1263" s="182"/>
      <c r="BI1263" s="209"/>
      <c r="BJ1263" s="183"/>
      <c r="BK1263" s="209"/>
      <c r="BL1263" s="182"/>
      <c r="BM1263" s="210"/>
      <c r="BO1263" s="28" t="e">
        <f t="shared" si="145"/>
        <v>#DIV/0!</v>
      </c>
      <c r="BP1263" s="28">
        <f t="shared" si="146"/>
        <v>0</v>
      </c>
    </row>
    <row r="1264" spans="52:68" x14ac:dyDescent="0.25">
      <c r="AZ1264" s="471"/>
      <c r="BA1264" s="181"/>
      <c r="BB1264" s="182"/>
      <c r="BC1264" s="209"/>
      <c r="BD1264" s="182"/>
      <c r="BE1264" s="209"/>
      <c r="BF1264" s="182"/>
      <c r="BG1264" s="209"/>
      <c r="BH1264" s="182"/>
      <c r="BI1264" s="209"/>
      <c r="BJ1264" s="183"/>
      <c r="BK1264" s="209"/>
      <c r="BL1264" s="182"/>
      <c r="BM1264" s="210"/>
      <c r="BO1264" s="28" t="e">
        <f t="shared" si="145"/>
        <v>#DIV/0!</v>
      </c>
      <c r="BP1264" s="28">
        <f t="shared" si="146"/>
        <v>0</v>
      </c>
    </row>
    <row r="1265" spans="52:68" x14ac:dyDescent="0.25">
      <c r="AZ1265" s="471"/>
      <c r="BA1265" s="181"/>
      <c r="BB1265" s="182"/>
      <c r="BC1265" s="209"/>
      <c r="BD1265" s="182"/>
      <c r="BE1265" s="209"/>
      <c r="BF1265" s="182"/>
      <c r="BG1265" s="209"/>
      <c r="BH1265" s="182"/>
      <c r="BI1265" s="209"/>
      <c r="BJ1265" s="183"/>
      <c r="BK1265" s="209"/>
      <c r="BL1265" s="182"/>
      <c r="BM1265" s="210"/>
      <c r="BO1265" s="28" t="e">
        <f t="shared" si="145"/>
        <v>#DIV/0!</v>
      </c>
      <c r="BP1265" s="28">
        <f t="shared" si="146"/>
        <v>0</v>
      </c>
    </row>
    <row r="1266" spans="52:68" x14ac:dyDescent="0.25">
      <c r="AZ1266" s="471"/>
      <c r="BA1266" s="181"/>
      <c r="BB1266" s="182"/>
      <c r="BC1266" s="209"/>
      <c r="BD1266" s="182"/>
      <c r="BE1266" s="209"/>
      <c r="BF1266" s="182"/>
      <c r="BG1266" s="209"/>
      <c r="BH1266" s="182"/>
      <c r="BI1266" s="209"/>
      <c r="BJ1266" s="183"/>
      <c r="BK1266" s="209"/>
      <c r="BL1266" s="182"/>
      <c r="BM1266" s="210"/>
      <c r="BO1266" s="28" t="e">
        <f t="shared" si="145"/>
        <v>#DIV/0!</v>
      </c>
      <c r="BP1266" s="28">
        <f t="shared" si="146"/>
        <v>0</v>
      </c>
    </row>
    <row r="1267" spans="52:68" x14ac:dyDescent="0.25">
      <c r="AZ1267" s="471"/>
      <c r="BA1267" s="181"/>
      <c r="BB1267" s="182"/>
      <c r="BC1267" s="209"/>
      <c r="BD1267" s="182"/>
      <c r="BE1267" s="209"/>
      <c r="BF1267" s="182"/>
      <c r="BG1267" s="209"/>
      <c r="BH1267" s="182"/>
      <c r="BI1267" s="209"/>
      <c r="BJ1267" s="183"/>
      <c r="BK1267" s="209"/>
      <c r="BL1267" s="182"/>
      <c r="BM1267" s="210"/>
      <c r="BO1267" s="28" t="e">
        <f t="shared" si="145"/>
        <v>#DIV/0!</v>
      </c>
      <c r="BP1267" s="28">
        <f t="shared" si="146"/>
        <v>0</v>
      </c>
    </row>
    <row r="1268" spans="52:68" x14ac:dyDescent="0.25">
      <c r="AZ1268" s="471"/>
      <c r="BA1268" s="181"/>
      <c r="BB1268" s="182"/>
      <c r="BC1268" s="209"/>
      <c r="BD1268" s="182"/>
      <c r="BE1268" s="209"/>
      <c r="BF1268" s="182"/>
      <c r="BG1268" s="209"/>
      <c r="BH1268" s="182"/>
      <c r="BI1268" s="209"/>
      <c r="BJ1268" s="183"/>
      <c r="BK1268" s="209"/>
      <c r="BL1268" s="182"/>
      <c r="BM1268" s="210"/>
      <c r="BO1268" s="28" t="e">
        <f t="shared" si="145"/>
        <v>#DIV/0!</v>
      </c>
      <c r="BP1268" s="28">
        <f t="shared" si="146"/>
        <v>0</v>
      </c>
    </row>
    <row r="1269" spans="52:68" x14ac:dyDescent="0.25">
      <c r="AZ1269" s="471"/>
      <c r="BA1269" s="181"/>
      <c r="BB1269" s="182"/>
      <c r="BC1269" s="209"/>
      <c r="BD1269" s="182"/>
      <c r="BE1269" s="209"/>
      <c r="BF1269" s="182"/>
      <c r="BG1269" s="209"/>
      <c r="BH1269" s="182"/>
      <c r="BI1269" s="209"/>
      <c r="BJ1269" s="183"/>
      <c r="BK1269" s="209"/>
      <c r="BL1269" s="182"/>
      <c r="BM1269" s="210"/>
      <c r="BO1269" s="28" t="e">
        <f t="shared" si="145"/>
        <v>#DIV/0!</v>
      </c>
      <c r="BP1269" s="28">
        <f t="shared" si="146"/>
        <v>0</v>
      </c>
    </row>
    <row r="1270" spans="52:68" x14ac:dyDescent="0.25">
      <c r="AZ1270" s="471"/>
      <c r="BA1270" s="181"/>
      <c r="BB1270" s="182"/>
      <c r="BC1270" s="209"/>
      <c r="BD1270" s="182"/>
      <c r="BE1270" s="209"/>
      <c r="BF1270" s="182"/>
      <c r="BG1270" s="209"/>
      <c r="BH1270" s="182"/>
      <c r="BI1270" s="209"/>
      <c r="BJ1270" s="183"/>
      <c r="BK1270" s="209"/>
      <c r="BL1270" s="182"/>
      <c r="BM1270" s="210"/>
      <c r="BO1270" s="28" t="e">
        <f t="shared" si="145"/>
        <v>#DIV/0!</v>
      </c>
      <c r="BP1270" s="28">
        <f t="shared" si="146"/>
        <v>0</v>
      </c>
    </row>
    <row r="1271" spans="52:68" x14ac:dyDescent="0.25">
      <c r="AZ1271" s="471"/>
      <c r="BA1271" s="181"/>
      <c r="BB1271" s="182"/>
      <c r="BC1271" s="209"/>
      <c r="BD1271" s="182"/>
      <c r="BE1271" s="209"/>
      <c r="BF1271" s="182"/>
      <c r="BG1271" s="209"/>
      <c r="BH1271" s="182"/>
      <c r="BI1271" s="209"/>
      <c r="BJ1271" s="183"/>
      <c r="BK1271" s="209"/>
      <c r="BL1271" s="182"/>
      <c r="BM1271" s="210"/>
      <c r="BO1271" s="28" t="e">
        <f t="shared" si="145"/>
        <v>#DIV/0!</v>
      </c>
      <c r="BP1271" s="28">
        <f t="shared" si="146"/>
        <v>0</v>
      </c>
    </row>
    <row r="1272" spans="52:68" x14ac:dyDescent="0.25">
      <c r="AZ1272" s="471"/>
      <c r="BA1272" s="181"/>
      <c r="BB1272" s="182"/>
      <c r="BC1272" s="209"/>
      <c r="BD1272" s="182"/>
      <c r="BE1272" s="209"/>
      <c r="BF1272" s="182"/>
      <c r="BG1272" s="209"/>
      <c r="BH1272" s="182"/>
      <c r="BI1272" s="209"/>
      <c r="BJ1272" s="183"/>
      <c r="BK1272" s="209"/>
      <c r="BL1272" s="182"/>
      <c r="BM1272" s="210"/>
      <c r="BO1272" s="28" t="e">
        <f t="shared" si="145"/>
        <v>#DIV/0!</v>
      </c>
      <c r="BP1272" s="28">
        <f t="shared" si="146"/>
        <v>0</v>
      </c>
    </row>
    <row r="1273" spans="52:68" x14ac:dyDescent="0.25">
      <c r="AZ1273" s="471"/>
      <c r="BA1273" s="181"/>
      <c r="BB1273" s="182"/>
      <c r="BC1273" s="209"/>
      <c r="BD1273" s="182"/>
      <c r="BE1273" s="209"/>
      <c r="BF1273" s="182"/>
      <c r="BG1273" s="209"/>
      <c r="BH1273" s="182"/>
      <c r="BI1273" s="209"/>
      <c r="BJ1273" s="183"/>
      <c r="BK1273" s="209"/>
      <c r="BL1273" s="182"/>
      <c r="BM1273" s="210"/>
      <c r="BO1273" s="28" t="e">
        <f t="shared" si="145"/>
        <v>#DIV/0!</v>
      </c>
      <c r="BP1273" s="28">
        <f t="shared" si="146"/>
        <v>0</v>
      </c>
    </row>
    <row r="1274" spans="52:68" x14ac:dyDescent="0.25">
      <c r="AZ1274" s="471"/>
      <c r="BA1274" s="181"/>
      <c r="BB1274" s="182"/>
      <c r="BC1274" s="209"/>
      <c r="BD1274" s="182"/>
      <c r="BE1274" s="209"/>
      <c r="BF1274" s="182"/>
      <c r="BG1274" s="209"/>
      <c r="BH1274" s="182"/>
      <c r="BI1274" s="209"/>
      <c r="BJ1274" s="183"/>
      <c r="BK1274" s="209"/>
      <c r="BL1274" s="182"/>
      <c r="BM1274" s="210"/>
      <c r="BO1274" s="28" t="e">
        <f t="shared" si="145"/>
        <v>#DIV/0!</v>
      </c>
      <c r="BP1274" s="28">
        <f t="shared" si="146"/>
        <v>0</v>
      </c>
    </row>
    <row r="1275" spans="52:68" x14ac:dyDescent="0.25">
      <c r="AZ1275" s="471"/>
      <c r="BA1275" s="181"/>
      <c r="BB1275" s="182"/>
      <c r="BC1275" s="209"/>
      <c r="BD1275" s="182"/>
      <c r="BE1275" s="209"/>
      <c r="BF1275" s="182"/>
      <c r="BG1275" s="209"/>
      <c r="BH1275" s="182"/>
      <c r="BI1275" s="209"/>
      <c r="BJ1275" s="183"/>
      <c r="BK1275" s="209"/>
      <c r="BL1275" s="182"/>
      <c r="BM1275" s="210"/>
      <c r="BO1275" s="28" t="e">
        <f t="shared" si="145"/>
        <v>#DIV/0!</v>
      </c>
      <c r="BP1275" s="28">
        <f t="shared" si="146"/>
        <v>0</v>
      </c>
    </row>
    <row r="1276" spans="52:68" x14ac:dyDescent="0.25">
      <c r="AZ1276" s="471"/>
      <c r="BA1276" s="181"/>
      <c r="BB1276" s="182"/>
      <c r="BC1276" s="209"/>
      <c r="BD1276" s="182"/>
      <c r="BE1276" s="209"/>
      <c r="BF1276" s="182"/>
      <c r="BG1276" s="209"/>
      <c r="BH1276" s="182"/>
      <c r="BI1276" s="209"/>
      <c r="BJ1276" s="183"/>
      <c r="BK1276" s="209"/>
      <c r="BL1276" s="182"/>
      <c r="BM1276" s="210"/>
      <c r="BO1276" s="28" t="e">
        <f t="shared" si="145"/>
        <v>#DIV/0!</v>
      </c>
      <c r="BP1276" s="28">
        <f t="shared" si="146"/>
        <v>0</v>
      </c>
    </row>
    <row r="1277" spans="52:68" x14ac:dyDescent="0.25">
      <c r="AZ1277" s="471"/>
      <c r="BA1277" s="181"/>
      <c r="BB1277" s="182"/>
      <c r="BC1277" s="209"/>
      <c r="BD1277" s="182"/>
      <c r="BE1277" s="209"/>
      <c r="BF1277" s="182"/>
      <c r="BG1277" s="209"/>
      <c r="BH1277" s="182"/>
      <c r="BI1277" s="209"/>
      <c r="BJ1277" s="183"/>
      <c r="BK1277" s="209"/>
      <c r="BL1277" s="182"/>
      <c r="BM1277" s="210"/>
      <c r="BO1277" s="28" t="e">
        <f t="shared" si="145"/>
        <v>#DIV/0!</v>
      </c>
      <c r="BP1277" s="28">
        <f t="shared" si="146"/>
        <v>0</v>
      </c>
    </row>
    <row r="1278" spans="52:68" x14ac:dyDescent="0.25">
      <c r="AZ1278" s="471"/>
      <c r="BA1278" s="181"/>
      <c r="BB1278" s="182"/>
      <c r="BC1278" s="209"/>
      <c r="BD1278" s="182"/>
      <c r="BE1278" s="209"/>
      <c r="BF1278" s="182"/>
      <c r="BG1278" s="209"/>
      <c r="BH1278" s="182"/>
      <c r="BI1278" s="209"/>
      <c r="BJ1278" s="183"/>
      <c r="BK1278" s="209"/>
      <c r="BL1278" s="182"/>
      <c r="BM1278" s="210"/>
      <c r="BO1278" s="28" t="e">
        <f t="shared" si="145"/>
        <v>#DIV/0!</v>
      </c>
      <c r="BP1278" s="28">
        <f t="shared" si="146"/>
        <v>0</v>
      </c>
    </row>
    <row r="1279" spans="52:68" x14ac:dyDescent="0.25">
      <c r="AZ1279" s="471"/>
      <c r="BA1279" s="181"/>
      <c r="BB1279" s="182"/>
      <c r="BC1279" s="209"/>
      <c r="BD1279" s="182"/>
      <c r="BE1279" s="209"/>
      <c r="BF1279" s="182"/>
      <c r="BG1279" s="209"/>
      <c r="BH1279" s="182"/>
      <c r="BI1279" s="209"/>
      <c r="BJ1279" s="183"/>
      <c r="BK1279" s="209"/>
      <c r="BL1279" s="182"/>
      <c r="BM1279" s="210"/>
      <c r="BO1279" s="28" t="e">
        <f t="shared" si="145"/>
        <v>#DIV/0!</v>
      </c>
      <c r="BP1279" s="28">
        <f t="shared" si="146"/>
        <v>0</v>
      </c>
    </row>
    <row r="1280" spans="52:68" x14ac:dyDescent="0.25">
      <c r="AZ1280" s="471"/>
      <c r="BA1280" s="181"/>
      <c r="BB1280" s="182"/>
      <c r="BC1280" s="209"/>
      <c r="BD1280" s="182"/>
      <c r="BE1280" s="209"/>
      <c r="BF1280" s="182"/>
      <c r="BG1280" s="209"/>
      <c r="BH1280" s="182"/>
      <c r="BI1280" s="209"/>
      <c r="BJ1280" s="183"/>
      <c r="BK1280" s="209"/>
      <c r="BL1280" s="182"/>
      <c r="BM1280" s="210"/>
      <c r="BO1280" s="28" t="e">
        <f t="shared" si="145"/>
        <v>#DIV/0!</v>
      </c>
      <c r="BP1280" s="28">
        <f t="shared" si="146"/>
        <v>0</v>
      </c>
    </row>
    <row r="1281" spans="52:68" x14ac:dyDescent="0.25">
      <c r="AZ1281" s="471"/>
      <c r="BA1281" s="181"/>
      <c r="BB1281" s="182"/>
      <c r="BC1281" s="209"/>
      <c r="BD1281" s="182"/>
      <c r="BE1281" s="209"/>
      <c r="BF1281" s="182"/>
      <c r="BG1281" s="209"/>
      <c r="BH1281" s="182"/>
      <c r="BI1281" s="209"/>
      <c r="BJ1281" s="183"/>
      <c r="BK1281" s="209"/>
      <c r="BL1281" s="182"/>
      <c r="BM1281" s="210"/>
      <c r="BO1281" s="28" t="e">
        <f t="shared" si="145"/>
        <v>#DIV/0!</v>
      </c>
      <c r="BP1281" s="28">
        <f t="shared" si="146"/>
        <v>0</v>
      </c>
    </row>
    <row r="1282" spans="52:68" x14ac:dyDescent="0.25">
      <c r="AZ1282" s="471"/>
      <c r="BA1282" s="181"/>
      <c r="BB1282" s="182"/>
      <c r="BC1282" s="209"/>
      <c r="BD1282" s="182"/>
      <c r="BE1282" s="209"/>
      <c r="BF1282" s="182"/>
      <c r="BG1282" s="209"/>
      <c r="BH1282" s="182"/>
      <c r="BI1282" s="209"/>
      <c r="BJ1282" s="183"/>
      <c r="BK1282" s="209"/>
      <c r="BL1282" s="182"/>
      <c r="BM1282" s="210"/>
      <c r="BO1282" s="28" t="e">
        <f t="shared" si="145"/>
        <v>#DIV/0!</v>
      </c>
      <c r="BP1282" s="28">
        <f t="shared" si="146"/>
        <v>0</v>
      </c>
    </row>
    <row r="1283" spans="52:68" x14ac:dyDescent="0.25">
      <c r="AZ1283" s="471"/>
      <c r="BA1283" s="181"/>
      <c r="BB1283" s="182"/>
      <c r="BC1283" s="209"/>
      <c r="BD1283" s="182"/>
      <c r="BE1283" s="209"/>
      <c r="BF1283" s="182"/>
      <c r="BG1283" s="209"/>
      <c r="BH1283" s="182"/>
      <c r="BI1283" s="209"/>
      <c r="BJ1283" s="183"/>
      <c r="BK1283" s="209"/>
      <c r="BL1283" s="182"/>
      <c r="BM1283" s="210"/>
      <c r="BO1283" s="28" t="e">
        <f t="shared" si="145"/>
        <v>#DIV/0!</v>
      </c>
      <c r="BP1283" s="28">
        <f t="shared" si="146"/>
        <v>0</v>
      </c>
    </row>
    <row r="1284" spans="52:68" x14ac:dyDescent="0.25">
      <c r="AZ1284" s="471"/>
      <c r="BA1284" s="181"/>
      <c r="BB1284" s="182"/>
      <c r="BC1284" s="209"/>
      <c r="BD1284" s="182"/>
      <c r="BE1284" s="209"/>
      <c r="BF1284" s="182"/>
      <c r="BG1284" s="209"/>
      <c r="BH1284" s="182"/>
      <c r="BI1284" s="209"/>
      <c r="BJ1284" s="183"/>
      <c r="BK1284" s="209"/>
      <c r="BL1284" s="182"/>
      <c r="BM1284" s="210"/>
      <c r="BO1284" s="28" t="e">
        <f t="shared" si="145"/>
        <v>#DIV/0!</v>
      </c>
      <c r="BP1284" s="28">
        <f t="shared" si="146"/>
        <v>0</v>
      </c>
    </row>
    <row r="1285" spans="52:68" x14ac:dyDescent="0.25">
      <c r="AZ1285" s="471"/>
      <c r="BA1285" s="181"/>
      <c r="BB1285" s="182"/>
      <c r="BC1285" s="209"/>
      <c r="BD1285" s="182"/>
      <c r="BE1285" s="209"/>
      <c r="BF1285" s="182"/>
      <c r="BG1285" s="209"/>
      <c r="BH1285" s="182"/>
      <c r="BI1285" s="209"/>
      <c r="BJ1285" s="183"/>
      <c r="BK1285" s="209"/>
      <c r="BL1285" s="182"/>
      <c r="BM1285" s="210"/>
      <c r="BO1285" s="28" t="e">
        <f t="shared" si="145"/>
        <v>#DIV/0!</v>
      </c>
      <c r="BP1285" s="28">
        <f t="shared" si="146"/>
        <v>0</v>
      </c>
    </row>
    <row r="1286" spans="52:68" x14ac:dyDescent="0.25">
      <c r="AZ1286" s="471"/>
      <c r="BA1286" s="181"/>
      <c r="BB1286" s="182"/>
      <c r="BC1286" s="209"/>
      <c r="BD1286" s="182"/>
      <c r="BE1286" s="209"/>
      <c r="BF1286" s="182"/>
      <c r="BG1286" s="209"/>
      <c r="BH1286" s="182"/>
      <c r="BI1286" s="209"/>
      <c r="BJ1286" s="183"/>
      <c r="BK1286" s="209"/>
      <c r="BL1286" s="182"/>
      <c r="BM1286" s="210"/>
      <c r="BO1286" s="28" t="e">
        <f t="shared" si="145"/>
        <v>#DIV/0!</v>
      </c>
      <c r="BP1286" s="28">
        <f t="shared" si="146"/>
        <v>0</v>
      </c>
    </row>
    <row r="1287" spans="52:68" x14ac:dyDescent="0.25">
      <c r="AZ1287" s="471"/>
      <c r="BA1287" s="181"/>
      <c r="BB1287" s="182"/>
      <c r="BC1287" s="209"/>
      <c r="BD1287" s="182"/>
      <c r="BE1287" s="209"/>
      <c r="BF1287" s="182"/>
      <c r="BG1287" s="209"/>
      <c r="BH1287" s="182"/>
      <c r="BI1287" s="209"/>
      <c r="BJ1287" s="183"/>
      <c r="BK1287" s="209"/>
      <c r="BL1287" s="182"/>
      <c r="BM1287" s="210"/>
      <c r="BO1287" s="28" t="e">
        <f t="shared" si="145"/>
        <v>#DIV/0!</v>
      </c>
      <c r="BP1287" s="28">
        <f t="shared" si="146"/>
        <v>0</v>
      </c>
    </row>
    <row r="1288" spans="52:68" x14ac:dyDescent="0.25">
      <c r="AZ1288" s="471"/>
      <c r="BA1288" s="181"/>
      <c r="BB1288" s="182"/>
      <c r="BC1288" s="209"/>
      <c r="BD1288" s="182"/>
      <c r="BE1288" s="209"/>
      <c r="BF1288" s="182"/>
      <c r="BG1288" s="209"/>
      <c r="BH1288" s="182"/>
      <c r="BI1288" s="209"/>
      <c r="BJ1288" s="183"/>
      <c r="BK1288" s="209"/>
      <c r="BL1288" s="182"/>
      <c r="BM1288" s="210"/>
      <c r="BO1288" s="28" t="e">
        <f t="shared" si="145"/>
        <v>#DIV/0!</v>
      </c>
      <c r="BP1288" s="28">
        <f t="shared" si="146"/>
        <v>0</v>
      </c>
    </row>
    <row r="1289" spans="52:68" x14ac:dyDescent="0.25">
      <c r="AZ1289" s="471"/>
      <c r="BA1289" s="181"/>
      <c r="BB1289" s="182"/>
      <c r="BC1289" s="209"/>
      <c r="BD1289" s="182"/>
      <c r="BE1289" s="209"/>
      <c r="BF1289" s="182"/>
      <c r="BG1289" s="209"/>
      <c r="BH1289" s="182"/>
      <c r="BI1289" s="209"/>
      <c r="BJ1289" s="183"/>
      <c r="BK1289" s="209"/>
      <c r="BL1289" s="182"/>
      <c r="BM1289" s="210"/>
      <c r="BO1289" s="28" t="e">
        <f t="shared" ref="BO1289:BO1352" si="147">AVERAGE(BB1289:BM1289)</f>
        <v>#DIV/0!</v>
      </c>
      <c r="BP1289" s="28">
        <f t="shared" ref="BP1289:BP1352" si="148">SUM(BB1289:BM1289)</f>
        <v>0</v>
      </c>
    </row>
    <row r="1290" spans="52:68" x14ac:dyDescent="0.25">
      <c r="AZ1290" s="471"/>
      <c r="BA1290" s="181"/>
      <c r="BB1290" s="182"/>
      <c r="BC1290" s="209"/>
      <c r="BD1290" s="182"/>
      <c r="BE1290" s="209"/>
      <c r="BF1290" s="182"/>
      <c r="BG1290" s="209"/>
      <c r="BH1290" s="182"/>
      <c r="BI1290" s="209"/>
      <c r="BJ1290" s="183"/>
      <c r="BK1290" s="209"/>
      <c r="BL1290" s="182"/>
      <c r="BM1290" s="210"/>
      <c r="BO1290" s="28" t="e">
        <f t="shared" si="147"/>
        <v>#DIV/0!</v>
      </c>
      <c r="BP1290" s="28">
        <f t="shared" si="148"/>
        <v>0</v>
      </c>
    </row>
    <row r="1291" spans="52:68" x14ac:dyDescent="0.25">
      <c r="AZ1291" s="471"/>
      <c r="BA1291" s="181"/>
      <c r="BB1291" s="182"/>
      <c r="BC1291" s="209"/>
      <c r="BD1291" s="182"/>
      <c r="BE1291" s="209"/>
      <c r="BF1291" s="182"/>
      <c r="BG1291" s="209"/>
      <c r="BH1291" s="182"/>
      <c r="BI1291" s="209"/>
      <c r="BJ1291" s="183"/>
      <c r="BK1291" s="209"/>
      <c r="BL1291" s="182"/>
      <c r="BM1291" s="210"/>
      <c r="BO1291" s="28" t="e">
        <f t="shared" si="147"/>
        <v>#DIV/0!</v>
      </c>
      <c r="BP1291" s="28">
        <f t="shared" si="148"/>
        <v>0</v>
      </c>
    </row>
    <row r="1292" spans="52:68" x14ac:dyDescent="0.25">
      <c r="AZ1292" s="471"/>
      <c r="BA1292" s="181"/>
      <c r="BB1292" s="182"/>
      <c r="BC1292" s="209"/>
      <c r="BD1292" s="182"/>
      <c r="BE1292" s="209"/>
      <c r="BF1292" s="182"/>
      <c r="BG1292" s="209"/>
      <c r="BH1292" s="182"/>
      <c r="BI1292" s="209"/>
      <c r="BJ1292" s="183"/>
      <c r="BK1292" s="209"/>
      <c r="BL1292" s="182"/>
      <c r="BM1292" s="210"/>
      <c r="BO1292" s="28" t="e">
        <f t="shared" si="147"/>
        <v>#DIV/0!</v>
      </c>
      <c r="BP1292" s="28">
        <f t="shared" si="148"/>
        <v>0</v>
      </c>
    </row>
    <row r="1293" spans="52:68" x14ac:dyDescent="0.25">
      <c r="AZ1293" s="471"/>
      <c r="BA1293" s="181"/>
      <c r="BB1293" s="182"/>
      <c r="BC1293" s="209"/>
      <c r="BD1293" s="182"/>
      <c r="BE1293" s="209"/>
      <c r="BF1293" s="182"/>
      <c r="BG1293" s="209"/>
      <c r="BH1293" s="182"/>
      <c r="BI1293" s="209"/>
      <c r="BJ1293" s="183"/>
      <c r="BK1293" s="209"/>
      <c r="BL1293" s="182"/>
      <c r="BM1293" s="210"/>
      <c r="BO1293" s="28" t="e">
        <f t="shared" si="147"/>
        <v>#DIV/0!</v>
      </c>
      <c r="BP1293" s="28">
        <f t="shared" si="148"/>
        <v>0</v>
      </c>
    </row>
    <row r="1294" spans="52:68" x14ac:dyDescent="0.25">
      <c r="AZ1294" s="471"/>
      <c r="BA1294" s="181"/>
      <c r="BB1294" s="182"/>
      <c r="BC1294" s="209"/>
      <c r="BD1294" s="182"/>
      <c r="BE1294" s="209"/>
      <c r="BF1294" s="182"/>
      <c r="BG1294" s="209"/>
      <c r="BH1294" s="182"/>
      <c r="BI1294" s="209"/>
      <c r="BJ1294" s="183"/>
      <c r="BK1294" s="209"/>
      <c r="BL1294" s="182"/>
      <c r="BM1294" s="210"/>
      <c r="BO1294" s="28" t="e">
        <f t="shared" si="147"/>
        <v>#DIV/0!</v>
      </c>
      <c r="BP1294" s="28">
        <f t="shared" si="148"/>
        <v>0</v>
      </c>
    </row>
    <row r="1295" spans="52:68" x14ac:dyDescent="0.25">
      <c r="AZ1295" s="471"/>
      <c r="BA1295" s="181"/>
      <c r="BB1295" s="182"/>
      <c r="BC1295" s="209"/>
      <c r="BD1295" s="182"/>
      <c r="BE1295" s="209"/>
      <c r="BF1295" s="182"/>
      <c r="BG1295" s="209"/>
      <c r="BH1295" s="182"/>
      <c r="BI1295" s="209"/>
      <c r="BJ1295" s="183"/>
      <c r="BK1295" s="209"/>
      <c r="BL1295" s="182"/>
      <c r="BM1295" s="210"/>
      <c r="BO1295" s="28" t="e">
        <f t="shared" si="147"/>
        <v>#DIV/0!</v>
      </c>
      <c r="BP1295" s="28">
        <f t="shared" si="148"/>
        <v>0</v>
      </c>
    </row>
    <row r="1296" spans="52:68" x14ac:dyDescent="0.25">
      <c r="AZ1296" s="471"/>
      <c r="BA1296" s="181"/>
      <c r="BB1296" s="182"/>
      <c r="BC1296" s="209"/>
      <c r="BD1296" s="182"/>
      <c r="BE1296" s="209"/>
      <c r="BF1296" s="182"/>
      <c r="BG1296" s="209"/>
      <c r="BH1296" s="182"/>
      <c r="BI1296" s="209"/>
      <c r="BJ1296" s="183"/>
      <c r="BK1296" s="209"/>
      <c r="BL1296" s="182"/>
      <c r="BM1296" s="210"/>
      <c r="BO1296" s="28" t="e">
        <f t="shared" si="147"/>
        <v>#DIV/0!</v>
      </c>
      <c r="BP1296" s="28">
        <f t="shared" si="148"/>
        <v>0</v>
      </c>
    </row>
    <row r="1297" spans="52:68" x14ac:dyDescent="0.25">
      <c r="AZ1297" s="471"/>
      <c r="BA1297" s="181"/>
      <c r="BB1297" s="182"/>
      <c r="BC1297" s="209"/>
      <c r="BD1297" s="182"/>
      <c r="BE1297" s="209"/>
      <c r="BF1297" s="182"/>
      <c r="BG1297" s="209"/>
      <c r="BH1297" s="182"/>
      <c r="BI1297" s="209"/>
      <c r="BJ1297" s="183"/>
      <c r="BK1297" s="209"/>
      <c r="BL1297" s="182"/>
      <c r="BM1297" s="210"/>
      <c r="BO1297" s="28" t="e">
        <f t="shared" si="147"/>
        <v>#DIV/0!</v>
      </c>
      <c r="BP1297" s="28">
        <f t="shared" si="148"/>
        <v>0</v>
      </c>
    </row>
    <row r="1298" spans="52:68" x14ac:dyDescent="0.25">
      <c r="AZ1298" s="471"/>
      <c r="BA1298" s="181"/>
      <c r="BB1298" s="182"/>
      <c r="BC1298" s="209"/>
      <c r="BD1298" s="182"/>
      <c r="BE1298" s="209"/>
      <c r="BF1298" s="182"/>
      <c r="BG1298" s="209"/>
      <c r="BH1298" s="182"/>
      <c r="BI1298" s="209"/>
      <c r="BJ1298" s="183"/>
      <c r="BK1298" s="209"/>
      <c r="BL1298" s="182"/>
      <c r="BM1298" s="210"/>
      <c r="BO1298" s="28" t="e">
        <f t="shared" si="147"/>
        <v>#DIV/0!</v>
      </c>
      <c r="BP1298" s="28">
        <f t="shared" si="148"/>
        <v>0</v>
      </c>
    </row>
    <row r="1299" spans="52:68" x14ac:dyDescent="0.25">
      <c r="AZ1299" s="471"/>
      <c r="BA1299" s="181"/>
      <c r="BB1299" s="182"/>
      <c r="BC1299" s="209"/>
      <c r="BD1299" s="182"/>
      <c r="BE1299" s="209"/>
      <c r="BF1299" s="182"/>
      <c r="BG1299" s="209"/>
      <c r="BH1299" s="182"/>
      <c r="BI1299" s="209"/>
      <c r="BJ1299" s="183"/>
      <c r="BK1299" s="209"/>
      <c r="BL1299" s="182"/>
      <c r="BM1299" s="210"/>
      <c r="BO1299" s="28" t="e">
        <f t="shared" si="147"/>
        <v>#DIV/0!</v>
      </c>
      <c r="BP1299" s="28">
        <f t="shared" si="148"/>
        <v>0</v>
      </c>
    </row>
    <row r="1300" spans="52:68" x14ac:dyDescent="0.25">
      <c r="AZ1300" s="471"/>
      <c r="BA1300" s="181"/>
      <c r="BB1300" s="182"/>
      <c r="BC1300" s="209"/>
      <c r="BD1300" s="182"/>
      <c r="BE1300" s="209"/>
      <c r="BF1300" s="182"/>
      <c r="BG1300" s="209"/>
      <c r="BH1300" s="182"/>
      <c r="BI1300" s="209"/>
      <c r="BJ1300" s="183"/>
      <c r="BK1300" s="209"/>
      <c r="BL1300" s="182"/>
      <c r="BM1300" s="210"/>
      <c r="BO1300" s="28" t="e">
        <f t="shared" si="147"/>
        <v>#DIV/0!</v>
      </c>
      <c r="BP1300" s="28">
        <f t="shared" si="148"/>
        <v>0</v>
      </c>
    </row>
    <row r="1301" spans="52:68" x14ac:dyDescent="0.25">
      <c r="AZ1301" s="471"/>
      <c r="BA1301" s="181"/>
      <c r="BB1301" s="182"/>
      <c r="BC1301" s="209"/>
      <c r="BD1301" s="182"/>
      <c r="BE1301" s="209"/>
      <c r="BF1301" s="182"/>
      <c r="BG1301" s="209"/>
      <c r="BH1301" s="182"/>
      <c r="BI1301" s="209"/>
      <c r="BJ1301" s="183"/>
      <c r="BK1301" s="209"/>
      <c r="BL1301" s="182"/>
      <c r="BM1301" s="210"/>
      <c r="BO1301" s="28" t="e">
        <f t="shared" si="147"/>
        <v>#DIV/0!</v>
      </c>
      <c r="BP1301" s="28">
        <f t="shared" si="148"/>
        <v>0</v>
      </c>
    </row>
    <row r="1302" spans="52:68" x14ac:dyDescent="0.25">
      <c r="AZ1302" s="471"/>
      <c r="BA1302" s="181"/>
      <c r="BB1302" s="182"/>
      <c r="BC1302" s="209"/>
      <c r="BD1302" s="182"/>
      <c r="BE1302" s="209"/>
      <c r="BF1302" s="182"/>
      <c r="BG1302" s="209"/>
      <c r="BH1302" s="182"/>
      <c r="BI1302" s="209"/>
      <c r="BJ1302" s="183"/>
      <c r="BK1302" s="209"/>
      <c r="BL1302" s="182"/>
      <c r="BM1302" s="210"/>
      <c r="BO1302" s="28" t="e">
        <f t="shared" si="147"/>
        <v>#DIV/0!</v>
      </c>
      <c r="BP1302" s="28">
        <f t="shared" si="148"/>
        <v>0</v>
      </c>
    </row>
    <row r="1303" spans="52:68" x14ac:dyDescent="0.25">
      <c r="AZ1303" s="471"/>
      <c r="BA1303" s="181"/>
      <c r="BB1303" s="182"/>
      <c r="BC1303" s="209"/>
      <c r="BD1303" s="182"/>
      <c r="BE1303" s="209"/>
      <c r="BF1303" s="182"/>
      <c r="BG1303" s="209"/>
      <c r="BH1303" s="182"/>
      <c r="BI1303" s="209"/>
      <c r="BJ1303" s="183"/>
      <c r="BK1303" s="209"/>
      <c r="BL1303" s="182"/>
      <c r="BM1303" s="210"/>
      <c r="BO1303" s="28" t="e">
        <f t="shared" si="147"/>
        <v>#DIV/0!</v>
      </c>
      <c r="BP1303" s="28">
        <f t="shared" si="148"/>
        <v>0</v>
      </c>
    </row>
    <row r="1304" spans="52:68" x14ac:dyDescent="0.25">
      <c r="AZ1304" s="471"/>
      <c r="BA1304" s="181"/>
      <c r="BB1304" s="182"/>
      <c r="BC1304" s="209"/>
      <c r="BD1304" s="182"/>
      <c r="BE1304" s="209"/>
      <c r="BF1304" s="182"/>
      <c r="BG1304" s="209"/>
      <c r="BH1304" s="182"/>
      <c r="BI1304" s="209"/>
      <c r="BJ1304" s="183"/>
      <c r="BK1304" s="209"/>
      <c r="BL1304" s="182"/>
      <c r="BM1304" s="210"/>
      <c r="BO1304" s="28" t="e">
        <f t="shared" si="147"/>
        <v>#DIV/0!</v>
      </c>
      <c r="BP1304" s="28">
        <f t="shared" si="148"/>
        <v>0</v>
      </c>
    </row>
    <row r="1305" spans="52:68" x14ac:dyDescent="0.25">
      <c r="AZ1305" s="471"/>
      <c r="BA1305" s="181"/>
      <c r="BB1305" s="182"/>
      <c r="BC1305" s="209"/>
      <c r="BD1305" s="182"/>
      <c r="BE1305" s="209"/>
      <c r="BF1305" s="182"/>
      <c r="BG1305" s="209"/>
      <c r="BH1305" s="182"/>
      <c r="BI1305" s="209"/>
      <c r="BJ1305" s="183"/>
      <c r="BK1305" s="209"/>
      <c r="BL1305" s="182"/>
      <c r="BM1305" s="210"/>
      <c r="BO1305" s="28" t="e">
        <f t="shared" si="147"/>
        <v>#DIV/0!</v>
      </c>
      <c r="BP1305" s="28">
        <f t="shared" si="148"/>
        <v>0</v>
      </c>
    </row>
    <row r="1306" spans="52:68" x14ac:dyDescent="0.25">
      <c r="AZ1306" s="471"/>
      <c r="BA1306" s="181"/>
      <c r="BB1306" s="182"/>
      <c r="BC1306" s="209"/>
      <c r="BD1306" s="182"/>
      <c r="BE1306" s="209"/>
      <c r="BF1306" s="182"/>
      <c r="BG1306" s="209"/>
      <c r="BH1306" s="182"/>
      <c r="BI1306" s="209"/>
      <c r="BJ1306" s="183"/>
      <c r="BK1306" s="209"/>
      <c r="BL1306" s="182"/>
      <c r="BM1306" s="210"/>
      <c r="BO1306" s="28" t="e">
        <f t="shared" si="147"/>
        <v>#DIV/0!</v>
      </c>
      <c r="BP1306" s="28">
        <f t="shared" si="148"/>
        <v>0</v>
      </c>
    </row>
    <row r="1307" spans="52:68" x14ac:dyDescent="0.25">
      <c r="AZ1307" s="471"/>
      <c r="BA1307" s="181"/>
      <c r="BB1307" s="182"/>
      <c r="BC1307" s="209"/>
      <c r="BD1307" s="182"/>
      <c r="BE1307" s="209"/>
      <c r="BF1307" s="182"/>
      <c r="BG1307" s="209"/>
      <c r="BH1307" s="182"/>
      <c r="BI1307" s="209"/>
      <c r="BJ1307" s="183"/>
      <c r="BK1307" s="209"/>
      <c r="BL1307" s="182"/>
      <c r="BM1307" s="210"/>
      <c r="BO1307" s="28" t="e">
        <f t="shared" si="147"/>
        <v>#DIV/0!</v>
      </c>
      <c r="BP1307" s="28">
        <f t="shared" si="148"/>
        <v>0</v>
      </c>
    </row>
    <row r="1308" spans="52:68" x14ac:dyDescent="0.25">
      <c r="AZ1308" s="471"/>
      <c r="BA1308" s="181"/>
      <c r="BB1308" s="182"/>
      <c r="BC1308" s="209"/>
      <c r="BD1308" s="182"/>
      <c r="BE1308" s="209"/>
      <c r="BF1308" s="182"/>
      <c r="BG1308" s="209"/>
      <c r="BH1308" s="182"/>
      <c r="BI1308" s="209"/>
      <c r="BJ1308" s="183"/>
      <c r="BK1308" s="209"/>
      <c r="BL1308" s="182"/>
      <c r="BM1308" s="210"/>
      <c r="BO1308" s="28" t="e">
        <f t="shared" si="147"/>
        <v>#DIV/0!</v>
      </c>
      <c r="BP1308" s="28">
        <f t="shared" si="148"/>
        <v>0</v>
      </c>
    </row>
    <row r="1309" spans="52:68" x14ac:dyDescent="0.25">
      <c r="AZ1309" s="471"/>
      <c r="BA1309" s="181"/>
      <c r="BB1309" s="182"/>
      <c r="BC1309" s="209"/>
      <c r="BD1309" s="182"/>
      <c r="BE1309" s="209"/>
      <c r="BF1309" s="182"/>
      <c r="BG1309" s="209"/>
      <c r="BH1309" s="182"/>
      <c r="BI1309" s="209"/>
      <c r="BJ1309" s="183"/>
      <c r="BK1309" s="209"/>
      <c r="BL1309" s="182"/>
      <c r="BM1309" s="210"/>
      <c r="BO1309" s="28" t="e">
        <f t="shared" si="147"/>
        <v>#DIV/0!</v>
      </c>
      <c r="BP1309" s="28">
        <f t="shared" si="148"/>
        <v>0</v>
      </c>
    </row>
    <row r="1310" spans="52:68" x14ac:dyDescent="0.25">
      <c r="AZ1310" s="471"/>
      <c r="BA1310" s="181"/>
      <c r="BB1310" s="182"/>
      <c r="BC1310" s="209"/>
      <c r="BD1310" s="182"/>
      <c r="BE1310" s="209"/>
      <c r="BF1310" s="182"/>
      <c r="BG1310" s="209"/>
      <c r="BH1310" s="182"/>
      <c r="BI1310" s="209"/>
      <c r="BJ1310" s="183"/>
      <c r="BK1310" s="209"/>
      <c r="BL1310" s="182"/>
      <c r="BM1310" s="210"/>
      <c r="BO1310" s="28" t="e">
        <f t="shared" si="147"/>
        <v>#DIV/0!</v>
      </c>
      <c r="BP1310" s="28">
        <f t="shared" si="148"/>
        <v>0</v>
      </c>
    </row>
    <row r="1311" spans="52:68" x14ac:dyDescent="0.25">
      <c r="AZ1311" s="471"/>
      <c r="BA1311" s="181"/>
      <c r="BB1311" s="182"/>
      <c r="BC1311" s="209"/>
      <c r="BD1311" s="182"/>
      <c r="BE1311" s="209"/>
      <c r="BF1311" s="182"/>
      <c r="BG1311" s="209"/>
      <c r="BH1311" s="182"/>
      <c r="BI1311" s="209"/>
      <c r="BJ1311" s="183"/>
      <c r="BK1311" s="209"/>
      <c r="BL1311" s="182"/>
      <c r="BM1311" s="210"/>
      <c r="BO1311" s="28" t="e">
        <f t="shared" si="147"/>
        <v>#DIV/0!</v>
      </c>
      <c r="BP1311" s="28">
        <f t="shared" si="148"/>
        <v>0</v>
      </c>
    </row>
    <row r="1312" spans="52:68" x14ac:dyDescent="0.25">
      <c r="AZ1312" s="471"/>
      <c r="BA1312" s="181"/>
      <c r="BB1312" s="182"/>
      <c r="BC1312" s="209"/>
      <c r="BD1312" s="182"/>
      <c r="BE1312" s="209"/>
      <c r="BF1312" s="182"/>
      <c r="BG1312" s="209"/>
      <c r="BH1312" s="182"/>
      <c r="BI1312" s="209"/>
      <c r="BJ1312" s="183"/>
      <c r="BK1312" s="209"/>
      <c r="BL1312" s="182"/>
      <c r="BM1312" s="210"/>
      <c r="BO1312" s="28" t="e">
        <f t="shared" si="147"/>
        <v>#DIV/0!</v>
      </c>
      <c r="BP1312" s="28">
        <f t="shared" si="148"/>
        <v>0</v>
      </c>
    </row>
    <row r="1313" spans="52:68" x14ac:dyDescent="0.25">
      <c r="AZ1313" s="471"/>
      <c r="BA1313" s="181"/>
      <c r="BB1313" s="182"/>
      <c r="BC1313" s="209"/>
      <c r="BD1313" s="182"/>
      <c r="BE1313" s="209"/>
      <c r="BF1313" s="182"/>
      <c r="BG1313" s="209"/>
      <c r="BH1313" s="182"/>
      <c r="BI1313" s="209"/>
      <c r="BJ1313" s="183"/>
      <c r="BK1313" s="209"/>
      <c r="BL1313" s="182"/>
      <c r="BM1313" s="210"/>
      <c r="BO1313" s="28" t="e">
        <f t="shared" si="147"/>
        <v>#DIV/0!</v>
      </c>
      <c r="BP1313" s="28">
        <f t="shared" si="148"/>
        <v>0</v>
      </c>
    </row>
    <row r="1314" spans="52:68" x14ac:dyDescent="0.25">
      <c r="AZ1314" s="471"/>
      <c r="BA1314" s="181"/>
      <c r="BB1314" s="182"/>
      <c r="BC1314" s="209"/>
      <c r="BD1314" s="182"/>
      <c r="BE1314" s="209"/>
      <c r="BF1314" s="182"/>
      <c r="BG1314" s="209"/>
      <c r="BH1314" s="182"/>
      <c r="BI1314" s="209"/>
      <c r="BJ1314" s="183"/>
      <c r="BK1314" s="209"/>
      <c r="BL1314" s="182"/>
      <c r="BM1314" s="210"/>
      <c r="BO1314" s="28" t="e">
        <f t="shared" si="147"/>
        <v>#DIV/0!</v>
      </c>
      <c r="BP1314" s="28">
        <f t="shared" si="148"/>
        <v>0</v>
      </c>
    </row>
    <row r="1315" spans="52:68" x14ac:dyDescent="0.25">
      <c r="AZ1315" s="471"/>
      <c r="BA1315" s="181"/>
      <c r="BB1315" s="182"/>
      <c r="BC1315" s="209"/>
      <c r="BD1315" s="182"/>
      <c r="BE1315" s="209"/>
      <c r="BF1315" s="182"/>
      <c r="BG1315" s="209"/>
      <c r="BH1315" s="182"/>
      <c r="BI1315" s="209"/>
      <c r="BJ1315" s="183"/>
      <c r="BK1315" s="209"/>
      <c r="BL1315" s="182"/>
      <c r="BM1315" s="210"/>
      <c r="BO1315" s="28" t="e">
        <f t="shared" si="147"/>
        <v>#DIV/0!</v>
      </c>
      <c r="BP1315" s="28">
        <f t="shared" si="148"/>
        <v>0</v>
      </c>
    </row>
    <row r="1316" spans="52:68" x14ac:dyDescent="0.25">
      <c r="AZ1316" s="471"/>
      <c r="BA1316" s="181"/>
      <c r="BB1316" s="182"/>
      <c r="BC1316" s="209"/>
      <c r="BD1316" s="182"/>
      <c r="BE1316" s="209"/>
      <c r="BF1316" s="182"/>
      <c r="BG1316" s="209"/>
      <c r="BH1316" s="182"/>
      <c r="BI1316" s="209"/>
      <c r="BJ1316" s="183"/>
      <c r="BK1316" s="209"/>
      <c r="BL1316" s="182"/>
      <c r="BM1316" s="210"/>
      <c r="BO1316" s="28" t="e">
        <f t="shared" si="147"/>
        <v>#DIV/0!</v>
      </c>
      <c r="BP1316" s="28">
        <f t="shared" si="148"/>
        <v>0</v>
      </c>
    </row>
    <row r="1317" spans="52:68" x14ac:dyDescent="0.25">
      <c r="AZ1317" s="471"/>
      <c r="BA1317" s="181"/>
      <c r="BB1317" s="182"/>
      <c r="BC1317" s="209"/>
      <c r="BD1317" s="182"/>
      <c r="BE1317" s="209"/>
      <c r="BF1317" s="182"/>
      <c r="BG1317" s="209"/>
      <c r="BH1317" s="182"/>
      <c r="BI1317" s="209"/>
      <c r="BJ1317" s="183"/>
      <c r="BK1317" s="209"/>
      <c r="BL1317" s="182"/>
      <c r="BM1317" s="210"/>
      <c r="BO1317" s="28" t="e">
        <f t="shared" si="147"/>
        <v>#DIV/0!</v>
      </c>
      <c r="BP1317" s="28">
        <f t="shared" si="148"/>
        <v>0</v>
      </c>
    </row>
    <row r="1318" spans="52:68" x14ac:dyDescent="0.25">
      <c r="AZ1318" s="471"/>
      <c r="BA1318" s="181"/>
      <c r="BB1318" s="182"/>
      <c r="BC1318" s="209"/>
      <c r="BD1318" s="182"/>
      <c r="BE1318" s="209"/>
      <c r="BF1318" s="182"/>
      <c r="BG1318" s="209"/>
      <c r="BH1318" s="182"/>
      <c r="BI1318" s="209"/>
      <c r="BJ1318" s="183"/>
      <c r="BK1318" s="209"/>
      <c r="BL1318" s="182"/>
      <c r="BM1318" s="210"/>
      <c r="BO1318" s="28" t="e">
        <f t="shared" si="147"/>
        <v>#DIV/0!</v>
      </c>
      <c r="BP1318" s="28">
        <f t="shared" si="148"/>
        <v>0</v>
      </c>
    </row>
    <row r="1319" spans="52:68" x14ac:dyDescent="0.25">
      <c r="AZ1319" s="471"/>
      <c r="BA1319" s="181"/>
      <c r="BB1319" s="182"/>
      <c r="BC1319" s="209"/>
      <c r="BD1319" s="182"/>
      <c r="BE1319" s="209"/>
      <c r="BF1319" s="182"/>
      <c r="BG1319" s="209"/>
      <c r="BH1319" s="182"/>
      <c r="BI1319" s="209"/>
      <c r="BJ1319" s="183"/>
      <c r="BK1319" s="209"/>
      <c r="BL1319" s="182"/>
      <c r="BM1319" s="210"/>
      <c r="BO1319" s="28" t="e">
        <f t="shared" si="147"/>
        <v>#DIV/0!</v>
      </c>
      <c r="BP1319" s="28">
        <f t="shared" si="148"/>
        <v>0</v>
      </c>
    </row>
    <row r="1320" spans="52:68" x14ac:dyDescent="0.25">
      <c r="AZ1320" s="471"/>
      <c r="BA1320" s="181"/>
      <c r="BB1320" s="182"/>
      <c r="BC1320" s="209"/>
      <c r="BD1320" s="182"/>
      <c r="BE1320" s="209"/>
      <c r="BF1320" s="182"/>
      <c r="BG1320" s="209"/>
      <c r="BH1320" s="182"/>
      <c r="BI1320" s="209"/>
      <c r="BJ1320" s="183"/>
      <c r="BK1320" s="209"/>
      <c r="BL1320" s="182"/>
      <c r="BM1320" s="210"/>
      <c r="BO1320" s="28" t="e">
        <f t="shared" si="147"/>
        <v>#DIV/0!</v>
      </c>
      <c r="BP1320" s="28">
        <f t="shared" si="148"/>
        <v>0</v>
      </c>
    </row>
    <row r="1321" spans="52:68" x14ac:dyDescent="0.25">
      <c r="AZ1321" s="471"/>
      <c r="BA1321" s="181"/>
      <c r="BB1321" s="182"/>
      <c r="BC1321" s="209"/>
      <c r="BD1321" s="182"/>
      <c r="BE1321" s="209"/>
      <c r="BF1321" s="182"/>
      <c r="BG1321" s="209"/>
      <c r="BH1321" s="182"/>
      <c r="BI1321" s="209"/>
      <c r="BJ1321" s="183"/>
      <c r="BK1321" s="209"/>
      <c r="BL1321" s="182"/>
      <c r="BM1321" s="210"/>
      <c r="BO1321" s="28" t="e">
        <f t="shared" si="147"/>
        <v>#DIV/0!</v>
      </c>
      <c r="BP1321" s="28">
        <f t="shared" si="148"/>
        <v>0</v>
      </c>
    </row>
    <row r="1322" spans="52:68" x14ac:dyDescent="0.25">
      <c r="AZ1322" s="471"/>
      <c r="BA1322" s="181"/>
      <c r="BB1322" s="182"/>
      <c r="BC1322" s="209"/>
      <c r="BD1322" s="182"/>
      <c r="BE1322" s="209"/>
      <c r="BF1322" s="182"/>
      <c r="BG1322" s="209"/>
      <c r="BH1322" s="182"/>
      <c r="BI1322" s="209"/>
      <c r="BJ1322" s="183"/>
      <c r="BK1322" s="209"/>
      <c r="BL1322" s="182"/>
      <c r="BM1322" s="210"/>
      <c r="BO1322" s="28" t="e">
        <f t="shared" si="147"/>
        <v>#DIV/0!</v>
      </c>
      <c r="BP1322" s="28">
        <f t="shared" si="148"/>
        <v>0</v>
      </c>
    </row>
    <row r="1323" spans="52:68" x14ac:dyDescent="0.25">
      <c r="AZ1323" s="471"/>
      <c r="BA1323" s="181"/>
      <c r="BB1323" s="182"/>
      <c r="BC1323" s="209"/>
      <c r="BD1323" s="182"/>
      <c r="BE1323" s="209"/>
      <c r="BF1323" s="182"/>
      <c r="BG1323" s="209"/>
      <c r="BH1323" s="182"/>
      <c r="BI1323" s="209"/>
      <c r="BJ1323" s="183"/>
      <c r="BK1323" s="209"/>
      <c r="BL1323" s="182"/>
      <c r="BM1323" s="210"/>
      <c r="BO1323" s="28" t="e">
        <f t="shared" si="147"/>
        <v>#DIV/0!</v>
      </c>
      <c r="BP1323" s="28">
        <f t="shared" si="148"/>
        <v>0</v>
      </c>
    </row>
    <row r="1324" spans="52:68" x14ac:dyDescent="0.25">
      <c r="AZ1324" s="471"/>
      <c r="BA1324" s="181"/>
      <c r="BB1324" s="182"/>
      <c r="BC1324" s="209"/>
      <c r="BD1324" s="182"/>
      <c r="BE1324" s="209"/>
      <c r="BF1324" s="182"/>
      <c r="BG1324" s="209"/>
      <c r="BH1324" s="182"/>
      <c r="BI1324" s="209"/>
      <c r="BJ1324" s="183"/>
      <c r="BK1324" s="209"/>
      <c r="BL1324" s="182"/>
      <c r="BM1324" s="210"/>
      <c r="BO1324" s="28" t="e">
        <f t="shared" si="147"/>
        <v>#DIV/0!</v>
      </c>
      <c r="BP1324" s="28">
        <f t="shared" si="148"/>
        <v>0</v>
      </c>
    </row>
    <row r="1325" spans="52:68" x14ac:dyDescent="0.25">
      <c r="AZ1325" s="471"/>
      <c r="BA1325" s="181"/>
      <c r="BB1325" s="182"/>
      <c r="BC1325" s="209"/>
      <c r="BD1325" s="182"/>
      <c r="BE1325" s="209"/>
      <c r="BF1325" s="182"/>
      <c r="BG1325" s="209"/>
      <c r="BH1325" s="182"/>
      <c r="BI1325" s="209"/>
      <c r="BJ1325" s="183"/>
      <c r="BK1325" s="209"/>
      <c r="BL1325" s="182"/>
      <c r="BM1325" s="210"/>
      <c r="BO1325" s="28" t="e">
        <f t="shared" si="147"/>
        <v>#DIV/0!</v>
      </c>
      <c r="BP1325" s="28">
        <f t="shared" si="148"/>
        <v>0</v>
      </c>
    </row>
    <row r="1326" spans="52:68" x14ac:dyDescent="0.25">
      <c r="AZ1326" s="471"/>
      <c r="BA1326" s="181"/>
      <c r="BB1326" s="182"/>
      <c r="BC1326" s="209"/>
      <c r="BD1326" s="182"/>
      <c r="BE1326" s="209"/>
      <c r="BF1326" s="182"/>
      <c r="BG1326" s="209"/>
      <c r="BH1326" s="182"/>
      <c r="BI1326" s="209"/>
      <c r="BJ1326" s="183"/>
      <c r="BK1326" s="209"/>
      <c r="BL1326" s="182"/>
      <c r="BM1326" s="210"/>
      <c r="BO1326" s="28" t="e">
        <f t="shared" si="147"/>
        <v>#DIV/0!</v>
      </c>
      <c r="BP1326" s="28">
        <f t="shared" si="148"/>
        <v>0</v>
      </c>
    </row>
    <row r="1327" spans="52:68" x14ac:dyDescent="0.25">
      <c r="AZ1327" s="471"/>
      <c r="BA1327" s="181"/>
      <c r="BB1327" s="182"/>
      <c r="BC1327" s="209"/>
      <c r="BD1327" s="182"/>
      <c r="BE1327" s="209"/>
      <c r="BF1327" s="182"/>
      <c r="BG1327" s="209"/>
      <c r="BH1327" s="182"/>
      <c r="BI1327" s="209"/>
      <c r="BJ1327" s="183"/>
      <c r="BK1327" s="209"/>
      <c r="BL1327" s="182"/>
      <c r="BM1327" s="210"/>
      <c r="BO1327" s="28" t="e">
        <f t="shared" si="147"/>
        <v>#DIV/0!</v>
      </c>
      <c r="BP1327" s="28">
        <f t="shared" si="148"/>
        <v>0</v>
      </c>
    </row>
    <row r="1328" spans="52:68" x14ac:dyDescent="0.25">
      <c r="AZ1328" s="471"/>
      <c r="BA1328" s="181"/>
      <c r="BB1328" s="182"/>
      <c r="BC1328" s="209"/>
      <c r="BD1328" s="182"/>
      <c r="BE1328" s="209"/>
      <c r="BF1328" s="182"/>
      <c r="BG1328" s="209"/>
      <c r="BH1328" s="182"/>
      <c r="BI1328" s="209"/>
      <c r="BJ1328" s="183"/>
      <c r="BK1328" s="209"/>
      <c r="BL1328" s="182"/>
      <c r="BM1328" s="210"/>
      <c r="BO1328" s="28" t="e">
        <f t="shared" si="147"/>
        <v>#DIV/0!</v>
      </c>
      <c r="BP1328" s="28">
        <f t="shared" si="148"/>
        <v>0</v>
      </c>
    </row>
    <row r="1329" spans="52:68" x14ac:dyDescent="0.25">
      <c r="AZ1329" s="471"/>
      <c r="BA1329" s="181"/>
      <c r="BB1329" s="182"/>
      <c r="BC1329" s="209"/>
      <c r="BD1329" s="182"/>
      <c r="BE1329" s="209"/>
      <c r="BF1329" s="182"/>
      <c r="BG1329" s="209"/>
      <c r="BH1329" s="182"/>
      <c r="BI1329" s="209"/>
      <c r="BJ1329" s="183"/>
      <c r="BK1329" s="209"/>
      <c r="BL1329" s="182"/>
      <c r="BM1329" s="210"/>
      <c r="BO1329" s="28" t="e">
        <f t="shared" si="147"/>
        <v>#DIV/0!</v>
      </c>
      <c r="BP1329" s="28">
        <f t="shared" si="148"/>
        <v>0</v>
      </c>
    </row>
    <row r="1330" spans="52:68" x14ac:dyDescent="0.25">
      <c r="AZ1330" s="471"/>
      <c r="BA1330" s="181"/>
      <c r="BB1330" s="182"/>
      <c r="BC1330" s="209"/>
      <c r="BD1330" s="182"/>
      <c r="BE1330" s="209"/>
      <c r="BF1330" s="182"/>
      <c r="BG1330" s="209"/>
      <c r="BH1330" s="182"/>
      <c r="BI1330" s="209"/>
      <c r="BJ1330" s="183"/>
      <c r="BK1330" s="209"/>
      <c r="BL1330" s="182"/>
      <c r="BM1330" s="210"/>
      <c r="BO1330" s="28" t="e">
        <f t="shared" si="147"/>
        <v>#DIV/0!</v>
      </c>
      <c r="BP1330" s="28">
        <f t="shared" si="148"/>
        <v>0</v>
      </c>
    </row>
    <row r="1331" spans="52:68" x14ac:dyDescent="0.25">
      <c r="AZ1331" s="471"/>
      <c r="BA1331" s="181"/>
      <c r="BB1331" s="182"/>
      <c r="BC1331" s="209"/>
      <c r="BD1331" s="182"/>
      <c r="BE1331" s="209"/>
      <c r="BF1331" s="182"/>
      <c r="BG1331" s="209"/>
      <c r="BH1331" s="182"/>
      <c r="BI1331" s="209"/>
      <c r="BJ1331" s="183"/>
      <c r="BK1331" s="209"/>
      <c r="BL1331" s="182"/>
      <c r="BM1331" s="210"/>
      <c r="BO1331" s="28" t="e">
        <f t="shared" si="147"/>
        <v>#DIV/0!</v>
      </c>
      <c r="BP1331" s="28">
        <f t="shared" si="148"/>
        <v>0</v>
      </c>
    </row>
    <row r="1332" spans="52:68" x14ac:dyDescent="0.25">
      <c r="AZ1332" s="471"/>
      <c r="BA1332" s="181"/>
      <c r="BB1332" s="182"/>
      <c r="BC1332" s="209"/>
      <c r="BD1332" s="182"/>
      <c r="BE1332" s="209"/>
      <c r="BF1332" s="182"/>
      <c r="BG1332" s="209"/>
      <c r="BH1332" s="182"/>
      <c r="BI1332" s="209"/>
      <c r="BJ1332" s="183"/>
      <c r="BK1332" s="209"/>
      <c r="BL1332" s="182"/>
      <c r="BM1332" s="210"/>
      <c r="BO1332" s="28" t="e">
        <f t="shared" si="147"/>
        <v>#DIV/0!</v>
      </c>
      <c r="BP1332" s="28">
        <f t="shared" si="148"/>
        <v>0</v>
      </c>
    </row>
    <row r="1333" spans="52:68" x14ac:dyDescent="0.25">
      <c r="AZ1333" s="471"/>
      <c r="BA1333" s="181"/>
      <c r="BB1333" s="182"/>
      <c r="BC1333" s="209"/>
      <c r="BD1333" s="182"/>
      <c r="BE1333" s="209"/>
      <c r="BF1333" s="182"/>
      <c r="BG1333" s="209"/>
      <c r="BH1333" s="182"/>
      <c r="BI1333" s="209"/>
      <c r="BJ1333" s="183"/>
      <c r="BK1333" s="209"/>
      <c r="BL1333" s="182"/>
      <c r="BM1333" s="210"/>
      <c r="BO1333" s="28" t="e">
        <f t="shared" si="147"/>
        <v>#DIV/0!</v>
      </c>
      <c r="BP1333" s="28">
        <f t="shared" si="148"/>
        <v>0</v>
      </c>
    </row>
    <row r="1334" spans="52:68" x14ac:dyDescent="0.25">
      <c r="AZ1334" s="471"/>
      <c r="BA1334" s="181"/>
      <c r="BB1334" s="182"/>
      <c r="BC1334" s="209"/>
      <c r="BD1334" s="182"/>
      <c r="BE1334" s="209"/>
      <c r="BF1334" s="182"/>
      <c r="BG1334" s="209"/>
      <c r="BH1334" s="182"/>
      <c r="BI1334" s="209"/>
      <c r="BJ1334" s="183"/>
      <c r="BK1334" s="209"/>
      <c r="BL1334" s="182"/>
      <c r="BM1334" s="210"/>
      <c r="BO1334" s="28" t="e">
        <f t="shared" si="147"/>
        <v>#DIV/0!</v>
      </c>
      <c r="BP1334" s="28">
        <f t="shared" si="148"/>
        <v>0</v>
      </c>
    </row>
    <row r="1335" spans="52:68" x14ac:dyDescent="0.25">
      <c r="AZ1335" s="471"/>
      <c r="BA1335" s="181"/>
      <c r="BB1335" s="182"/>
      <c r="BC1335" s="209"/>
      <c r="BD1335" s="182"/>
      <c r="BE1335" s="209"/>
      <c r="BF1335" s="182"/>
      <c r="BG1335" s="209"/>
      <c r="BH1335" s="182"/>
      <c r="BI1335" s="209"/>
      <c r="BJ1335" s="183"/>
      <c r="BK1335" s="209"/>
      <c r="BL1335" s="182"/>
      <c r="BM1335" s="210"/>
      <c r="BO1335" s="28" t="e">
        <f t="shared" si="147"/>
        <v>#DIV/0!</v>
      </c>
      <c r="BP1335" s="28">
        <f t="shared" si="148"/>
        <v>0</v>
      </c>
    </row>
    <row r="1336" spans="52:68" x14ac:dyDescent="0.25">
      <c r="AZ1336" s="471"/>
      <c r="BA1336" s="181"/>
      <c r="BB1336" s="182"/>
      <c r="BC1336" s="209"/>
      <c r="BD1336" s="182"/>
      <c r="BE1336" s="209"/>
      <c r="BF1336" s="182"/>
      <c r="BG1336" s="209"/>
      <c r="BH1336" s="182"/>
      <c r="BI1336" s="209"/>
      <c r="BJ1336" s="183"/>
      <c r="BK1336" s="209"/>
      <c r="BL1336" s="182"/>
      <c r="BM1336" s="210"/>
      <c r="BO1336" s="28" t="e">
        <f t="shared" si="147"/>
        <v>#DIV/0!</v>
      </c>
      <c r="BP1336" s="28">
        <f t="shared" si="148"/>
        <v>0</v>
      </c>
    </row>
    <row r="1337" spans="52:68" x14ac:dyDescent="0.25">
      <c r="AZ1337" s="471"/>
      <c r="BA1337" s="181"/>
      <c r="BB1337" s="182"/>
      <c r="BC1337" s="209"/>
      <c r="BD1337" s="182"/>
      <c r="BE1337" s="209"/>
      <c r="BF1337" s="182"/>
      <c r="BG1337" s="209"/>
      <c r="BH1337" s="182"/>
      <c r="BI1337" s="209"/>
      <c r="BJ1337" s="183"/>
      <c r="BK1337" s="209"/>
      <c r="BL1337" s="182"/>
      <c r="BM1337" s="210"/>
      <c r="BO1337" s="28" t="e">
        <f t="shared" si="147"/>
        <v>#DIV/0!</v>
      </c>
      <c r="BP1337" s="28">
        <f t="shared" si="148"/>
        <v>0</v>
      </c>
    </row>
    <row r="1338" spans="52:68" x14ac:dyDescent="0.25">
      <c r="AZ1338" s="471"/>
      <c r="BA1338" s="181"/>
      <c r="BB1338" s="182"/>
      <c r="BC1338" s="209"/>
      <c r="BD1338" s="182"/>
      <c r="BE1338" s="209"/>
      <c r="BF1338" s="182"/>
      <c r="BG1338" s="209"/>
      <c r="BH1338" s="182"/>
      <c r="BI1338" s="209"/>
      <c r="BJ1338" s="183"/>
      <c r="BK1338" s="209"/>
      <c r="BL1338" s="182"/>
      <c r="BM1338" s="210"/>
      <c r="BO1338" s="28" t="e">
        <f t="shared" si="147"/>
        <v>#DIV/0!</v>
      </c>
      <c r="BP1338" s="28">
        <f t="shared" si="148"/>
        <v>0</v>
      </c>
    </row>
    <row r="1339" spans="52:68" x14ac:dyDescent="0.25">
      <c r="AZ1339" s="471"/>
      <c r="BA1339" s="181"/>
      <c r="BB1339" s="182"/>
      <c r="BC1339" s="209"/>
      <c r="BD1339" s="182"/>
      <c r="BE1339" s="209"/>
      <c r="BF1339" s="182"/>
      <c r="BG1339" s="209"/>
      <c r="BH1339" s="182"/>
      <c r="BI1339" s="209"/>
      <c r="BJ1339" s="183"/>
      <c r="BK1339" s="209"/>
      <c r="BL1339" s="182"/>
      <c r="BM1339" s="210"/>
      <c r="BO1339" s="28" t="e">
        <f t="shared" si="147"/>
        <v>#DIV/0!</v>
      </c>
      <c r="BP1339" s="28">
        <f t="shared" si="148"/>
        <v>0</v>
      </c>
    </row>
    <row r="1340" spans="52:68" x14ac:dyDescent="0.25">
      <c r="AZ1340" s="471"/>
      <c r="BA1340" s="181"/>
      <c r="BB1340" s="182"/>
      <c r="BC1340" s="209"/>
      <c r="BD1340" s="182"/>
      <c r="BE1340" s="209"/>
      <c r="BF1340" s="182"/>
      <c r="BG1340" s="209"/>
      <c r="BH1340" s="182"/>
      <c r="BI1340" s="209"/>
      <c r="BJ1340" s="183"/>
      <c r="BK1340" s="209"/>
      <c r="BL1340" s="182"/>
      <c r="BM1340" s="210"/>
      <c r="BO1340" s="28" t="e">
        <f t="shared" si="147"/>
        <v>#DIV/0!</v>
      </c>
      <c r="BP1340" s="28">
        <f t="shared" si="148"/>
        <v>0</v>
      </c>
    </row>
    <row r="1341" spans="52:68" x14ac:dyDescent="0.25">
      <c r="AZ1341" s="471"/>
      <c r="BA1341" s="181"/>
      <c r="BB1341" s="182"/>
      <c r="BC1341" s="209"/>
      <c r="BD1341" s="182"/>
      <c r="BE1341" s="209"/>
      <c r="BF1341" s="182"/>
      <c r="BG1341" s="209"/>
      <c r="BH1341" s="182"/>
      <c r="BI1341" s="209"/>
      <c r="BJ1341" s="183"/>
      <c r="BK1341" s="209"/>
      <c r="BL1341" s="182"/>
      <c r="BM1341" s="210"/>
      <c r="BO1341" s="28" t="e">
        <f t="shared" si="147"/>
        <v>#DIV/0!</v>
      </c>
      <c r="BP1341" s="28">
        <f t="shared" si="148"/>
        <v>0</v>
      </c>
    </row>
    <row r="1342" spans="52:68" x14ac:dyDescent="0.25">
      <c r="AZ1342" s="471"/>
      <c r="BA1342" s="181"/>
      <c r="BB1342" s="182"/>
      <c r="BC1342" s="209"/>
      <c r="BD1342" s="182"/>
      <c r="BE1342" s="209"/>
      <c r="BF1342" s="182"/>
      <c r="BG1342" s="209"/>
      <c r="BH1342" s="182"/>
      <c r="BI1342" s="209"/>
      <c r="BJ1342" s="183"/>
      <c r="BK1342" s="209"/>
      <c r="BL1342" s="182"/>
      <c r="BM1342" s="210"/>
      <c r="BO1342" s="28" t="e">
        <f t="shared" si="147"/>
        <v>#DIV/0!</v>
      </c>
      <c r="BP1342" s="28">
        <f t="shared" si="148"/>
        <v>0</v>
      </c>
    </row>
    <row r="1343" spans="52:68" x14ac:dyDescent="0.25">
      <c r="AZ1343" s="471"/>
      <c r="BA1343" s="181"/>
      <c r="BB1343" s="182"/>
      <c r="BC1343" s="209"/>
      <c r="BD1343" s="182"/>
      <c r="BE1343" s="209"/>
      <c r="BF1343" s="182"/>
      <c r="BG1343" s="209"/>
      <c r="BH1343" s="182"/>
      <c r="BI1343" s="209"/>
      <c r="BJ1343" s="183"/>
      <c r="BK1343" s="209"/>
      <c r="BL1343" s="182"/>
      <c r="BM1343" s="210"/>
      <c r="BO1343" s="28" t="e">
        <f t="shared" si="147"/>
        <v>#DIV/0!</v>
      </c>
      <c r="BP1343" s="28">
        <f t="shared" si="148"/>
        <v>0</v>
      </c>
    </row>
    <row r="1344" spans="52:68" x14ac:dyDescent="0.25">
      <c r="AZ1344" s="471"/>
      <c r="BA1344" s="181"/>
      <c r="BB1344" s="182"/>
      <c r="BC1344" s="209"/>
      <c r="BD1344" s="182"/>
      <c r="BE1344" s="209"/>
      <c r="BF1344" s="182"/>
      <c r="BG1344" s="209"/>
      <c r="BH1344" s="182"/>
      <c r="BI1344" s="209"/>
      <c r="BJ1344" s="183"/>
      <c r="BK1344" s="209"/>
      <c r="BL1344" s="182"/>
      <c r="BM1344" s="210"/>
      <c r="BO1344" s="28" t="e">
        <f t="shared" si="147"/>
        <v>#DIV/0!</v>
      </c>
      <c r="BP1344" s="28">
        <f t="shared" si="148"/>
        <v>0</v>
      </c>
    </row>
    <row r="1345" spans="52:68" x14ac:dyDescent="0.25">
      <c r="AZ1345" s="471"/>
      <c r="BA1345" s="181"/>
      <c r="BB1345" s="182"/>
      <c r="BC1345" s="209"/>
      <c r="BD1345" s="182"/>
      <c r="BE1345" s="209"/>
      <c r="BF1345" s="182"/>
      <c r="BG1345" s="209"/>
      <c r="BH1345" s="182"/>
      <c r="BI1345" s="209"/>
      <c r="BJ1345" s="183"/>
      <c r="BK1345" s="209"/>
      <c r="BL1345" s="182"/>
      <c r="BM1345" s="210"/>
      <c r="BO1345" s="28" t="e">
        <f t="shared" si="147"/>
        <v>#DIV/0!</v>
      </c>
      <c r="BP1345" s="28">
        <f t="shared" si="148"/>
        <v>0</v>
      </c>
    </row>
    <row r="1346" spans="52:68" x14ac:dyDescent="0.25">
      <c r="AZ1346" s="471"/>
      <c r="BA1346" s="181"/>
      <c r="BB1346" s="182"/>
      <c r="BC1346" s="209"/>
      <c r="BD1346" s="182"/>
      <c r="BE1346" s="209"/>
      <c r="BF1346" s="182"/>
      <c r="BG1346" s="209"/>
      <c r="BH1346" s="182"/>
      <c r="BI1346" s="209"/>
      <c r="BJ1346" s="183"/>
      <c r="BK1346" s="209"/>
      <c r="BL1346" s="182"/>
      <c r="BM1346" s="210"/>
      <c r="BO1346" s="28" t="e">
        <f t="shared" si="147"/>
        <v>#DIV/0!</v>
      </c>
      <c r="BP1346" s="28">
        <f t="shared" si="148"/>
        <v>0</v>
      </c>
    </row>
    <row r="1347" spans="52:68" x14ac:dyDescent="0.25">
      <c r="AZ1347" s="471"/>
      <c r="BA1347" s="181"/>
      <c r="BB1347" s="182"/>
      <c r="BC1347" s="209"/>
      <c r="BD1347" s="182"/>
      <c r="BE1347" s="209"/>
      <c r="BF1347" s="182"/>
      <c r="BG1347" s="209"/>
      <c r="BH1347" s="182"/>
      <c r="BI1347" s="209"/>
      <c r="BJ1347" s="183"/>
      <c r="BK1347" s="209"/>
      <c r="BL1347" s="182"/>
      <c r="BM1347" s="210"/>
      <c r="BO1347" s="28" t="e">
        <f t="shared" si="147"/>
        <v>#DIV/0!</v>
      </c>
      <c r="BP1347" s="28">
        <f t="shared" si="148"/>
        <v>0</v>
      </c>
    </row>
    <row r="1348" spans="52:68" x14ac:dyDescent="0.25">
      <c r="AZ1348" s="471"/>
      <c r="BA1348" s="181"/>
      <c r="BB1348" s="182"/>
      <c r="BC1348" s="209"/>
      <c r="BD1348" s="182"/>
      <c r="BE1348" s="209"/>
      <c r="BF1348" s="182"/>
      <c r="BG1348" s="209"/>
      <c r="BH1348" s="182"/>
      <c r="BI1348" s="209"/>
      <c r="BJ1348" s="183"/>
      <c r="BK1348" s="209"/>
      <c r="BL1348" s="182"/>
      <c r="BM1348" s="210"/>
      <c r="BO1348" s="28" t="e">
        <f t="shared" si="147"/>
        <v>#DIV/0!</v>
      </c>
      <c r="BP1348" s="28">
        <f t="shared" si="148"/>
        <v>0</v>
      </c>
    </row>
    <row r="1349" spans="52:68" x14ac:dyDescent="0.25">
      <c r="AZ1349" s="471"/>
      <c r="BA1349" s="181"/>
      <c r="BB1349" s="182"/>
      <c r="BC1349" s="209"/>
      <c r="BD1349" s="182"/>
      <c r="BE1349" s="209"/>
      <c r="BF1349" s="182"/>
      <c r="BG1349" s="209"/>
      <c r="BH1349" s="182"/>
      <c r="BI1349" s="209"/>
      <c r="BJ1349" s="183"/>
      <c r="BK1349" s="209"/>
      <c r="BL1349" s="182"/>
      <c r="BM1349" s="210"/>
      <c r="BO1349" s="28" t="e">
        <f t="shared" si="147"/>
        <v>#DIV/0!</v>
      </c>
      <c r="BP1349" s="28">
        <f t="shared" si="148"/>
        <v>0</v>
      </c>
    </row>
    <row r="1350" spans="52:68" x14ac:dyDescent="0.25">
      <c r="AZ1350" s="471"/>
      <c r="BA1350" s="181"/>
      <c r="BB1350" s="182"/>
      <c r="BC1350" s="209"/>
      <c r="BD1350" s="182"/>
      <c r="BE1350" s="209"/>
      <c r="BF1350" s="182"/>
      <c r="BG1350" s="209"/>
      <c r="BH1350" s="182"/>
      <c r="BI1350" s="209"/>
      <c r="BJ1350" s="183"/>
      <c r="BK1350" s="209"/>
      <c r="BL1350" s="182"/>
      <c r="BM1350" s="210"/>
      <c r="BO1350" s="28" t="e">
        <f t="shared" si="147"/>
        <v>#DIV/0!</v>
      </c>
      <c r="BP1350" s="28">
        <f t="shared" si="148"/>
        <v>0</v>
      </c>
    </row>
    <row r="1351" spans="52:68" x14ac:dyDescent="0.25">
      <c r="AZ1351" s="471"/>
      <c r="BA1351" s="181"/>
      <c r="BB1351" s="182"/>
      <c r="BC1351" s="209"/>
      <c r="BD1351" s="182"/>
      <c r="BE1351" s="209"/>
      <c r="BF1351" s="182"/>
      <c r="BG1351" s="209"/>
      <c r="BH1351" s="182"/>
      <c r="BI1351" s="209"/>
      <c r="BJ1351" s="183"/>
      <c r="BK1351" s="209"/>
      <c r="BL1351" s="182"/>
      <c r="BM1351" s="210"/>
      <c r="BO1351" s="28" t="e">
        <f t="shared" si="147"/>
        <v>#DIV/0!</v>
      </c>
      <c r="BP1351" s="28">
        <f t="shared" si="148"/>
        <v>0</v>
      </c>
    </row>
    <row r="1352" spans="52:68" x14ac:dyDescent="0.25">
      <c r="AZ1352" s="471"/>
      <c r="BA1352" s="181"/>
      <c r="BB1352" s="182"/>
      <c r="BC1352" s="209"/>
      <c r="BD1352" s="182"/>
      <c r="BE1352" s="209"/>
      <c r="BF1352" s="182"/>
      <c r="BG1352" s="209"/>
      <c r="BH1352" s="182"/>
      <c r="BI1352" s="209"/>
      <c r="BJ1352" s="183"/>
      <c r="BK1352" s="209"/>
      <c r="BL1352" s="182"/>
      <c r="BM1352" s="210"/>
      <c r="BO1352" s="28" t="e">
        <f t="shared" si="147"/>
        <v>#DIV/0!</v>
      </c>
      <c r="BP1352" s="28">
        <f t="shared" si="148"/>
        <v>0</v>
      </c>
    </row>
    <row r="1353" spans="52:68" x14ac:dyDescent="0.25">
      <c r="AZ1353" s="471"/>
      <c r="BA1353" s="181"/>
      <c r="BB1353" s="182"/>
      <c r="BC1353" s="209"/>
      <c r="BD1353" s="182"/>
      <c r="BE1353" s="209"/>
      <c r="BF1353" s="182"/>
      <c r="BG1353" s="209"/>
      <c r="BH1353" s="182"/>
      <c r="BI1353" s="209"/>
      <c r="BJ1353" s="183"/>
      <c r="BK1353" s="209"/>
      <c r="BL1353" s="182"/>
      <c r="BM1353" s="210"/>
      <c r="BO1353" s="28" t="e">
        <f t="shared" ref="BO1353:BO1416" si="149">AVERAGE(BB1353:BM1353)</f>
        <v>#DIV/0!</v>
      </c>
      <c r="BP1353" s="28">
        <f t="shared" ref="BP1353:BP1416" si="150">SUM(BB1353:BM1353)</f>
        <v>0</v>
      </c>
    </row>
    <row r="1354" spans="52:68" x14ac:dyDescent="0.25">
      <c r="AZ1354" s="471"/>
      <c r="BA1354" s="181"/>
      <c r="BB1354" s="182"/>
      <c r="BC1354" s="209"/>
      <c r="BD1354" s="182"/>
      <c r="BE1354" s="209"/>
      <c r="BF1354" s="182"/>
      <c r="BG1354" s="209"/>
      <c r="BH1354" s="182"/>
      <c r="BI1354" s="209"/>
      <c r="BJ1354" s="183"/>
      <c r="BK1354" s="209"/>
      <c r="BL1354" s="182"/>
      <c r="BM1354" s="210"/>
      <c r="BO1354" s="28" t="e">
        <f t="shared" si="149"/>
        <v>#DIV/0!</v>
      </c>
      <c r="BP1354" s="28">
        <f t="shared" si="150"/>
        <v>0</v>
      </c>
    </row>
    <row r="1355" spans="52:68" x14ac:dyDescent="0.25">
      <c r="AZ1355" s="471"/>
      <c r="BA1355" s="181"/>
      <c r="BB1355" s="182"/>
      <c r="BC1355" s="209"/>
      <c r="BD1355" s="182"/>
      <c r="BE1355" s="209"/>
      <c r="BF1355" s="182"/>
      <c r="BG1355" s="209"/>
      <c r="BH1355" s="182"/>
      <c r="BI1355" s="209"/>
      <c r="BJ1355" s="183"/>
      <c r="BK1355" s="209"/>
      <c r="BL1355" s="182"/>
      <c r="BM1355" s="210"/>
      <c r="BO1355" s="28" t="e">
        <f t="shared" si="149"/>
        <v>#DIV/0!</v>
      </c>
      <c r="BP1355" s="28">
        <f t="shared" si="150"/>
        <v>0</v>
      </c>
    </row>
    <row r="1356" spans="52:68" x14ac:dyDescent="0.25">
      <c r="AZ1356" s="471"/>
      <c r="BA1356" s="181"/>
      <c r="BB1356" s="182"/>
      <c r="BC1356" s="209"/>
      <c r="BD1356" s="182"/>
      <c r="BE1356" s="209"/>
      <c r="BF1356" s="182"/>
      <c r="BG1356" s="209"/>
      <c r="BH1356" s="182"/>
      <c r="BI1356" s="209"/>
      <c r="BJ1356" s="183"/>
      <c r="BK1356" s="209"/>
      <c r="BL1356" s="182"/>
      <c r="BM1356" s="210"/>
      <c r="BO1356" s="28" t="e">
        <f t="shared" si="149"/>
        <v>#DIV/0!</v>
      </c>
      <c r="BP1356" s="28">
        <f t="shared" si="150"/>
        <v>0</v>
      </c>
    </row>
    <row r="1357" spans="52:68" x14ac:dyDescent="0.25">
      <c r="AZ1357" s="471"/>
      <c r="BA1357" s="181"/>
      <c r="BB1357" s="182"/>
      <c r="BC1357" s="209"/>
      <c r="BD1357" s="182"/>
      <c r="BE1357" s="209"/>
      <c r="BF1357" s="182"/>
      <c r="BG1357" s="209"/>
      <c r="BH1357" s="182"/>
      <c r="BI1357" s="209"/>
      <c r="BJ1357" s="183"/>
      <c r="BK1357" s="209"/>
      <c r="BL1357" s="182"/>
      <c r="BM1357" s="210"/>
      <c r="BO1357" s="28" t="e">
        <f t="shared" si="149"/>
        <v>#DIV/0!</v>
      </c>
      <c r="BP1357" s="28">
        <f t="shared" si="150"/>
        <v>0</v>
      </c>
    </row>
    <row r="1358" spans="52:68" x14ac:dyDescent="0.25">
      <c r="AZ1358" s="471"/>
      <c r="BA1358" s="181"/>
      <c r="BB1358" s="182"/>
      <c r="BC1358" s="209"/>
      <c r="BD1358" s="182"/>
      <c r="BE1358" s="209"/>
      <c r="BF1358" s="182"/>
      <c r="BG1358" s="209"/>
      <c r="BH1358" s="182"/>
      <c r="BI1358" s="209"/>
      <c r="BJ1358" s="183"/>
      <c r="BK1358" s="209"/>
      <c r="BL1358" s="182"/>
      <c r="BM1358" s="210"/>
      <c r="BO1358" s="28" t="e">
        <f t="shared" si="149"/>
        <v>#DIV/0!</v>
      </c>
      <c r="BP1358" s="28">
        <f t="shared" si="150"/>
        <v>0</v>
      </c>
    </row>
    <row r="1359" spans="52:68" x14ac:dyDescent="0.25">
      <c r="AZ1359" s="471"/>
      <c r="BA1359" s="181"/>
      <c r="BB1359" s="182"/>
      <c r="BC1359" s="209"/>
      <c r="BD1359" s="182"/>
      <c r="BE1359" s="209"/>
      <c r="BF1359" s="182"/>
      <c r="BG1359" s="209"/>
      <c r="BH1359" s="182"/>
      <c r="BI1359" s="209"/>
      <c r="BJ1359" s="183"/>
      <c r="BK1359" s="209"/>
      <c r="BL1359" s="182"/>
      <c r="BM1359" s="210"/>
      <c r="BO1359" s="28" t="e">
        <f t="shared" si="149"/>
        <v>#DIV/0!</v>
      </c>
      <c r="BP1359" s="28">
        <f t="shared" si="150"/>
        <v>0</v>
      </c>
    </row>
    <row r="1360" spans="52:68" x14ac:dyDescent="0.25">
      <c r="AZ1360" s="471"/>
      <c r="BA1360" s="181"/>
      <c r="BB1360" s="182"/>
      <c r="BC1360" s="209"/>
      <c r="BD1360" s="182"/>
      <c r="BE1360" s="209"/>
      <c r="BF1360" s="182"/>
      <c r="BG1360" s="209"/>
      <c r="BH1360" s="182"/>
      <c r="BI1360" s="209"/>
      <c r="BJ1360" s="183"/>
      <c r="BK1360" s="209"/>
      <c r="BL1360" s="182"/>
      <c r="BM1360" s="210"/>
      <c r="BO1360" s="28" t="e">
        <f t="shared" si="149"/>
        <v>#DIV/0!</v>
      </c>
      <c r="BP1360" s="28">
        <f t="shared" si="150"/>
        <v>0</v>
      </c>
    </row>
    <row r="1361" spans="52:68" x14ac:dyDescent="0.25">
      <c r="AZ1361" s="471"/>
      <c r="BA1361" s="181"/>
      <c r="BB1361" s="182"/>
      <c r="BC1361" s="209"/>
      <c r="BD1361" s="182"/>
      <c r="BE1361" s="209"/>
      <c r="BF1361" s="182"/>
      <c r="BG1361" s="209"/>
      <c r="BH1361" s="182"/>
      <c r="BI1361" s="209"/>
      <c r="BJ1361" s="183"/>
      <c r="BK1361" s="209"/>
      <c r="BL1361" s="182"/>
      <c r="BM1361" s="210"/>
      <c r="BO1361" s="28" t="e">
        <f t="shared" si="149"/>
        <v>#DIV/0!</v>
      </c>
      <c r="BP1361" s="28">
        <f t="shared" si="150"/>
        <v>0</v>
      </c>
    </row>
    <row r="1362" spans="52:68" x14ac:dyDescent="0.25">
      <c r="AZ1362" s="471"/>
      <c r="BA1362" s="181"/>
      <c r="BB1362" s="182"/>
      <c r="BC1362" s="209"/>
      <c r="BD1362" s="182"/>
      <c r="BE1362" s="209"/>
      <c r="BF1362" s="182"/>
      <c r="BG1362" s="209"/>
      <c r="BH1362" s="182"/>
      <c r="BI1362" s="209"/>
      <c r="BJ1362" s="183"/>
      <c r="BK1362" s="209"/>
      <c r="BL1362" s="182"/>
      <c r="BM1362" s="210"/>
      <c r="BO1362" s="28" t="e">
        <f t="shared" si="149"/>
        <v>#DIV/0!</v>
      </c>
      <c r="BP1362" s="28">
        <f t="shared" si="150"/>
        <v>0</v>
      </c>
    </row>
    <row r="1363" spans="52:68" x14ac:dyDescent="0.25">
      <c r="AZ1363" s="471"/>
      <c r="BA1363" s="181"/>
      <c r="BB1363" s="182"/>
      <c r="BC1363" s="209"/>
      <c r="BD1363" s="182"/>
      <c r="BE1363" s="209"/>
      <c r="BF1363" s="182"/>
      <c r="BG1363" s="209"/>
      <c r="BH1363" s="182"/>
      <c r="BI1363" s="209"/>
      <c r="BJ1363" s="183"/>
      <c r="BK1363" s="209"/>
      <c r="BL1363" s="182"/>
      <c r="BM1363" s="210"/>
      <c r="BO1363" s="28" t="e">
        <f t="shared" si="149"/>
        <v>#DIV/0!</v>
      </c>
      <c r="BP1363" s="28">
        <f t="shared" si="150"/>
        <v>0</v>
      </c>
    </row>
    <row r="1364" spans="52:68" x14ac:dyDescent="0.25">
      <c r="AZ1364" s="471"/>
      <c r="BA1364" s="181"/>
      <c r="BB1364" s="182"/>
      <c r="BC1364" s="209"/>
      <c r="BD1364" s="182"/>
      <c r="BE1364" s="209"/>
      <c r="BF1364" s="182"/>
      <c r="BG1364" s="209"/>
      <c r="BH1364" s="182"/>
      <c r="BI1364" s="209"/>
      <c r="BJ1364" s="183"/>
      <c r="BK1364" s="209"/>
      <c r="BL1364" s="182"/>
      <c r="BM1364" s="210"/>
      <c r="BO1364" s="28" t="e">
        <f t="shared" si="149"/>
        <v>#DIV/0!</v>
      </c>
      <c r="BP1364" s="28">
        <f t="shared" si="150"/>
        <v>0</v>
      </c>
    </row>
    <row r="1365" spans="52:68" x14ac:dyDescent="0.25">
      <c r="AZ1365" s="471"/>
      <c r="BA1365" s="181"/>
      <c r="BB1365" s="182"/>
      <c r="BC1365" s="209"/>
      <c r="BD1365" s="182"/>
      <c r="BE1365" s="209"/>
      <c r="BF1365" s="182"/>
      <c r="BG1365" s="209"/>
      <c r="BH1365" s="182"/>
      <c r="BI1365" s="209"/>
      <c r="BJ1365" s="183"/>
      <c r="BK1365" s="209"/>
      <c r="BL1365" s="182"/>
      <c r="BM1365" s="210"/>
      <c r="BO1365" s="28" t="e">
        <f t="shared" si="149"/>
        <v>#DIV/0!</v>
      </c>
      <c r="BP1365" s="28">
        <f t="shared" si="150"/>
        <v>0</v>
      </c>
    </row>
    <row r="1366" spans="52:68" x14ac:dyDescent="0.25">
      <c r="AZ1366" s="471"/>
      <c r="BA1366" s="181"/>
      <c r="BB1366" s="182"/>
      <c r="BC1366" s="209"/>
      <c r="BD1366" s="182"/>
      <c r="BE1366" s="209"/>
      <c r="BF1366" s="182"/>
      <c r="BG1366" s="209"/>
      <c r="BH1366" s="182"/>
      <c r="BI1366" s="209"/>
      <c r="BJ1366" s="183"/>
      <c r="BK1366" s="209"/>
      <c r="BL1366" s="182"/>
      <c r="BM1366" s="210"/>
      <c r="BO1366" s="28" t="e">
        <f t="shared" si="149"/>
        <v>#DIV/0!</v>
      </c>
      <c r="BP1366" s="28">
        <f t="shared" si="150"/>
        <v>0</v>
      </c>
    </row>
    <row r="1367" spans="52:68" x14ac:dyDescent="0.25">
      <c r="AZ1367" s="471"/>
      <c r="BA1367" s="181"/>
      <c r="BB1367" s="182"/>
      <c r="BC1367" s="209"/>
      <c r="BD1367" s="182"/>
      <c r="BE1367" s="209"/>
      <c r="BF1367" s="182"/>
      <c r="BG1367" s="209"/>
      <c r="BH1367" s="182"/>
      <c r="BI1367" s="209"/>
      <c r="BJ1367" s="183"/>
      <c r="BK1367" s="209"/>
      <c r="BL1367" s="182"/>
      <c r="BM1367" s="210"/>
      <c r="BO1367" s="28" t="e">
        <f t="shared" si="149"/>
        <v>#DIV/0!</v>
      </c>
      <c r="BP1367" s="28">
        <f t="shared" si="150"/>
        <v>0</v>
      </c>
    </row>
    <row r="1368" spans="52:68" x14ac:dyDescent="0.25">
      <c r="AZ1368" s="471"/>
      <c r="BA1368" s="181"/>
      <c r="BB1368" s="182"/>
      <c r="BC1368" s="209"/>
      <c r="BD1368" s="182"/>
      <c r="BE1368" s="209"/>
      <c r="BF1368" s="182"/>
      <c r="BG1368" s="209"/>
      <c r="BH1368" s="182"/>
      <c r="BI1368" s="209"/>
      <c r="BJ1368" s="183"/>
      <c r="BK1368" s="209"/>
      <c r="BL1368" s="182"/>
      <c r="BM1368" s="210"/>
      <c r="BO1368" s="28" t="e">
        <f t="shared" si="149"/>
        <v>#DIV/0!</v>
      </c>
      <c r="BP1368" s="28">
        <f t="shared" si="150"/>
        <v>0</v>
      </c>
    </row>
    <row r="1369" spans="52:68" x14ac:dyDescent="0.25">
      <c r="AZ1369" s="471"/>
      <c r="BA1369" s="181"/>
      <c r="BB1369" s="182"/>
      <c r="BC1369" s="209"/>
      <c r="BD1369" s="182"/>
      <c r="BE1369" s="209"/>
      <c r="BF1369" s="182"/>
      <c r="BG1369" s="209"/>
      <c r="BH1369" s="182"/>
      <c r="BI1369" s="209"/>
      <c r="BJ1369" s="183"/>
      <c r="BK1369" s="209"/>
      <c r="BL1369" s="182"/>
      <c r="BM1369" s="210"/>
      <c r="BO1369" s="28" t="e">
        <f t="shared" si="149"/>
        <v>#DIV/0!</v>
      </c>
      <c r="BP1369" s="28">
        <f t="shared" si="150"/>
        <v>0</v>
      </c>
    </row>
    <row r="1370" spans="52:68" x14ac:dyDescent="0.25">
      <c r="AZ1370" s="471"/>
      <c r="BA1370" s="181"/>
      <c r="BB1370" s="182"/>
      <c r="BC1370" s="209"/>
      <c r="BD1370" s="182"/>
      <c r="BE1370" s="209"/>
      <c r="BF1370" s="182"/>
      <c r="BG1370" s="209"/>
      <c r="BH1370" s="182"/>
      <c r="BI1370" s="209"/>
      <c r="BJ1370" s="183"/>
      <c r="BK1370" s="209"/>
      <c r="BL1370" s="182"/>
      <c r="BM1370" s="210"/>
      <c r="BO1370" s="28" t="e">
        <f t="shared" si="149"/>
        <v>#DIV/0!</v>
      </c>
      <c r="BP1370" s="28">
        <f t="shared" si="150"/>
        <v>0</v>
      </c>
    </row>
    <row r="1371" spans="52:68" x14ac:dyDescent="0.25">
      <c r="AZ1371" s="471"/>
      <c r="BA1371" s="181"/>
      <c r="BB1371" s="182"/>
      <c r="BC1371" s="209"/>
      <c r="BD1371" s="182"/>
      <c r="BE1371" s="209"/>
      <c r="BF1371" s="182"/>
      <c r="BG1371" s="209"/>
      <c r="BH1371" s="182"/>
      <c r="BI1371" s="209"/>
      <c r="BJ1371" s="183"/>
      <c r="BK1371" s="209"/>
      <c r="BL1371" s="182"/>
      <c r="BM1371" s="210"/>
      <c r="BO1371" s="28" t="e">
        <f t="shared" si="149"/>
        <v>#DIV/0!</v>
      </c>
      <c r="BP1371" s="28">
        <f t="shared" si="150"/>
        <v>0</v>
      </c>
    </row>
    <row r="1372" spans="52:68" x14ac:dyDescent="0.25">
      <c r="AZ1372" s="471"/>
      <c r="BA1372" s="181"/>
      <c r="BB1372" s="182"/>
      <c r="BC1372" s="209"/>
      <c r="BD1372" s="182"/>
      <c r="BE1372" s="209"/>
      <c r="BF1372" s="182"/>
      <c r="BG1372" s="209"/>
      <c r="BH1372" s="182"/>
      <c r="BI1372" s="209"/>
      <c r="BJ1372" s="183"/>
      <c r="BK1372" s="209"/>
      <c r="BL1372" s="182"/>
      <c r="BM1372" s="210"/>
      <c r="BO1372" s="28" t="e">
        <f t="shared" si="149"/>
        <v>#DIV/0!</v>
      </c>
      <c r="BP1372" s="28">
        <f t="shared" si="150"/>
        <v>0</v>
      </c>
    </row>
    <row r="1373" spans="52:68" x14ac:dyDescent="0.25">
      <c r="AZ1373" s="471"/>
      <c r="BA1373" s="181"/>
      <c r="BB1373" s="182"/>
      <c r="BC1373" s="209"/>
      <c r="BD1373" s="182"/>
      <c r="BE1373" s="209"/>
      <c r="BF1373" s="182"/>
      <c r="BG1373" s="209"/>
      <c r="BH1373" s="182"/>
      <c r="BI1373" s="209"/>
      <c r="BJ1373" s="183"/>
      <c r="BK1373" s="209"/>
      <c r="BL1373" s="182"/>
      <c r="BM1373" s="210"/>
      <c r="BO1373" s="28" t="e">
        <f t="shared" si="149"/>
        <v>#DIV/0!</v>
      </c>
      <c r="BP1373" s="28">
        <f t="shared" si="150"/>
        <v>0</v>
      </c>
    </row>
    <row r="1374" spans="52:68" x14ac:dyDescent="0.25">
      <c r="AZ1374" s="471"/>
      <c r="BA1374" s="181"/>
      <c r="BB1374" s="182"/>
      <c r="BC1374" s="209"/>
      <c r="BD1374" s="182"/>
      <c r="BE1374" s="209"/>
      <c r="BF1374" s="182"/>
      <c r="BG1374" s="209"/>
      <c r="BH1374" s="182"/>
      <c r="BI1374" s="209"/>
      <c r="BJ1374" s="183"/>
      <c r="BK1374" s="209"/>
      <c r="BL1374" s="182"/>
      <c r="BM1374" s="210"/>
      <c r="BO1374" s="28" t="e">
        <f t="shared" si="149"/>
        <v>#DIV/0!</v>
      </c>
      <c r="BP1374" s="28">
        <f t="shared" si="150"/>
        <v>0</v>
      </c>
    </row>
    <row r="1375" spans="52:68" x14ac:dyDescent="0.25">
      <c r="AZ1375" s="471"/>
      <c r="BA1375" s="181"/>
      <c r="BB1375" s="182"/>
      <c r="BC1375" s="209"/>
      <c r="BD1375" s="182"/>
      <c r="BE1375" s="209"/>
      <c r="BF1375" s="182"/>
      <c r="BG1375" s="209"/>
      <c r="BH1375" s="182"/>
      <c r="BI1375" s="209"/>
      <c r="BJ1375" s="183"/>
      <c r="BK1375" s="209"/>
      <c r="BL1375" s="182"/>
      <c r="BM1375" s="210"/>
      <c r="BO1375" s="28" t="e">
        <f t="shared" si="149"/>
        <v>#DIV/0!</v>
      </c>
      <c r="BP1375" s="28">
        <f t="shared" si="150"/>
        <v>0</v>
      </c>
    </row>
    <row r="1376" spans="52:68" x14ac:dyDescent="0.25">
      <c r="AZ1376" s="471"/>
      <c r="BA1376" s="181"/>
      <c r="BB1376" s="182"/>
      <c r="BC1376" s="209"/>
      <c r="BD1376" s="182"/>
      <c r="BE1376" s="209"/>
      <c r="BF1376" s="182"/>
      <c r="BG1376" s="209"/>
      <c r="BH1376" s="182"/>
      <c r="BI1376" s="209"/>
      <c r="BJ1376" s="183"/>
      <c r="BK1376" s="209"/>
      <c r="BL1376" s="182"/>
      <c r="BM1376" s="210"/>
      <c r="BO1376" s="28" t="e">
        <f t="shared" si="149"/>
        <v>#DIV/0!</v>
      </c>
      <c r="BP1376" s="28">
        <f t="shared" si="150"/>
        <v>0</v>
      </c>
    </row>
    <row r="1377" spans="52:68" x14ac:dyDescent="0.25">
      <c r="AZ1377" s="471"/>
      <c r="BA1377" s="181"/>
      <c r="BB1377" s="182"/>
      <c r="BC1377" s="209"/>
      <c r="BD1377" s="182"/>
      <c r="BE1377" s="209"/>
      <c r="BF1377" s="182"/>
      <c r="BG1377" s="209"/>
      <c r="BH1377" s="182"/>
      <c r="BI1377" s="209"/>
      <c r="BJ1377" s="183"/>
      <c r="BK1377" s="209"/>
      <c r="BL1377" s="182"/>
      <c r="BM1377" s="210"/>
      <c r="BO1377" s="28" t="e">
        <f t="shared" si="149"/>
        <v>#DIV/0!</v>
      </c>
      <c r="BP1377" s="28">
        <f t="shared" si="150"/>
        <v>0</v>
      </c>
    </row>
    <row r="1378" spans="52:68" x14ac:dyDescent="0.25">
      <c r="AZ1378" s="471"/>
      <c r="BA1378" s="181"/>
      <c r="BB1378" s="182"/>
      <c r="BC1378" s="209"/>
      <c r="BD1378" s="182"/>
      <c r="BE1378" s="209"/>
      <c r="BF1378" s="182"/>
      <c r="BG1378" s="209"/>
      <c r="BH1378" s="182"/>
      <c r="BI1378" s="209"/>
      <c r="BJ1378" s="183"/>
      <c r="BK1378" s="209"/>
      <c r="BL1378" s="182"/>
      <c r="BM1378" s="210"/>
      <c r="BO1378" s="28" t="e">
        <f t="shared" si="149"/>
        <v>#DIV/0!</v>
      </c>
      <c r="BP1378" s="28">
        <f t="shared" si="150"/>
        <v>0</v>
      </c>
    </row>
    <row r="1379" spans="52:68" x14ac:dyDescent="0.25">
      <c r="AZ1379" s="471"/>
      <c r="BA1379" s="181"/>
      <c r="BB1379" s="182"/>
      <c r="BC1379" s="209"/>
      <c r="BD1379" s="182"/>
      <c r="BE1379" s="209"/>
      <c r="BF1379" s="182"/>
      <c r="BG1379" s="209"/>
      <c r="BH1379" s="182"/>
      <c r="BI1379" s="209"/>
      <c r="BJ1379" s="183"/>
      <c r="BK1379" s="209"/>
      <c r="BL1379" s="182"/>
      <c r="BM1379" s="210"/>
      <c r="BO1379" s="28" t="e">
        <f t="shared" si="149"/>
        <v>#DIV/0!</v>
      </c>
      <c r="BP1379" s="28">
        <f t="shared" si="150"/>
        <v>0</v>
      </c>
    </row>
    <row r="1380" spans="52:68" x14ac:dyDescent="0.25">
      <c r="AZ1380" s="471"/>
      <c r="BA1380" s="181"/>
      <c r="BB1380" s="182"/>
      <c r="BC1380" s="209"/>
      <c r="BD1380" s="182"/>
      <c r="BE1380" s="209"/>
      <c r="BF1380" s="182"/>
      <c r="BG1380" s="209"/>
      <c r="BH1380" s="182"/>
      <c r="BI1380" s="209"/>
      <c r="BJ1380" s="183"/>
      <c r="BK1380" s="209"/>
      <c r="BL1380" s="182"/>
      <c r="BM1380" s="210"/>
      <c r="BO1380" s="28" t="e">
        <f t="shared" si="149"/>
        <v>#DIV/0!</v>
      </c>
      <c r="BP1380" s="28">
        <f t="shared" si="150"/>
        <v>0</v>
      </c>
    </row>
    <row r="1381" spans="52:68" x14ac:dyDescent="0.25">
      <c r="AZ1381" s="471"/>
      <c r="BA1381" s="181"/>
      <c r="BB1381" s="182"/>
      <c r="BC1381" s="209"/>
      <c r="BD1381" s="182"/>
      <c r="BE1381" s="209"/>
      <c r="BF1381" s="182"/>
      <c r="BG1381" s="209"/>
      <c r="BH1381" s="182"/>
      <c r="BI1381" s="209"/>
      <c r="BJ1381" s="183"/>
      <c r="BK1381" s="209"/>
      <c r="BL1381" s="182"/>
      <c r="BM1381" s="210"/>
      <c r="BO1381" s="28" t="e">
        <f t="shared" si="149"/>
        <v>#DIV/0!</v>
      </c>
      <c r="BP1381" s="28">
        <f t="shared" si="150"/>
        <v>0</v>
      </c>
    </row>
    <row r="1382" spans="52:68" x14ac:dyDescent="0.25">
      <c r="AZ1382" s="471"/>
      <c r="BA1382" s="181"/>
      <c r="BB1382" s="182"/>
      <c r="BC1382" s="209"/>
      <c r="BD1382" s="182"/>
      <c r="BE1382" s="209"/>
      <c r="BF1382" s="182"/>
      <c r="BG1382" s="209"/>
      <c r="BH1382" s="182"/>
      <c r="BI1382" s="209"/>
      <c r="BJ1382" s="183"/>
      <c r="BK1382" s="209"/>
      <c r="BL1382" s="182"/>
      <c r="BM1382" s="210"/>
      <c r="BO1382" s="28" t="e">
        <f t="shared" si="149"/>
        <v>#DIV/0!</v>
      </c>
      <c r="BP1382" s="28">
        <f t="shared" si="150"/>
        <v>0</v>
      </c>
    </row>
    <row r="1383" spans="52:68" x14ac:dyDescent="0.25">
      <c r="AZ1383" s="471"/>
      <c r="BA1383" s="181"/>
      <c r="BB1383" s="182"/>
      <c r="BC1383" s="209"/>
      <c r="BD1383" s="182"/>
      <c r="BE1383" s="209"/>
      <c r="BF1383" s="182"/>
      <c r="BG1383" s="209"/>
      <c r="BH1383" s="182"/>
      <c r="BI1383" s="209"/>
      <c r="BJ1383" s="183"/>
      <c r="BK1383" s="209"/>
      <c r="BL1383" s="182"/>
      <c r="BM1383" s="210"/>
      <c r="BO1383" s="28" t="e">
        <f t="shared" si="149"/>
        <v>#DIV/0!</v>
      </c>
      <c r="BP1383" s="28">
        <f t="shared" si="150"/>
        <v>0</v>
      </c>
    </row>
    <row r="1384" spans="52:68" x14ac:dyDescent="0.25">
      <c r="AZ1384" s="471"/>
      <c r="BA1384" s="181"/>
      <c r="BB1384" s="182"/>
      <c r="BC1384" s="209"/>
      <c r="BD1384" s="182"/>
      <c r="BE1384" s="209"/>
      <c r="BF1384" s="182"/>
      <c r="BG1384" s="209"/>
      <c r="BH1384" s="182"/>
      <c r="BI1384" s="209"/>
      <c r="BJ1384" s="183"/>
      <c r="BK1384" s="209"/>
      <c r="BL1384" s="182"/>
      <c r="BM1384" s="210"/>
      <c r="BO1384" s="28" t="e">
        <f t="shared" si="149"/>
        <v>#DIV/0!</v>
      </c>
      <c r="BP1384" s="28">
        <f t="shared" si="150"/>
        <v>0</v>
      </c>
    </row>
    <row r="1385" spans="52:68" x14ac:dyDescent="0.25">
      <c r="AZ1385" s="471"/>
      <c r="BA1385" s="181"/>
      <c r="BB1385" s="182"/>
      <c r="BC1385" s="209"/>
      <c r="BD1385" s="182"/>
      <c r="BE1385" s="209"/>
      <c r="BF1385" s="182"/>
      <c r="BG1385" s="209"/>
      <c r="BH1385" s="182"/>
      <c r="BI1385" s="209"/>
      <c r="BJ1385" s="183"/>
      <c r="BK1385" s="209"/>
      <c r="BL1385" s="182"/>
      <c r="BM1385" s="210"/>
      <c r="BO1385" s="28" t="e">
        <f t="shared" si="149"/>
        <v>#DIV/0!</v>
      </c>
      <c r="BP1385" s="28">
        <f t="shared" si="150"/>
        <v>0</v>
      </c>
    </row>
    <row r="1386" spans="52:68" x14ac:dyDescent="0.25">
      <c r="AZ1386" s="471"/>
      <c r="BA1386" s="181"/>
      <c r="BB1386" s="182"/>
      <c r="BC1386" s="209"/>
      <c r="BD1386" s="182"/>
      <c r="BE1386" s="209"/>
      <c r="BF1386" s="182"/>
      <c r="BG1386" s="209"/>
      <c r="BH1386" s="182"/>
      <c r="BI1386" s="209"/>
      <c r="BJ1386" s="183"/>
      <c r="BK1386" s="209"/>
      <c r="BL1386" s="182"/>
      <c r="BM1386" s="210"/>
      <c r="BO1386" s="28" t="e">
        <f t="shared" si="149"/>
        <v>#DIV/0!</v>
      </c>
      <c r="BP1386" s="28">
        <f t="shared" si="150"/>
        <v>0</v>
      </c>
    </row>
    <row r="1387" spans="52:68" x14ac:dyDescent="0.25">
      <c r="AZ1387" s="471"/>
      <c r="BA1387" s="181"/>
      <c r="BB1387" s="182"/>
      <c r="BC1387" s="209"/>
      <c r="BD1387" s="182"/>
      <c r="BE1387" s="209"/>
      <c r="BF1387" s="182"/>
      <c r="BG1387" s="209"/>
      <c r="BH1387" s="182"/>
      <c r="BI1387" s="209"/>
      <c r="BJ1387" s="183"/>
      <c r="BK1387" s="209"/>
      <c r="BL1387" s="182"/>
      <c r="BM1387" s="210"/>
      <c r="BO1387" s="28" t="e">
        <f t="shared" si="149"/>
        <v>#DIV/0!</v>
      </c>
      <c r="BP1387" s="28">
        <f t="shared" si="150"/>
        <v>0</v>
      </c>
    </row>
    <row r="1388" spans="52:68" x14ac:dyDescent="0.25">
      <c r="AZ1388" s="471"/>
      <c r="BA1388" s="181"/>
      <c r="BB1388" s="182"/>
      <c r="BC1388" s="209"/>
      <c r="BD1388" s="182"/>
      <c r="BE1388" s="209"/>
      <c r="BF1388" s="182"/>
      <c r="BG1388" s="209"/>
      <c r="BH1388" s="182"/>
      <c r="BI1388" s="209"/>
      <c r="BJ1388" s="183"/>
      <c r="BK1388" s="209"/>
      <c r="BL1388" s="182"/>
      <c r="BM1388" s="210"/>
      <c r="BO1388" s="28" t="e">
        <f t="shared" si="149"/>
        <v>#DIV/0!</v>
      </c>
      <c r="BP1388" s="28">
        <f t="shared" si="150"/>
        <v>0</v>
      </c>
    </row>
    <row r="1389" spans="52:68" x14ac:dyDescent="0.25">
      <c r="AZ1389" s="471"/>
      <c r="BA1389" s="181"/>
      <c r="BB1389" s="182"/>
      <c r="BC1389" s="209"/>
      <c r="BD1389" s="182"/>
      <c r="BE1389" s="209"/>
      <c r="BF1389" s="182"/>
      <c r="BG1389" s="209"/>
      <c r="BH1389" s="182"/>
      <c r="BI1389" s="209"/>
      <c r="BJ1389" s="183"/>
      <c r="BK1389" s="209"/>
      <c r="BL1389" s="182"/>
      <c r="BM1389" s="210"/>
      <c r="BO1389" s="28" t="e">
        <f t="shared" si="149"/>
        <v>#DIV/0!</v>
      </c>
      <c r="BP1389" s="28">
        <f t="shared" si="150"/>
        <v>0</v>
      </c>
    </row>
    <row r="1390" spans="52:68" x14ac:dyDescent="0.25">
      <c r="AZ1390" s="471"/>
      <c r="BA1390" s="181"/>
      <c r="BB1390" s="182"/>
      <c r="BC1390" s="209"/>
      <c r="BD1390" s="182"/>
      <c r="BE1390" s="209"/>
      <c r="BF1390" s="182"/>
      <c r="BG1390" s="209"/>
      <c r="BH1390" s="182"/>
      <c r="BI1390" s="209"/>
      <c r="BJ1390" s="183"/>
      <c r="BK1390" s="209"/>
      <c r="BL1390" s="182"/>
      <c r="BM1390" s="210"/>
      <c r="BO1390" s="28" t="e">
        <f t="shared" si="149"/>
        <v>#DIV/0!</v>
      </c>
      <c r="BP1390" s="28">
        <f t="shared" si="150"/>
        <v>0</v>
      </c>
    </row>
    <row r="1391" spans="52:68" x14ac:dyDescent="0.25">
      <c r="AZ1391" s="471"/>
      <c r="BA1391" s="181"/>
      <c r="BB1391" s="182"/>
      <c r="BC1391" s="209"/>
      <c r="BD1391" s="182"/>
      <c r="BE1391" s="209"/>
      <c r="BF1391" s="182"/>
      <c r="BG1391" s="209"/>
      <c r="BH1391" s="182"/>
      <c r="BI1391" s="209"/>
      <c r="BJ1391" s="183"/>
      <c r="BK1391" s="209"/>
      <c r="BL1391" s="182"/>
      <c r="BM1391" s="210"/>
      <c r="BO1391" s="28" t="e">
        <f t="shared" si="149"/>
        <v>#DIV/0!</v>
      </c>
      <c r="BP1391" s="28">
        <f t="shared" si="150"/>
        <v>0</v>
      </c>
    </row>
    <row r="1392" spans="52:68" x14ac:dyDescent="0.25">
      <c r="AZ1392" s="471"/>
      <c r="BA1392" s="181"/>
      <c r="BB1392" s="182"/>
      <c r="BC1392" s="209"/>
      <c r="BD1392" s="182"/>
      <c r="BE1392" s="209"/>
      <c r="BF1392" s="182"/>
      <c r="BG1392" s="209"/>
      <c r="BH1392" s="182"/>
      <c r="BI1392" s="209"/>
      <c r="BJ1392" s="183"/>
      <c r="BK1392" s="209"/>
      <c r="BL1392" s="182"/>
      <c r="BM1392" s="210"/>
      <c r="BO1392" s="28" t="e">
        <f t="shared" si="149"/>
        <v>#DIV/0!</v>
      </c>
      <c r="BP1392" s="28">
        <f t="shared" si="150"/>
        <v>0</v>
      </c>
    </row>
    <row r="1393" spans="52:68" x14ac:dyDescent="0.25">
      <c r="AZ1393" s="471"/>
      <c r="BA1393" s="181"/>
      <c r="BB1393" s="187"/>
      <c r="BC1393" s="209"/>
      <c r="BD1393" s="187"/>
      <c r="BE1393" s="209"/>
      <c r="BF1393" s="182"/>
      <c r="BG1393" s="209"/>
      <c r="BH1393" s="182"/>
      <c r="BI1393" s="209"/>
      <c r="BJ1393" s="183"/>
      <c r="BK1393" s="209"/>
      <c r="BL1393" s="182"/>
      <c r="BM1393" s="210"/>
      <c r="BO1393" s="28" t="e">
        <f t="shared" si="149"/>
        <v>#DIV/0!</v>
      </c>
      <c r="BP1393" s="28">
        <f t="shared" si="150"/>
        <v>0</v>
      </c>
    </row>
    <row r="1394" spans="52:68" x14ac:dyDescent="0.25">
      <c r="AZ1394" s="471"/>
      <c r="BA1394" s="181"/>
      <c r="BB1394" s="182"/>
      <c r="BC1394" s="209"/>
      <c r="BD1394" s="182"/>
      <c r="BE1394" s="209"/>
      <c r="BF1394" s="182"/>
      <c r="BG1394" s="209"/>
      <c r="BH1394" s="182"/>
      <c r="BI1394" s="209"/>
      <c r="BJ1394" s="183"/>
      <c r="BK1394" s="209"/>
      <c r="BL1394" s="182"/>
      <c r="BM1394" s="210"/>
      <c r="BO1394" s="28" t="e">
        <f t="shared" si="149"/>
        <v>#DIV/0!</v>
      </c>
      <c r="BP1394" s="28">
        <f t="shared" si="150"/>
        <v>0</v>
      </c>
    </row>
    <row r="1395" spans="52:68" x14ac:dyDescent="0.25">
      <c r="AZ1395" s="471"/>
      <c r="BA1395" s="181"/>
      <c r="BB1395" s="182"/>
      <c r="BC1395" s="209"/>
      <c r="BD1395" s="182"/>
      <c r="BE1395" s="209"/>
      <c r="BF1395" s="182"/>
      <c r="BG1395" s="209"/>
      <c r="BH1395" s="182"/>
      <c r="BI1395" s="209"/>
      <c r="BJ1395" s="183"/>
      <c r="BK1395" s="209"/>
      <c r="BL1395" s="182"/>
      <c r="BM1395" s="210"/>
      <c r="BO1395" s="28" t="e">
        <f t="shared" si="149"/>
        <v>#DIV/0!</v>
      </c>
      <c r="BP1395" s="28">
        <f t="shared" si="150"/>
        <v>0</v>
      </c>
    </row>
    <row r="1396" spans="52:68" x14ac:dyDescent="0.25">
      <c r="AZ1396" s="471"/>
      <c r="BA1396" s="181"/>
      <c r="BB1396" s="182"/>
      <c r="BC1396" s="209"/>
      <c r="BD1396" s="182"/>
      <c r="BE1396" s="209"/>
      <c r="BF1396" s="182"/>
      <c r="BG1396" s="209"/>
      <c r="BH1396" s="182"/>
      <c r="BI1396" s="209"/>
      <c r="BJ1396" s="183"/>
      <c r="BK1396" s="209"/>
      <c r="BL1396" s="182"/>
      <c r="BM1396" s="210"/>
      <c r="BO1396" s="28" t="e">
        <f t="shared" si="149"/>
        <v>#DIV/0!</v>
      </c>
      <c r="BP1396" s="28">
        <f t="shared" si="150"/>
        <v>0</v>
      </c>
    </row>
    <row r="1397" spans="52:68" x14ac:dyDescent="0.25">
      <c r="AZ1397" s="471"/>
      <c r="BA1397" s="181"/>
      <c r="BB1397" s="182"/>
      <c r="BC1397" s="209"/>
      <c r="BD1397" s="182"/>
      <c r="BE1397" s="209"/>
      <c r="BF1397" s="182"/>
      <c r="BG1397" s="209"/>
      <c r="BH1397" s="182"/>
      <c r="BI1397" s="209"/>
      <c r="BJ1397" s="183"/>
      <c r="BK1397" s="209"/>
      <c r="BL1397" s="182"/>
      <c r="BM1397" s="210"/>
      <c r="BO1397" s="28" t="e">
        <f t="shared" si="149"/>
        <v>#DIV/0!</v>
      </c>
      <c r="BP1397" s="28">
        <f t="shared" si="150"/>
        <v>0</v>
      </c>
    </row>
    <row r="1398" spans="52:68" x14ac:dyDescent="0.25">
      <c r="AZ1398" s="471"/>
      <c r="BA1398" s="181"/>
      <c r="BB1398" s="182"/>
      <c r="BC1398" s="209"/>
      <c r="BD1398" s="182"/>
      <c r="BE1398" s="209"/>
      <c r="BF1398" s="182"/>
      <c r="BG1398" s="209"/>
      <c r="BH1398" s="182"/>
      <c r="BI1398" s="209"/>
      <c r="BJ1398" s="183"/>
      <c r="BK1398" s="209"/>
      <c r="BL1398" s="182"/>
      <c r="BM1398" s="210"/>
      <c r="BO1398" s="28" t="e">
        <f t="shared" si="149"/>
        <v>#DIV/0!</v>
      </c>
      <c r="BP1398" s="28">
        <f t="shared" si="150"/>
        <v>0</v>
      </c>
    </row>
    <row r="1399" spans="52:68" x14ac:dyDescent="0.25">
      <c r="AZ1399" s="471"/>
      <c r="BA1399" s="181"/>
      <c r="BB1399" s="182"/>
      <c r="BC1399" s="209"/>
      <c r="BD1399" s="182"/>
      <c r="BE1399" s="209"/>
      <c r="BF1399" s="182"/>
      <c r="BG1399" s="209"/>
      <c r="BH1399" s="182"/>
      <c r="BI1399" s="209"/>
      <c r="BJ1399" s="183"/>
      <c r="BK1399" s="209"/>
      <c r="BL1399" s="182"/>
      <c r="BM1399" s="210"/>
      <c r="BO1399" s="28" t="e">
        <f t="shared" si="149"/>
        <v>#DIV/0!</v>
      </c>
      <c r="BP1399" s="28">
        <f t="shared" si="150"/>
        <v>0</v>
      </c>
    </row>
    <row r="1400" spans="52:68" x14ac:dyDescent="0.25">
      <c r="AZ1400" s="471"/>
      <c r="BA1400" s="181"/>
      <c r="BB1400" s="182"/>
      <c r="BC1400" s="209"/>
      <c r="BD1400" s="182"/>
      <c r="BE1400" s="209"/>
      <c r="BF1400" s="182"/>
      <c r="BG1400" s="209"/>
      <c r="BH1400" s="182"/>
      <c r="BI1400" s="209"/>
      <c r="BJ1400" s="183"/>
      <c r="BK1400" s="209"/>
      <c r="BL1400" s="182"/>
      <c r="BM1400" s="210"/>
      <c r="BO1400" s="28" t="e">
        <f t="shared" si="149"/>
        <v>#DIV/0!</v>
      </c>
      <c r="BP1400" s="28">
        <f t="shared" si="150"/>
        <v>0</v>
      </c>
    </row>
    <row r="1401" spans="52:68" x14ac:dyDescent="0.25">
      <c r="AZ1401" s="471"/>
      <c r="BA1401" s="181"/>
      <c r="BB1401" s="182"/>
      <c r="BC1401" s="209"/>
      <c r="BD1401" s="182"/>
      <c r="BE1401" s="209"/>
      <c r="BF1401" s="182"/>
      <c r="BG1401" s="209"/>
      <c r="BH1401" s="182"/>
      <c r="BI1401" s="209"/>
      <c r="BJ1401" s="183"/>
      <c r="BK1401" s="209"/>
      <c r="BL1401" s="182"/>
      <c r="BM1401" s="210"/>
      <c r="BO1401" s="28" t="e">
        <f t="shared" si="149"/>
        <v>#DIV/0!</v>
      </c>
      <c r="BP1401" s="28">
        <f t="shared" si="150"/>
        <v>0</v>
      </c>
    </row>
    <row r="1402" spans="52:68" x14ac:dyDescent="0.25">
      <c r="AZ1402" s="471"/>
      <c r="BA1402" s="181"/>
      <c r="BB1402" s="182"/>
      <c r="BC1402" s="209"/>
      <c r="BD1402" s="182"/>
      <c r="BE1402" s="209"/>
      <c r="BF1402" s="182"/>
      <c r="BG1402" s="209"/>
      <c r="BH1402" s="182"/>
      <c r="BI1402" s="209"/>
      <c r="BJ1402" s="183"/>
      <c r="BK1402" s="209"/>
      <c r="BL1402" s="182"/>
      <c r="BM1402" s="210"/>
      <c r="BO1402" s="28" t="e">
        <f t="shared" si="149"/>
        <v>#DIV/0!</v>
      </c>
      <c r="BP1402" s="28">
        <f t="shared" si="150"/>
        <v>0</v>
      </c>
    </row>
    <row r="1403" spans="52:68" x14ac:dyDescent="0.25">
      <c r="AZ1403" s="471"/>
      <c r="BA1403" s="181"/>
      <c r="BB1403" s="182"/>
      <c r="BC1403" s="209"/>
      <c r="BD1403" s="182"/>
      <c r="BE1403" s="209"/>
      <c r="BF1403" s="182"/>
      <c r="BG1403" s="209"/>
      <c r="BH1403" s="182"/>
      <c r="BI1403" s="209"/>
      <c r="BJ1403" s="183"/>
      <c r="BK1403" s="209"/>
      <c r="BL1403" s="182"/>
      <c r="BM1403" s="210"/>
      <c r="BO1403" s="28" t="e">
        <f t="shared" si="149"/>
        <v>#DIV/0!</v>
      </c>
      <c r="BP1403" s="28">
        <f t="shared" si="150"/>
        <v>0</v>
      </c>
    </row>
    <row r="1404" spans="52:68" x14ac:dyDescent="0.25">
      <c r="AZ1404" s="471"/>
      <c r="BA1404" s="181"/>
      <c r="BB1404" s="182"/>
      <c r="BC1404" s="209"/>
      <c r="BD1404" s="182"/>
      <c r="BE1404" s="209"/>
      <c r="BF1404" s="182"/>
      <c r="BG1404" s="209"/>
      <c r="BH1404" s="182"/>
      <c r="BI1404" s="209"/>
      <c r="BJ1404" s="183"/>
      <c r="BK1404" s="209"/>
      <c r="BL1404" s="182"/>
      <c r="BM1404" s="210"/>
      <c r="BO1404" s="28" t="e">
        <f t="shared" si="149"/>
        <v>#DIV/0!</v>
      </c>
      <c r="BP1404" s="28">
        <f t="shared" si="150"/>
        <v>0</v>
      </c>
    </row>
    <row r="1405" spans="52:68" x14ac:dyDescent="0.25">
      <c r="AZ1405" s="471"/>
      <c r="BA1405" s="181"/>
      <c r="BB1405" s="182"/>
      <c r="BC1405" s="209"/>
      <c r="BD1405" s="182"/>
      <c r="BE1405" s="209"/>
      <c r="BF1405" s="182"/>
      <c r="BG1405" s="209"/>
      <c r="BH1405" s="182"/>
      <c r="BI1405" s="209"/>
      <c r="BJ1405" s="183"/>
      <c r="BK1405" s="209"/>
      <c r="BL1405" s="182"/>
      <c r="BM1405" s="210"/>
      <c r="BO1405" s="28" t="e">
        <f t="shared" si="149"/>
        <v>#DIV/0!</v>
      </c>
      <c r="BP1405" s="28">
        <f t="shared" si="150"/>
        <v>0</v>
      </c>
    </row>
    <row r="1406" spans="52:68" x14ac:dyDescent="0.25">
      <c r="AZ1406" s="471"/>
      <c r="BA1406" s="181"/>
      <c r="BB1406" s="182"/>
      <c r="BC1406" s="209"/>
      <c r="BD1406" s="182"/>
      <c r="BE1406" s="209"/>
      <c r="BF1406" s="182"/>
      <c r="BG1406" s="209"/>
      <c r="BH1406" s="182"/>
      <c r="BI1406" s="209"/>
      <c r="BJ1406" s="183"/>
      <c r="BK1406" s="209"/>
      <c r="BL1406" s="182"/>
      <c r="BM1406" s="210"/>
      <c r="BO1406" s="28" t="e">
        <f t="shared" si="149"/>
        <v>#DIV/0!</v>
      </c>
      <c r="BP1406" s="28">
        <f t="shared" si="150"/>
        <v>0</v>
      </c>
    </row>
    <row r="1407" spans="52:68" x14ac:dyDescent="0.25">
      <c r="AZ1407" s="471"/>
      <c r="BA1407" s="181"/>
      <c r="BB1407" s="182"/>
      <c r="BC1407" s="209"/>
      <c r="BD1407" s="182"/>
      <c r="BE1407" s="209"/>
      <c r="BF1407" s="182"/>
      <c r="BG1407" s="209"/>
      <c r="BH1407" s="182"/>
      <c r="BI1407" s="209"/>
      <c r="BJ1407" s="183"/>
      <c r="BK1407" s="209"/>
      <c r="BL1407" s="182"/>
      <c r="BM1407" s="210"/>
      <c r="BO1407" s="28" t="e">
        <f t="shared" si="149"/>
        <v>#DIV/0!</v>
      </c>
      <c r="BP1407" s="28">
        <f t="shared" si="150"/>
        <v>0</v>
      </c>
    </row>
    <row r="1408" spans="52:68" x14ac:dyDescent="0.25">
      <c r="AZ1408" s="471"/>
      <c r="BA1408" s="181"/>
      <c r="BB1408" s="182"/>
      <c r="BC1408" s="209"/>
      <c r="BD1408" s="182"/>
      <c r="BE1408" s="209"/>
      <c r="BF1408" s="182"/>
      <c r="BG1408" s="209"/>
      <c r="BH1408" s="182"/>
      <c r="BI1408" s="209"/>
      <c r="BJ1408" s="183"/>
      <c r="BK1408" s="209"/>
      <c r="BL1408" s="182"/>
      <c r="BM1408" s="210"/>
      <c r="BO1408" s="28" t="e">
        <f t="shared" si="149"/>
        <v>#DIV/0!</v>
      </c>
      <c r="BP1408" s="28">
        <f t="shared" si="150"/>
        <v>0</v>
      </c>
    </row>
    <row r="1409" spans="52:68" x14ac:dyDescent="0.25">
      <c r="AZ1409" s="471"/>
      <c r="BA1409" s="181"/>
      <c r="BB1409" s="182"/>
      <c r="BC1409" s="209"/>
      <c r="BD1409" s="182"/>
      <c r="BE1409" s="209"/>
      <c r="BF1409" s="182"/>
      <c r="BG1409" s="209"/>
      <c r="BH1409" s="182"/>
      <c r="BI1409" s="209"/>
      <c r="BJ1409" s="183"/>
      <c r="BK1409" s="209"/>
      <c r="BL1409" s="182"/>
      <c r="BM1409" s="210"/>
      <c r="BO1409" s="28" t="e">
        <f t="shared" si="149"/>
        <v>#DIV/0!</v>
      </c>
      <c r="BP1409" s="28">
        <f t="shared" si="150"/>
        <v>0</v>
      </c>
    </row>
    <row r="1410" spans="52:68" x14ac:dyDescent="0.25">
      <c r="AZ1410" s="471"/>
      <c r="BA1410" s="181"/>
      <c r="BB1410" s="182"/>
      <c r="BC1410" s="209"/>
      <c r="BD1410" s="182"/>
      <c r="BE1410" s="209"/>
      <c r="BF1410" s="182"/>
      <c r="BG1410" s="209"/>
      <c r="BH1410" s="182"/>
      <c r="BI1410" s="209"/>
      <c r="BJ1410" s="183"/>
      <c r="BK1410" s="209"/>
      <c r="BL1410" s="182"/>
      <c r="BM1410" s="210"/>
      <c r="BO1410" s="28" t="e">
        <f t="shared" si="149"/>
        <v>#DIV/0!</v>
      </c>
      <c r="BP1410" s="28">
        <f t="shared" si="150"/>
        <v>0</v>
      </c>
    </row>
    <row r="1411" spans="52:68" x14ac:dyDescent="0.25">
      <c r="AZ1411" s="471"/>
      <c r="BA1411" s="181"/>
      <c r="BB1411" s="182"/>
      <c r="BC1411" s="209"/>
      <c r="BD1411" s="182"/>
      <c r="BE1411" s="209"/>
      <c r="BF1411" s="182"/>
      <c r="BG1411" s="209"/>
      <c r="BH1411" s="182"/>
      <c r="BI1411" s="209"/>
      <c r="BJ1411" s="183"/>
      <c r="BK1411" s="209"/>
      <c r="BL1411" s="182"/>
      <c r="BM1411" s="210"/>
      <c r="BO1411" s="28" t="e">
        <f t="shared" si="149"/>
        <v>#DIV/0!</v>
      </c>
      <c r="BP1411" s="28">
        <f t="shared" si="150"/>
        <v>0</v>
      </c>
    </row>
    <row r="1412" spans="52:68" x14ac:dyDescent="0.25">
      <c r="AZ1412" s="471"/>
      <c r="BA1412" s="181"/>
      <c r="BB1412" s="182"/>
      <c r="BC1412" s="209"/>
      <c r="BD1412" s="182"/>
      <c r="BE1412" s="209"/>
      <c r="BF1412" s="182"/>
      <c r="BG1412" s="209"/>
      <c r="BH1412" s="182"/>
      <c r="BI1412" s="209"/>
      <c r="BJ1412" s="183"/>
      <c r="BK1412" s="209"/>
      <c r="BL1412" s="182"/>
      <c r="BM1412" s="210"/>
      <c r="BO1412" s="28" t="e">
        <f t="shared" si="149"/>
        <v>#DIV/0!</v>
      </c>
      <c r="BP1412" s="28">
        <f t="shared" si="150"/>
        <v>0</v>
      </c>
    </row>
    <row r="1413" spans="52:68" x14ac:dyDescent="0.25">
      <c r="AZ1413" s="471"/>
      <c r="BA1413" s="181"/>
      <c r="BB1413" s="182"/>
      <c r="BC1413" s="209"/>
      <c r="BD1413" s="182"/>
      <c r="BE1413" s="209"/>
      <c r="BF1413" s="182"/>
      <c r="BG1413" s="209"/>
      <c r="BH1413" s="182"/>
      <c r="BI1413" s="209"/>
      <c r="BJ1413" s="183"/>
      <c r="BK1413" s="209"/>
      <c r="BL1413" s="182"/>
      <c r="BM1413" s="210"/>
      <c r="BO1413" s="28" t="e">
        <f t="shared" si="149"/>
        <v>#DIV/0!</v>
      </c>
      <c r="BP1413" s="28">
        <f t="shared" si="150"/>
        <v>0</v>
      </c>
    </row>
    <row r="1414" spans="52:68" x14ac:dyDescent="0.25">
      <c r="AZ1414" s="471"/>
      <c r="BA1414" s="181"/>
      <c r="BB1414" s="182"/>
      <c r="BC1414" s="209"/>
      <c r="BD1414" s="182"/>
      <c r="BE1414" s="209"/>
      <c r="BF1414" s="182"/>
      <c r="BG1414" s="209"/>
      <c r="BH1414" s="182"/>
      <c r="BI1414" s="209"/>
      <c r="BJ1414" s="183"/>
      <c r="BK1414" s="209"/>
      <c r="BL1414" s="182"/>
      <c r="BM1414" s="210"/>
      <c r="BO1414" s="28" t="e">
        <f t="shared" si="149"/>
        <v>#DIV/0!</v>
      </c>
      <c r="BP1414" s="28">
        <f t="shared" si="150"/>
        <v>0</v>
      </c>
    </row>
    <row r="1415" spans="52:68" x14ac:dyDescent="0.25">
      <c r="AZ1415" s="471"/>
      <c r="BA1415" s="181"/>
      <c r="BB1415" s="182"/>
      <c r="BC1415" s="209"/>
      <c r="BD1415" s="182"/>
      <c r="BE1415" s="209"/>
      <c r="BF1415" s="182"/>
      <c r="BG1415" s="209"/>
      <c r="BH1415" s="182"/>
      <c r="BI1415" s="209"/>
      <c r="BJ1415" s="183"/>
      <c r="BK1415" s="209"/>
      <c r="BL1415" s="182"/>
      <c r="BM1415" s="210"/>
      <c r="BO1415" s="28" t="e">
        <f t="shared" si="149"/>
        <v>#DIV/0!</v>
      </c>
      <c r="BP1415" s="28">
        <f t="shared" si="150"/>
        <v>0</v>
      </c>
    </row>
    <row r="1416" spans="52:68" x14ac:dyDescent="0.25">
      <c r="AZ1416" s="471"/>
      <c r="BA1416" s="181"/>
      <c r="BB1416" s="182"/>
      <c r="BC1416" s="209"/>
      <c r="BD1416" s="182"/>
      <c r="BE1416" s="209"/>
      <c r="BF1416" s="182"/>
      <c r="BG1416" s="209"/>
      <c r="BH1416" s="182"/>
      <c r="BI1416" s="209"/>
      <c r="BJ1416" s="183"/>
      <c r="BK1416" s="209"/>
      <c r="BL1416" s="182"/>
      <c r="BM1416" s="210"/>
      <c r="BO1416" s="28" t="e">
        <f t="shared" si="149"/>
        <v>#DIV/0!</v>
      </c>
      <c r="BP1416" s="28">
        <f t="shared" si="150"/>
        <v>0</v>
      </c>
    </row>
    <row r="1417" spans="52:68" x14ac:dyDescent="0.25">
      <c r="AZ1417" s="471"/>
      <c r="BA1417" s="181"/>
      <c r="BB1417" s="182"/>
      <c r="BC1417" s="209"/>
      <c r="BD1417" s="182"/>
      <c r="BE1417" s="209"/>
      <c r="BF1417" s="182"/>
      <c r="BG1417" s="209"/>
      <c r="BH1417" s="182"/>
      <c r="BI1417" s="209"/>
      <c r="BJ1417" s="183"/>
      <c r="BK1417" s="209"/>
      <c r="BL1417" s="182"/>
      <c r="BM1417" s="210"/>
      <c r="BO1417" s="28" t="e">
        <f t="shared" ref="BO1417:BO1480" si="151">AVERAGE(BB1417:BM1417)</f>
        <v>#DIV/0!</v>
      </c>
      <c r="BP1417" s="28">
        <f t="shared" ref="BP1417:BP1480" si="152">SUM(BB1417:BM1417)</f>
        <v>0</v>
      </c>
    </row>
    <row r="1418" spans="52:68" x14ac:dyDescent="0.25">
      <c r="AZ1418" s="471"/>
      <c r="BA1418" s="181"/>
      <c r="BB1418" s="182"/>
      <c r="BC1418" s="209"/>
      <c r="BD1418" s="182"/>
      <c r="BE1418" s="209"/>
      <c r="BF1418" s="182"/>
      <c r="BG1418" s="209"/>
      <c r="BH1418" s="182"/>
      <c r="BI1418" s="209"/>
      <c r="BJ1418" s="183"/>
      <c r="BK1418" s="209"/>
      <c r="BL1418" s="182"/>
      <c r="BM1418" s="210"/>
      <c r="BO1418" s="28" t="e">
        <f t="shared" si="151"/>
        <v>#DIV/0!</v>
      </c>
      <c r="BP1418" s="28">
        <f t="shared" si="152"/>
        <v>0</v>
      </c>
    </row>
    <row r="1419" spans="52:68" x14ac:dyDescent="0.25">
      <c r="AZ1419" s="471"/>
      <c r="BA1419" s="181"/>
      <c r="BB1419" s="182"/>
      <c r="BC1419" s="209"/>
      <c r="BD1419" s="182"/>
      <c r="BE1419" s="209"/>
      <c r="BF1419" s="182"/>
      <c r="BG1419" s="209"/>
      <c r="BH1419" s="182"/>
      <c r="BI1419" s="209"/>
      <c r="BJ1419" s="183"/>
      <c r="BK1419" s="209"/>
      <c r="BL1419" s="182"/>
      <c r="BM1419" s="210"/>
      <c r="BO1419" s="28" t="e">
        <f t="shared" si="151"/>
        <v>#DIV/0!</v>
      </c>
      <c r="BP1419" s="28">
        <f t="shared" si="152"/>
        <v>0</v>
      </c>
    </row>
    <row r="1420" spans="52:68" x14ac:dyDescent="0.25">
      <c r="AZ1420" s="471"/>
      <c r="BA1420" s="181"/>
      <c r="BB1420" s="182"/>
      <c r="BC1420" s="209"/>
      <c r="BD1420" s="182"/>
      <c r="BE1420" s="209"/>
      <c r="BF1420" s="182"/>
      <c r="BG1420" s="209"/>
      <c r="BH1420" s="182"/>
      <c r="BI1420" s="209"/>
      <c r="BJ1420" s="183"/>
      <c r="BK1420" s="209"/>
      <c r="BL1420" s="182"/>
      <c r="BM1420" s="210"/>
      <c r="BO1420" s="28" t="e">
        <f t="shared" si="151"/>
        <v>#DIV/0!</v>
      </c>
      <c r="BP1420" s="28">
        <f t="shared" si="152"/>
        <v>0</v>
      </c>
    </row>
    <row r="1421" spans="52:68" x14ac:dyDescent="0.25">
      <c r="AZ1421" s="471"/>
      <c r="BA1421" s="181"/>
      <c r="BB1421" s="182"/>
      <c r="BC1421" s="209"/>
      <c r="BD1421" s="182"/>
      <c r="BE1421" s="209"/>
      <c r="BF1421" s="182"/>
      <c r="BG1421" s="209"/>
      <c r="BH1421" s="182"/>
      <c r="BI1421" s="209"/>
      <c r="BJ1421" s="183"/>
      <c r="BK1421" s="209"/>
      <c r="BL1421" s="182"/>
      <c r="BM1421" s="210"/>
      <c r="BO1421" s="28" t="e">
        <f t="shared" si="151"/>
        <v>#DIV/0!</v>
      </c>
      <c r="BP1421" s="28">
        <f t="shared" si="152"/>
        <v>0</v>
      </c>
    </row>
    <row r="1422" spans="52:68" x14ac:dyDescent="0.25">
      <c r="AZ1422" s="471"/>
      <c r="BA1422" s="181"/>
      <c r="BB1422" s="182"/>
      <c r="BC1422" s="209"/>
      <c r="BD1422" s="182"/>
      <c r="BE1422" s="209"/>
      <c r="BF1422" s="182"/>
      <c r="BG1422" s="209"/>
      <c r="BH1422" s="182"/>
      <c r="BI1422" s="209"/>
      <c r="BJ1422" s="183"/>
      <c r="BK1422" s="209"/>
      <c r="BL1422" s="182"/>
      <c r="BM1422" s="210"/>
      <c r="BO1422" s="28" t="e">
        <f t="shared" si="151"/>
        <v>#DIV/0!</v>
      </c>
      <c r="BP1422" s="28">
        <f t="shared" si="152"/>
        <v>0</v>
      </c>
    </row>
    <row r="1423" spans="52:68" x14ac:dyDescent="0.25">
      <c r="AZ1423" s="471"/>
      <c r="BA1423" s="181"/>
      <c r="BB1423" s="182"/>
      <c r="BC1423" s="209"/>
      <c r="BD1423" s="182"/>
      <c r="BE1423" s="209"/>
      <c r="BF1423" s="182"/>
      <c r="BG1423" s="209"/>
      <c r="BH1423" s="182"/>
      <c r="BI1423" s="209"/>
      <c r="BJ1423" s="183"/>
      <c r="BK1423" s="209"/>
      <c r="BL1423" s="182"/>
      <c r="BM1423" s="210"/>
      <c r="BO1423" s="28" t="e">
        <f t="shared" si="151"/>
        <v>#DIV/0!</v>
      </c>
      <c r="BP1423" s="28">
        <f t="shared" si="152"/>
        <v>0</v>
      </c>
    </row>
    <row r="1424" spans="52:68" x14ac:dyDescent="0.25">
      <c r="AZ1424" s="471"/>
      <c r="BA1424" s="181"/>
      <c r="BB1424" s="182"/>
      <c r="BC1424" s="209"/>
      <c r="BD1424" s="182"/>
      <c r="BE1424" s="209"/>
      <c r="BF1424" s="182"/>
      <c r="BG1424" s="209"/>
      <c r="BH1424" s="182"/>
      <c r="BI1424" s="209"/>
      <c r="BJ1424" s="183"/>
      <c r="BK1424" s="209"/>
      <c r="BL1424" s="182"/>
      <c r="BM1424" s="210"/>
      <c r="BO1424" s="28" t="e">
        <f t="shared" si="151"/>
        <v>#DIV/0!</v>
      </c>
      <c r="BP1424" s="28">
        <f t="shared" si="152"/>
        <v>0</v>
      </c>
    </row>
    <row r="1425" spans="52:68" x14ac:dyDescent="0.25">
      <c r="AZ1425" s="471"/>
      <c r="BA1425" s="181"/>
      <c r="BB1425" s="182"/>
      <c r="BC1425" s="209"/>
      <c r="BD1425" s="182"/>
      <c r="BE1425" s="209"/>
      <c r="BF1425" s="182"/>
      <c r="BG1425" s="209"/>
      <c r="BH1425" s="182"/>
      <c r="BI1425" s="209"/>
      <c r="BJ1425" s="183"/>
      <c r="BK1425" s="209"/>
      <c r="BL1425" s="182"/>
      <c r="BM1425" s="210"/>
      <c r="BO1425" s="28" t="e">
        <f t="shared" si="151"/>
        <v>#DIV/0!</v>
      </c>
      <c r="BP1425" s="28">
        <f t="shared" si="152"/>
        <v>0</v>
      </c>
    </row>
    <row r="1426" spans="52:68" x14ac:dyDescent="0.25">
      <c r="AZ1426" s="471"/>
      <c r="BA1426" s="181"/>
      <c r="BB1426" s="182"/>
      <c r="BC1426" s="209"/>
      <c r="BD1426" s="182"/>
      <c r="BE1426" s="209"/>
      <c r="BF1426" s="182"/>
      <c r="BG1426" s="209"/>
      <c r="BH1426" s="182"/>
      <c r="BI1426" s="209"/>
      <c r="BJ1426" s="183"/>
      <c r="BK1426" s="209"/>
      <c r="BL1426" s="182"/>
      <c r="BM1426" s="210"/>
      <c r="BO1426" s="28" t="e">
        <f t="shared" si="151"/>
        <v>#DIV/0!</v>
      </c>
      <c r="BP1426" s="28">
        <f t="shared" si="152"/>
        <v>0</v>
      </c>
    </row>
    <row r="1427" spans="52:68" x14ac:dyDescent="0.25">
      <c r="AZ1427" s="471"/>
      <c r="BA1427" s="181"/>
      <c r="BB1427" s="182"/>
      <c r="BC1427" s="209"/>
      <c r="BD1427" s="182"/>
      <c r="BE1427" s="209"/>
      <c r="BF1427" s="182"/>
      <c r="BG1427" s="209"/>
      <c r="BH1427" s="182"/>
      <c r="BI1427" s="209"/>
      <c r="BJ1427" s="183"/>
      <c r="BK1427" s="209"/>
      <c r="BL1427" s="182"/>
      <c r="BM1427" s="210"/>
      <c r="BO1427" s="28" t="e">
        <f t="shared" si="151"/>
        <v>#DIV/0!</v>
      </c>
      <c r="BP1427" s="28">
        <f t="shared" si="152"/>
        <v>0</v>
      </c>
    </row>
    <row r="1428" spans="52:68" x14ac:dyDescent="0.25">
      <c r="AZ1428" s="471"/>
      <c r="BA1428" s="181"/>
      <c r="BB1428" s="182"/>
      <c r="BC1428" s="209"/>
      <c r="BD1428" s="182"/>
      <c r="BE1428" s="209"/>
      <c r="BF1428" s="182"/>
      <c r="BG1428" s="209"/>
      <c r="BH1428" s="182"/>
      <c r="BI1428" s="209"/>
      <c r="BJ1428" s="183"/>
      <c r="BK1428" s="209"/>
      <c r="BL1428" s="182"/>
      <c r="BM1428" s="210"/>
      <c r="BO1428" s="28" t="e">
        <f t="shared" si="151"/>
        <v>#DIV/0!</v>
      </c>
      <c r="BP1428" s="28">
        <f t="shared" si="152"/>
        <v>0</v>
      </c>
    </row>
    <row r="1429" spans="52:68" x14ac:dyDescent="0.25">
      <c r="AZ1429" s="471"/>
      <c r="BA1429" s="181"/>
      <c r="BB1429" s="182"/>
      <c r="BC1429" s="209"/>
      <c r="BD1429" s="182"/>
      <c r="BE1429" s="209"/>
      <c r="BF1429" s="182"/>
      <c r="BG1429" s="209"/>
      <c r="BH1429" s="182"/>
      <c r="BI1429" s="209"/>
      <c r="BJ1429" s="183"/>
      <c r="BK1429" s="209"/>
      <c r="BL1429" s="182"/>
      <c r="BM1429" s="210"/>
      <c r="BO1429" s="28" t="e">
        <f t="shared" si="151"/>
        <v>#DIV/0!</v>
      </c>
      <c r="BP1429" s="28">
        <f t="shared" si="152"/>
        <v>0</v>
      </c>
    </row>
    <row r="1430" spans="52:68" x14ac:dyDescent="0.25">
      <c r="AZ1430" s="471"/>
      <c r="BA1430" s="181"/>
      <c r="BB1430" s="182"/>
      <c r="BC1430" s="209"/>
      <c r="BD1430" s="182"/>
      <c r="BE1430" s="209"/>
      <c r="BF1430" s="182"/>
      <c r="BG1430" s="209"/>
      <c r="BH1430" s="182"/>
      <c r="BI1430" s="209"/>
      <c r="BJ1430" s="183"/>
      <c r="BK1430" s="209"/>
      <c r="BL1430" s="182"/>
      <c r="BM1430" s="210"/>
      <c r="BO1430" s="28" t="e">
        <f t="shared" si="151"/>
        <v>#DIV/0!</v>
      </c>
      <c r="BP1430" s="28">
        <f t="shared" si="152"/>
        <v>0</v>
      </c>
    </row>
    <row r="1431" spans="52:68" x14ac:dyDescent="0.25">
      <c r="AZ1431" s="471"/>
      <c r="BA1431" s="181"/>
      <c r="BB1431" s="182"/>
      <c r="BC1431" s="209"/>
      <c r="BD1431" s="182"/>
      <c r="BE1431" s="209"/>
      <c r="BF1431" s="182"/>
      <c r="BG1431" s="209"/>
      <c r="BH1431" s="182"/>
      <c r="BI1431" s="209"/>
      <c r="BJ1431" s="183"/>
      <c r="BK1431" s="209"/>
      <c r="BL1431" s="182"/>
      <c r="BM1431" s="210"/>
      <c r="BO1431" s="28" t="e">
        <f t="shared" si="151"/>
        <v>#DIV/0!</v>
      </c>
      <c r="BP1431" s="28">
        <f t="shared" si="152"/>
        <v>0</v>
      </c>
    </row>
    <row r="1432" spans="52:68" x14ac:dyDescent="0.25">
      <c r="AZ1432" s="471"/>
      <c r="BA1432" s="181"/>
      <c r="BB1432" s="182"/>
      <c r="BC1432" s="209"/>
      <c r="BD1432" s="182"/>
      <c r="BE1432" s="209"/>
      <c r="BF1432" s="182"/>
      <c r="BG1432" s="209"/>
      <c r="BH1432" s="182"/>
      <c r="BI1432" s="209"/>
      <c r="BJ1432" s="183"/>
      <c r="BK1432" s="209"/>
      <c r="BL1432" s="182"/>
      <c r="BM1432" s="210"/>
      <c r="BO1432" s="28" t="e">
        <f t="shared" si="151"/>
        <v>#DIV/0!</v>
      </c>
      <c r="BP1432" s="28">
        <f t="shared" si="152"/>
        <v>0</v>
      </c>
    </row>
    <row r="1433" spans="52:68" x14ac:dyDescent="0.25">
      <c r="AZ1433" s="471"/>
      <c r="BA1433" s="181"/>
      <c r="BB1433" s="182"/>
      <c r="BC1433" s="209"/>
      <c r="BD1433" s="182"/>
      <c r="BE1433" s="209"/>
      <c r="BF1433" s="182"/>
      <c r="BG1433" s="209"/>
      <c r="BH1433" s="182"/>
      <c r="BI1433" s="209"/>
      <c r="BJ1433" s="183"/>
      <c r="BK1433" s="209"/>
      <c r="BL1433" s="182"/>
      <c r="BM1433" s="210"/>
      <c r="BO1433" s="28" t="e">
        <f t="shared" si="151"/>
        <v>#DIV/0!</v>
      </c>
      <c r="BP1433" s="28">
        <f t="shared" si="152"/>
        <v>0</v>
      </c>
    </row>
    <row r="1434" spans="52:68" x14ac:dyDescent="0.25">
      <c r="AZ1434" s="471"/>
      <c r="BA1434" s="181"/>
      <c r="BB1434" s="182"/>
      <c r="BC1434" s="209"/>
      <c r="BD1434" s="182"/>
      <c r="BE1434" s="209"/>
      <c r="BF1434" s="182"/>
      <c r="BG1434" s="209"/>
      <c r="BH1434" s="182"/>
      <c r="BI1434" s="209"/>
      <c r="BJ1434" s="183"/>
      <c r="BK1434" s="209"/>
      <c r="BL1434" s="182"/>
      <c r="BM1434" s="210"/>
      <c r="BO1434" s="28" t="e">
        <f t="shared" si="151"/>
        <v>#DIV/0!</v>
      </c>
      <c r="BP1434" s="28">
        <f t="shared" si="152"/>
        <v>0</v>
      </c>
    </row>
    <row r="1435" spans="52:68" x14ac:dyDescent="0.25">
      <c r="AZ1435" s="471"/>
      <c r="BA1435" s="181"/>
      <c r="BB1435" s="182"/>
      <c r="BC1435" s="209"/>
      <c r="BD1435" s="182"/>
      <c r="BE1435" s="209"/>
      <c r="BF1435" s="182"/>
      <c r="BG1435" s="209"/>
      <c r="BH1435" s="182"/>
      <c r="BI1435" s="209"/>
      <c r="BJ1435" s="183"/>
      <c r="BK1435" s="209"/>
      <c r="BL1435" s="182"/>
      <c r="BM1435" s="210"/>
      <c r="BO1435" s="28" t="e">
        <f t="shared" si="151"/>
        <v>#DIV/0!</v>
      </c>
      <c r="BP1435" s="28">
        <f t="shared" si="152"/>
        <v>0</v>
      </c>
    </row>
    <row r="1436" spans="52:68" x14ac:dyDescent="0.25">
      <c r="AZ1436" s="471"/>
      <c r="BA1436" s="181"/>
      <c r="BB1436" s="182"/>
      <c r="BC1436" s="209"/>
      <c r="BD1436" s="182"/>
      <c r="BE1436" s="209"/>
      <c r="BF1436" s="182"/>
      <c r="BG1436" s="209"/>
      <c r="BH1436" s="182"/>
      <c r="BI1436" s="209"/>
      <c r="BJ1436" s="183"/>
      <c r="BK1436" s="209"/>
      <c r="BL1436" s="182"/>
      <c r="BM1436" s="210"/>
      <c r="BO1436" s="28" t="e">
        <f t="shared" si="151"/>
        <v>#DIV/0!</v>
      </c>
      <c r="BP1436" s="28">
        <f t="shared" si="152"/>
        <v>0</v>
      </c>
    </row>
    <row r="1437" spans="52:68" x14ac:dyDescent="0.25">
      <c r="AZ1437" s="471"/>
      <c r="BA1437" s="181"/>
      <c r="BB1437" s="182"/>
      <c r="BC1437" s="209"/>
      <c r="BD1437" s="182"/>
      <c r="BE1437" s="209"/>
      <c r="BF1437" s="182"/>
      <c r="BG1437" s="209"/>
      <c r="BH1437" s="182"/>
      <c r="BI1437" s="209"/>
      <c r="BJ1437" s="183"/>
      <c r="BK1437" s="209"/>
      <c r="BL1437" s="182"/>
      <c r="BM1437" s="210"/>
      <c r="BO1437" s="28" t="e">
        <f t="shared" si="151"/>
        <v>#DIV/0!</v>
      </c>
      <c r="BP1437" s="28">
        <f t="shared" si="152"/>
        <v>0</v>
      </c>
    </row>
    <row r="1438" spans="52:68" x14ac:dyDescent="0.25">
      <c r="AZ1438" s="471"/>
      <c r="BA1438" s="181"/>
      <c r="BB1438" s="182"/>
      <c r="BC1438" s="209"/>
      <c r="BD1438" s="182"/>
      <c r="BE1438" s="209"/>
      <c r="BF1438" s="182"/>
      <c r="BG1438" s="209"/>
      <c r="BH1438" s="182"/>
      <c r="BI1438" s="209"/>
      <c r="BJ1438" s="183"/>
      <c r="BK1438" s="209"/>
      <c r="BL1438" s="182"/>
      <c r="BM1438" s="210"/>
      <c r="BO1438" s="28" t="e">
        <f t="shared" si="151"/>
        <v>#DIV/0!</v>
      </c>
      <c r="BP1438" s="28">
        <f t="shared" si="152"/>
        <v>0</v>
      </c>
    </row>
    <row r="1439" spans="52:68" x14ac:dyDescent="0.25">
      <c r="AZ1439" s="471"/>
      <c r="BA1439" s="181"/>
      <c r="BB1439" s="182"/>
      <c r="BC1439" s="209"/>
      <c r="BD1439" s="182"/>
      <c r="BE1439" s="209"/>
      <c r="BF1439" s="182"/>
      <c r="BG1439" s="209"/>
      <c r="BH1439" s="182"/>
      <c r="BI1439" s="209"/>
      <c r="BJ1439" s="183"/>
      <c r="BK1439" s="209"/>
      <c r="BL1439" s="182"/>
      <c r="BM1439" s="210"/>
      <c r="BO1439" s="28" t="e">
        <f t="shared" si="151"/>
        <v>#DIV/0!</v>
      </c>
      <c r="BP1439" s="28">
        <f t="shared" si="152"/>
        <v>0</v>
      </c>
    </row>
    <row r="1440" spans="52:68" x14ac:dyDescent="0.25">
      <c r="AZ1440" s="471"/>
      <c r="BA1440" s="181"/>
      <c r="BB1440" s="182"/>
      <c r="BC1440" s="209"/>
      <c r="BD1440" s="182"/>
      <c r="BE1440" s="209"/>
      <c r="BF1440" s="182"/>
      <c r="BG1440" s="209"/>
      <c r="BH1440" s="182"/>
      <c r="BI1440" s="209"/>
      <c r="BJ1440" s="183"/>
      <c r="BK1440" s="209"/>
      <c r="BL1440" s="182"/>
      <c r="BM1440" s="210"/>
      <c r="BO1440" s="28" t="e">
        <f t="shared" si="151"/>
        <v>#DIV/0!</v>
      </c>
      <c r="BP1440" s="28">
        <f t="shared" si="152"/>
        <v>0</v>
      </c>
    </row>
    <row r="1441" spans="52:68" x14ac:dyDescent="0.25">
      <c r="AZ1441" s="471"/>
      <c r="BA1441" s="181"/>
      <c r="BB1441" s="182"/>
      <c r="BC1441" s="209"/>
      <c r="BD1441" s="182"/>
      <c r="BE1441" s="209"/>
      <c r="BF1441" s="182"/>
      <c r="BG1441" s="209"/>
      <c r="BH1441" s="182"/>
      <c r="BI1441" s="209"/>
      <c r="BJ1441" s="183"/>
      <c r="BK1441" s="209"/>
      <c r="BL1441" s="182"/>
      <c r="BM1441" s="210"/>
      <c r="BO1441" s="28" t="e">
        <f t="shared" si="151"/>
        <v>#DIV/0!</v>
      </c>
      <c r="BP1441" s="28">
        <f t="shared" si="152"/>
        <v>0</v>
      </c>
    </row>
    <row r="1442" spans="52:68" x14ac:dyDescent="0.25">
      <c r="AZ1442" s="471"/>
      <c r="BA1442" s="181"/>
      <c r="BB1442" s="182"/>
      <c r="BC1442" s="209"/>
      <c r="BD1442" s="182"/>
      <c r="BE1442" s="209"/>
      <c r="BF1442" s="182"/>
      <c r="BG1442" s="209"/>
      <c r="BH1442" s="182"/>
      <c r="BI1442" s="209"/>
      <c r="BJ1442" s="183"/>
      <c r="BK1442" s="209"/>
      <c r="BL1442" s="182"/>
      <c r="BM1442" s="210"/>
      <c r="BO1442" s="28" t="e">
        <f t="shared" si="151"/>
        <v>#DIV/0!</v>
      </c>
      <c r="BP1442" s="28">
        <f t="shared" si="152"/>
        <v>0</v>
      </c>
    </row>
    <row r="1443" spans="52:68" x14ac:dyDescent="0.25">
      <c r="AZ1443" s="471"/>
      <c r="BA1443" s="181"/>
      <c r="BB1443" s="182"/>
      <c r="BC1443" s="209"/>
      <c r="BD1443" s="182"/>
      <c r="BE1443" s="209"/>
      <c r="BF1443" s="182"/>
      <c r="BG1443" s="209"/>
      <c r="BH1443" s="182"/>
      <c r="BI1443" s="209"/>
      <c r="BJ1443" s="183"/>
      <c r="BK1443" s="209"/>
      <c r="BL1443" s="182"/>
      <c r="BM1443" s="210"/>
      <c r="BO1443" s="28" t="e">
        <f t="shared" si="151"/>
        <v>#DIV/0!</v>
      </c>
      <c r="BP1443" s="28">
        <f t="shared" si="152"/>
        <v>0</v>
      </c>
    </row>
    <row r="1444" spans="52:68" x14ac:dyDescent="0.25">
      <c r="AZ1444" s="471"/>
      <c r="BA1444" s="181"/>
      <c r="BB1444" s="182"/>
      <c r="BC1444" s="209"/>
      <c r="BD1444" s="182"/>
      <c r="BE1444" s="209"/>
      <c r="BF1444" s="182"/>
      <c r="BG1444" s="209"/>
      <c r="BH1444" s="182"/>
      <c r="BI1444" s="209"/>
      <c r="BJ1444" s="183"/>
      <c r="BK1444" s="209"/>
      <c r="BL1444" s="182"/>
      <c r="BM1444" s="210"/>
      <c r="BO1444" s="28" t="e">
        <f t="shared" si="151"/>
        <v>#DIV/0!</v>
      </c>
      <c r="BP1444" s="28">
        <f t="shared" si="152"/>
        <v>0</v>
      </c>
    </row>
    <row r="1445" spans="52:68" x14ac:dyDescent="0.25">
      <c r="AZ1445" s="471"/>
      <c r="BA1445" s="181"/>
      <c r="BB1445" s="182"/>
      <c r="BC1445" s="209"/>
      <c r="BD1445" s="182"/>
      <c r="BE1445" s="209"/>
      <c r="BF1445" s="182"/>
      <c r="BG1445" s="209"/>
      <c r="BH1445" s="182"/>
      <c r="BI1445" s="209"/>
      <c r="BJ1445" s="183"/>
      <c r="BK1445" s="209"/>
      <c r="BL1445" s="182"/>
      <c r="BM1445" s="210"/>
      <c r="BO1445" s="28" t="e">
        <f t="shared" si="151"/>
        <v>#DIV/0!</v>
      </c>
      <c r="BP1445" s="28">
        <f t="shared" si="152"/>
        <v>0</v>
      </c>
    </row>
    <row r="1446" spans="52:68" x14ac:dyDescent="0.25">
      <c r="AZ1446" s="471"/>
      <c r="BA1446" s="181"/>
      <c r="BB1446" s="182"/>
      <c r="BC1446" s="209"/>
      <c r="BD1446" s="182"/>
      <c r="BE1446" s="209"/>
      <c r="BF1446" s="182"/>
      <c r="BG1446" s="209"/>
      <c r="BH1446" s="182"/>
      <c r="BI1446" s="209"/>
      <c r="BJ1446" s="183"/>
      <c r="BK1446" s="209"/>
      <c r="BL1446" s="182"/>
      <c r="BM1446" s="210"/>
      <c r="BO1446" s="28" t="e">
        <f t="shared" si="151"/>
        <v>#DIV/0!</v>
      </c>
      <c r="BP1446" s="28">
        <f t="shared" si="152"/>
        <v>0</v>
      </c>
    </row>
    <row r="1447" spans="52:68" x14ac:dyDescent="0.25">
      <c r="AZ1447" s="471"/>
      <c r="BA1447" s="181"/>
      <c r="BB1447" s="182"/>
      <c r="BC1447" s="209"/>
      <c r="BD1447" s="182"/>
      <c r="BE1447" s="209"/>
      <c r="BF1447" s="182"/>
      <c r="BG1447" s="209"/>
      <c r="BH1447" s="182"/>
      <c r="BI1447" s="209"/>
      <c r="BJ1447" s="183"/>
      <c r="BK1447" s="209"/>
      <c r="BL1447" s="182"/>
      <c r="BM1447" s="210"/>
      <c r="BO1447" s="28" t="e">
        <f t="shared" si="151"/>
        <v>#DIV/0!</v>
      </c>
      <c r="BP1447" s="28">
        <f t="shared" si="152"/>
        <v>0</v>
      </c>
    </row>
    <row r="1448" spans="52:68" x14ac:dyDescent="0.25">
      <c r="AZ1448" s="471"/>
      <c r="BA1448" s="181"/>
      <c r="BB1448" s="182"/>
      <c r="BC1448" s="209"/>
      <c r="BD1448" s="182"/>
      <c r="BE1448" s="209"/>
      <c r="BF1448" s="182"/>
      <c r="BG1448" s="209"/>
      <c r="BH1448" s="182"/>
      <c r="BI1448" s="209"/>
      <c r="BJ1448" s="183"/>
      <c r="BK1448" s="209"/>
      <c r="BL1448" s="182"/>
      <c r="BM1448" s="210"/>
      <c r="BO1448" s="28" t="e">
        <f t="shared" si="151"/>
        <v>#DIV/0!</v>
      </c>
      <c r="BP1448" s="28">
        <f t="shared" si="152"/>
        <v>0</v>
      </c>
    </row>
    <row r="1449" spans="52:68" x14ac:dyDescent="0.25">
      <c r="AZ1449" s="471"/>
      <c r="BA1449" s="181"/>
      <c r="BB1449" s="182"/>
      <c r="BC1449" s="209"/>
      <c r="BD1449" s="182"/>
      <c r="BE1449" s="209"/>
      <c r="BF1449" s="182"/>
      <c r="BG1449" s="209"/>
      <c r="BH1449" s="182"/>
      <c r="BI1449" s="209"/>
      <c r="BJ1449" s="183"/>
      <c r="BK1449" s="209"/>
      <c r="BL1449" s="182"/>
      <c r="BM1449" s="210"/>
      <c r="BO1449" s="28" t="e">
        <f t="shared" si="151"/>
        <v>#DIV/0!</v>
      </c>
      <c r="BP1449" s="28">
        <f t="shared" si="152"/>
        <v>0</v>
      </c>
    </row>
    <row r="1450" spans="52:68" x14ac:dyDescent="0.25">
      <c r="AZ1450" s="471"/>
      <c r="BA1450" s="181"/>
      <c r="BB1450" s="182"/>
      <c r="BC1450" s="209"/>
      <c r="BD1450" s="182"/>
      <c r="BE1450" s="209"/>
      <c r="BF1450" s="182"/>
      <c r="BG1450" s="209"/>
      <c r="BH1450" s="182"/>
      <c r="BI1450" s="209"/>
      <c r="BJ1450" s="183"/>
      <c r="BK1450" s="209"/>
      <c r="BL1450" s="182"/>
      <c r="BM1450" s="210"/>
      <c r="BO1450" s="28" t="e">
        <f t="shared" si="151"/>
        <v>#DIV/0!</v>
      </c>
      <c r="BP1450" s="28">
        <f t="shared" si="152"/>
        <v>0</v>
      </c>
    </row>
    <row r="1451" spans="52:68" x14ac:dyDescent="0.25">
      <c r="AZ1451" s="471"/>
      <c r="BA1451" s="181"/>
      <c r="BB1451" s="182"/>
      <c r="BC1451" s="209"/>
      <c r="BD1451" s="182"/>
      <c r="BE1451" s="209"/>
      <c r="BF1451" s="182"/>
      <c r="BG1451" s="209"/>
      <c r="BH1451" s="182"/>
      <c r="BI1451" s="209"/>
      <c r="BJ1451" s="183"/>
      <c r="BK1451" s="209"/>
      <c r="BL1451" s="182"/>
      <c r="BM1451" s="210"/>
      <c r="BO1451" s="28" t="e">
        <f t="shared" si="151"/>
        <v>#DIV/0!</v>
      </c>
      <c r="BP1451" s="28">
        <f t="shared" si="152"/>
        <v>0</v>
      </c>
    </row>
    <row r="1452" spans="52:68" x14ac:dyDescent="0.25">
      <c r="AZ1452" s="471"/>
      <c r="BA1452" s="181"/>
      <c r="BB1452" s="182"/>
      <c r="BC1452" s="209"/>
      <c r="BD1452" s="182"/>
      <c r="BE1452" s="209"/>
      <c r="BF1452" s="182"/>
      <c r="BG1452" s="209"/>
      <c r="BH1452" s="182"/>
      <c r="BI1452" s="209"/>
      <c r="BJ1452" s="183"/>
      <c r="BK1452" s="209"/>
      <c r="BL1452" s="182"/>
      <c r="BM1452" s="210"/>
      <c r="BO1452" s="28" t="e">
        <f t="shared" si="151"/>
        <v>#DIV/0!</v>
      </c>
      <c r="BP1452" s="28">
        <f t="shared" si="152"/>
        <v>0</v>
      </c>
    </row>
    <row r="1453" spans="52:68" x14ac:dyDescent="0.25">
      <c r="AZ1453" s="471"/>
      <c r="BA1453" s="181"/>
      <c r="BB1453" s="182"/>
      <c r="BC1453" s="209"/>
      <c r="BD1453" s="182"/>
      <c r="BE1453" s="209"/>
      <c r="BF1453" s="182"/>
      <c r="BG1453" s="209"/>
      <c r="BH1453" s="182"/>
      <c r="BI1453" s="209"/>
      <c r="BJ1453" s="183"/>
      <c r="BK1453" s="209"/>
      <c r="BL1453" s="182"/>
      <c r="BM1453" s="210"/>
      <c r="BO1453" s="28" t="e">
        <f t="shared" si="151"/>
        <v>#DIV/0!</v>
      </c>
      <c r="BP1453" s="28">
        <f t="shared" si="152"/>
        <v>0</v>
      </c>
    </row>
    <row r="1454" spans="52:68" x14ac:dyDescent="0.25">
      <c r="AZ1454" s="471"/>
      <c r="BA1454" s="181"/>
      <c r="BB1454" s="182"/>
      <c r="BC1454" s="209"/>
      <c r="BD1454" s="182"/>
      <c r="BE1454" s="209"/>
      <c r="BF1454" s="182"/>
      <c r="BG1454" s="209"/>
      <c r="BH1454" s="182"/>
      <c r="BI1454" s="209"/>
      <c r="BJ1454" s="183"/>
      <c r="BK1454" s="209"/>
      <c r="BL1454" s="182"/>
      <c r="BM1454" s="210"/>
      <c r="BO1454" s="28" t="e">
        <f t="shared" si="151"/>
        <v>#DIV/0!</v>
      </c>
      <c r="BP1454" s="28">
        <f t="shared" si="152"/>
        <v>0</v>
      </c>
    </row>
    <row r="1455" spans="52:68" x14ac:dyDescent="0.25">
      <c r="AZ1455" s="471"/>
      <c r="BA1455" s="181"/>
      <c r="BB1455" s="182"/>
      <c r="BC1455" s="209"/>
      <c r="BD1455" s="182"/>
      <c r="BE1455" s="209"/>
      <c r="BF1455" s="182"/>
      <c r="BG1455" s="209"/>
      <c r="BH1455" s="182"/>
      <c r="BI1455" s="209"/>
      <c r="BJ1455" s="183"/>
      <c r="BK1455" s="209"/>
      <c r="BL1455" s="182"/>
      <c r="BM1455" s="210"/>
      <c r="BO1455" s="28" t="e">
        <f t="shared" si="151"/>
        <v>#DIV/0!</v>
      </c>
      <c r="BP1455" s="28">
        <f t="shared" si="152"/>
        <v>0</v>
      </c>
    </row>
    <row r="1456" spans="52:68" x14ac:dyDescent="0.25">
      <c r="AZ1456" s="471"/>
      <c r="BA1456" s="181"/>
      <c r="BB1456" s="182"/>
      <c r="BC1456" s="209"/>
      <c r="BD1456" s="182"/>
      <c r="BE1456" s="209"/>
      <c r="BF1456" s="182"/>
      <c r="BG1456" s="209"/>
      <c r="BH1456" s="182"/>
      <c r="BI1456" s="209"/>
      <c r="BJ1456" s="183"/>
      <c r="BK1456" s="209"/>
      <c r="BL1456" s="182"/>
      <c r="BM1456" s="210"/>
      <c r="BO1456" s="28" t="e">
        <f t="shared" si="151"/>
        <v>#DIV/0!</v>
      </c>
      <c r="BP1456" s="28">
        <f t="shared" si="152"/>
        <v>0</v>
      </c>
    </row>
    <row r="1457" spans="52:68" x14ac:dyDescent="0.25">
      <c r="AZ1457" s="471"/>
      <c r="BA1457" s="181"/>
      <c r="BB1457" s="182"/>
      <c r="BC1457" s="209"/>
      <c r="BD1457" s="182"/>
      <c r="BE1457" s="209"/>
      <c r="BF1457" s="182"/>
      <c r="BG1457" s="209"/>
      <c r="BH1457" s="182"/>
      <c r="BI1457" s="209"/>
      <c r="BJ1457" s="183"/>
      <c r="BK1457" s="209"/>
      <c r="BL1457" s="182"/>
      <c r="BM1457" s="210"/>
      <c r="BO1457" s="28" t="e">
        <f t="shared" si="151"/>
        <v>#DIV/0!</v>
      </c>
      <c r="BP1457" s="28">
        <f t="shared" si="152"/>
        <v>0</v>
      </c>
    </row>
    <row r="1458" spans="52:68" x14ac:dyDescent="0.25">
      <c r="AZ1458" s="471"/>
      <c r="BA1458" s="181"/>
      <c r="BB1458" s="182"/>
      <c r="BC1458" s="209"/>
      <c r="BD1458" s="182"/>
      <c r="BE1458" s="209"/>
      <c r="BF1458" s="182"/>
      <c r="BG1458" s="209"/>
      <c r="BH1458" s="182"/>
      <c r="BI1458" s="209"/>
      <c r="BJ1458" s="183"/>
      <c r="BK1458" s="209"/>
      <c r="BL1458" s="182"/>
      <c r="BM1458" s="210"/>
      <c r="BO1458" s="28" t="e">
        <f t="shared" si="151"/>
        <v>#DIV/0!</v>
      </c>
      <c r="BP1458" s="28">
        <f t="shared" si="152"/>
        <v>0</v>
      </c>
    </row>
    <row r="1459" spans="52:68" x14ac:dyDescent="0.25">
      <c r="AZ1459" s="471"/>
      <c r="BA1459" s="181"/>
      <c r="BB1459" s="182"/>
      <c r="BC1459" s="209"/>
      <c r="BD1459" s="182"/>
      <c r="BE1459" s="209"/>
      <c r="BF1459" s="182"/>
      <c r="BG1459" s="209"/>
      <c r="BH1459" s="182"/>
      <c r="BI1459" s="209"/>
      <c r="BJ1459" s="183"/>
      <c r="BK1459" s="209"/>
      <c r="BL1459" s="182"/>
      <c r="BM1459" s="210"/>
      <c r="BO1459" s="28" t="e">
        <f t="shared" si="151"/>
        <v>#DIV/0!</v>
      </c>
      <c r="BP1459" s="28">
        <f t="shared" si="152"/>
        <v>0</v>
      </c>
    </row>
    <row r="1460" spans="52:68" x14ac:dyDescent="0.25">
      <c r="AZ1460" s="471"/>
      <c r="BA1460" s="181"/>
      <c r="BB1460" s="182"/>
      <c r="BC1460" s="209"/>
      <c r="BD1460" s="182"/>
      <c r="BE1460" s="209"/>
      <c r="BF1460" s="182"/>
      <c r="BG1460" s="209"/>
      <c r="BH1460" s="182"/>
      <c r="BI1460" s="209"/>
      <c r="BJ1460" s="183"/>
      <c r="BK1460" s="209"/>
      <c r="BL1460" s="182"/>
      <c r="BM1460" s="210"/>
      <c r="BO1460" s="28" t="e">
        <f t="shared" si="151"/>
        <v>#DIV/0!</v>
      </c>
      <c r="BP1460" s="28">
        <f t="shared" si="152"/>
        <v>0</v>
      </c>
    </row>
    <row r="1461" spans="52:68" x14ac:dyDescent="0.25">
      <c r="AZ1461" s="471"/>
      <c r="BA1461" s="181"/>
      <c r="BB1461" s="182"/>
      <c r="BC1461" s="209"/>
      <c r="BD1461" s="182"/>
      <c r="BE1461" s="209"/>
      <c r="BF1461" s="182"/>
      <c r="BG1461" s="209"/>
      <c r="BH1461" s="182"/>
      <c r="BI1461" s="209"/>
      <c r="BJ1461" s="183"/>
      <c r="BK1461" s="209"/>
      <c r="BL1461" s="182"/>
      <c r="BM1461" s="210"/>
      <c r="BO1461" s="28" t="e">
        <f t="shared" si="151"/>
        <v>#DIV/0!</v>
      </c>
      <c r="BP1461" s="28">
        <f t="shared" si="152"/>
        <v>0</v>
      </c>
    </row>
    <row r="1462" spans="52:68" x14ac:dyDescent="0.25">
      <c r="AZ1462" s="471"/>
      <c r="BA1462" s="181"/>
      <c r="BB1462" s="182"/>
      <c r="BC1462" s="209"/>
      <c r="BD1462" s="182"/>
      <c r="BE1462" s="209"/>
      <c r="BF1462" s="182"/>
      <c r="BG1462" s="209"/>
      <c r="BH1462" s="182"/>
      <c r="BI1462" s="209"/>
      <c r="BJ1462" s="183"/>
      <c r="BK1462" s="209"/>
      <c r="BL1462" s="182"/>
      <c r="BM1462" s="210"/>
      <c r="BO1462" s="28" t="e">
        <f t="shared" si="151"/>
        <v>#DIV/0!</v>
      </c>
      <c r="BP1462" s="28">
        <f t="shared" si="152"/>
        <v>0</v>
      </c>
    </row>
    <row r="1463" spans="52:68" x14ac:dyDescent="0.25">
      <c r="AZ1463" s="471"/>
      <c r="BA1463" s="181"/>
      <c r="BB1463" s="182"/>
      <c r="BC1463" s="209"/>
      <c r="BD1463" s="182"/>
      <c r="BE1463" s="209"/>
      <c r="BF1463" s="182"/>
      <c r="BG1463" s="209"/>
      <c r="BH1463" s="182"/>
      <c r="BI1463" s="209"/>
      <c r="BJ1463" s="183"/>
      <c r="BK1463" s="209"/>
      <c r="BL1463" s="182"/>
      <c r="BM1463" s="210"/>
      <c r="BO1463" s="28" t="e">
        <f t="shared" si="151"/>
        <v>#DIV/0!</v>
      </c>
      <c r="BP1463" s="28">
        <f t="shared" si="152"/>
        <v>0</v>
      </c>
    </row>
    <row r="1464" spans="52:68" x14ac:dyDescent="0.25">
      <c r="AZ1464" s="471"/>
      <c r="BA1464" s="181"/>
      <c r="BB1464" s="182"/>
      <c r="BC1464" s="209"/>
      <c r="BD1464" s="182"/>
      <c r="BE1464" s="209"/>
      <c r="BF1464" s="182"/>
      <c r="BG1464" s="209"/>
      <c r="BH1464" s="182"/>
      <c r="BI1464" s="209"/>
      <c r="BJ1464" s="183"/>
      <c r="BK1464" s="209"/>
      <c r="BL1464" s="182"/>
      <c r="BM1464" s="210"/>
      <c r="BO1464" s="28" t="e">
        <f t="shared" si="151"/>
        <v>#DIV/0!</v>
      </c>
      <c r="BP1464" s="28">
        <f t="shared" si="152"/>
        <v>0</v>
      </c>
    </row>
    <row r="1465" spans="52:68" x14ac:dyDescent="0.25">
      <c r="AZ1465" s="471"/>
      <c r="BA1465" s="181"/>
      <c r="BB1465" s="182"/>
      <c r="BC1465" s="209"/>
      <c r="BD1465" s="182"/>
      <c r="BE1465" s="209"/>
      <c r="BF1465" s="182"/>
      <c r="BG1465" s="209"/>
      <c r="BH1465" s="182"/>
      <c r="BI1465" s="209"/>
      <c r="BJ1465" s="183"/>
      <c r="BK1465" s="209"/>
      <c r="BL1465" s="182"/>
      <c r="BM1465" s="210"/>
      <c r="BO1465" s="28" t="e">
        <f t="shared" si="151"/>
        <v>#DIV/0!</v>
      </c>
      <c r="BP1465" s="28">
        <f t="shared" si="152"/>
        <v>0</v>
      </c>
    </row>
    <row r="1466" spans="52:68" x14ac:dyDescent="0.25">
      <c r="AZ1466" s="471"/>
      <c r="BA1466" s="181"/>
      <c r="BB1466" s="182"/>
      <c r="BC1466" s="209"/>
      <c r="BD1466" s="182"/>
      <c r="BE1466" s="209"/>
      <c r="BF1466" s="182"/>
      <c r="BG1466" s="209"/>
      <c r="BH1466" s="182"/>
      <c r="BI1466" s="209"/>
      <c r="BJ1466" s="183"/>
      <c r="BK1466" s="209"/>
      <c r="BL1466" s="182"/>
      <c r="BM1466" s="210"/>
      <c r="BO1466" s="28" t="e">
        <f t="shared" si="151"/>
        <v>#DIV/0!</v>
      </c>
      <c r="BP1466" s="28">
        <f t="shared" si="152"/>
        <v>0</v>
      </c>
    </row>
    <row r="1467" spans="52:68" x14ac:dyDescent="0.25">
      <c r="AZ1467" s="471"/>
      <c r="BA1467" s="181"/>
      <c r="BB1467" s="182"/>
      <c r="BC1467" s="209"/>
      <c r="BD1467" s="182"/>
      <c r="BE1467" s="209"/>
      <c r="BF1467" s="182"/>
      <c r="BG1467" s="209"/>
      <c r="BH1467" s="182"/>
      <c r="BI1467" s="209"/>
      <c r="BJ1467" s="183"/>
      <c r="BK1467" s="209"/>
      <c r="BL1467" s="182"/>
      <c r="BM1467" s="210"/>
      <c r="BO1467" s="28" t="e">
        <f t="shared" si="151"/>
        <v>#DIV/0!</v>
      </c>
      <c r="BP1467" s="28">
        <f t="shared" si="152"/>
        <v>0</v>
      </c>
    </row>
    <row r="1468" spans="52:68" x14ac:dyDescent="0.25">
      <c r="AZ1468" s="471"/>
      <c r="BA1468" s="181"/>
      <c r="BB1468" s="182"/>
      <c r="BC1468" s="209"/>
      <c r="BD1468" s="182"/>
      <c r="BE1468" s="209"/>
      <c r="BF1468" s="182"/>
      <c r="BG1468" s="209"/>
      <c r="BH1468" s="182"/>
      <c r="BI1468" s="209"/>
      <c r="BJ1468" s="183"/>
      <c r="BK1468" s="209"/>
      <c r="BL1468" s="182"/>
      <c r="BM1468" s="210"/>
      <c r="BO1468" s="28" t="e">
        <f t="shared" si="151"/>
        <v>#DIV/0!</v>
      </c>
      <c r="BP1468" s="28">
        <f t="shared" si="152"/>
        <v>0</v>
      </c>
    </row>
    <row r="1469" spans="52:68" x14ac:dyDescent="0.25">
      <c r="AZ1469" s="471"/>
      <c r="BA1469" s="181"/>
      <c r="BB1469" s="182"/>
      <c r="BC1469" s="209"/>
      <c r="BD1469" s="182"/>
      <c r="BE1469" s="209"/>
      <c r="BF1469" s="182"/>
      <c r="BG1469" s="209"/>
      <c r="BH1469" s="182"/>
      <c r="BI1469" s="209"/>
      <c r="BJ1469" s="183"/>
      <c r="BK1469" s="209"/>
      <c r="BL1469" s="182"/>
      <c r="BM1469" s="210"/>
      <c r="BO1469" s="28" t="e">
        <f t="shared" si="151"/>
        <v>#DIV/0!</v>
      </c>
      <c r="BP1469" s="28">
        <f t="shared" si="152"/>
        <v>0</v>
      </c>
    </row>
    <row r="1470" spans="52:68" x14ac:dyDescent="0.25">
      <c r="AZ1470" s="471"/>
      <c r="BA1470" s="181"/>
      <c r="BB1470" s="182"/>
      <c r="BC1470" s="209"/>
      <c r="BD1470" s="182"/>
      <c r="BE1470" s="209"/>
      <c r="BF1470" s="182"/>
      <c r="BG1470" s="209"/>
      <c r="BH1470" s="182"/>
      <c r="BI1470" s="209"/>
      <c r="BJ1470" s="183"/>
      <c r="BK1470" s="209"/>
      <c r="BL1470" s="182"/>
      <c r="BM1470" s="210"/>
      <c r="BO1470" s="28" t="e">
        <f t="shared" si="151"/>
        <v>#DIV/0!</v>
      </c>
      <c r="BP1470" s="28">
        <f t="shared" si="152"/>
        <v>0</v>
      </c>
    </row>
    <row r="1471" spans="52:68" x14ac:dyDescent="0.25">
      <c r="AZ1471" s="471"/>
      <c r="BA1471" s="181"/>
      <c r="BB1471" s="182"/>
      <c r="BC1471" s="209"/>
      <c r="BD1471" s="182"/>
      <c r="BE1471" s="209"/>
      <c r="BF1471" s="182"/>
      <c r="BG1471" s="209"/>
      <c r="BH1471" s="182"/>
      <c r="BI1471" s="209"/>
      <c r="BJ1471" s="183"/>
      <c r="BK1471" s="209"/>
      <c r="BL1471" s="182"/>
      <c r="BM1471" s="210"/>
      <c r="BO1471" s="28" t="e">
        <f t="shared" si="151"/>
        <v>#DIV/0!</v>
      </c>
      <c r="BP1471" s="28">
        <f t="shared" si="152"/>
        <v>0</v>
      </c>
    </row>
    <row r="1472" spans="52:68" x14ac:dyDescent="0.25">
      <c r="AZ1472" s="471"/>
      <c r="BA1472" s="181"/>
      <c r="BB1472" s="182"/>
      <c r="BC1472" s="209"/>
      <c r="BD1472" s="182"/>
      <c r="BE1472" s="209"/>
      <c r="BF1472" s="182"/>
      <c r="BG1472" s="209"/>
      <c r="BH1472" s="182"/>
      <c r="BI1472" s="209"/>
      <c r="BJ1472" s="183"/>
      <c r="BK1472" s="209"/>
      <c r="BL1472" s="182"/>
      <c r="BM1472" s="210"/>
      <c r="BO1472" s="28" t="e">
        <f t="shared" si="151"/>
        <v>#DIV/0!</v>
      </c>
      <c r="BP1472" s="28">
        <f t="shared" si="152"/>
        <v>0</v>
      </c>
    </row>
    <row r="1473" spans="52:68" x14ac:dyDescent="0.25">
      <c r="AZ1473" s="471"/>
      <c r="BA1473" s="181"/>
      <c r="BB1473" s="182"/>
      <c r="BC1473" s="209"/>
      <c r="BD1473" s="182"/>
      <c r="BE1473" s="209"/>
      <c r="BF1473" s="182"/>
      <c r="BG1473" s="209"/>
      <c r="BH1473" s="182"/>
      <c r="BI1473" s="209"/>
      <c r="BJ1473" s="183"/>
      <c r="BK1473" s="209"/>
      <c r="BL1473" s="182"/>
      <c r="BM1473" s="210"/>
      <c r="BO1473" s="28" t="e">
        <f t="shared" si="151"/>
        <v>#DIV/0!</v>
      </c>
      <c r="BP1473" s="28">
        <f t="shared" si="152"/>
        <v>0</v>
      </c>
    </row>
    <row r="1474" spans="52:68" x14ac:dyDescent="0.25">
      <c r="AZ1474" s="471"/>
      <c r="BA1474" s="181"/>
      <c r="BB1474" s="182"/>
      <c r="BC1474" s="209"/>
      <c r="BD1474" s="182"/>
      <c r="BE1474" s="209"/>
      <c r="BF1474" s="182"/>
      <c r="BG1474" s="209"/>
      <c r="BH1474" s="182"/>
      <c r="BI1474" s="209"/>
      <c r="BJ1474" s="183"/>
      <c r="BK1474" s="209"/>
      <c r="BL1474" s="182"/>
      <c r="BM1474" s="210"/>
      <c r="BO1474" s="28" t="e">
        <f t="shared" si="151"/>
        <v>#DIV/0!</v>
      </c>
      <c r="BP1474" s="28">
        <f t="shared" si="152"/>
        <v>0</v>
      </c>
    </row>
    <row r="1475" spans="52:68" x14ac:dyDescent="0.25">
      <c r="AZ1475" s="471"/>
      <c r="BA1475" s="181"/>
      <c r="BB1475" s="182"/>
      <c r="BC1475" s="209"/>
      <c r="BD1475" s="182"/>
      <c r="BE1475" s="209"/>
      <c r="BF1475" s="182"/>
      <c r="BG1475" s="209"/>
      <c r="BH1475" s="182"/>
      <c r="BI1475" s="209"/>
      <c r="BJ1475" s="183"/>
      <c r="BK1475" s="209"/>
      <c r="BL1475" s="182"/>
      <c r="BM1475" s="210"/>
      <c r="BO1475" s="28" t="e">
        <f t="shared" si="151"/>
        <v>#DIV/0!</v>
      </c>
      <c r="BP1475" s="28">
        <f t="shared" si="152"/>
        <v>0</v>
      </c>
    </row>
    <row r="1476" spans="52:68" x14ac:dyDescent="0.25">
      <c r="AZ1476" s="471"/>
      <c r="BA1476" s="181"/>
      <c r="BB1476" s="182"/>
      <c r="BC1476" s="209"/>
      <c r="BD1476" s="182"/>
      <c r="BE1476" s="209"/>
      <c r="BF1476" s="182"/>
      <c r="BG1476" s="209"/>
      <c r="BH1476" s="182"/>
      <c r="BI1476" s="209"/>
      <c r="BJ1476" s="183"/>
      <c r="BK1476" s="209"/>
      <c r="BL1476" s="182"/>
      <c r="BM1476" s="210"/>
      <c r="BO1476" s="28" t="e">
        <f t="shared" si="151"/>
        <v>#DIV/0!</v>
      </c>
      <c r="BP1476" s="28">
        <f t="shared" si="152"/>
        <v>0</v>
      </c>
    </row>
    <row r="1477" spans="52:68" x14ac:dyDescent="0.25">
      <c r="AZ1477" s="471"/>
      <c r="BA1477" s="181"/>
      <c r="BB1477" s="182"/>
      <c r="BC1477" s="209"/>
      <c r="BD1477" s="182"/>
      <c r="BE1477" s="209"/>
      <c r="BF1477" s="182"/>
      <c r="BG1477" s="209"/>
      <c r="BH1477" s="182"/>
      <c r="BI1477" s="209"/>
      <c r="BJ1477" s="183"/>
      <c r="BK1477" s="209"/>
      <c r="BL1477" s="182"/>
      <c r="BM1477" s="210"/>
      <c r="BO1477" s="28" t="e">
        <f t="shared" si="151"/>
        <v>#DIV/0!</v>
      </c>
      <c r="BP1477" s="28">
        <f t="shared" si="152"/>
        <v>0</v>
      </c>
    </row>
    <row r="1478" spans="52:68" x14ac:dyDescent="0.25">
      <c r="AZ1478" s="471"/>
      <c r="BA1478" s="181"/>
      <c r="BB1478" s="182"/>
      <c r="BC1478" s="209"/>
      <c r="BD1478" s="182"/>
      <c r="BE1478" s="209"/>
      <c r="BF1478" s="182"/>
      <c r="BG1478" s="209"/>
      <c r="BH1478" s="182"/>
      <c r="BI1478" s="209"/>
      <c r="BJ1478" s="183"/>
      <c r="BK1478" s="209"/>
      <c r="BL1478" s="182"/>
      <c r="BM1478" s="210"/>
      <c r="BO1478" s="28" t="e">
        <f t="shared" si="151"/>
        <v>#DIV/0!</v>
      </c>
      <c r="BP1478" s="28">
        <f t="shared" si="152"/>
        <v>0</v>
      </c>
    </row>
    <row r="1479" spans="52:68" x14ac:dyDescent="0.25">
      <c r="AZ1479" s="471"/>
      <c r="BA1479" s="181"/>
      <c r="BB1479" s="182"/>
      <c r="BC1479" s="209"/>
      <c r="BD1479" s="182"/>
      <c r="BE1479" s="209"/>
      <c r="BF1479" s="182"/>
      <c r="BG1479" s="209"/>
      <c r="BH1479" s="182"/>
      <c r="BI1479" s="209"/>
      <c r="BJ1479" s="183"/>
      <c r="BK1479" s="209"/>
      <c r="BL1479" s="182"/>
      <c r="BM1479" s="210"/>
      <c r="BO1479" s="28" t="e">
        <f t="shared" si="151"/>
        <v>#DIV/0!</v>
      </c>
      <c r="BP1479" s="28">
        <f t="shared" si="152"/>
        <v>0</v>
      </c>
    </row>
    <row r="1480" spans="52:68" x14ac:dyDescent="0.25">
      <c r="AZ1480" s="471"/>
      <c r="BA1480" s="181"/>
      <c r="BB1480" s="182"/>
      <c r="BC1480" s="209"/>
      <c r="BD1480" s="182"/>
      <c r="BE1480" s="209"/>
      <c r="BF1480" s="182"/>
      <c r="BG1480" s="209"/>
      <c r="BH1480" s="182"/>
      <c r="BI1480" s="209"/>
      <c r="BJ1480" s="183"/>
      <c r="BK1480" s="209"/>
      <c r="BL1480" s="182"/>
      <c r="BM1480" s="210"/>
      <c r="BO1480" s="28" t="e">
        <f t="shared" si="151"/>
        <v>#DIV/0!</v>
      </c>
      <c r="BP1480" s="28">
        <f t="shared" si="152"/>
        <v>0</v>
      </c>
    </row>
    <row r="1481" spans="52:68" x14ac:dyDescent="0.25">
      <c r="AZ1481" s="471"/>
      <c r="BA1481" s="181"/>
      <c r="BB1481" s="182"/>
      <c r="BC1481" s="209"/>
      <c r="BD1481" s="182"/>
      <c r="BE1481" s="209"/>
      <c r="BF1481" s="182"/>
      <c r="BG1481" s="209"/>
      <c r="BH1481" s="182"/>
      <c r="BI1481" s="209"/>
      <c r="BJ1481" s="183"/>
      <c r="BK1481" s="209"/>
      <c r="BL1481" s="182"/>
      <c r="BM1481" s="210"/>
      <c r="BO1481" s="28" t="e">
        <f t="shared" ref="BO1481:BO1544" si="153">AVERAGE(BB1481:BM1481)</f>
        <v>#DIV/0!</v>
      </c>
      <c r="BP1481" s="28">
        <f t="shared" ref="BP1481:BP1544" si="154">SUM(BB1481:BM1481)</f>
        <v>0</v>
      </c>
    </row>
    <row r="1482" spans="52:68" x14ac:dyDescent="0.25">
      <c r="AZ1482" s="471"/>
      <c r="BA1482" s="181"/>
      <c r="BB1482" s="182"/>
      <c r="BC1482" s="209"/>
      <c r="BD1482" s="182"/>
      <c r="BE1482" s="209"/>
      <c r="BF1482" s="182"/>
      <c r="BG1482" s="209"/>
      <c r="BH1482" s="182"/>
      <c r="BI1482" s="209"/>
      <c r="BJ1482" s="183"/>
      <c r="BK1482" s="209"/>
      <c r="BL1482" s="182"/>
      <c r="BM1482" s="210"/>
      <c r="BO1482" s="28" t="e">
        <f t="shared" si="153"/>
        <v>#DIV/0!</v>
      </c>
      <c r="BP1482" s="28">
        <f t="shared" si="154"/>
        <v>0</v>
      </c>
    </row>
    <row r="1483" spans="52:68" x14ac:dyDescent="0.25">
      <c r="AZ1483" s="471"/>
      <c r="BA1483" s="181"/>
      <c r="BB1483" s="182"/>
      <c r="BC1483" s="209"/>
      <c r="BD1483" s="182"/>
      <c r="BE1483" s="209"/>
      <c r="BF1483" s="182"/>
      <c r="BG1483" s="209"/>
      <c r="BH1483" s="182"/>
      <c r="BI1483" s="209"/>
      <c r="BJ1483" s="183"/>
      <c r="BK1483" s="209"/>
      <c r="BL1483" s="182"/>
      <c r="BM1483" s="210"/>
      <c r="BO1483" s="28" t="e">
        <f t="shared" si="153"/>
        <v>#DIV/0!</v>
      </c>
      <c r="BP1483" s="28">
        <f t="shared" si="154"/>
        <v>0</v>
      </c>
    </row>
    <row r="1484" spans="52:68" x14ac:dyDescent="0.25">
      <c r="AZ1484" s="471"/>
      <c r="BA1484" s="181"/>
      <c r="BB1484" s="182"/>
      <c r="BC1484" s="209"/>
      <c r="BD1484" s="182"/>
      <c r="BE1484" s="209"/>
      <c r="BF1484" s="182"/>
      <c r="BG1484" s="209"/>
      <c r="BH1484" s="182"/>
      <c r="BI1484" s="209"/>
      <c r="BJ1484" s="183"/>
      <c r="BK1484" s="209"/>
      <c r="BL1484" s="182"/>
      <c r="BM1484" s="210"/>
      <c r="BO1484" s="28" t="e">
        <f t="shared" si="153"/>
        <v>#DIV/0!</v>
      </c>
      <c r="BP1484" s="28">
        <f t="shared" si="154"/>
        <v>0</v>
      </c>
    </row>
    <row r="1485" spans="52:68" x14ac:dyDescent="0.25">
      <c r="AZ1485" s="471"/>
      <c r="BA1485" s="181"/>
      <c r="BB1485" s="182"/>
      <c r="BC1485" s="209"/>
      <c r="BD1485" s="182"/>
      <c r="BE1485" s="209"/>
      <c r="BF1485" s="182"/>
      <c r="BG1485" s="209"/>
      <c r="BH1485" s="182"/>
      <c r="BI1485" s="209"/>
      <c r="BJ1485" s="183"/>
      <c r="BK1485" s="209"/>
      <c r="BL1485" s="182"/>
      <c r="BM1485" s="210"/>
      <c r="BO1485" s="28" t="e">
        <f t="shared" si="153"/>
        <v>#DIV/0!</v>
      </c>
      <c r="BP1485" s="28">
        <f t="shared" si="154"/>
        <v>0</v>
      </c>
    </row>
    <row r="1486" spans="52:68" x14ac:dyDescent="0.25">
      <c r="AZ1486" s="471"/>
      <c r="BA1486" s="181"/>
      <c r="BB1486" s="182"/>
      <c r="BC1486" s="209"/>
      <c r="BD1486" s="182"/>
      <c r="BE1486" s="209"/>
      <c r="BF1486" s="182"/>
      <c r="BG1486" s="209"/>
      <c r="BH1486" s="182"/>
      <c r="BI1486" s="209"/>
      <c r="BJ1486" s="183"/>
      <c r="BK1486" s="209"/>
      <c r="BL1486" s="182"/>
      <c r="BM1486" s="210"/>
      <c r="BO1486" s="28" t="e">
        <f t="shared" si="153"/>
        <v>#DIV/0!</v>
      </c>
      <c r="BP1486" s="28">
        <f t="shared" si="154"/>
        <v>0</v>
      </c>
    </row>
    <row r="1487" spans="52:68" x14ac:dyDescent="0.25">
      <c r="AZ1487" s="471"/>
      <c r="BA1487" s="181"/>
      <c r="BB1487" s="182"/>
      <c r="BC1487" s="209"/>
      <c r="BD1487" s="182"/>
      <c r="BE1487" s="209"/>
      <c r="BF1487" s="182"/>
      <c r="BG1487" s="209"/>
      <c r="BH1487" s="182"/>
      <c r="BI1487" s="209"/>
      <c r="BJ1487" s="183"/>
      <c r="BK1487" s="209"/>
      <c r="BL1487" s="182"/>
      <c r="BM1487" s="210"/>
      <c r="BO1487" s="28" t="e">
        <f t="shared" si="153"/>
        <v>#DIV/0!</v>
      </c>
      <c r="BP1487" s="28">
        <f t="shared" si="154"/>
        <v>0</v>
      </c>
    </row>
    <row r="1488" spans="52:68" x14ac:dyDescent="0.25">
      <c r="AZ1488" s="471"/>
      <c r="BA1488" s="181"/>
      <c r="BB1488" s="182"/>
      <c r="BC1488" s="209"/>
      <c r="BD1488" s="182"/>
      <c r="BE1488" s="209"/>
      <c r="BF1488" s="182"/>
      <c r="BG1488" s="209"/>
      <c r="BH1488" s="182"/>
      <c r="BI1488" s="209"/>
      <c r="BJ1488" s="183"/>
      <c r="BK1488" s="209"/>
      <c r="BL1488" s="182"/>
      <c r="BM1488" s="210"/>
      <c r="BO1488" s="28" t="e">
        <f t="shared" si="153"/>
        <v>#DIV/0!</v>
      </c>
      <c r="BP1488" s="28">
        <f t="shared" si="154"/>
        <v>0</v>
      </c>
    </row>
    <row r="1489" spans="52:68" x14ac:dyDescent="0.25">
      <c r="AZ1489" s="471"/>
      <c r="BA1489" s="181"/>
      <c r="BB1489" s="182"/>
      <c r="BC1489" s="209"/>
      <c r="BD1489" s="182"/>
      <c r="BE1489" s="209"/>
      <c r="BF1489" s="182"/>
      <c r="BG1489" s="209"/>
      <c r="BH1489" s="182"/>
      <c r="BI1489" s="209"/>
      <c r="BJ1489" s="183"/>
      <c r="BK1489" s="209"/>
      <c r="BL1489" s="182"/>
      <c r="BM1489" s="210"/>
      <c r="BO1489" s="28" t="e">
        <f t="shared" si="153"/>
        <v>#DIV/0!</v>
      </c>
      <c r="BP1489" s="28">
        <f t="shared" si="154"/>
        <v>0</v>
      </c>
    </row>
    <row r="1490" spans="52:68" x14ac:dyDescent="0.25">
      <c r="AZ1490" s="471"/>
      <c r="BA1490" s="181"/>
      <c r="BB1490" s="182"/>
      <c r="BC1490" s="209"/>
      <c r="BD1490" s="182"/>
      <c r="BE1490" s="209"/>
      <c r="BF1490" s="182"/>
      <c r="BG1490" s="209"/>
      <c r="BH1490" s="182"/>
      <c r="BI1490" s="209"/>
      <c r="BJ1490" s="183"/>
      <c r="BK1490" s="209"/>
      <c r="BL1490" s="182"/>
      <c r="BM1490" s="210"/>
      <c r="BO1490" s="28" t="e">
        <f t="shared" si="153"/>
        <v>#DIV/0!</v>
      </c>
      <c r="BP1490" s="28">
        <f t="shared" si="154"/>
        <v>0</v>
      </c>
    </row>
    <row r="1491" spans="52:68" x14ac:dyDescent="0.25">
      <c r="AZ1491" s="471"/>
      <c r="BA1491" s="181"/>
      <c r="BB1491" s="182"/>
      <c r="BC1491" s="209"/>
      <c r="BD1491" s="182"/>
      <c r="BE1491" s="209"/>
      <c r="BF1491" s="182"/>
      <c r="BG1491" s="209"/>
      <c r="BH1491" s="182"/>
      <c r="BI1491" s="209"/>
      <c r="BJ1491" s="183"/>
      <c r="BK1491" s="209"/>
      <c r="BL1491" s="182"/>
      <c r="BM1491" s="210"/>
      <c r="BO1491" s="28" t="e">
        <f t="shared" si="153"/>
        <v>#DIV/0!</v>
      </c>
      <c r="BP1491" s="28">
        <f t="shared" si="154"/>
        <v>0</v>
      </c>
    </row>
    <row r="1492" spans="52:68" x14ac:dyDescent="0.25">
      <c r="AZ1492" s="471"/>
      <c r="BA1492" s="181"/>
      <c r="BB1492" s="182"/>
      <c r="BC1492" s="209"/>
      <c r="BD1492" s="182"/>
      <c r="BE1492" s="209"/>
      <c r="BF1492" s="182"/>
      <c r="BG1492" s="209"/>
      <c r="BH1492" s="182"/>
      <c r="BI1492" s="209"/>
      <c r="BJ1492" s="183"/>
      <c r="BK1492" s="209"/>
      <c r="BL1492" s="182"/>
      <c r="BM1492" s="210"/>
      <c r="BO1492" s="28" t="e">
        <f t="shared" si="153"/>
        <v>#DIV/0!</v>
      </c>
      <c r="BP1492" s="28">
        <f t="shared" si="154"/>
        <v>0</v>
      </c>
    </row>
    <row r="1493" spans="52:68" x14ac:dyDescent="0.25">
      <c r="AZ1493" s="471"/>
      <c r="BA1493" s="181"/>
      <c r="BB1493" s="182"/>
      <c r="BC1493" s="209"/>
      <c r="BD1493" s="182"/>
      <c r="BE1493" s="209"/>
      <c r="BF1493" s="182"/>
      <c r="BG1493" s="209"/>
      <c r="BH1493" s="182"/>
      <c r="BI1493" s="209"/>
      <c r="BJ1493" s="183"/>
      <c r="BK1493" s="209"/>
      <c r="BL1493" s="182"/>
      <c r="BM1493" s="210"/>
      <c r="BO1493" s="28" t="e">
        <f t="shared" si="153"/>
        <v>#DIV/0!</v>
      </c>
      <c r="BP1493" s="28">
        <f t="shared" si="154"/>
        <v>0</v>
      </c>
    </row>
    <row r="1494" spans="52:68" x14ac:dyDescent="0.25">
      <c r="AZ1494" s="471"/>
      <c r="BA1494" s="181"/>
      <c r="BB1494" s="182"/>
      <c r="BC1494" s="209"/>
      <c r="BD1494" s="182"/>
      <c r="BE1494" s="209"/>
      <c r="BF1494" s="182"/>
      <c r="BG1494" s="209"/>
      <c r="BH1494" s="182"/>
      <c r="BI1494" s="209"/>
      <c r="BJ1494" s="183"/>
      <c r="BK1494" s="209"/>
      <c r="BL1494" s="182"/>
      <c r="BM1494" s="210"/>
      <c r="BO1494" s="28" t="e">
        <f t="shared" si="153"/>
        <v>#DIV/0!</v>
      </c>
      <c r="BP1494" s="28">
        <f t="shared" si="154"/>
        <v>0</v>
      </c>
    </row>
    <row r="1495" spans="52:68" x14ac:dyDescent="0.25">
      <c r="AZ1495" s="471"/>
      <c r="BA1495" s="181"/>
      <c r="BB1495" s="182"/>
      <c r="BC1495" s="209"/>
      <c r="BD1495" s="182"/>
      <c r="BE1495" s="209"/>
      <c r="BF1495" s="182"/>
      <c r="BG1495" s="209"/>
      <c r="BH1495" s="182"/>
      <c r="BI1495" s="209"/>
      <c r="BJ1495" s="183"/>
      <c r="BK1495" s="209"/>
      <c r="BL1495" s="182"/>
      <c r="BM1495" s="210"/>
      <c r="BO1495" s="28" t="e">
        <f t="shared" si="153"/>
        <v>#DIV/0!</v>
      </c>
      <c r="BP1495" s="28">
        <f t="shared" si="154"/>
        <v>0</v>
      </c>
    </row>
    <row r="1496" spans="52:68" x14ac:dyDescent="0.25">
      <c r="AZ1496" s="471"/>
      <c r="BA1496" s="181"/>
      <c r="BB1496" s="182"/>
      <c r="BC1496" s="209"/>
      <c r="BD1496" s="182"/>
      <c r="BE1496" s="209"/>
      <c r="BF1496" s="182"/>
      <c r="BG1496" s="209"/>
      <c r="BH1496" s="182"/>
      <c r="BI1496" s="209"/>
      <c r="BJ1496" s="183"/>
      <c r="BK1496" s="209"/>
      <c r="BL1496" s="182"/>
      <c r="BM1496" s="210"/>
      <c r="BO1496" s="28" t="e">
        <f t="shared" si="153"/>
        <v>#DIV/0!</v>
      </c>
      <c r="BP1496" s="28">
        <f t="shared" si="154"/>
        <v>0</v>
      </c>
    </row>
    <row r="1497" spans="52:68" x14ac:dyDescent="0.25">
      <c r="AZ1497" s="471"/>
      <c r="BA1497" s="181"/>
      <c r="BB1497" s="182"/>
      <c r="BC1497" s="209"/>
      <c r="BD1497" s="182"/>
      <c r="BE1497" s="209"/>
      <c r="BF1497" s="182"/>
      <c r="BG1497" s="209"/>
      <c r="BH1497" s="182"/>
      <c r="BI1497" s="209"/>
      <c r="BJ1497" s="183"/>
      <c r="BK1497" s="209"/>
      <c r="BL1497" s="182"/>
      <c r="BM1497" s="210"/>
      <c r="BO1497" s="28" t="e">
        <f t="shared" si="153"/>
        <v>#DIV/0!</v>
      </c>
      <c r="BP1497" s="28">
        <f t="shared" si="154"/>
        <v>0</v>
      </c>
    </row>
    <row r="1498" spans="52:68" x14ac:dyDescent="0.25">
      <c r="AZ1498" s="471"/>
      <c r="BA1498" s="181"/>
      <c r="BB1498" s="182"/>
      <c r="BC1498" s="209"/>
      <c r="BD1498" s="182"/>
      <c r="BE1498" s="209"/>
      <c r="BF1498" s="182"/>
      <c r="BG1498" s="209"/>
      <c r="BH1498" s="182"/>
      <c r="BI1498" s="209"/>
      <c r="BJ1498" s="183"/>
      <c r="BK1498" s="209"/>
      <c r="BL1498" s="182"/>
      <c r="BM1498" s="210"/>
      <c r="BO1498" s="28" t="e">
        <f t="shared" si="153"/>
        <v>#DIV/0!</v>
      </c>
      <c r="BP1498" s="28">
        <f t="shared" si="154"/>
        <v>0</v>
      </c>
    </row>
    <row r="1499" spans="52:68" x14ac:dyDescent="0.25">
      <c r="AZ1499" s="471"/>
      <c r="BA1499" s="181"/>
      <c r="BB1499" s="182"/>
      <c r="BC1499" s="209"/>
      <c r="BD1499" s="182"/>
      <c r="BE1499" s="209"/>
      <c r="BF1499" s="182"/>
      <c r="BG1499" s="209"/>
      <c r="BH1499" s="182"/>
      <c r="BI1499" s="209"/>
      <c r="BJ1499" s="183"/>
      <c r="BK1499" s="209"/>
      <c r="BL1499" s="182"/>
      <c r="BM1499" s="210"/>
      <c r="BO1499" s="28" t="e">
        <f t="shared" si="153"/>
        <v>#DIV/0!</v>
      </c>
      <c r="BP1499" s="28">
        <f t="shared" si="154"/>
        <v>0</v>
      </c>
    </row>
    <row r="1500" spans="52:68" x14ac:dyDescent="0.25">
      <c r="AZ1500" s="471"/>
      <c r="BA1500" s="181"/>
      <c r="BB1500" s="182"/>
      <c r="BC1500" s="209"/>
      <c r="BD1500" s="182"/>
      <c r="BE1500" s="209"/>
      <c r="BF1500" s="182"/>
      <c r="BG1500" s="209"/>
      <c r="BH1500" s="182"/>
      <c r="BI1500" s="209"/>
      <c r="BJ1500" s="183"/>
      <c r="BK1500" s="209"/>
      <c r="BL1500" s="182"/>
      <c r="BM1500" s="210"/>
      <c r="BO1500" s="28" t="e">
        <f t="shared" si="153"/>
        <v>#DIV/0!</v>
      </c>
      <c r="BP1500" s="28">
        <f t="shared" si="154"/>
        <v>0</v>
      </c>
    </row>
    <row r="1501" spans="52:68" x14ac:dyDescent="0.25">
      <c r="AZ1501" s="471"/>
      <c r="BA1501" s="181"/>
      <c r="BB1501" s="182"/>
      <c r="BC1501" s="209"/>
      <c r="BD1501" s="182"/>
      <c r="BE1501" s="209"/>
      <c r="BF1501" s="182"/>
      <c r="BG1501" s="209"/>
      <c r="BH1501" s="182"/>
      <c r="BI1501" s="209"/>
      <c r="BJ1501" s="183"/>
      <c r="BK1501" s="209"/>
      <c r="BL1501" s="182"/>
      <c r="BM1501" s="210"/>
      <c r="BO1501" s="28" t="e">
        <f t="shared" si="153"/>
        <v>#DIV/0!</v>
      </c>
      <c r="BP1501" s="28">
        <f t="shared" si="154"/>
        <v>0</v>
      </c>
    </row>
    <row r="1502" spans="52:68" x14ac:dyDescent="0.25">
      <c r="AZ1502" s="471"/>
      <c r="BA1502" s="181"/>
      <c r="BB1502" s="182"/>
      <c r="BC1502" s="209"/>
      <c r="BD1502" s="182"/>
      <c r="BE1502" s="209"/>
      <c r="BF1502" s="182"/>
      <c r="BG1502" s="209"/>
      <c r="BH1502" s="182"/>
      <c r="BI1502" s="209"/>
      <c r="BJ1502" s="183"/>
      <c r="BK1502" s="209"/>
      <c r="BL1502" s="182"/>
      <c r="BM1502" s="210"/>
      <c r="BO1502" s="28" t="e">
        <f t="shared" si="153"/>
        <v>#DIV/0!</v>
      </c>
      <c r="BP1502" s="28">
        <f t="shared" si="154"/>
        <v>0</v>
      </c>
    </row>
    <row r="1503" spans="52:68" x14ac:dyDescent="0.25">
      <c r="AZ1503" s="471"/>
      <c r="BA1503" s="181"/>
      <c r="BB1503" s="182"/>
      <c r="BC1503" s="209"/>
      <c r="BD1503" s="182"/>
      <c r="BE1503" s="209"/>
      <c r="BF1503" s="182"/>
      <c r="BG1503" s="209"/>
      <c r="BH1503" s="182"/>
      <c r="BI1503" s="209"/>
      <c r="BJ1503" s="183"/>
      <c r="BK1503" s="209"/>
      <c r="BL1503" s="182"/>
      <c r="BM1503" s="210"/>
      <c r="BO1503" s="28" t="e">
        <f t="shared" si="153"/>
        <v>#DIV/0!</v>
      </c>
      <c r="BP1503" s="28">
        <f t="shared" si="154"/>
        <v>0</v>
      </c>
    </row>
    <row r="1504" spans="52:68" x14ac:dyDescent="0.25">
      <c r="AZ1504" s="471"/>
      <c r="BA1504" s="181"/>
      <c r="BB1504" s="182"/>
      <c r="BC1504" s="209"/>
      <c r="BD1504" s="182"/>
      <c r="BE1504" s="209"/>
      <c r="BF1504" s="182"/>
      <c r="BG1504" s="209"/>
      <c r="BH1504" s="182"/>
      <c r="BI1504" s="209"/>
      <c r="BJ1504" s="183"/>
      <c r="BK1504" s="209"/>
      <c r="BL1504" s="182"/>
      <c r="BM1504" s="210"/>
      <c r="BO1504" s="28" t="e">
        <f t="shared" si="153"/>
        <v>#DIV/0!</v>
      </c>
      <c r="BP1504" s="28">
        <f t="shared" si="154"/>
        <v>0</v>
      </c>
    </row>
    <row r="1505" spans="52:68" x14ac:dyDescent="0.25">
      <c r="AZ1505" s="471"/>
      <c r="BA1505" s="181"/>
      <c r="BB1505" s="182"/>
      <c r="BC1505" s="209"/>
      <c r="BD1505" s="182"/>
      <c r="BE1505" s="209"/>
      <c r="BF1505" s="182"/>
      <c r="BG1505" s="209"/>
      <c r="BH1505" s="182"/>
      <c r="BI1505" s="209"/>
      <c r="BJ1505" s="183"/>
      <c r="BK1505" s="209"/>
      <c r="BL1505" s="182"/>
      <c r="BM1505" s="210"/>
      <c r="BO1505" s="28" t="e">
        <f t="shared" si="153"/>
        <v>#DIV/0!</v>
      </c>
      <c r="BP1505" s="28">
        <f t="shared" si="154"/>
        <v>0</v>
      </c>
    </row>
    <row r="1506" spans="52:68" x14ac:dyDescent="0.25">
      <c r="AZ1506" s="471"/>
      <c r="BA1506" s="181"/>
      <c r="BB1506" s="182"/>
      <c r="BC1506" s="209"/>
      <c r="BD1506" s="182"/>
      <c r="BE1506" s="209"/>
      <c r="BF1506" s="182"/>
      <c r="BG1506" s="209"/>
      <c r="BH1506" s="182"/>
      <c r="BI1506" s="209"/>
      <c r="BJ1506" s="183"/>
      <c r="BK1506" s="209"/>
      <c r="BL1506" s="182"/>
      <c r="BM1506" s="210"/>
      <c r="BO1506" s="28" t="e">
        <f t="shared" si="153"/>
        <v>#DIV/0!</v>
      </c>
      <c r="BP1506" s="28">
        <f t="shared" si="154"/>
        <v>0</v>
      </c>
    </row>
    <row r="1507" spans="52:68" x14ac:dyDescent="0.25">
      <c r="AZ1507" s="471"/>
      <c r="BA1507" s="181"/>
      <c r="BB1507" s="182"/>
      <c r="BC1507" s="209"/>
      <c r="BD1507" s="182"/>
      <c r="BE1507" s="209"/>
      <c r="BF1507" s="182"/>
      <c r="BG1507" s="209"/>
      <c r="BH1507" s="182"/>
      <c r="BI1507" s="209"/>
      <c r="BJ1507" s="183"/>
      <c r="BK1507" s="209"/>
      <c r="BL1507" s="182"/>
      <c r="BM1507" s="210"/>
      <c r="BO1507" s="28" t="e">
        <f t="shared" si="153"/>
        <v>#DIV/0!</v>
      </c>
      <c r="BP1507" s="28">
        <f t="shared" si="154"/>
        <v>0</v>
      </c>
    </row>
    <row r="1508" spans="52:68" x14ac:dyDescent="0.25">
      <c r="AZ1508" s="471"/>
      <c r="BA1508" s="181"/>
      <c r="BB1508" s="182"/>
      <c r="BC1508" s="209"/>
      <c r="BD1508" s="182"/>
      <c r="BE1508" s="209"/>
      <c r="BF1508" s="182"/>
      <c r="BG1508" s="209"/>
      <c r="BH1508" s="182"/>
      <c r="BI1508" s="209"/>
      <c r="BJ1508" s="183"/>
      <c r="BK1508" s="209"/>
      <c r="BL1508" s="182"/>
      <c r="BM1508" s="210"/>
      <c r="BO1508" s="28" t="e">
        <f t="shared" si="153"/>
        <v>#DIV/0!</v>
      </c>
      <c r="BP1508" s="28">
        <f t="shared" si="154"/>
        <v>0</v>
      </c>
    </row>
    <row r="1509" spans="52:68" x14ac:dyDescent="0.25">
      <c r="AZ1509" s="471"/>
      <c r="BA1509" s="181"/>
      <c r="BB1509" s="182"/>
      <c r="BC1509" s="209"/>
      <c r="BD1509" s="182"/>
      <c r="BE1509" s="209"/>
      <c r="BF1509" s="182"/>
      <c r="BG1509" s="209"/>
      <c r="BH1509" s="182"/>
      <c r="BI1509" s="209"/>
      <c r="BJ1509" s="183"/>
      <c r="BK1509" s="209"/>
      <c r="BL1509" s="182"/>
      <c r="BM1509" s="210"/>
      <c r="BO1509" s="28" t="e">
        <f t="shared" si="153"/>
        <v>#DIV/0!</v>
      </c>
      <c r="BP1509" s="28">
        <f t="shared" si="154"/>
        <v>0</v>
      </c>
    </row>
    <row r="1510" spans="52:68" x14ac:dyDescent="0.25">
      <c r="AZ1510" s="471"/>
      <c r="BA1510" s="181"/>
      <c r="BB1510" s="182"/>
      <c r="BC1510" s="209"/>
      <c r="BD1510" s="182"/>
      <c r="BE1510" s="209"/>
      <c r="BF1510" s="182"/>
      <c r="BG1510" s="209"/>
      <c r="BH1510" s="182"/>
      <c r="BI1510" s="209"/>
      <c r="BJ1510" s="183"/>
      <c r="BK1510" s="209"/>
      <c r="BL1510" s="182"/>
      <c r="BM1510" s="210"/>
      <c r="BO1510" s="28" t="e">
        <f t="shared" si="153"/>
        <v>#DIV/0!</v>
      </c>
      <c r="BP1510" s="28">
        <f t="shared" si="154"/>
        <v>0</v>
      </c>
    </row>
    <row r="1511" spans="52:68" x14ac:dyDescent="0.25">
      <c r="AZ1511" s="471"/>
      <c r="BA1511" s="181"/>
      <c r="BB1511" s="182"/>
      <c r="BC1511" s="209"/>
      <c r="BD1511" s="182"/>
      <c r="BE1511" s="209"/>
      <c r="BF1511" s="182"/>
      <c r="BG1511" s="209"/>
      <c r="BH1511" s="182"/>
      <c r="BI1511" s="209"/>
      <c r="BJ1511" s="183"/>
      <c r="BK1511" s="209"/>
      <c r="BL1511" s="182"/>
      <c r="BM1511" s="210"/>
      <c r="BO1511" s="28" t="e">
        <f t="shared" si="153"/>
        <v>#DIV/0!</v>
      </c>
      <c r="BP1511" s="28">
        <f t="shared" si="154"/>
        <v>0</v>
      </c>
    </row>
    <row r="1512" spans="52:68" x14ac:dyDescent="0.25">
      <c r="AZ1512" s="471"/>
      <c r="BA1512" s="181"/>
      <c r="BB1512" s="182"/>
      <c r="BC1512" s="209"/>
      <c r="BD1512" s="182"/>
      <c r="BE1512" s="209"/>
      <c r="BF1512" s="182"/>
      <c r="BG1512" s="209"/>
      <c r="BH1512" s="182"/>
      <c r="BI1512" s="209"/>
      <c r="BJ1512" s="183"/>
      <c r="BK1512" s="209"/>
      <c r="BL1512" s="182"/>
      <c r="BM1512" s="210"/>
      <c r="BO1512" s="28" t="e">
        <f t="shared" si="153"/>
        <v>#DIV/0!</v>
      </c>
      <c r="BP1512" s="28">
        <f t="shared" si="154"/>
        <v>0</v>
      </c>
    </row>
    <row r="1513" spans="52:68" x14ac:dyDescent="0.25">
      <c r="AZ1513" s="471"/>
      <c r="BA1513" s="181"/>
      <c r="BB1513" s="182"/>
      <c r="BC1513" s="209"/>
      <c r="BD1513" s="182"/>
      <c r="BE1513" s="209"/>
      <c r="BF1513" s="182"/>
      <c r="BG1513" s="209"/>
      <c r="BH1513" s="182"/>
      <c r="BI1513" s="209"/>
      <c r="BJ1513" s="183"/>
      <c r="BK1513" s="209"/>
      <c r="BL1513" s="182"/>
      <c r="BM1513" s="210"/>
      <c r="BO1513" s="28" t="e">
        <f t="shared" si="153"/>
        <v>#DIV/0!</v>
      </c>
      <c r="BP1513" s="28">
        <f t="shared" si="154"/>
        <v>0</v>
      </c>
    </row>
    <row r="1514" spans="52:68" x14ac:dyDescent="0.25">
      <c r="AZ1514" s="471"/>
      <c r="BA1514" s="181"/>
      <c r="BB1514" s="182"/>
      <c r="BC1514" s="209"/>
      <c r="BD1514" s="182"/>
      <c r="BE1514" s="209"/>
      <c r="BF1514" s="182"/>
      <c r="BG1514" s="209"/>
      <c r="BH1514" s="182"/>
      <c r="BI1514" s="209"/>
      <c r="BJ1514" s="183"/>
      <c r="BK1514" s="209"/>
      <c r="BL1514" s="182"/>
      <c r="BM1514" s="210"/>
      <c r="BO1514" s="28" t="e">
        <f t="shared" si="153"/>
        <v>#DIV/0!</v>
      </c>
      <c r="BP1514" s="28">
        <f t="shared" si="154"/>
        <v>0</v>
      </c>
    </row>
    <row r="1515" spans="52:68" x14ac:dyDescent="0.25">
      <c r="AZ1515" s="471"/>
      <c r="BA1515" s="181"/>
      <c r="BB1515" s="182"/>
      <c r="BC1515" s="209"/>
      <c r="BD1515" s="182"/>
      <c r="BE1515" s="209"/>
      <c r="BF1515" s="182"/>
      <c r="BG1515" s="209"/>
      <c r="BH1515" s="182"/>
      <c r="BI1515" s="209"/>
      <c r="BJ1515" s="183"/>
      <c r="BK1515" s="209"/>
      <c r="BL1515" s="182"/>
      <c r="BM1515" s="210"/>
      <c r="BO1515" s="28" t="e">
        <f t="shared" si="153"/>
        <v>#DIV/0!</v>
      </c>
      <c r="BP1515" s="28">
        <f t="shared" si="154"/>
        <v>0</v>
      </c>
    </row>
    <row r="1516" spans="52:68" x14ac:dyDescent="0.25">
      <c r="AZ1516" s="471"/>
      <c r="BA1516" s="181"/>
      <c r="BB1516" s="182"/>
      <c r="BC1516" s="209"/>
      <c r="BD1516" s="182"/>
      <c r="BE1516" s="209"/>
      <c r="BF1516" s="182"/>
      <c r="BG1516" s="209"/>
      <c r="BH1516" s="182"/>
      <c r="BI1516" s="209"/>
      <c r="BJ1516" s="183"/>
      <c r="BK1516" s="209"/>
      <c r="BL1516" s="182"/>
      <c r="BM1516" s="210"/>
      <c r="BO1516" s="28" t="e">
        <f t="shared" si="153"/>
        <v>#DIV/0!</v>
      </c>
      <c r="BP1516" s="28">
        <f t="shared" si="154"/>
        <v>0</v>
      </c>
    </row>
    <row r="1517" spans="52:68" x14ac:dyDescent="0.25">
      <c r="AZ1517" s="471"/>
      <c r="BA1517" s="181"/>
      <c r="BB1517" s="182"/>
      <c r="BC1517" s="209"/>
      <c r="BD1517" s="182"/>
      <c r="BE1517" s="209"/>
      <c r="BF1517" s="182"/>
      <c r="BG1517" s="209"/>
      <c r="BH1517" s="182"/>
      <c r="BI1517" s="209"/>
      <c r="BJ1517" s="183"/>
      <c r="BK1517" s="209"/>
      <c r="BL1517" s="182"/>
      <c r="BM1517" s="210"/>
      <c r="BO1517" s="28" t="e">
        <f t="shared" si="153"/>
        <v>#DIV/0!</v>
      </c>
      <c r="BP1517" s="28">
        <f t="shared" si="154"/>
        <v>0</v>
      </c>
    </row>
    <row r="1518" spans="52:68" x14ac:dyDescent="0.25">
      <c r="AZ1518" s="471"/>
      <c r="BA1518" s="181"/>
      <c r="BB1518" s="182"/>
      <c r="BC1518" s="209"/>
      <c r="BD1518" s="182"/>
      <c r="BE1518" s="209"/>
      <c r="BF1518" s="182"/>
      <c r="BG1518" s="209"/>
      <c r="BH1518" s="182"/>
      <c r="BI1518" s="209"/>
      <c r="BJ1518" s="183"/>
      <c r="BK1518" s="209"/>
      <c r="BL1518" s="182"/>
      <c r="BM1518" s="210"/>
      <c r="BO1518" s="28" t="e">
        <f t="shared" si="153"/>
        <v>#DIV/0!</v>
      </c>
      <c r="BP1518" s="28">
        <f t="shared" si="154"/>
        <v>0</v>
      </c>
    </row>
    <row r="1519" spans="52:68" x14ac:dyDescent="0.25">
      <c r="AZ1519" s="471"/>
      <c r="BA1519" s="181"/>
      <c r="BB1519" s="182"/>
      <c r="BC1519" s="209"/>
      <c r="BD1519" s="182"/>
      <c r="BE1519" s="209"/>
      <c r="BF1519" s="182"/>
      <c r="BG1519" s="209"/>
      <c r="BH1519" s="182"/>
      <c r="BI1519" s="209"/>
      <c r="BJ1519" s="183"/>
      <c r="BK1519" s="209"/>
      <c r="BL1519" s="182"/>
      <c r="BM1519" s="210"/>
      <c r="BO1519" s="28" t="e">
        <f t="shared" si="153"/>
        <v>#DIV/0!</v>
      </c>
      <c r="BP1519" s="28">
        <f t="shared" si="154"/>
        <v>0</v>
      </c>
    </row>
    <row r="1520" spans="52:68" x14ac:dyDescent="0.25">
      <c r="AZ1520" s="471"/>
      <c r="BA1520" s="181"/>
      <c r="BB1520" s="182"/>
      <c r="BC1520" s="209"/>
      <c r="BD1520" s="182"/>
      <c r="BE1520" s="209"/>
      <c r="BF1520" s="182"/>
      <c r="BG1520" s="209"/>
      <c r="BH1520" s="182"/>
      <c r="BI1520" s="209"/>
      <c r="BJ1520" s="183"/>
      <c r="BK1520" s="209"/>
      <c r="BL1520" s="182"/>
      <c r="BM1520" s="210"/>
      <c r="BO1520" s="28" t="e">
        <f t="shared" si="153"/>
        <v>#DIV/0!</v>
      </c>
      <c r="BP1520" s="28">
        <f t="shared" si="154"/>
        <v>0</v>
      </c>
    </row>
    <row r="1521" spans="52:68" x14ac:dyDescent="0.25">
      <c r="AZ1521" s="471"/>
      <c r="BA1521" s="181"/>
      <c r="BB1521" s="182"/>
      <c r="BC1521" s="209"/>
      <c r="BD1521" s="182"/>
      <c r="BE1521" s="209"/>
      <c r="BF1521" s="182"/>
      <c r="BG1521" s="209"/>
      <c r="BH1521" s="182"/>
      <c r="BI1521" s="209"/>
      <c r="BJ1521" s="183"/>
      <c r="BK1521" s="209"/>
      <c r="BL1521" s="182"/>
      <c r="BM1521" s="210"/>
      <c r="BO1521" s="28" t="e">
        <f t="shared" si="153"/>
        <v>#DIV/0!</v>
      </c>
      <c r="BP1521" s="28">
        <f t="shared" si="154"/>
        <v>0</v>
      </c>
    </row>
    <row r="1522" spans="52:68" x14ac:dyDescent="0.25">
      <c r="AZ1522" s="471"/>
      <c r="BA1522" s="181"/>
      <c r="BB1522" s="182"/>
      <c r="BC1522" s="209"/>
      <c r="BD1522" s="182"/>
      <c r="BE1522" s="209"/>
      <c r="BF1522" s="182"/>
      <c r="BG1522" s="209"/>
      <c r="BH1522" s="182"/>
      <c r="BI1522" s="209"/>
      <c r="BJ1522" s="183"/>
      <c r="BK1522" s="209"/>
      <c r="BL1522" s="182"/>
      <c r="BM1522" s="210"/>
      <c r="BO1522" s="28" t="e">
        <f t="shared" si="153"/>
        <v>#DIV/0!</v>
      </c>
      <c r="BP1522" s="28">
        <f t="shared" si="154"/>
        <v>0</v>
      </c>
    </row>
    <row r="1523" spans="52:68" x14ac:dyDescent="0.25">
      <c r="AZ1523" s="471"/>
      <c r="BA1523" s="181"/>
      <c r="BB1523" s="182"/>
      <c r="BC1523" s="209"/>
      <c r="BD1523" s="182"/>
      <c r="BE1523" s="209"/>
      <c r="BF1523" s="182"/>
      <c r="BG1523" s="209"/>
      <c r="BH1523" s="182"/>
      <c r="BI1523" s="209"/>
      <c r="BJ1523" s="183"/>
      <c r="BK1523" s="209"/>
      <c r="BL1523" s="182"/>
      <c r="BM1523" s="210"/>
      <c r="BO1523" s="28" t="e">
        <f t="shared" si="153"/>
        <v>#DIV/0!</v>
      </c>
      <c r="BP1523" s="28">
        <f t="shared" si="154"/>
        <v>0</v>
      </c>
    </row>
    <row r="1524" spans="52:68" x14ac:dyDescent="0.25">
      <c r="AZ1524" s="471"/>
      <c r="BA1524" s="181"/>
      <c r="BB1524" s="182"/>
      <c r="BC1524" s="209"/>
      <c r="BD1524" s="182"/>
      <c r="BE1524" s="209"/>
      <c r="BF1524" s="182"/>
      <c r="BG1524" s="209"/>
      <c r="BH1524" s="182"/>
      <c r="BI1524" s="209"/>
      <c r="BJ1524" s="183"/>
      <c r="BK1524" s="209"/>
      <c r="BL1524" s="182"/>
      <c r="BM1524" s="210"/>
      <c r="BO1524" s="28" t="e">
        <f t="shared" si="153"/>
        <v>#DIV/0!</v>
      </c>
      <c r="BP1524" s="28">
        <f t="shared" si="154"/>
        <v>0</v>
      </c>
    </row>
    <row r="1525" spans="52:68" x14ac:dyDescent="0.25">
      <c r="AZ1525" s="471"/>
      <c r="BA1525" s="181"/>
      <c r="BB1525" s="182"/>
      <c r="BC1525" s="209"/>
      <c r="BD1525" s="182"/>
      <c r="BE1525" s="209"/>
      <c r="BF1525" s="182"/>
      <c r="BG1525" s="209"/>
      <c r="BH1525" s="182"/>
      <c r="BI1525" s="209"/>
      <c r="BJ1525" s="183"/>
      <c r="BK1525" s="209"/>
      <c r="BL1525" s="182"/>
      <c r="BM1525" s="210"/>
      <c r="BO1525" s="28" t="e">
        <f t="shared" si="153"/>
        <v>#DIV/0!</v>
      </c>
      <c r="BP1525" s="28">
        <f t="shared" si="154"/>
        <v>0</v>
      </c>
    </row>
    <row r="1526" spans="52:68" x14ac:dyDescent="0.25">
      <c r="AZ1526" s="471"/>
      <c r="BA1526" s="181"/>
      <c r="BB1526" s="182"/>
      <c r="BC1526" s="209"/>
      <c r="BD1526" s="182"/>
      <c r="BE1526" s="209"/>
      <c r="BF1526" s="182"/>
      <c r="BG1526" s="209"/>
      <c r="BH1526" s="182"/>
      <c r="BI1526" s="209"/>
      <c r="BJ1526" s="183"/>
      <c r="BK1526" s="209"/>
      <c r="BL1526" s="182"/>
      <c r="BM1526" s="210"/>
      <c r="BO1526" s="28" t="e">
        <f t="shared" si="153"/>
        <v>#DIV/0!</v>
      </c>
      <c r="BP1526" s="28">
        <f t="shared" si="154"/>
        <v>0</v>
      </c>
    </row>
    <row r="1527" spans="52:68" x14ac:dyDescent="0.25">
      <c r="AZ1527" s="471"/>
      <c r="BA1527" s="181"/>
      <c r="BB1527" s="182"/>
      <c r="BC1527" s="209"/>
      <c r="BD1527" s="182"/>
      <c r="BE1527" s="209"/>
      <c r="BF1527" s="182"/>
      <c r="BG1527" s="209"/>
      <c r="BH1527" s="182"/>
      <c r="BI1527" s="209"/>
      <c r="BJ1527" s="183"/>
      <c r="BK1527" s="209"/>
      <c r="BL1527" s="182"/>
      <c r="BM1527" s="210"/>
      <c r="BO1527" s="28" t="e">
        <f t="shared" si="153"/>
        <v>#DIV/0!</v>
      </c>
      <c r="BP1527" s="28">
        <f t="shared" si="154"/>
        <v>0</v>
      </c>
    </row>
    <row r="1528" spans="52:68" x14ac:dyDescent="0.25">
      <c r="AZ1528" s="471"/>
      <c r="BA1528" s="181"/>
      <c r="BB1528" s="182"/>
      <c r="BC1528" s="209"/>
      <c r="BD1528" s="182"/>
      <c r="BE1528" s="209"/>
      <c r="BF1528" s="182"/>
      <c r="BG1528" s="209"/>
      <c r="BH1528" s="182"/>
      <c r="BI1528" s="209"/>
      <c r="BJ1528" s="183"/>
      <c r="BK1528" s="209"/>
      <c r="BL1528" s="182"/>
      <c r="BM1528" s="210"/>
      <c r="BO1528" s="28" t="e">
        <f t="shared" si="153"/>
        <v>#DIV/0!</v>
      </c>
      <c r="BP1528" s="28">
        <f t="shared" si="154"/>
        <v>0</v>
      </c>
    </row>
    <row r="1529" spans="52:68" x14ac:dyDescent="0.25">
      <c r="AZ1529" s="471"/>
      <c r="BA1529" s="181"/>
      <c r="BB1529" s="182"/>
      <c r="BC1529" s="209"/>
      <c r="BD1529" s="182"/>
      <c r="BE1529" s="209"/>
      <c r="BF1529" s="182"/>
      <c r="BG1529" s="209"/>
      <c r="BH1529" s="182"/>
      <c r="BI1529" s="209"/>
      <c r="BJ1529" s="183"/>
      <c r="BK1529" s="209"/>
      <c r="BL1529" s="182"/>
      <c r="BM1529" s="210"/>
      <c r="BO1529" s="28" t="e">
        <f t="shared" si="153"/>
        <v>#DIV/0!</v>
      </c>
      <c r="BP1529" s="28">
        <f t="shared" si="154"/>
        <v>0</v>
      </c>
    </row>
    <row r="1530" spans="52:68" x14ac:dyDescent="0.25">
      <c r="AZ1530" s="471"/>
      <c r="BA1530" s="181"/>
      <c r="BB1530" s="182"/>
      <c r="BC1530" s="209"/>
      <c r="BD1530" s="182"/>
      <c r="BE1530" s="209"/>
      <c r="BF1530" s="182"/>
      <c r="BG1530" s="209"/>
      <c r="BH1530" s="182"/>
      <c r="BI1530" s="209"/>
      <c r="BJ1530" s="183"/>
      <c r="BK1530" s="209"/>
      <c r="BL1530" s="182"/>
      <c r="BM1530" s="210"/>
      <c r="BO1530" s="28" t="e">
        <f t="shared" si="153"/>
        <v>#DIV/0!</v>
      </c>
      <c r="BP1530" s="28">
        <f t="shared" si="154"/>
        <v>0</v>
      </c>
    </row>
    <row r="1531" spans="52:68" x14ac:dyDescent="0.25">
      <c r="AZ1531" s="471"/>
      <c r="BA1531" s="181"/>
      <c r="BB1531" s="182"/>
      <c r="BC1531" s="209"/>
      <c r="BD1531" s="182"/>
      <c r="BE1531" s="209"/>
      <c r="BF1531" s="182"/>
      <c r="BG1531" s="209"/>
      <c r="BH1531" s="182"/>
      <c r="BI1531" s="209"/>
      <c r="BJ1531" s="183"/>
      <c r="BK1531" s="209"/>
      <c r="BL1531" s="182"/>
      <c r="BM1531" s="210"/>
      <c r="BO1531" s="28" t="e">
        <f t="shared" si="153"/>
        <v>#DIV/0!</v>
      </c>
      <c r="BP1531" s="28">
        <f t="shared" si="154"/>
        <v>0</v>
      </c>
    </row>
    <row r="1532" spans="52:68" x14ac:dyDescent="0.25">
      <c r="AZ1532" s="471"/>
      <c r="BA1532" s="181"/>
      <c r="BB1532" s="182"/>
      <c r="BC1532" s="209"/>
      <c r="BD1532" s="182"/>
      <c r="BE1532" s="209"/>
      <c r="BF1532" s="182"/>
      <c r="BG1532" s="209"/>
      <c r="BH1532" s="182"/>
      <c r="BI1532" s="209"/>
      <c r="BJ1532" s="183"/>
      <c r="BK1532" s="209"/>
      <c r="BL1532" s="182"/>
      <c r="BM1532" s="210"/>
      <c r="BO1532" s="28" t="e">
        <f t="shared" si="153"/>
        <v>#DIV/0!</v>
      </c>
      <c r="BP1532" s="28">
        <f t="shared" si="154"/>
        <v>0</v>
      </c>
    </row>
    <row r="1533" spans="52:68" x14ac:dyDescent="0.25">
      <c r="AZ1533" s="471"/>
      <c r="BA1533" s="181"/>
      <c r="BB1533" s="182"/>
      <c r="BC1533" s="209"/>
      <c r="BD1533" s="182"/>
      <c r="BE1533" s="209"/>
      <c r="BF1533" s="182"/>
      <c r="BG1533" s="209"/>
      <c r="BH1533" s="182"/>
      <c r="BI1533" s="209"/>
      <c r="BJ1533" s="183"/>
      <c r="BK1533" s="209"/>
      <c r="BL1533" s="182"/>
      <c r="BM1533" s="210"/>
      <c r="BO1533" s="28" t="e">
        <f t="shared" si="153"/>
        <v>#DIV/0!</v>
      </c>
      <c r="BP1533" s="28">
        <f t="shared" si="154"/>
        <v>0</v>
      </c>
    </row>
    <row r="1534" spans="52:68" x14ac:dyDescent="0.25">
      <c r="AZ1534" s="471"/>
      <c r="BA1534" s="181"/>
      <c r="BB1534" s="182"/>
      <c r="BC1534" s="209"/>
      <c r="BD1534" s="182"/>
      <c r="BE1534" s="209"/>
      <c r="BF1534" s="182"/>
      <c r="BG1534" s="209"/>
      <c r="BH1534" s="182"/>
      <c r="BI1534" s="209"/>
      <c r="BJ1534" s="183"/>
      <c r="BK1534" s="209"/>
      <c r="BL1534" s="182"/>
      <c r="BM1534" s="210"/>
      <c r="BO1534" s="28" t="e">
        <f t="shared" si="153"/>
        <v>#DIV/0!</v>
      </c>
      <c r="BP1534" s="28">
        <f t="shared" si="154"/>
        <v>0</v>
      </c>
    </row>
    <row r="1535" spans="52:68" x14ac:dyDescent="0.25">
      <c r="AZ1535" s="471"/>
      <c r="BA1535" s="181"/>
      <c r="BB1535" s="182"/>
      <c r="BC1535" s="209"/>
      <c r="BD1535" s="182"/>
      <c r="BE1535" s="209"/>
      <c r="BF1535" s="182"/>
      <c r="BG1535" s="209"/>
      <c r="BH1535" s="182"/>
      <c r="BI1535" s="209"/>
      <c r="BJ1535" s="183"/>
      <c r="BK1535" s="209"/>
      <c r="BL1535" s="182"/>
      <c r="BM1535" s="210"/>
      <c r="BO1535" s="28" t="e">
        <f t="shared" si="153"/>
        <v>#DIV/0!</v>
      </c>
      <c r="BP1535" s="28">
        <f t="shared" si="154"/>
        <v>0</v>
      </c>
    </row>
    <row r="1536" spans="52:68" x14ac:dyDescent="0.25">
      <c r="AZ1536" s="471"/>
      <c r="BA1536" s="181"/>
      <c r="BB1536" s="182"/>
      <c r="BC1536" s="209"/>
      <c r="BD1536" s="182"/>
      <c r="BE1536" s="209"/>
      <c r="BF1536" s="182"/>
      <c r="BG1536" s="209"/>
      <c r="BH1536" s="182"/>
      <c r="BI1536" s="209"/>
      <c r="BJ1536" s="183"/>
      <c r="BK1536" s="209"/>
      <c r="BL1536" s="182"/>
      <c r="BM1536" s="210"/>
      <c r="BO1536" s="28" t="e">
        <f t="shared" si="153"/>
        <v>#DIV/0!</v>
      </c>
      <c r="BP1536" s="28">
        <f t="shared" si="154"/>
        <v>0</v>
      </c>
    </row>
    <row r="1537" spans="52:68" x14ac:dyDescent="0.25">
      <c r="AZ1537" s="471"/>
      <c r="BA1537" s="181"/>
      <c r="BB1537" s="182"/>
      <c r="BC1537" s="209"/>
      <c r="BD1537" s="182"/>
      <c r="BE1537" s="209"/>
      <c r="BF1537" s="182"/>
      <c r="BG1537" s="209"/>
      <c r="BH1537" s="182"/>
      <c r="BI1537" s="209"/>
      <c r="BJ1537" s="183"/>
      <c r="BK1537" s="209"/>
      <c r="BL1537" s="182"/>
      <c r="BM1537" s="210"/>
      <c r="BO1537" s="28" t="e">
        <f t="shared" si="153"/>
        <v>#DIV/0!</v>
      </c>
      <c r="BP1537" s="28">
        <f t="shared" si="154"/>
        <v>0</v>
      </c>
    </row>
    <row r="1538" spans="52:68" x14ac:dyDescent="0.25">
      <c r="AZ1538" s="471"/>
      <c r="BA1538" s="181"/>
      <c r="BB1538" s="182"/>
      <c r="BC1538" s="209"/>
      <c r="BD1538" s="182"/>
      <c r="BE1538" s="209"/>
      <c r="BF1538" s="182"/>
      <c r="BG1538" s="209"/>
      <c r="BH1538" s="182"/>
      <c r="BI1538" s="209"/>
      <c r="BJ1538" s="183"/>
      <c r="BK1538" s="209"/>
      <c r="BL1538" s="182"/>
      <c r="BM1538" s="210"/>
      <c r="BO1538" s="28" t="e">
        <f t="shared" si="153"/>
        <v>#DIV/0!</v>
      </c>
      <c r="BP1538" s="28">
        <f t="shared" si="154"/>
        <v>0</v>
      </c>
    </row>
    <row r="1539" spans="52:68" x14ac:dyDescent="0.25">
      <c r="AZ1539" s="471"/>
      <c r="BA1539" s="181"/>
      <c r="BB1539" s="182"/>
      <c r="BC1539" s="209"/>
      <c r="BD1539" s="182"/>
      <c r="BE1539" s="209"/>
      <c r="BF1539" s="182"/>
      <c r="BG1539" s="209"/>
      <c r="BH1539" s="182"/>
      <c r="BI1539" s="209"/>
      <c r="BJ1539" s="183"/>
      <c r="BK1539" s="209"/>
      <c r="BL1539" s="182"/>
      <c r="BM1539" s="210"/>
      <c r="BO1539" s="28" t="e">
        <f t="shared" si="153"/>
        <v>#DIV/0!</v>
      </c>
      <c r="BP1539" s="28">
        <f t="shared" si="154"/>
        <v>0</v>
      </c>
    </row>
    <row r="1540" spans="52:68" x14ac:dyDescent="0.25">
      <c r="AZ1540" s="471"/>
      <c r="BA1540" s="181"/>
      <c r="BB1540" s="182"/>
      <c r="BC1540" s="209"/>
      <c r="BD1540" s="182"/>
      <c r="BE1540" s="209"/>
      <c r="BF1540" s="182"/>
      <c r="BG1540" s="209"/>
      <c r="BH1540" s="182"/>
      <c r="BI1540" s="209"/>
      <c r="BJ1540" s="183"/>
      <c r="BK1540" s="209"/>
      <c r="BL1540" s="182"/>
      <c r="BM1540" s="210"/>
      <c r="BO1540" s="28" t="e">
        <f t="shared" si="153"/>
        <v>#DIV/0!</v>
      </c>
      <c r="BP1540" s="28">
        <f t="shared" si="154"/>
        <v>0</v>
      </c>
    </row>
    <row r="1541" spans="52:68" x14ac:dyDescent="0.25">
      <c r="AZ1541" s="471"/>
      <c r="BA1541" s="181"/>
      <c r="BB1541" s="182"/>
      <c r="BC1541" s="209"/>
      <c r="BD1541" s="182"/>
      <c r="BE1541" s="209"/>
      <c r="BF1541" s="182"/>
      <c r="BG1541" s="209"/>
      <c r="BH1541" s="182"/>
      <c r="BI1541" s="209"/>
      <c r="BJ1541" s="183"/>
      <c r="BK1541" s="209"/>
      <c r="BL1541" s="182"/>
      <c r="BM1541" s="210"/>
      <c r="BO1541" s="28" t="e">
        <f t="shared" si="153"/>
        <v>#DIV/0!</v>
      </c>
      <c r="BP1541" s="28">
        <f t="shared" si="154"/>
        <v>0</v>
      </c>
    </row>
    <row r="1542" spans="52:68" x14ac:dyDescent="0.25">
      <c r="AZ1542" s="471"/>
      <c r="BA1542" s="181"/>
      <c r="BB1542" s="182"/>
      <c r="BC1542" s="209"/>
      <c r="BD1542" s="182"/>
      <c r="BE1542" s="209"/>
      <c r="BF1542" s="182"/>
      <c r="BG1542" s="209"/>
      <c r="BH1542" s="182"/>
      <c r="BI1542" s="209"/>
      <c r="BJ1542" s="183"/>
      <c r="BK1542" s="209"/>
      <c r="BL1542" s="182"/>
      <c r="BM1542" s="210"/>
      <c r="BO1542" s="28" t="e">
        <f t="shared" si="153"/>
        <v>#DIV/0!</v>
      </c>
      <c r="BP1542" s="28">
        <f t="shared" si="154"/>
        <v>0</v>
      </c>
    </row>
    <row r="1543" spans="52:68" x14ac:dyDescent="0.25">
      <c r="AZ1543" s="471"/>
      <c r="BA1543" s="181"/>
      <c r="BB1543" s="182"/>
      <c r="BC1543" s="209"/>
      <c r="BD1543" s="182"/>
      <c r="BE1543" s="209"/>
      <c r="BF1543" s="182"/>
      <c r="BG1543" s="209"/>
      <c r="BH1543" s="182"/>
      <c r="BI1543" s="209"/>
      <c r="BJ1543" s="183"/>
      <c r="BK1543" s="209"/>
      <c r="BL1543" s="182"/>
      <c r="BM1543" s="210"/>
      <c r="BO1543" s="28" t="e">
        <f t="shared" si="153"/>
        <v>#DIV/0!</v>
      </c>
      <c r="BP1543" s="28">
        <f t="shared" si="154"/>
        <v>0</v>
      </c>
    </row>
    <row r="1544" spans="52:68" x14ac:dyDescent="0.25">
      <c r="AZ1544" s="471"/>
      <c r="BA1544" s="181"/>
      <c r="BB1544" s="182"/>
      <c r="BC1544" s="209"/>
      <c r="BD1544" s="182"/>
      <c r="BE1544" s="209"/>
      <c r="BF1544" s="182"/>
      <c r="BG1544" s="209"/>
      <c r="BH1544" s="182"/>
      <c r="BI1544" s="209"/>
      <c r="BJ1544" s="183"/>
      <c r="BK1544" s="209"/>
      <c r="BL1544" s="182"/>
      <c r="BM1544" s="210"/>
      <c r="BO1544" s="28" t="e">
        <f t="shared" si="153"/>
        <v>#DIV/0!</v>
      </c>
      <c r="BP1544" s="28">
        <f t="shared" si="154"/>
        <v>0</v>
      </c>
    </row>
    <row r="1545" spans="52:68" x14ac:dyDescent="0.25">
      <c r="AZ1545" s="471"/>
      <c r="BA1545" s="181"/>
      <c r="BB1545" s="182"/>
      <c r="BC1545" s="209"/>
      <c r="BD1545" s="182"/>
      <c r="BE1545" s="209"/>
      <c r="BF1545" s="182"/>
      <c r="BG1545" s="209"/>
      <c r="BH1545" s="182"/>
      <c r="BI1545" s="209"/>
      <c r="BJ1545" s="183"/>
      <c r="BK1545" s="209"/>
      <c r="BL1545" s="182"/>
      <c r="BM1545" s="210"/>
      <c r="BO1545" s="28" t="e">
        <f t="shared" ref="BO1545:BO1608" si="155">AVERAGE(BB1545:BM1545)</f>
        <v>#DIV/0!</v>
      </c>
      <c r="BP1545" s="28">
        <f t="shared" ref="BP1545:BP1608" si="156">SUM(BB1545:BM1545)</f>
        <v>0</v>
      </c>
    </row>
    <row r="1546" spans="52:68" x14ac:dyDescent="0.25">
      <c r="AZ1546" s="471"/>
      <c r="BA1546" s="181"/>
      <c r="BB1546" s="182"/>
      <c r="BC1546" s="209"/>
      <c r="BD1546" s="182"/>
      <c r="BE1546" s="209"/>
      <c r="BF1546" s="182"/>
      <c r="BG1546" s="209"/>
      <c r="BH1546" s="182"/>
      <c r="BI1546" s="209"/>
      <c r="BJ1546" s="183"/>
      <c r="BK1546" s="209"/>
      <c r="BL1546" s="182"/>
      <c r="BM1546" s="210"/>
      <c r="BO1546" s="28" t="e">
        <f t="shared" si="155"/>
        <v>#DIV/0!</v>
      </c>
      <c r="BP1546" s="28">
        <f t="shared" si="156"/>
        <v>0</v>
      </c>
    </row>
    <row r="1547" spans="52:68" x14ac:dyDescent="0.25">
      <c r="AZ1547" s="471"/>
      <c r="BA1547" s="181"/>
      <c r="BB1547" s="182"/>
      <c r="BC1547" s="209"/>
      <c r="BD1547" s="182"/>
      <c r="BE1547" s="209"/>
      <c r="BF1547" s="182"/>
      <c r="BG1547" s="209"/>
      <c r="BH1547" s="182"/>
      <c r="BI1547" s="209"/>
      <c r="BJ1547" s="183"/>
      <c r="BK1547" s="209"/>
      <c r="BL1547" s="182"/>
      <c r="BM1547" s="210"/>
      <c r="BO1547" s="28" t="e">
        <f t="shared" si="155"/>
        <v>#DIV/0!</v>
      </c>
      <c r="BP1547" s="28">
        <f t="shared" si="156"/>
        <v>0</v>
      </c>
    </row>
    <row r="1548" spans="52:68" x14ac:dyDescent="0.25">
      <c r="AZ1548" s="471"/>
      <c r="BA1548" s="181"/>
      <c r="BB1548" s="182"/>
      <c r="BC1548" s="209"/>
      <c r="BD1548" s="182"/>
      <c r="BE1548" s="209"/>
      <c r="BF1548" s="182"/>
      <c r="BG1548" s="209"/>
      <c r="BH1548" s="182"/>
      <c r="BI1548" s="209"/>
      <c r="BJ1548" s="183"/>
      <c r="BK1548" s="209"/>
      <c r="BL1548" s="182"/>
      <c r="BM1548" s="210"/>
      <c r="BO1548" s="28" t="e">
        <f t="shared" si="155"/>
        <v>#DIV/0!</v>
      </c>
      <c r="BP1548" s="28">
        <f t="shared" si="156"/>
        <v>0</v>
      </c>
    </row>
    <row r="1549" spans="52:68" x14ac:dyDescent="0.25">
      <c r="AZ1549" s="471"/>
      <c r="BA1549" s="181"/>
      <c r="BB1549" s="182"/>
      <c r="BC1549" s="209"/>
      <c r="BD1549" s="182"/>
      <c r="BE1549" s="209"/>
      <c r="BF1549" s="182"/>
      <c r="BG1549" s="209"/>
      <c r="BH1549" s="182"/>
      <c r="BI1549" s="209"/>
      <c r="BJ1549" s="183"/>
      <c r="BK1549" s="209"/>
      <c r="BL1549" s="182"/>
      <c r="BM1549" s="210"/>
      <c r="BO1549" s="28" t="e">
        <f t="shared" si="155"/>
        <v>#DIV/0!</v>
      </c>
      <c r="BP1549" s="28">
        <f t="shared" si="156"/>
        <v>0</v>
      </c>
    </row>
    <row r="1550" spans="52:68" x14ac:dyDescent="0.25">
      <c r="AZ1550" s="471"/>
      <c r="BA1550" s="181"/>
      <c r="BB1550" s="182"/>
      <c r="BC1550" s="209"/>
      <c r="BD1550" s="182"/>
      <c r="BE1550" s="209"/>
      <c r="BF1550" s="182"/>
      <c r="BG1550" s="209"/>
      <c r="BH1550" s="182"/>
      <c r="BI1550" s="209"/>
      <c r="BJ1550" s="183"/>
      <c r="BK1550" s="209"/>
      <c r="BL1550" s="182"/>
      <c r="BM1550" s="210"/>
      <c r="BO1550" s="28" t="e">
        <f t="shared" si="155"/>
        <v>#DIV/0!</v>
      </c>
      <c r="BP1550" s="28">
        <f t="shared" si="156"/>
        <v>0</v>
      </c>
    </row>
    <row r="1551" spans="52:68" x14ac:dyDescent="0.25">
      <c r="AZ1551" s="471"/>
      <c r="BA1551" s="181"/>
      <c r="BB1551" s="182"/>
      <c r="BC1551" s="209"/>
      <c r="BD1551" s="182"/>
      <c r="BE1551" s="209"/>
      <c r="BF1551" s="182"/>
      <c r="BG1551" s="209"/>
      <c r="BH1551" s="182"/>
      <c r="BI1551" s="209"/>
      <c r="BJ1551" s="183"/>
      <c r="BK1551" s="209"/>
      <c r="BL1551" s="182"/>
      <c r="BM1551" s="210"/>
      <c r="BO1551" s="28" t="e">
        <f t="shared" si="155"/>
        <v>#DIV/0!</v>
      </c>
      <c r="BP1551" s="28">
        <f t="shared" si="156"/>
        <v>0</v>
      </c>
    </row>
    <row r="1552" spans="52:68" x14ac:dyDescent="0.25">
      <c r="AZ1552" s="471"/>
      <c r="BA1552" s="181"/>
      <c r="BB1552" s="182"/>
      <c r="BC1552" s="209"/>
      <c r="BD1552" s="182"/>
      <c r="BE1552" s="209"/>
      <c r="BF1552" s="182"/>
      <c r="BG1552" s="209"/>
      <c r="BH1552" s="182"/>
      <c r="BI1552" s="209"/>
      <c r="BJ1552" s="183"/>
      <c r="BK1552" s="209"/>
      <c r="BL1552" s="182"/>
      <c r="BM1552" s="210"/>
      <c r="BO1552" s="28" t="e">
        <f t="shared" si="155"/>
        <v>#DIV/0!</v>
      </c>
      <c r="BP1552" s="28">
        <f t="shared" si="156"/>
        <v>0</v>
      </c>
    </row>
    <row r="1553" spans="52:68" x14ac:dyDescent="0.25">
      <c r="AZ1553" s="471"/>
      <c r="BA1553" s="181"/>
      <c r="BB1553" s="182"/>
      <c r="BC1553" s="209"/>
      <c r="BD1553" s="182"/>
      <c r="BE1553" s="209"/>
      <c r="BF1553" s="182"/>
      <c r="BG1553" s="209"/>
      <c r="BH1553" s="182"/>
      <c r="BI1553" s="209"/>
      <c r="BJ1553" s="183"/>
      <c r="BK1553" s="209"/>
      <c r="BL1553" s="182"/>
      <c r="BM1553" s="210"/>
      <c r="BO1553" s="28" t="e">
        <f t="shared" si="155"/>
        <v>#DIV/0!</v>
      </c>
      <c r="BP1553" s="28">
        <f t="shared" si="156"/>
        <v>0</v>
      </c>
    </row>
    <row r="1554" spans="52:68" x14ac:dyDescent="0.25">
      <c r="AZ1554" s="471"/>
      <c r="BA1554" s="181"/>
      <c r="BB1554" s="182"/>
      <c r="BC1554" s="209"/>
      <c r="BD1554" s="182"/>
      <c r="BE1554" s="209"/>
      <c r="BF1554" s="182"/>
      <c r="BG1554" s="209"/>
      <c r="BH1554" s="182"/>
      <c r="BI1554" s="209"/>
      <c r="BJ1554" s="183"/>
      <c r="BK1554" s="209"/>
      <c r="BL1554" s="182"/>
      <c r="BM1554" s="210"/>
      <c r="BO1554" s="28" t="e">
        <f t="shared" si="155"/>
        <v>#DIV/0!</v>
      </c>
      <c r="BP1554" s="28">
        <f t="shared" si="156"/>
        <v>0</v>
      </c>
    </row>
    <row r="1555" spans="52:68" x14ac:dyDescent="0.25">
      <c r="AZ1555" s="471"/>
      <c r="BA1555" s="181"/>
      <c r="BB1555" s="182"/>
      <c r="BC1555" s="209"/>
      <c r="BD1555" s="182"/>
      <c r="BE1555" s="209"/>
      <c r="BF1555" s="182"/>
      <c r="BG1555" s="209"/>
      <c r="BH1555" s="182"/>
      <c r="BI1555" s="209"/>
      <c r="BJ1555" s="183"/>
      <c r="BK1555" s="209"/>
      <c r="BL1555" s="182"/>
      <c r="BM1555" s="210"/>
      <c r="BO1555" s="28" t="e">
        <f t="shared" si="155"/>
        <v>#DIV/0!</v>
      </c>
      <c r="BP1555" s="28">
        <f t="shared" si="156"/>
        <v>0</v>
      </c>
    </row>
    <row r="1556" spans="52:68" x14ac:dyDescent="0.25">
      <c r="AZ1556" s="471"/>
      <c r="BA1556" s="181"/>
      <c r="BB1556" s="182"/>
      <c r="BC1556" s="209"/>
      <c r="BD1556" s="182"/>
      <c r="BE1556" s="209"/>
      <c r="BF1556" s="182"/>
      <c r="BG1556" s="209"/>
      <c r="BH1556" s="182"/>
      <c r="BI1556" s="209"/>
      <c r="BJ1556" s="183"/>
      <c r="BK1556" s="209"/>
      <c r="BL1556" s="182"/>
      <c r="BM1556" s="210"/>
      <c r="BO1556" s="28" t="e">
        <f t="shared" si="155"/>
        <v>#DIV/0!</v>
      </c>
      <c r="BP1556" s="28">
        <f t="shared" si="156"/>
        <v>0</v>
      </c>
    </row>
    <row r="1557" spans="52:68" x14ac:dyDescent="0.25">
      <c r="AZ1557" s="471"/>
      <c r="BA1557" s="181"/>
      <c r="BB1557" s="182"/>
      <c r="BC1557" s="209"/>
      <c r="BD1557" s="182"/>
      <c r="BE1557" s="209"/>
      <c r="BF1557" s="182"/>
      <c r="BG1557" s="209"/>
      <c r="BH1557" s="182"/>
      <c r="BI1557" s="209"/>
      <c r="BJ1557" s="183"/>
      <c r="BK1557" s="209"/>
      <c r="BL1557" s="182"/>
      <c r="BM1557" s="210"/>
      <c r="BO1557" s="28" t="e">
        <f t="shared" si="155"/>
        <v>#DIV/0!</v>
      </c>
      <c r="BP1557" s="28">
        <f t="shared" si="156"/>
        <v>0</v>
      </c>
    </row>
    <row r="1558" spans="52:68" x14ac:dyDescent="0.25">
      <c r="AZ1558" s="471"/>
      <c r="BA1558" s="181"/>
      <c r="BB1558" s="182"/>
      <c r="BC1558" s="209"/>
      <c r="BD1558" s="182"/>
      <c r="BE1558" s="209"/>
      <c r="BF1558" s="182"/>
      <c r="BG1558" s="209"/>
      <c r="BH1558" s="182"/>
      <c r="BI1558" s="209"/>
      <c r="BJ1558" s="183"/>
      <c r="BK1558" s="209"/>
      <c r="BL1558" s="182"/>
      <c r="BM1558" s="210"/>
      <c r="BO1558" s="28" t="e">
        <f t="shared" si="155"/>
        <v>#DIV/0!</v>
      </c>
      <c r="BP1558" s="28">
        <f t="shared" si="156"/>
        <v>0</v>
      </c>
    </row>
    <row r="1559" spans="52:68" x14ac:dyDescent="0.25">
      <c r="AZ1559" s="471"/>
      <c r="BA1559" s="181"/>
      <c r="BB1559" s="182"/>
      <c r="BC1559" s="209"/>
      <c r="BD1559" s="182"/>
      <c r="BE1559" s="209"/>
      <c r="BF1559" s="182"/>
      <c r="BG1559" s="209"/>
      <c r="BH1559" s="182"/>
      <c r="BI1559" s="209"/>
      <c r="BJ1559" s="183"/>
      <c r="BK1559" s="209"/>
      <c r="BL1559" s="182"/>
      <c r="BM1559" s="210"/>
      <c r="BO1559" s="28" t="e">
        <f t="shared" si="155"/>
        <v>#DIV/0!</v>
      </c>
      <c r="BP1559" s="28">
        <f t="shared" si="156"/>
        <v>0</v>
      </c>
    </row>
    <row r="1560" spans="52:68" x14ac:dyDescent="0.25">
      <c r="AZ1560" s="471"/>
      <c r="BA1560" s="181"/>
      <c r="BB1560" s="182"/>
      <c r="BC1560" s="209"/>
      <c r="BD1560" s="182"/>
      <c r="BE1560" s="209"/>
      <c r="BF1560" s="182"/>
      <c r="BG1560" s="209"/>
      <c r="BH1560" s="182"/>
      <c r="BI1560" s="209"/>
      <c r="BJ1560" s="183"/>
      <c r="BK1560" s="209"/>
      <c r="BL1560" s="182"/>
      <c r="BM1560" s="210"/>
      <c r="BO1560" s="28" t="e">
        <f t="shared" si="155"/>
        <v>#DIV/0!</v>
      </c>
      <c r="BP1560" s="28">
        <f t="shared" si="156"/>
        <v>0</v>
      </c>
    </row>
    <row r="1561" spans="52:68" x14ac:dyDescent="0.25">
      <c r="AZ1561" s="471"/>
      <c r="BA1561" s="181"/>
      <c r="BB1561" s="182"/>
      <c r="BC1561" s="209"/>
      <c r="BD1561" s="182"/>
      <c r="BE1561" s="209"/>
      <c r="BF1561" s="182"/>
      <c r="BG1561" s="209"/>
      <c r="BH1561" s="182"/>
      <c r="BI1561" s="209"/>
      <c r="BJ1561" s="183"/>
      <c r="BK1561" s="209"/>
      <c r="BL1561" s="182"/>
      <c r="BM1561" s="210"/>
      <c r="BO1561" s="28" t="e">
        <f t="shared" si="155"/>
        <v>#DIV/0!</v>
      </c>
      <c r="BP1561" s="28">
        <f t="shared" si="156"/>
        <v>0</v>
      </c>
    </row>
    <row r="1562" spans="52:68" x14ac:dyDescent="0.25">
      <c r="AZ1562" s="471"/>
      <c r="BA1562" s="181"/>
      <c r="BB1562" s="182"/>
      <c r="BC1562" s="209"/>
      <c r="BD1562" s="182"/>
      <c r="BE1562" s="209"/>
      <c r="BF1562" s="182"/>
      <c r="BG1562" s="209"/>
      <c r="BH1562" s="182"/>
      <c r="BI1562" s="209"/>
      <c r="BJ1562" s="183"/>
      <c r="BK1562" s="209"/>
      <c r="BL1562" s="182"/>
      <c r="BM1562" s="210"/>
      <c r="BO1562" s="28" t="e">
        <f t="shared" si="155"/>
        <v>#DIV/0!</v>
      </c>
      <c r="BP1562" s="28">
        <f t="shared" si="156"/>
        <v>0</v>
      </c>
    </row>
    <row r="1563" spans="52:68" x14ac:dyDescent="0.25">
      <c r="AZ1563" s="471"/>
      <c r="BA1563" s="181"/>
      <c r="BB1563" s="182"/>
      <c r="BC1563" s="209"/>
      <c r="BD1563" s="182"/>
      <c r="BE1563" s="209"/>
      <c r="BF1563" s="182"/>
      <c r="BG1563" s="209"/>
      <c r="BH1563" s="182"/>
      <c r="BI1563" s="209"/>
      <c r="BJ1563" s="183"/>
      <c r="BK1563" s="209"/>
      <c r="BL1563" s="182"/>
      <c r="BM1563" s="210"/>
      <c r="BO1563" s="28" t="e">
        <f t="shared" si="155"/>
        <v>#DIV/0!</v>
      </c>
      <c r="BP1563" s="28">
        <f t="shared" si="156"/>
        <v>0</v>
      </c>
    </row>
    <row r="1564" spans="52:68" x14ac:dyDescent="0.25">
      <c r="AZ1564" s="471"/>
      <c r="BA1564" s="181"/>
      <c r="BB1564" s="182"/>
      <c r="BC1564" s="209"/>
      <c r="BD1564" s="182"/>
      <c r="BE1564" s="209"/>
      <c r="BF1564" s="182"/>
      <c r="BG1564" s="209"/>
      <c r="BH1564" s="182"/>
      <c r="BI1564" s="209"/>
      <c r="BJ1564" s="183"/>
      <c r="BK1564" s="209"/>
      <c r="BL1564" s="182"/>
      <c r="BM1564" s="210"/>
      <c r="BO1564" s="28" t="e">
        <f t="shared" si="155"/>
        <v>#DIV/0!</v>
      </c>
      <c r="BP1564" s="28">
        <f t="shared" si="156"/>
        <v>0</v>
      </c>
    </row>
    <row r="1565" spans="52:68" x14ac:dyDescent="0.25">
      <c r="AZ1565" s="471"/>
      <c r="BA1565" s="181"/>
      <c r="BB1565" s="182"/>
      <c r="BC1565" s="209"/>
      <c r="BD1565" s="182"/>
      <c r="BE1565" s="209"/>
      <c r="BF1565" s="182"/>
      <c r="BG1565" s="209"/>
      <c r="BH1565" s="182"/>
      <c r="BI1565" s="209"/>
      <c r="BJ1565" s="183"/>
      <c r="BK1565" s="209"/>
      <c r="BL1565" s="182"/>
      <c r="BM1565" s="210"/>
      <c r="BO1565" s="28" t="e">
        <f t="shared" si="155"/>
        <v>#DIV/0!</v>
      </c>
      <c r="BP1565" s="28">
        <f t="shared" si="156"/>
        <v>0</v>
      </c>
    </row>
    <row r="1566" spans="52:68" x14ac:dyDescent="0.25">
      <c r="AZ1566" s="471"/>
      <c r="BA1566" s="181"/>
      <c r="BB1566" s="182"/>
      <c r="BC1566" s="209"/>
      <c r="BD1566" s="182"/>
      <c r="BE1566" s="209"/>
      <c r="BF1566" s="182"/>
      <c r="BG1566" s="209"/>
      <c r="BH1566" s="182"/>
      <c r="BI1566" s="209"/>
      <c r="BJ1566" s="183"/>
      <c r="BK1566" s="209"/>
      <c r="BL1566" s="182"/>
      <c r="BM1566" s="210"/>
      <c r="BO1566" s="28" t="e">
        <f t="shared" si="155"/>
        <v>#DIV/0!</v>
      </c>
      <c r="BP1566" s="28">
        <f t="shared" si="156"/>
        <v>0</v>
      </c>
    </row>
    <row r="1567" spans="52:68" x14ac:dyDescent="0.25">
      <c r="AZ1567" s="471"/>
      <c r="BA1567" s="181"/>
      <c r="BB1567" s="182"/>
      <c r="BC1567" s="209"/>
      <c r="BD1567" s="182"/>
      <c r="BE1567" s="209"/>
      <c r="BF1567" s="182"/>
      <c r="BG1567" s="209"/>
      <c r="BH1567" s="182"/>
      <c r="BI1567" s="209"/>
      <c r="BJ1567" s="183"/>
      <c r="BK1567" s="209"/>
      <c r="BL1567" s="182"/>
      <c r="BM1567" s="210"/>
      <c r="BO1567" s="28" t="e">
        <f t="shared" si="155"/>
        <v>#DIV/0!</v>
      </c>
      <c r="BP1567" s="28">
        <f t="shared" si="156"/>
        <v>0</v>
      </c>
    </row>
    <row r="1568" spans="52:68" x14ac:dyDescent="0.25">
      <c r="AZ1568" s="471"/>
      <c r="BA1568" s="181"/>
      <c r="BB1568" s="182"/>
      <c r="BC1568" s="209"/>
      <c r="BD1568" s="182"/>
      <c r="BE1568" s="209"/>
      <c r="BF1568" s="182"/>
      <c r="BG1568" s="209"/>
      <c r="BH1568" s="182"/>
      <c r="BI1568" s="209"/>
      <c r="BJ1568" s="183"/>
      <c r="BK1568" s="209"/>
      <c r="BL1568" s="182"/>
      <c r="BM1568" s="210"/>
      <c r="BO1568" s="28" t="e">
        <f t="shared" si="155"/>
        <v>#DIV/0!</v>
      </c>
      <c r="BP1568" s="28">
        <f t="shared" si="156"/>
        <v>0</v>
      </c>
    </row>
    <row r="1569" spans="52:68" x14ac:dyDescent="0.25">
      <c r="AZ1569" s="471"/>
      <c r="BA1569" s="181"/>
      <c r="BB1569" s="182"/>
      <c r="BC1569" s="209"/>
      <c r="BD1569" s="182"/>
      <c r="BE1569" s="209"/>
      <c r="BF1569" s="182"/>
      <c r="BG1569" s="209"/>
      <c r="BH1569" s="182"/>
      <c r="BI1569" s="209"/>
      <c r="BJ1569" s="183"/>
      <c r="BK1569" s="209"/>
      <c r="BL1569" s="182"/>
      <c r="BM1569" s="210"/>
      <c r="BO1569" s="28" t="e">
        <f t="shared" si="155"/>
        <v>#DIV/0!</v>
      </c>
      <c r="BP1569" s="28">
        <f t="shared" si="156"/>
        <v>0</v>
      </c>
    </row>
    <row r="1570" spans="52:68" x14ac:dyDescent="0.25">
      <c r="AZ1570" s="471"/>
      <c r="BA1570" s="181"/>
      <c r="BB1570" s="182"/>
      <c r="BC1570" s="209"/>
      <c r="BD1570" s="182"/>
      <c r="BE1570" s="209"/>
      <c r="BF1570" s="182"/>
      <c r="BG1570" s="209"/>
      <c r="BH1570" s="182"/>
      <c r="BI1570" s="209"/>
      <c r="BJ1570" s="183"/>
      <c r="BK1570" s="209"/>
      <c r="BL1570" s="182"/>
      <c r="BM1570" s="210"/>
      <c r="BO1570" s="28" t="e">
        <f t="shared" si="155"/>
        <v>#DIV/0!</v>
      </c>
      <c r="BP1570" s="28">
        <f t="shared" si="156"/>
        <v>0</v>
      </c>
    </row>
    <row r="1571" spans="52:68" x14ac:dyDescent="0.25">
      <c r="AZ1571" s="471"/>
      <c r="BA1571" s="181"/>
      <c r="BB1571" s="182"/>
      <c r="BC1571" s="209"/>
      <c r="BD1571" s="182"/>
      <c r="BE1571" s="209"/>
      <c r="BF1571" s="182"/>
      <c r="BG1571" s="209"/>
      <c r="BH1571" s="182"/>
      <c r="BI1571" s="209"/>
      <c r="BJ1571" s="183"/>
      <c r="BK1571" s="209"/>
      <c r="BL1571" s="182"/>
      <c r="BM1571" s="210"/>
      <c r="BO1571" s="28" t="e">
        <f t="shared" si="155"/>
        <v>#DIV/0!</v>
      </c>
      <c r="BP1571" s="28">
        <f t="shared" si="156"/>
        <v>0</v>
      </c>
    </row>
    <row r="1572" spans="52:68" x14ac:dyDescent="0.25">
      <c r="AZ1572" s="471"/>
      <c r="BA1572" s="181"/>
      <c r="BB1572" s="182"/>
      <c r="BC1572" s="209"/>
      <c r="BD1572" s="182"/>
      <c r="BE1572" s="209"/>
      <c r="BF1572" s="182"/>
      <c r="BG1572" s="209"/>
      <c r="BH1572" s="182"/>
      <c r="BI1572" s="209"/>
      <c r="BJ1572" s="183"/>
      <c r="BK1572" s="209"/>
      <c r="BL1572" s="182"/>
      <c r="BM1572" s="210"/>
      <c r="BO1572" s="28" t="e">
        <f t="shared" si="155"/>
        <v>#DIV/0!</v>
      </c>
      <c r="BP1572" s="28">
        <f t="shared" si="156"/>
        <v>0</v>
      </c>
    </row>
    <row r="1573" spans="52:68" x14ac:dyDescent="0.25">
      <c r="AZ1573" s="471"/>
      <c r="BA1573" s="181"/>
      <c r="BB1573" s="182"/>
      <c r="BC1573" s="209"/>
      <c r="BD1573" s="182"/>
      <c r="BE1573" s="209"/>
      <c r="BF1573" s="182"/>
      <c r="BG1573" s="209"/>
      <c r="BH1573" s="182"/>
      <c r="BI1573" s="209"/>
      <c r="BJ1573" s="183"/>
      <c r="BK1573" s="209"/>
      <c r="BL1573" s="182"/>
      <c r="BM1573" s="210"/>
      <c r="BO1573" s="28" t="e">
        <f t="shared" si="155"/>
        <v>#DIV/0!</v>
      </c>
      <c r="BP1573" s="28">
        <f t="shared" si="156"/>
        <v>0</v>
      </c>
    </row>
    <row r="1574" spans="52:68" x14ac:dyDescent="0.25">
      <c r="AZ1574" s="471"/>
      <c r="BA1574" s="181"/>
      <c r="BB1574" s="182"/>
      <c r="BC1574" s="209"/>
      <c r="BD1574" s="182"/>
      <c r="BE1574" s="209"/>
      <c r="BF1574" s="182"/>
      <c r="BG1574" s="209"/>
      <c r="BH1574" s="182"/>
      <c r="BI1574" s="209"/>
      <c r="BJ1574" s="183"/>
      <c r="BK1574" s="209"/>
      <c r="BL1574" s="182"/>
      <c r="BM1574" s="210"/>
      <c r="BO1574" s="28" t="e">
        <f t="shared" si="155"/>
        <v>#DIV/0!</v>
      </c>
      <c r="BP1574" s="28">
        <f t="shared" si="156"/>
        <v>0</v>
      </c>
    </row>
    <row r="1575" spans="52:68" x14ac:dyDescent="0.25">
      <c r="AZ1575" s="471"/>
      <c r="BA1575" s="181"/>
      <c r="BB1575" s="182"/>
      <c r="BC1575" s="209"/>
      <c r="BD1575" s="182"/>
      <c r="BE1575" s="209"/>
      <c r="BF1575" s="182"/>
      <c r="BG1575" s="209"/>
      <c r="BH1575" s="182"/>
      <c r="BI1575" s="209"/>
      <c r="BJ1575" s="183"/>
      <c r="BK1575" s="209"/>
      <c r="BL1575" s="182"/>
      <c r="BM1575" s="210"/>
      <c r="BO1575" s="28" t="e">
        <f t="shared" si="155"/>
        <v>#DIV/0!</v>
      </c>
      <c r="BP1575" s="28">
        <f t="shared" si="156"/>
        <v>0</v>
      </c>
    </row>
    <row r="1576" spans="52:68" x14ac:dyDescent="0.25">
      <c r="AZ1576" s="471"/>
      <c r="BA1576" s="181"/>
      <c r="BB1576" s="182"/>
      <c r="BC1576" s="209"/>
      <c r="BD1576" s="182"/>
      <c r="BE1576" s="209"/>
      <c r="BF1576" s="182"/>
      <c r="BG1576" s="209"/>
      <c r="BH1576" s="182"/>
      <c r="BI1576" s="209"/>
      <c r="BJ1576" s="185"/>
      <c r="BK1576" s="209"/>
      <c r="BL1576" s="182"/>
      <c r="BM1576" s="210"/>
      <c r="BO1576" s="28" t="e">
        <f t="shared" si="155"/>
        <v>#DIV/0!</v>
      </c>
      <c r="BP1576" s="28">
        <f t="shared" si="156"/>
        <v>0</v>
      </c>
    </row>
    <row r="1577" spans="52:68" x14ac:dyDescent="0.25">
      <c r="AZ1577" s="471"/>
      <c r="BA1577" s="181"/>
      <c r="BB1577" s="182"/>
      <c r="BC1577" s="209"/>
      <c r="BD1577" s="182"/>
      <c r="BE1577" s="209"/>
      <c r="BF1577" s="182"/>
      <c r="BG1577" s="209"/>
      <c r="BH1577" s="182"/>
      <c r="BI1577" s="209"/>
      <c r="BJ1577" s="188"/>
      <c r="BK1577" s="209"/>
      <c r="BL1577" s="182"/>
      <c r="BM1577" s="210"/>
      <c r="BO1577" s="28" t="e">
        <f t="shared" si="155"/>
        <v>#DIV/0!</v>
      </c>
      <c r="BP1577" s="28">
        <f t="shared" si="156"/>
        <v>0</v>
      </c>
    </row>
    <row r="1578" spans="52:68" x14ac:dyDescent="0.25">
      <c r="AZ1578" s="471"/>
      <c r="BA1578" s="181"/>
      <c r="BB1578" s="182"/>
      <c r="BC1578" s="209"/>
      <c r="BD1578" s="182"/>
      <c r="BE1578" s="209"/>
      <c r="BF1578" s="182"/>
      <c r="BG1578" s="209"/>
      <c r="BH1578" s="182"/>
      <c r="BI1578" s="209"/>
      <c r="BJ1578" s="183"/>
      <c r="BK1578" s="209"/>
      <c r="BL1578" s="182"/>
      <c r="BM1578" s="210"/>
      <c r="BO1578" s="28" t="e">
        <f t="shared" si="155"/>
        <v>#DIV/0!</v>
      </c>
      <c r="BP1578" s="28">
        <f t="shared" si="156"/>
        <v>0</v>
      </c>
    </row>
    <row r="1579" spans="52:68" x14ac:dyDescent="0.25">
      <c r="AZ1579" s="471"/>
      <c r="BA1579" s="181"/>
      <c r="BB1579" s="182"/>
      <c r="BC1579" s="209"/>
      <c r="BD1579" s="182"/>
      <c r="BE1579" s="209"/>
      <c r="BF1579" s="182"/>
      <c r="BG1579" s="209"/>
      <c r="BH1579" s="182"/>
      <c r="BI1579" s="209"/>
      <c r="BJ1579" s="183"/>
      <c r="BK1579" s="209"/>
      <c r="BL1579" s="182"/>
      <c r="BM1579" s="210"/>
      <c r="BO1579" s="28" t="e">
        <f t="shared" si="155"/>
        <v>#DIV/0!</v>
      </c>
      <c r="BP1579" s="28">
        <f t="shared" si="156"/>
        <v>0</v>
      </c>
    </row>
    <row r="1580" spans="52:68" x14ac:dyDescent="0.25">
      <c r="AZ1580" s="471"/>
      <c r="BA1580" s="181"/>
      <c r="BB1580" s="182"/>
      <c r="BC1580" s="209"/>
      <c r="BD1580" s="182"/>
      <c r="BE1580" s="209"/>
      <c r="BF1580" s="182"/>
      <c r="BG1580" s="209"/>
      <c r="BH1580" s="182"/>
      <c r="BI1580" s="209"/>
      <c r="BJ1580" s="183"/>
      <c r="BK1580" s="209"/>
      <c r="BL1580" s="182"/>
      <c r="BM1580" s="210"/>
      <c r="BO1580" s="28" t="e">
        <f t="shared" si="155"/>
        <v>#DIV/0!</v>
      </c>
      <c r="BP1580" s="28">
        <f t="shared" si="156"/>
        <v>0</v>
      </c>
    </row>
    <row r="1581" spans="52:68" x14ac:dyDescent="0.25">
      <c r="AZ1581" s="471"/>
      <c r="BA1581" s="181"/>
      <c r="BB1581" s="182"/>
      <c r="BC1581" s="209"/>
      <c r="BD1581" s="182"/>
      <c r="BE1581" s="209"/>
      <c r="BF1581" s="182"/>
      <c r="BG1581" s="209"/>
      <c r="BH1581" s="182"/>
      <c r="BI1581" s="209"/>
      <c r="BJ1581" s="183"/>
      <c r="BK1581" s="209"/>
      <c r="BL1581" s="182"/>
      <c r="BM1581" s="210"/>
      <c r="BO1581" s="28" t="e">
        <f t="shared" si="155"/>
        <v>#DIV/0!</v>
      </c>
      <c r="BP1581" s="28">
        <f t="shared" si="156"/>
        <v>0</v>
      </c>
    </row>
    <row r="1582" spans="52:68" x14ac:dyDescent="0.25">
      <c r="AZ1582" s="471"/>
      <c r="BA1582" s="181"/>
      <c r="BB1582" s="182"/>
      <c r="BC1582" s="209"/>
      <c r="BD1582" s="182"/>
      <c r="BE1582" s="209"/>
      <c r="BF1582" s="182"/>
      <c r="BG1582" s="209"/>
      <c r="BH1582" s="182"/>
      <c r="BI1582" s="209"/>
      <c r="BJ1582" s="183"/>
      <c r="BK1582" s="209"/>
      <c r="BL1582" s="182"/>
      <c r="BM1582" s="210"/>
      <c r="BO1582" s="28" t="e">
        <f t="shared" si="155"/>
        <v>#DIV/0!</v>
      </c>
      <c r="BP1582" s="28">
        <f t="shared" si="156"/>
        <v>0</v>
      </c>
    </row>
    <row r="1583" spans="52:68" x14ac:dyDescent="0.25">
      <c r="AZ1583" s="471"/>
      <c r="BA1583" s="181"/>
      <c r="BB1583" s="182"/>
      <c r="BC1583" s="209"/>
      <c r="BD1583" s="182"/>
      <c r="BE1583" s="209"/>
      <c r="BF1583" s="182"/>
      <c r="BG1583" s="209"/>
      <c r="BH1583" s="182"/>
      <c r="BI1583" s="209"/>
      <c r="BJ1583" s="183"/>
      <c r="BK1583" s="209"/>
      <c r="BL1583" s="182"/>
      <c r="BM1583" s="210"/>
      <c r="BO1583" s="28" t="e">
        <f t="shared" si="155"/>
        <v>#DIV/0!</v>
      </c>
      <c r="BP1583" s="28">
        <f t="shared" si="156"/>
        <v>0</v>
      </c>
    </row>
    <row r="1584" spans="52:68" x14ac:dyDescent="0.25">
      <c r="AZ1584" s="471"/>
      <c r="BA1584" s="181"/>
      <c r="BB1584" s="182"/>
      <c r="BC1584" s="209"/>
      <c r="BD1584" s="182"/>
      <c r="BE1584" s="209"/>
      <c r="BF1584" s="182"/>
      <c r="BG1584" s="209"/>
      <c r="BH1584" s="182"/>
      <c r="BI1584" s="209"/>
      <c r="BJ1584" s="183"/>
      <c r="BK1584" s="209"/>
      <c r="BL1584" s="182"/>
      <c r="BM1584" s="210"/>
      <c r="BO1584" s="28" t="e">
        <f t="shared" si="155"/>
        <v>#DIV/0!</v>
      </c>
      <c r="BP1584" s="28">
        <f t="shared" si="156"/>
        <v>0</v>
      </c>
    </row>
    <row r="1585" spans="52:68" x14ac:dyDescent="0.25">
      <c r="AZ1585" s="471"/>
      <c r="BA1585" s="181"/>
      <c r="BB1585" s="182"/>
      <c r="BC1585" s="209"/>
      <c r="BD1585" s="182"/>
      <c r="BE1585" s="209"/>
      <c r="BF1585" s="182"/>
      <c r="BG1585" s="209"/>
      <c r="BH1585" s="182"/>
      <c r="BI1585" s="209"/>
      <c r="BJ1585" s="183"/>
      <c r="BK1585" s="209"/>
      <c r="BL1585" s="182"/>
      <c r="BM1585" s="210"/>
      <c r="BO1585" s="28" t="e">
        <f t="shared" si="155"/>
        <v>#DIV/0!</v>
      </c>
      <c r="BP1585" s="28">
        <f t="shared" si="156"/>
        <v>0</v>
      </c>
    </row>
    <row r="1586" spans="52:68" x14ac:dyDescent="0.25">
      <c r="AZ1586" s="471"/>
      <c r="BA1586" s="181"/>
      <c r="BB1586" s="182"/>
      <c r="BC1586" s="209"/>
      <c r="BD1586" s="182"/>
      <c r="BE1586" s="209"/>
      <c r="BF1586" s="182"/>
      <c r="BG1586" s="209"/>
      <c r="BH1586" s="182"/>
      <c r="BI1586" s="209"/>
      <c r="BJ1586" s="183"/>
      <c r="BK1586" s="209"/>
      <c r="BL1586" s="182"/>
      <c r="BM1586" s="210"/>
      <c r="BO1586" s="28" t="e">
        <f t="shared" si="155"/>
        <v>#DIV/0!</v>
      </c>
      <c r="BP1586" s="28">
        <f t="shared" si="156"/>
        <v>0</v>
      </c>
    </row>
    <row r="1587" spans="52:68" x14ac:dyDescent="0.25">
      <c r="AZ1587" s="471"/>
      <c r="BA1587" s="181"/>
      <c r="BB1587" s="182"/>
      <c r="BC1587" s="209"/>
      <c r="BD1587" s="182"/>
      <c r="BE1587" s="209"/>
      <c r="BF1587" s="182"/>
      <c r="BG1587" s="209"/>
      <c r="BH1587" s="182"/>
      <c r="BI1587" s="209"/>
      <c r="BJ1587" s="183"/>
      <c r="BK1587" s="209"/>
      <c r="BL1587" s="182"/>
      <c r="BM1587" s="210"/>
      <c r="BO1587" s="28" t="e">
        <f t="shared" si="155"/>
        <v>#DIV/0!</v>
      </c>
      <c r="BP1587" s="28">
        <f t="shared" si="156"/>
        <v>0</v>
      </c>
    </row>
    <row r="1588" spans="52:68" x14ac:dyDescent="0.25">
      <c r="AZ1588" s="471"/>
      <c r="BA1588" s="181"/>
      <c r="BB1588" s="182"/>
      <c r="BC1588" s="209"/>
      <c r="BD1588" s="182"/>
      <c r="BE1588" s="209"/>
      <c r="BF1588" s="182"/>
      <c r="BG1588" s="209"/>
      <c r="BH1588" s="182"/>
      <c r="BI1588" s="209"/>
      <c r="BJ1588" s="183"/>
      <c r="BK1588" s="209"/>
      <c r="BL1588" s="182"/>
      <c r="BM1588" s="210"/>
      <c r="BO1588" s="28" t="e">
        <f t="shared" si="155"/>
        <v>#DIV/0!</v>
      </c>
      <c r="BP1588" s="28">
        <f t="shared" si="156"/>
        <v>0</v>
      </c>
    </row>
    <row r="1589" spans="52:68" x14ac:dyDescent="0.25">
      <c r="AZ1589" s="471"/>
      <c r="BA1589" s="181"/>
      <c r="BB1589" s="182"/>
      <c r="BC1589" s="209"/>
      <c r="BD1589" s="182"/>
      <c r="BE1589" s="209"/>
      <c r="BF1589" s="182"/>
      <c r="BG1589" s="209"/>
      <c r="BH1589" s="182"/>
      <c r="BI1589" s="209"/>
      <c r="BJ1589" s="183"/>
      <c r="BK1589" s="209"/>
      <c r="BL1589" s="182"/>
      <c r="BM1589" s="210"/>
      <c r="BO1589" s="28" t="e">
        <f t="shared" si="155"/>
        <v>#DIV/0!</v>
      </c>
      <c r="BP1589" s="28">
        <f t="shared" si="156"/>
        <v>0</v>
      </c>
    </row>
    <row r="1590" spans="52:68" x14ac:dyDescent="0.25">
      <c r="AZ1590" s="471"/>
      <c r="BA1590" s="181"/>
      <c r="BB1590" s="182"/>
      <c r="BC1590" s="209"/>
      <c r="BD1590" s="182"/>
      <c r="BE1590" s="209"/>
      <c r="BF1590" s="182"/>
      <c r="BG1590" s="209"/>
      <c r="BH1590" s="182"/>
      <c r="BI1590" s="209"/>
      <c r="BJ1590" s="183"/>
      <c r="BK1590" s="209"/>
      <c r="BL1590" s="182"/>
      <c r="BM1590" s="210"/>
      <c r="BO1590" s="28" t="e">
        <f t="shared" si="155"/>
        <v>#DIV/0!</v>
      </c>
      <c r="BP1590" s="28">
        <f t="shared" si="156"/>
        <v>0</v>
      </c>
    </row>
    <row r="1591" spans="52:68" x14ac:dyDescent="0.25">
      <c r="AZ1591" s="471"/>
      <c r="BA1591" s="181"/>
      <c r="BB1591" s="182"/>
      <c r="BC1591" s="209"/>
      <c r="BD1591" s="182"/>
      <c r="BE1591" s="209"/>
      <c r="BF1591" s="182"/>
      <c r="BG1591" s="209"/>
      <c r="BH1591" s="182"/>
      <c r="BI1591" s="209"/>
      <c r="BJ1591" s="183"/>
      <c r="BK1591" s="209"/>
      <c r="BL1591" s="182"/>
      <c r="BM1591" s="210"/>
      <c r="BO1591" s="28" t="e">
        <f t="shared" si="155"/>
        <v>#DIV/0!</v>
      </c>
      <c r="BP1591" s="28">
        <f t="shared" si="156"/>
        <v>0</v>
      </c>
    </row>
    <row r="1592" spans="52:68" x14ac:dyDescent="0.25">
      <c r="AZ1592" s="471"/>
      <c r="BA1592" s="181"/>
      <c r="BB1592" s="182"/>
      <c r="BC1592" s="209"/>
      <c r="BD1592" s="182"/>
      <c r="BE1592" s="209"/>
      <c r="BF1592" s="182"/>
      <c r="BG1592" s="209"/>
      <c r="BH1592" s="182"/>
      <c r="BI1592" s="209"/>
      <c r="BJ1592" s="183"/>
      <c r="BK1592" s="209"/>
      <c r="BL1592" s="182"/>
      <c r="BM1592" s="210"/>
      <c r="BO1592" s="28" t="e">
        <f t="shared" si="155"/>
        <v>#DIV/0!</v>
      </c>
      <c r="BP1592" s="28">
        <f t="shared" si="156"/>
        <v>0</v>
      </c>
    </row>
    <row r="1593" spans="52:68" x14ac:dyDescent="0.25">
      <c r="AZ1593" s="471"/>
      <c r="BA1593" s="181"/>
      <c r="BB1593" s="182"/>
      <c r="BC1593" s="209"/>
      <c r="BD1593" s="182"/>
      <c r="BE1593" s="209"/>
      <c r="BF1593" s="182"/>
      <c r="BG1593" s="209"/>
      <c r="BH1593" s="182"/>
      <c r="BI1593" s="209"/>
      <c r="BJ1593" s="183"/>
      <c r="BK1593" s="209"/>
      <c r="BL1593" s="182"/>
      <c r="BM1593" s="210"/>
      <c r="BO1593" s="28" t="e">
        <f t="shared" si="155"/>
        <v>#DIV/0!</v>
      </c>
      <c r="BP1593" s="28">
        <f t="shared" si="156"/>
        <v>0</v>
      </c>
    </row>
    <row r="1594" spans="52:68" x14ac:dyDescent="0.25">
      <c r="AZ1594" s="471"/>
      <c r="BA1594" s="181"/>
      <c r="BB1594" s="182"/>
      <c r="BC1594" s="209"/>
      <c r="BD1594" s="182"/>
      <c r="BE1594" s="209"/>
      <c r="BF1594" s="182"/>
      <c r="BG1594" s="209"/>
      <c r="BH1594" s="182"/>
      <c r="BI1594" s="209"/>
      <c r="BJ1594" s="183"/>
      <c r="BK1594" s="209"/>
      <c r="BL1594" s="182"/>
      <c r="BM1594" s="210"/>
      <c r="BO1594" s="28" t="e">
        <f t="shared" si="155"/>
        <v>#DIV/0!</v>
      </c>
      <c r="BP1594" s="28">
        <f t="shared" si="156"/>
        <v>0</v>
      </c>
    </row>
    <row r="1595" spans="52:68" x14ac:dyDescent="0.25">
      <c r="AZ1595" s="471"/>
      <c r="BA1595" s="181"/>
      <c r="BB1595" s="182"/>
      <c r="BC1595" s="209"/>
      <c r="BD1595" s="182"/>
      <c r="BE1595" s="209"/>
      <c r="BF1595" s="182"/>
      <c r="BG1595" s="209"/>
      <c r="BH1595" s="182"/>
      <c r="BI1595" s="209"/>
      <c r="BJ1595" s="183"/>
      <c r="BK1595" s="209"/>
      <c r="BL1595" s="182"/>
      <c r="BM1595" s="210"/>
      <c r="BO1595" s="28" t="e">
        <f t="shared" si="155"/>
        <v>#DIV/0!</v>
      </c>
      <c r="BP1595" s="28">
        <f t="shared" si="156"/>
        <v>0</v>
      </c>
    </row>
    <row r="1596" spans="52:68" x14ac:dyDescent="0.25">
      <c r="AZ1596" s="471"/>
      <c r="BA1596" s="181"/>
      <c r="BB1596" s="182"/>
      <c r="BC1596" s="209"/>
      <c r="BD1596" s="182"/>
      <c r="BE1596" s="209"/>
      <c r="BF1596" s="182"/>
      <c r="BG1596" s="209"/>
      <c r="BH1596" s="182"/>
      <c r="BI1596" s="209"/>
      <c r="BJ1596" s="183"/>
      <c r="BK1596" s="209"/>
      <c r="BL1596" s="182"/>
      <c r="BM1596" s="210"/>
      <c r="BO1596" s="28" t="e">
        <f t="shared" si="155"/>
        <v>#DIV/0!</v>
      </c>
      <c r="BP1596" s="28">
        <f t="shared" si="156"/>
        <v>0</v>
      </c>
    </row>
    <row r="1597" spans="52:68" x14ac:dyDescent="0.25">
      <c r="AZ1597" s="471"/>
      <c r="BA1597" s="181"/>
      <c r="BB1597" s="182"/>
      <c r="BC1597" s="209"/>
      <c r="BD1597" s="182"/>
      <c r="BE1597" s="209"/>
      <c r="BF1597" s="182"/>
      <c r="BG1597" s="209"/>
      <c r="BH1597" s="182"/>
      <c r="BI1597" s="209"/>
      <c r="BJ1597" s="183"/>
      <c r="BK1597" s="209"/>
      <c r="BL1597" s="182"/>
      <c r="BM1597" s="210"/>
      <c r="BO1597" s="28" t="e">
        <f t="shared" si="155"/>
        <v>#DIV/0!</v>
      </c>
      <c r="BP1597" s="28">
        <f t="shared" si="156"/>
        <v>0</v>
      </c>
    </row>
    <row r="1598" spans="52:68" x14ac:dyDescent="0.25">
      <c r="AZ1598" s="471"/>
      <c r="BA1598" s="181"/>
      <c r="BB1598" s="182"/>
      <c r="BC1598" s="209"/>
      <c r="BD1598" s="182"/>
      <c r="BE1598" s="209"/>
      <c r="BF1598" s="182"/>
      <c r="BG1598" s="209"/>
      <c r="BH1598" s="182"/>
      <c r="BI1598" s="209"/>
      <c r="BJ1598" s="183"/>
      <c r="BK1598" s="209"/>
      <c r="BL1598" s="182"/>
      <c r="BM1598" s="210"/>
      <c r="BO1598" s="28" t="e">
        <f t="shared" si="155"/>
        <v>#DIV/0!</v>
      </c>
      <c r="BP1598" s="28">
        <f t="shared" si="156"/>
        <v>0</v>
      </c>
    </row>
    <row r="1599" spans="52:68" x14ac:dyDescent="0.25">
      <c r="AZ1599" s="471"/>
      <c r="BA1599" s="181"/>
      <c r="BB1599" s="182"/>
      <c r="BC1599" s="209"/>
      <c r="BD1599" s="182"/>
      <c r="BE1599" s="209"/>
      <c r="BF1599" s="182"/>
      <c r="BG1599" s="209"/>
      <c r="BH1599" s="182"/>
      <c r="BI1599" s="209"/>
      <c r="BJ1599" s="183"/>
      <c r="BK1599" s="209"/>
      <c r="BL1599" s="182"/>
      <c r="BM1599" s="210"/>
      <c r="BO1599" s="28" t="e">
        <f t="shared" si="155"/>
        <v>#DIV/0!</v>
      </c>
      <c r="BP1599" s="28">
        <f t="shared" si="156"/>
        <v>0</v>
      </c>
    </row>
    <row r="1600" spans="52:68" x14ac:dyDescent="0.25">
      <c r="AZ1600" s="471"/>
      <c r="BA1600" s="181"/>
      <c r="BB1600" s="182"/>
      <c r="BC1600" s="209"/>
      <c r="BD1600" s="182"/>
      <c r="BE1600" s="209"/>
      <c r="BF1600" s="182"/>
      <c r="BG1600" s="209"/>
      <c r="BH1600" s="182"/>
      <c r="BI1600" s="209"/>
      <c r="BJ1600" s="183"/>
      <c r="BK1600" s="209"/>
      <c r="BL1600" s="182"/>
      <c r="BM1600" s="210"/>
      <c r="BO1600" s="28" t="e">
        <f t="shared" si="155"/>
        <v>#DIV/0!</v>
      </c>
      <c r="BP1600" s="28">
        <f t="shared" si="156"/>
        <v>0</v>
      </c>
    </row>
    <row r="1601" spans="52:68" x14ac:dyDescent="0.25">
      <c r="AZ1601" s="471"/>
      <c r="BA1601" s="181"/>
      <c r="BB1601" s="182"/>
      <c r="BC1601" s="209"/>
      <c r="BD1601" s="182"/>
      <c r="BE1601" s="209"/>
      <c r="BF1601" s="182"/>
      <c r="BG1601" s="209"/>
      <c r="BH1601" s="182"/>
      <c r="BI1601" s="209"/>
      <c r="BJ1601" s="183"/>
      <c r="BK1601" s="209"/>
      <c r="BL1601" s="182"/>
      <c r="BM1601" s="210"/>
      <c r="BO1601" s="28" t="e">
        <f t="shared" si="155"/>
        <v>#DIV/0!</v>
      </c>
      <c r="BP1601" s="28">
        <f t="shared" si="156"/>
        <v>0</v>
      </c>
    </row>
    <row r="1602" spans="52:68" x14ac:dyDescent="0.25">
      <c r="AZ1602" s="471"/>
      <c r="BA1602" s="181"/>
      <c r="BB1602" s="182"/>
      <c r="BC1602" s="209"/>
      <c r="BD1602" s="182"/>
      <c r="BE1602" s="209"/>
      <c r="BF1602" s="182"/>
      <c r="BG1602" s="209"/>
      <c r="BH1602" s="182"/>
      <c r="BI1602" s="209"/>
      <c r="BJ1602" s="183"/>
      <c r="BK1602" s="209"/>
      <c r="BL1602" s="182"/>
      <c r="BM1602" s="210"/>
      <c r="BO1602" s="28" t="e">
        <f t="shared" si="155"/>
        <v>#DIV/0!</v>
      </c>
      <c r="BP1602" s="28">
        <f t="shared" si="156"/>
        <v>0</v>
      </c>
    </row>
    <row r="1603" spans="52:68" x14ac:dyDescent="0.25">
      <c r="AZ1603" s="471"/>
      <c r="BA1603" s="181"/>
      <c r="BB1603" s="182"/>
      <c r="BC1603" s="209"/>
      <c r="BD1603" s="182"/>
      <c r="BE1603" s="209"/>
      <c r="BF1603" s="182"/>
      <c r="BG1603" s="209"/>
      <c r="BH1603" s="182"/>
      <c r="BI1603" s="209"/>
      <c r="BJ1603" s="183"/>
      <c r="BK1603" s="209"/>
      <c r="BL1603" s="182"/>
      <c r="BM1603" s="210"/>
      <c r="BO1603" s="28" t="e">
        <f t="shared" si="155"/>
        <v>#DIV/0!</v>
      </c>
      <c r="BP1603" s="28">
        <f t="shared" si="156"/>
        <v>0</v>
      </c>
    </row>
    <row r="1604" spans="52:68" x14ac:dyDescent="0.25">
      <c r="AZ1604" s="471"/>
      <c r="BA1604" s="181"/>
      <c r="BB1604" s="182"/>
      <c r="BC1604" s="209"/>
      <c r="BD1604" s="182"/>
      <c r="BE1604" s="209"/>
      <c r="BF1604" s="182"/>
      <c r="BG1604" s="209"/>
      <c r="BH1604" s="182"/>
      <c r="BI1604" s="209"/>
      <c r="BJ1604" s="183"/>
      <c r="BK1604" s="209"/>
      <c r="BL1604" s="182"/>
      <c r="BM1604" s="210"/>
      <c r="BO1604" s="28" t="e">
        <f t="shared" si="155"/>
        <v>#DIV/0!</v>
      </c>
      <c r="BP1604" s="28">
        <f t="shared" si="156"/>
        <v>0</v>
      </c>
    </row>
    <row r="1605" spans="52:68" x14ac:dyDescent="0.25">
      <c r="AZ1605" s="471"/>
      <c r="BA1605" s="181"/>
      <c r="BB1605" s="182"/>
      <c r="BC1605" s="209"/>
      <c r="BD1605" s="182"/>
      <c r="BE1605" s="209"/>
      <c r="BF1605" s="182"/>
      <c r="BG1605" s="209"/>
      <c r="BH1605" s="182"/>
      <c r="BI1605" s="209"/>
      <c r="BJ1605" s="183"/>
      <c r="BK1605" s="209"/>
      <c r="BL1605" s="182"/>
      <c r="BM1605" s="210"/>
      <c r="BO1605" s="28" t="e">
        <f t="shared" si="155"/>
        <v>#DIV/0!</v>
      </c>
      <c r="BP1605" s="28">
        <f t="shared" si="156"/>
        <v>0</v>
      </c>
    </row>
    <row r="1606" spans="52:68" x14ac:dyDescent="0.25">
      <c r="AZ1606" s="471"/>
      <c r="BA1606" s="181"/>
      <c r="BB1606" s="182"/>
      <c r="BC1606" s="209"/>
      <c r="BD1606" s="182"/>
      <c r="BE1606" s="209"/>
      <c r="BF1606" s="182"/>
      <c r="BG1606" s="209"/>
      <c r="BH1606" s="182"/>
      <c r="BI1606" s="209"/>
      <c r="BJ1606" s="183"/>
      <c r="BK1606" s="209"/>
      <c r="BL1606" s="182"/>
      <c r="BM1606" s="210"/>
      <c r="BO1606" s="28" t="e">
        <f t="shared" si="155"/>
        <v>#DIV/0!</v>
      </c>
      <c r="BP1606" s="28">
        <f t="shared" si="156"/>
        <v>0</v>
      </c>
    </row>
    <row r="1607" spans="52:68" x14ac:dyDescent="0.25">
      <c r="AZ1607" s="471"/>
      <c r="BA1607" s="181"/>
      <c r="BB1607" s="182"/>
      <c r="BC1607" s="209"/>
      <c r="BD1607" s="182"/>
      <c r="BE1607" s="209"/>
      <c r="BF1607" s="182"/>
      <c r="BG1607" s="209"/>
      <c r="BH1607" s="182"/>
      <c r="BI1607" s="209"/>
      <c r="BJ1607" s="183"/>
      <c r="BK1607" s="209"/>
      <c r="BL1607" s="182"/>
      <c r="BM1607" s="210"/>
      <c r="BO1607" s="28" t="e">
        <f t="shared" si="155"/>
        <v>#DIV/0!</v>
      </c>
      <c r="BP1607" s="28">
        <f t="shared" si="156"/>
        <v>0</v>
      </c>
    </row>
    <row r="1608" spans="52:68" x14ac:dyDescent="0.25">
      <c r="AZ1608" s="471"/>
      <c r="BA1608" s="181"/>
      <c r="BB1608" s="182"/>
      <c r="BC1608" s="209"/>
      <c r="BD1608" s="182"/>
      <c r="BE1608" s="209"/>
      <c r="BF1608" s="182"/>
      <c r="BG1608" s="209"/>
      <c r="BH1608" s="182"/>
      <c r="BI1608" s="209"/>
      <c r="BJ1608" s="183"/>
      <c r="BK1608" s="209"/>
      <c r="BL1608" s="182"/>
      <c r="BM1608" s="210"/>
      <c r="BO1608" s="28" t="e">
        <f t="shared" si="155"/>
        <v>#DIV/0!</v>
      </c>
      <c r="BP1608" s="28">
        <f t="shared" si="156"/>
        <v>0</v>
      </c>
    </row>
    <row r="1609" spans="52:68" x14ac:dyDescent="0.25">
      <c r="AZ1609" s="471"/>
      <c r="BA1609" s="181"/>
      <c r="BB1609" s="182"/>
      <c r="BC1609" s="209"/>
      <c r="BD1609" s="182"/>
      <c r="BE1609" s="209"/>
      <c r="BF1609" s="182"/>
      <c r="BG1609" s="209"/>
      <c r="BH1609" s="182"/>
      <c r="BI1609" s="209"/>
      <c r="BJ1609" s="183"/>
      <c r="BK1609" s="209"/>
      <c r="BL1609" s="182"/>
      <c r="BM1609" s="210"/>
      <c r="BO1609" s="28" t="e">
        <f t="shared" ref="BO1609:BO1672" si="157">AVERAGE(BB1609:BM1609)</f>
        <v>#DIV/0!</v>
      </c>
      <c r="BP1609" s="28">
        <f t="shared" ref="BP1609:BP1672" si="158">SUM(BB1609:BM1609)</f>
        <v>0</v>
      </c>
    </row>
    <row r="1610" spans="52:68" x14ac:dyDescent="0.25">
      <c r="AZ1610" s="471"/>
      <c r="BA1610" s="181"/>
      <c r="BB1610" s="182"/>
      <c r="BC1610" s="209"/>
      <c r="BD1610" s="182"/>
      <c r="BE1610" s="209"/>
      <c r="BF1610" s="182"/>
      <c r="BG1610" s="209"/>
      <c r="BH1610" s="182"/>
      <c r="BI1610" s="209"/>
      <c r="BJ1610" s="183"/>
      <c r="BK1610" s="209"/>
      <c r="BL1610" s="182"/>
      <c r="BM1610" s="210"/>
      <c r="BO1610" s="28" t="e">
        <f t="shared" si="157"/>
        <v>#DIV/0!</v>
      </c>
      <c r="BP1610" s="28">
        <f t="shared" si="158"/>
        <v>0</v>
      </c>
    </row>
    <row r="1611" spans="52:68" x14ac:dyDescent="0.25">
      <c r="AZ1611" s="471"/>
      <c r="BA1611" s="181"/>
      <c r="BB1611" s="182"/>
      <c r="BC1611" s="209"/>
      <c r="BD1611" s="182"/>
      <c r="BE1611" s="209"/>
      <c r="BF1611" s="182"/>
      <c r="BG1611" s="209"/>
      <c r="BH1611" s="182"/>
      <c r="BI1611" s="209"/>
      <c r="BJ1611" s="183"/>
      <c r="BK1611" s="209"/>
      <c r="BL1611" s="182"/>
      <c r="BM1611" s="210"/>
      <c r="BO1611" s="28" t="e">
        <f t="shared" si="157"/>
        <v>#DIV/0!</v>
      </c>
      <c r="BP1611" s="28">
        <f t="shared" si="158"/>
        <v>0</v>
      </c>
    </row>
    <row r="1612" spans="52:68" x14ac:dyDescent="0.25">
      <c r="AZ1612" s="471"/>
      <c r="BA1612" s="181"/>
      <c r="BB1612" s="182"/>
      <c r="BC1612" s="209"/>
      <c r="BD1612" s="182"/>
      <c r="BE1612" s="209"/>
      <c r="BF1612" s="182"/>
      <c r="BG1612" s="209"/>
      <c r="BH1612" s="182"/>
      <c r="BI1612" s="209"/>
      <c r="BJ1612" s="183"/>
      <c r="BK1612" s="209"/>
      <c r="BL1612" s="182"/>
      <c r="BM1612" s="210"/>
      <c r="BO1612" s="28" t="e">
        <f t="shared" si="157"/>
        <v>#DIV/0!</v>
      </c>
      <c r="BP1612" s="28">
        <f t="shared" si="158"/>
        <v>0</v>
      </c>
    </row>
    <row r="1613" spans="52:68" x14ac:dyDescent="0.25">
      <c r="AZ1613" s="471"/>
      <c r="BA1613" s="181"/>
      <c r="BB1613" s="182"/>
      <c r="BC1613" s="209"/>
      <c r="BD1613" s="182"/>
      <c r="BE1613" s="209"/>
      <c r="BF1613" s="182"/>
      <c r="BG1613" s="209"/>
      <c r="BH1613" s="182"/>
      <c r="BI1613" s="209"/>
      <c r="BJ1613" s="183"/>
      <c r="BK1613" s="209"/>
      <c r="BL1613" s="182"/>
      <c r="BM1613" s="210"/>
      <c r="BO1613" s="28" t="e">
        <f t="shared" si="157"/>
        <v>#DIV/0!</v>
      </c>
      <c r="BP1613" s="28">
        <f t="shared" si="158"/>
        <v>0</v>
      </c>
    </row>
    <row r="1614" spans="52:68" x14ac:dyDescent="0.25">
      <c r="AZ1614" s="471"/>
      <c r="BA1614" s="181"/>
      <c r="BB1614" s="182"/>
      <c r="BC1614" s="209"/>
      <c r="BD1614" s="182"/>
      <c r="BE1614" s="209"/>
      <c r="BF1614" s="182"/>
      <c r="BG1614" s="209"/>
      <c r="BH1614" s="182"/>
      <c r="BI1614" s="209"/>
      <c r="BJ1614" s="183"/>
      <c r="BK1614" s="209"/>
      <c r="BL1614" s="182"/>
      <c r="BM1614" s="210"/>
      <c r="BO1614" s="28" t="e">
        <f t="shared" si="157"/>
        <v>#DIV/0!</v>
      </c>
      <c r="BP1614" s="28">
        <f t="shared" si="158"/>
        <v>0</v>
      </c>
    </row>
    <row r="1615" spans="52:68" x14ac:dyDescent="0.25">
      <c r="AZ1615" s="471"/>
      <c r="BA1615" s="181"/>
      <c r="BB1615" s="182"/>
      <c r="BC1615" s="209"/>
      <c r="BD1615" s="182"/>
      <c r="BE1615" s="209"/>
      <c r="BF1615" s="182"/>
      <c r="BG1615" s="209"/>
      <c r="BH1615" s="182"/>
      <c r="BI1615" s="209"/>
      <c r="BJ1615" s="183"/>
      <c r="BK1615" s="209"/>
      <c r="BL1615" s="182"/>
      <c r="BM1615" s="210"/>
      <c r="BO1615" s="28" t="e">
        <f t="shared" si="157"/>
        <v>#DIV/0!</v>
      </c>
      <c r="BP1615" s="28">
        <f t="shared" si="158"/>
        <v>0</v>
      </c>
    </row>
    <row r="1616" spans="52:68" x14ac:dyDescent="0.25">
      <c r="AZ1616" s="471"/>
      <c r="BA1616" s="181"/>
      <c r="BB1616" s="182"/>
      <c r="BC1616" s="209"/>
      <c r="BD1616" s="182"/>
      <c r="BE1616" s="209"/>
      <c r="BF1616" s="182"/>
      <c r="BG1616" s="209"/>
      <c r="BH1616" s="182"/>
      <c r="BI1616" s="209"/>
      <c r="BJ1616" s="183"/>
      <c r="BK1616" s="209"/>
      <c r="BL1616" s="182"/>
      <c r="BM1616" s="210"/>
      <c r="BO1616" s="28" t="e">
        <f t="shared" si="157"/>
        <v>#DIV/0!</v>
      </c>
      <c r="BP1616" s="28">
        <f t="shared" si="158"/>
        <v>0</v>
      </c>
    </row>
    <row r="1617" spans="52:68" x14ac:dyDescent="0.25">
      <c r="AZ1617" s="471"/>
      <c r="BA1617" s="181"/>
      <c r="BB1617" s="182"/>
      <c r="BC1617" s="209"/>
      <c r="BD1617" s="182"/>
      <c r="BE1617" s="209"/>
      <c r="BF1617" s="182"/>
      <c r="BG1617" s="209"/>
      <c r="BH1617" s="182"/>
      <c r="BI1617" s="209"/>
      <c r="BJ1617" s="183"/>
      <c r="BK1617" s="209"/>
      <c r="BL1617" s="182"/>
      <c r="BM1617" s="210"/>
      <c r="BO1617" s="28" t="e">
        <f t="shared" si="157"/>
        <v>#DIV/0!</v>
      </c>
      <c r="BP1617" s="28">
        <f t="shared" si="158"/>
        <v>0</v>
      </c>
    </row>
    <row r="1618" spans="52:68" x14ac:dyDescent="0.25">
      <c r="AZ1618" s="471"/>
      <c r="BA1618" s="181"/>
      <c r="BB1618" s="182"/>
      <c r="BC1618" s="209"/>
      <c r="BD1618" s="182"/>
      <c r="BE1618" s="209"/>
      <c r="BF1618" s="182"/>
      <c r="BG1618" s="209"/>
      <c r="BH1618" s="182"/>
      <c r="BI1618" s="209"/>
      <c r="BJ1618" s="183"/>
      <c r="BK1618" s="209"/>
      <c r="BL1618" s="182"/>
      <c r="BM1618" s="210"/>
      <c r="BO1618" s="28" t="e">
        <f t="shared" si="157"/>
        <v>#DIV/0!</v>
      </c>
      <c r="BP1618" s="28">
        <f t="shared" si="158"/>
        <v>0</v>
      </c>
    </row>
    <row r="1619" spans="52:68" x14ac:dyDescent="0.25">
      <c r="AZ1619" s="471"/>
      <c r="BA1619" s="181"/>
      <c r="BB1619" s="182"/>
      <c r="BC1619" s="209"/>
      <c r="BD1619" s="182"/>
      <c r="BE1619" s="209"/>
      <c r="BF1619" s="182"/>
      <c r="BG1619" s="209"/>
      <c r="BH1619" s="182"/>
      <c r="BI1619" s="209"/>
      <c r="BJ1619" s="183"/>
      <c r="BK1619" s="209"/>
      <c r="BL1619" s="182"/>
      <c r="BM1619" s="210"/>
      <c r="BO1619" s="28" t="e">
        <f t="shared" si="157"/>
        <v>#DIV/0!</v>
      </c>
      <c r="BP1619" s="28">
        <f t="shared" si="158"/>
        <v>0</v>
      </c>
    </row>
    <row r="1620" spans="52:68" x14ac:dyDescent="0.25">
      <c r="AZ1620" s="471"/>
      <c r="BA1620" s="181"/>
      <c r="BB1620" s="182"/>
      <c r="BC1620" s="209"/>
      <c r="BD1620" s="182"/>
      <c r="BE1620" s="209"/>
      <c r="BF1620" s="182"/>
      <c r="BG1620" s="209"/>
      <c r="BH1620" s="182"/>
      <c r="BI1620" s="209"/>
      <c r="BJ1620" s="183"/>
      <c r="BK1620" s="209"/>
      <c r="BL1620" s="182"/>
      <c r="BM1620" s="210"/>
      <c r="BO1620" s="28" t="e">
        <f t="shared" si="157"/>
        <v>#DIV/0!</v>
      </c>
      <c r="BP1620" s="28">
        <f t="shared" si="158"/>
        <v>0</v>
      </c>
    </row>
    <row r="1621" spans="52:68" x14ac:dyDescent="0.25">
      <c r="AZ1621" s="471"/>
      <c r="BA1621" s="181"/>
      <c r="BB1621" s="182"/>
      <c r="BC1621" s="209"/>
      <c r="BD1621" s="182"/>
      <c r="BE1621" s="209"/>
      <c r="BF1621" s="182"/>
      <c r="BG1621" s="209"/>
      <c r="BH1621" s="182"/>
      <c r="BI1621" s="209"/>
      <c r="BJ1621" s="183"/>
      <c r="BK1621" s="209"/>
      <c r="BL1621" s="182"/>
      <c r="BM1621" s="210"/>
      <c r="BO1621" s="28" t="e">
        <f t="shared" si="157"/>
        <v>#DIV/0!</v>
      </c>
      <c r="BP1621" s="28">
        <f t="shared" si="158"/>
        <v>0</v>
      </c>
    </row>
    <row r="1622" spans="52:68" x14ac:dyDescent="0.25">
      <c r="AZ1622" s="471"/>
      <c r="BA1622" s="181"/>
      <c r="BB1622" s="182"/>
      <c r="BC1622" s="209"/>
      <c r="BD1622" s="182"/>
      <c r="BE1622" s="209"/>
      <c r="BF1622" s="182"/>
      <c r="BG1622" s="209"/>
      <c r="BH1622" s="182"/>
      <c r="BI1622" s="209"/>
      <c r="BJ1622" s="183"/>
      <c r="BK1622" s="209"/>
      <c r="BL1622" s="182"/>
      <c r="BM1622" s="210"/>
      <c r="BO1622" s="28" t="e">
        <f t="shared" si="157"/>
        <v>#DIV/0!</v>
      </c>
      <c r="BP1622" s="28">
        <f t="shared" si="158"/>
        <v>0</v>
      </c>
    </row>
    <row r="1623" spans="52:68" x14ac:dyDescent="0.25">
      <c r="AZ1623" s="471"/>
      <c r="BA1623" s="181"/>
      <c r="BB1623" s="182"/>
      <c r="BC1623" s="209"/>
      <c r="BD1623" s="182"/>
      <c r="BE1623" s="209"/>
      <c r="BF1623" s="182"/>
      <c r="BG1623" s="209"/>
      <c r="BH1623" s="182"/>
      <c r="BI1623" s="209"/>
      <c r="BJ1623" s="183"/>
      <c r="BK1623" s="209"/>
      <c r="BL1623" s="182"/>
      <c r="BM1623" s="210"/>
      <c r="BO1623" s="28" t="e">
        <f t="shared" si="157"/>
        <v>#DIV/0!</v>
      </c>
      <c r="BP1623" s="28">
        <f t="shared" si="158"/>
        <v>0</v>
      </c>
    </row>
    <row r="1624" spans="52:68" x14ac:dyDescent="0.25">
      <c r="AZ1624" s="471"/>
      <c r="BA1624" s="181"/>
      <c r="BB1624" s="182"/>
      <c r="BC1624" s="209"/>
      <c r="BD1624" s="182"/>
      <c r="BE1624" s="209"/>
      <c r="BF1624" s="182"/>
      <c r="BG1624" s="209"/>
      <c r="BH1624" s="182"/>
      <c r="BI1624" s="209"/>
      <c r="BJ1624" s="183"/>
      <c r="BK1624" s="209"/>
      <c r="BL1624" s="182"/>
      <c r="BM1624" s="210"/>
      <c r="BO1624" s="28" t="e">
        <f t="shared" si="157"/>
        <v>#DIV/0!</v>
      </c>
      <c r="BP1624" s="28">
        <f t="shared" si="158"/>
        <v>0</v>
      </c>
    </row>
    <row r="1625" spans="52:68" x14ac:dyDescent="0.25">
      <c r="AZ1625" s="471"/>
      <c r="BA1625" s="181"/>
      <c r="BB1625" s="182"/>
      <c r="BC1625" s="209"/>
      <c r="BD1625" s="182"/>
      <c r="BE1625" s="209"/>
      <c r="BF1625" s="182"/>
      <c r="BG1625" s="209"/>
      <c r="BH1625" s="182"/>
      <c r="BI1625" s="209"/>
      <c r="BJ1625" s="183"/>
      <c r="BK1625" s="209"/>
      <c r="BL1625" s="182"/>
      <c r="BM1625" s="210"/>
      <c r="BO1625" s="28" t="e">
        <f t="shared" si="157"/>
        <v>#DIV/0!</v>
      </c>
      <c r="BP1625" s="28">
        <f t="shared" si="158"/>
        <v>0</v>
      </c>
    </row>
    <row r="1626" spans="52:68" x14ac:dyDescent="0.25">
      <c r="AZ1626" s="471"/>
      <c r="BA1626" s="181"/>
      <c r="BB1626" s="182"/>
      <c r="BC1626" s="209"/>
      <c r="BD1626" s="182"/>
      <c r="BE1626" s="209"/>
      <c r="BF1626" s="182"/>
      <c r="BG1626" s="209"/>
      <c r="BH1626" s="182"/>
      <c r="BI1626" s="209"/>
      <c r="BJ1626" s="183"/>
      <c r="BK1626" s="209"/>
      <c r="BL1626" s="182"/>
      <c r="BM1626" s="210"/>
      <c r="BO1626" s="28" t="e">
        <f t="shared" si="157"/>
        <v>#DIV/0!</v>
      </c>
      <c r="BP1626" s="28">
        <f t="shared" si="158"/>
        <v>0</v>
      </c>
    </row>
    <row r="1627" spans="52:68" x14ac:dyDescent="0.25">
      <c r="AZ1627" s="471"/>
      <c r="BA1627" s="181"/>
      <c r="BB1627" s="182"/>
      <c r="BC1627" s="209"/>
      <c r="BD1627" s="182"/>
      <c r="BE1627" s="209"/>
      <c r="BF1627" s="182"/>
      <c r="BG1627" s="209"/>
      <c r="BH1627" s="182"/>
      <c r="BI1627" s="209"/>
      <c r="BJ1627" s="183"/>
      <c r="BK1627" s="209"/>
      <c r="BL1627" s="182"/>
      <c r="BM1627" s="210"/>
      <c r="BO1627" s="28" t="e">
        <f t="shared" si="157"/>
        <v>#DIV/0!</v>
      </c>
      <c r="BP1627" s="28">
        <f t="shared" si="158"/>
        <v>0</v>
      </c>
    </row>
    <row r="1628" spans="52:68" x14ac:dyDescent="0.25">
      <c r="AZ1628" s="471"/>
      <c r="BA1628" s="181"/>
      <c r="BB1628" s="182"/>
      <c r="BC1628" s="209"/>
      <c r="BD1628" s="182"/>
      <c r="BE1628" s="209"/>
      <c r="BF1628" s="182"/>
      <c r="BG1628" s="209"/>
      <c r="BH1628" s="182"/>
      <c r="BI1628" s="209"/>
      <c r="BJ1628" s="183"/>
      <c r="BK1628" s="209"/>
      <c r="BL1628" s="182"/>
      <c r="BM1628" s="210"/>
      <c r="BO1628" s="28" t="e">
        <f t="shared" si="157"/>
        <v>#DIV/0!</v>
      </c>
      <c r="BP1628" s="28">
        <f t="shared" si="158"/>
        <v>0</v>
      </c>
    </row>
    <row r="1629" spans="52:68" x14ac:dyDescent="0.25">
      <c r="AZ1629" s="471"/>
      <c r="BA1629" s="181"/>
      <c r="BB1629" s="182"/>
      <c r="BC1629" s="209"/>
      <c r="BD1629" s="182"/>
      <c r="BE1629" s="209"/>
      <c r="BF1629" s="182"/>
      <c r="BG1629" s="209"/>
      <c r="BH1629" s="182"/>
      <c r="BI1629" s="209"/>
      <c r="BJ1629" s="183"/>
      <c r="BK1629" s="209"/>
      <c r="BL1629" s="182"/>
      <c r="BM1629" s="210"/>
      <c r="BO1629" s="28" t="e">
        <f t="shared" si="157"/>
        <v>#DIV/0!</v>
      </c>
      <c r="BP1629" s="28">
        <f t="shared" si="158"/>
        <v>0</v>
      </c>
    </row>
    <row r="1630" spans="52:68" x14ac:dyDescent="0.25">
      <c r="AZ1630" s="471"/>
      <c r="BA1630" s="181"/>
      <c r="BB1630" s="182"/>
      <c r="BC1630" s="209"/>
      <c r="BD1630" s="182"/>
      <c r="BE1630" s="209"/>
      <c r="BF1630" s="182"/>
      <c r="BG1630" s="209"/>
      <c r="BH1630" s="182"/>
      <c r="BI1630" s="209"/>
      <c r="BJ1630" s="183"/>
      <c r="BK1630" s="209"/>
      <c r="BL1630" s="182"/>
      <c r="BM1630" s="210"/>
      <c r="BO1630" s="28" t="e">
        <f t="shared" si="157"/>
        <v>#DIV/0!</v>
      </c>
      <c r="BP1630" s="28">
        <f t="shared" si="158"/>
        <v>0</v>
      </c>
    </row>
    <row r="1631" spans="52:68" x14ac:dyDescent="0.25">
      <c r="AZ1631" s="471"/>
      <c r="BA1631" s="181"/>
      <c r="BB1631" s="182"/>
      <c r="BC1631" s="209"/>
      <c r="BD1631" s="182"/>
      <c r="BE1631" s="209"/>
      <c r="BF1631" s="182"/>
      <c r="BG1631" s="209"/>
      <c r="BH1631" s="182"/>
      <c r="BI1631" s="209"/>
      <c r="BJ1631" s="183"/>
      <c r="BK1631" s="209"/>
      <c r="BL1631" s="182"/>
      <c r="BM1631" s="210"/>
      <c r="BO1631" s="28" t="e">
        <f t="shared" si="157"/>
        <v>#DIV/0!</v>
      </c>
      <c r="BP1631" s="28">
        <f t="shared" si="158"/>
        <v>0</v>
      </c>
    </row>
    <row r="1632" spans="52:68" x14ac:dyDescent="0.25">
      <c r="AZ1632" s="471"/>
      <c r="BA1632" s="181"/>
      <c r="BB1632" s="182"/>
      <c r="BC1632" s="209"/>
      <c r="BD1632" s="182"/>
      <c r="BE1632" s="209"/>
      <c r="BF1632" s="182"/>
      <c r="BG1632" s="209"/>
      <c r="BH1632" s="182"/>
      <c r="BI1632" s="209"/>
      <c r="BJ1632" s="183"/>
      <c r="BK1632" s="209"/>
      <c r="BL1632" s="182"/>
      <c r="BM1632" s="210"/>
      <c r="BO1632" s="28" t="e">
        <f t="shared" si="157"/>
        <v>#DIV/0!</v>
      </c>
      <c r="BP1632" s="28">
        <f t="shared" si="158"/>
        <v>0</v>
      </c>
    </row>
    <row r="1633" spans="52:68" x14ac:dyDescent="0.25">
      <c r="AZ1633" s="471"/>
      <c r="BA1633" s="181"/>
      <c r="BB1633" s="182"/>
      <c r="BC1633" s="209"/>
      <c r="BD1633" s="182"/>
      <c r="BE1633" s="209"/>
      <c r="BF1633" s="182"/>
      <c r="BG1633" s="209"/>
      <c r="BH1633" s="182"/>
      <c r="BI1633" s="209"/>
      <c r="BJ1633" s="183"/>
      <c r="BK1633" s="209"/>
      <c r="BL1633" s="182"/>
      <c r="BM1633" s="210"/>
      <c r="BO1633" s="28" t="e">
        <f t="shared" si="157"/>
        <v>#DIV/0!</v>
      </c>
      <c r="BP1633" s="28">
        <f t="shared" si="158"/>
        <v>0</v>
      </c>
    </row>
    <row r="1634" spans="52:68" x14ac:dyDescent="0.25">
      <c r="AZ1634" s="471"/>
      <c r="BA1634" s="181"/>
      <c r="BB1634" s="182"/>
      <c r="BC1634" s="209"/>
      <c r="BD1634" s="182"/>
      <c r="BE1634" s="209"/>
      <c r="BF1634" s="182"/>
      <c r="BG1634" s="209"/>
      <c r="BH1634" s="182"/>
      <c r="BI1634" s="209"/>
      <c r="BJ1634" s="183"/>
      <c r="BK1634" s="209"/>
      <c r="BL1634" s="182"/>
      <c r="BM1634" s="210"/>
      <c r="BO1634" s="28" t="e">
        <f t="shared" si="157"/>
        <v>#DIV/0!</v>
      </c>
      <c r="BP1634" s="28">
        <f t="shared" si="158"/>
        <v>0</v>
      </c>
    </row>
    <row r="1635" spans="52:68" x14ac:dyDescent="0.25">
      <c r="AZ1635" s="471"/>
      <c r="BA1635" s="181"/>
      <c r="BB1635" s="182"/>
      <c r="BC1635" s="209"/>
      <c r="BD1635" s="182"/>
      <c r="BE1635" s="209"/>
      <c r="BF1635" s="182"/>
      <c r="BG1635" s="209"/>
      <c r="BH1635" s="182"/>
      <c r="BI1635" s="209"/>
      <c r="BJ1635" s="183"/>
      <c r="BK1635" s="209"/>
      <c r="BL1635" s="182"/>
      <c r="BM1635" s="210"/>
      <c r="BO1635" s="28" t="e">
        <f t="shared" si="157"/>
        <v>#DIV/0!</v>
      </c>
      <c r="BP1635" s="28">
        <f t="shared" si="158"/>
        <v>0</v>
      </c>
    </row>
    <row r="1636" spans="52:68" x14ac:dyDescent="0.25">
      <c r="AZ1636" s="471"/>
      <c r="BA1636" s="181"/>
      <c r="BB1636" s="182"/>
      <c r="BC1636" s="209"/>
      <c r="BD1636" s="182"/>
      <c r="BE1636" s="209"/>
      <c r="BF1636" s="182"/>
      <c r="BG1636" s="209"/>
      <c r="BH1636" s="182"/>
      <c r="BI1636" s="209"/>
      <c r="BJ1636" s="183"/>
      <c r="BK1636" s="209"/>
      <c r="BL1636" s="182"/>
      <c r="BM1636" s="210"/>
      <c r="BO1636" s="28" t="e">
        <f t="shared" si="157"/>
        <v>#DIV/0!</v>
      </c>
      <c r="BP1636" s="28">
        <f t="shared" si="158"/>
        <v>0</v>
      </c>
    </row>
    <row r="1637" spans="52:68" x14ac:dyDescent="0.25">
      <c r="AZ1637" s="471"/>
      <c r="BA1637" s="181"/>
      <c r="BB1637" s="182"/>
      <c r="BC1637" s="209"/>
      <c r="BD1637" s="182"/>
      <c r="BE1637" s="209"/>
      <c r="BF1637" s="182"/>
      <c r="BG1637" s="209"/>
      <c r="BH1637" s="182"/>
      <c r="BI1637" s="209"/>
      <c r="BJ1637" s="183"/>
      <c r="BK1637" s="209"/>
      <c r="BL1637" s="182"/>
      <c r="BM1637" s="210"/>
      <c r="BO1637" s="28" t="e">
        <f t="shared" si="157"/>
        <v>#DIV/0!</v>
      </c>
      <c r="BP1637" s="28">
        <f t="shared" si="158"/>
        <v>0</v>
      </c>
    </row>
    <row r="1638" spans="52:68" x14ac:dyDescent="0.25">
      <c r="AZ1638" s="471"/>
      <c r="BA1638" s="181"/>
      <c r="BB1638" s="186"/>
      <c r="BC1638" s="209"/>
      <c r="BD1638" s="186"/>
      <c r="BE1638" s="209"/>
      <c r="BF1638" s="186"/>
      <c r="BG1638" s="209"/>
      <c r="BH1638" s="182"/>
      <c r="BI1638" s="209"/>
      <c r="BJ1638" s="183"/>
      <c r="BK1638" s="209"/>
      <c r="BL1638" s="182"/>
      <c r="BM1638" s="210"/>
      <c r="BO1638" s="28" t="e">
        <f t="shared" si="157"/>
        <v>#DIV/0!</v>
      </c>
      <c r="BP1638" s="28">
        <f t="shared" si="158"/>
        <v>0</v>
      </c>
    </row>
    <row r="1639" spans="52:68" x14ac:dyDescent="0.25">
      <c r="AZ1639" s="471"/>
      <c r="BA1639" s="181"/>
      <c r="BB1639" s="182"/>
      <c r="BC1639" s="209"/>
      <c r="BD1639" s="182"/>
      <c r="BE1639" s="209"/>
      <c r="BF1639" s="182"/>
      <c r="BG1639" s="209"/>
      <c r="BH1639" s="182"/>
      <c r="BI1639" s="209"/>
      <c r="BJ1639" s="183"/>
      <c r="BK1639" s="209"/>
      <c r="BL1639" s="182"/>
      <c r="BM1639" s="210"/>
      <c r="BO1639" s="28" t="e">
        <f t="shared" si="157"/>
        <v>#DIV/0!</v>
      </c>
      <c r="BP1639" s="28">
        <f t="shared" si="158"/>
        <v>0</v>
      </c>
    </row>
    <row r="1640" spans="52:68" x14ac:dyDescent="0.25">
      <c r="AZ1640" s="471"/>
      <c r="BA1640" s="181"/>
      <c r="BB1640" s="182"/>
      <c r="BC1640" s="209"/>
      <c r="BD1640" s="182"/>
      <c r="BE1640" s="209"/>
      <c r="BF1640" s="182"/>
      <c r="BG1640" s="209"/>
      <c r="BH1640" s="182"/>
      <c r="BI1640" s="209"/>
      <c r="BJ1640" s="183"/>
      <c r="BK1640" s="209"/>
      <c r="BL1640" s="182"/>
      <c r="BM1640" s="210"/>
      <c r="BO1640" s="28" t="e">
        <f t="shared" si="157"/>
        <v>#DIV/0!</v>
      </c>
      <c r="BP1640" s="28">
        <f t="shared" si="158"/>
        <v>0</v>
      </c>
    </row>
    <row r="1641" spans="52:68" x14ac:dyDescent="0.25">
      <c r="AZ1641" s="471"/>
      <c r="BA1641" s="181"/>
      <c r="BB1641" s="182"/>
      <c r="BC1641" s="209"/>
      <c r="BD1641" s="182"/>
      <c r="BE1641" s="209"/>
      <c r="BF1641" s="182"/>
      <c r="BG1641" s="209"/>
      <c r="BH1641" s="182"/>
      <c r="BI1641" s="209"/>
      <c r="BJ1641" s="183"/>
      <c r="BK1641" s="209"/>
      <c r="BL1641" s="182"/>
      <c r="BM1641" s="210"/>
      <c r="BO1641" s="28" t="e">
        <f t="shared" si="157"/>
        <v>#DIV/0!</v>
      </c>
      <c r="BP1641" s="28">
        <f t="shared" si="158"/>
        <v>0</v>
      </c>
    </row>
    <row r="1642" spans="52:68" x14ac:dyDescent="0.25">
      <c r="AZ1642" s="471"/>
      <c r="BA1642" s="181"/>
      <c r="BB1642" s="182"/>
      <c r="BC1642" s="209"/>
      <c r="BD1642" s="182"/>
      <c r="BE1642" s="209"/>
      <c r="BF1642" s="182"/>
      <c r="BG1642" s="209"/>
      <c r="BH1642" s="182"/>
      <c r="BI1642" s="209"/>
      <c r="BJ1642" s="183"/>
      <c r="BK1642" s="209"/>
      <c r="BL1642" s="182"/>
      <c r="BM1642" s="210"/>
      <c r="BO1642" s="28" t="e">
        <f t="shared" si="157"/>
        <v>#DIV/0!</v>
      </c>
      <c r="BP1642" s="28">
        <f t="shared" si="158"/>
        <v>0</v>
      </c>
    </row>
    <row r="1643" spans="52:68" x14ac:dyDescent="0.25">
      <c r="AZ1643" s="471"/>
      <c r="BA1643" s="181"/>
      <c r="BB1643" s="182"/>
      <c r="BC1643" s="209"/>
      <c r="BD1643" s="182"/>
      <c r="BE1643" s="209"/>
      <c r="BF1643" s="182"/>
      <c r="BG1643" s="209"/>
      <c r="BH1643" s="182"/>
      <c r="BI1643" s="209"/>
      <c r="BJ1643" s="183"/>
      <c r="BK1643" s="209"/>
      <c r="BL1643" s="182"/>
      <c r="BM1643" s="210"/>
      <c r="BO1643" s="28" t="e">
        <f t="shared" si="157"/>
        <v>#DIV/0!</v>
      </c>
      <c r="BP1643" s="28">
        <f t="shared" si="158"/>
        <v>0</v>
      </c>
    </row>
    <row r="1644" spans="52:68" x14ac:dyDescent="0.25">
      <c r="AZ1644" s="471"/>
      <c r="BA1644" s="181"/>
      <c r="BB1644" s="182"/>
      <c r="BC1644" s="209"/>
      <c r="BD1644" s="182"/>
      <c r="BE1644" s="209"/>
      <c r="BF1644" s="182"/>
      <c r="BG1644" s="209"/>
      <c r="BH1644" s="182"/>
      <c r="BI1644" s="209"/>
      <c r="BJ1644" s="183"/>
      <c r="BK1644" s="209"/>
      <c r="BL1644" s="182"/>
      <c r="BM1644" s="210"/>
      <c r="BO1644" s="28" t="e">
        <f t="shared" si="157"/>
        <v>#DIV/0!</v>
      </c>
      <c r="BP1644" s="28">
        <f t="shared" si="158"/>
        <v>0</v>
      </c>
    </row>
    <row r="1645" spans="52:68" x14ac:dyDescent="0.25">
      <c r="AZ1645" s="471"/>
      <c r="BA1645" s="181"/>
      <c r="BB1645" s="182"/>
      <c r="BC1645" s="209"/>
      <c r="BD1645" s="182"/>
      <c r="BE1645" s="209"/>
      <c r="BF1645" s="182"/>
      <c r="BG1645" s="209"/>
      <c r="BH1645" s="182"/>
      <c r="BI1645" s="209"/>
      <c r="BJ1645" s="183"/>
      <c r="BK1645" s="209"/>
      <c r="BL1645" s="182"/>
      <c r="BM1645" s="210"/>
      <c r="BO1645" s="28" t="e">
        <f t="shared" si="157"/>
        <v>#DIV/0!</v>
      </c>
      <c r="BP1645" s="28">
        <f t="shared" si="158"/>
        <v>0</v>
      </c>
    </row>
    <row r="1646" spans="52:68" x14ac:dyDescent="0.25">
      <c r="AZ1646" s="471"/>
      <c r="BA1646" s="181"/>
      <c r="BB1646" s="182"/>
      <c r="BC1646" s="209"/>
      <c r="BD1646" s="182"/>
      <c r="BE1646" s="209"/>
      <c r="BF1646" s="182"/>
      <c r="BG1646" s="209"/>
      <c r="BH1646" s="182"/>
      <c r="BI1646" s="209"/>
      <c r="BJ1646" s="183"/>
      <c r="BK1646" s="209"/>
      <c r="BL1646" s="182"/>
      <c r="BM1646" s="210"/>
      <c r="BO1646" s="28" t="e">
        <f t="shared" si="157"/>
        <v>#DIV/0!</v>
      </c>
      <c r="BP1646" s="28">
        <f t="shared" si="158"/>
        <v>0</v>
      </c>
    </row>
    <row r="1647" spans="52:68" x14ac:dyDescent="0.25">
      <c r="AZ1647" s="471"/>
      <c r="BA1647" s="181"/>
      <c r="BB1647" s="182"/>
      <c r="BC1647" s="209"/>
      <c r="BD1647" s="182"/>
      <c r="BE1647" s="209"/>
      <c r="BF1647" s="182"/>
      <c r="BG1647" s="209"/>
      <c r="BH1647" s="182"/>
      <c r="BI1647" s="209"/>
      <c r="BJ1647" s="183"/>
      <c r="BK1647" s="209"/>
      <c r="BL1647" s="182"/>
      <c r="BM1647" s="210"/>
      <c r="BO1647" s="28" t="e">
        <f t="shared" si="157"/>
        <v>#DIV/0!</v>
      </c>
      <c r="BP1647" s="28">
        <f t="shared" si="158"/>
        <v>0</v>
      </c>
    </row>
    <row r="1648" spans="52:68" x14ac:dyDescent="0.25">
      <c r="AZ1648" s="471"/>
      <c r="BA1648" s="181"/>
      <c r="BB1648" s="182"/>
      <c r="BC1648" s="209"/>
      <c r="BD1648" s="182"/>
      <c r="BE1648" s="209"/>
      <c r="BF1648" s="182"/>
      <c r="BG1648" s="209"/>
      <c r="BH1648" s="182"/>
      <c r="BI1648" s="209"/>
      <c r="BJ1648" s="183"/>
      <c r="BK1648" s="209"/>
      <c r="BL1648" s="182"/>
      <c r="BM1648" s="210"/>
      <c r="BO1648" s="28" t="e">
        <f t="shared" si="157"/>
        <v>#DIV/0!</v>
      </c>
      <c r="BP1648" s="28">
        <f t="shared" si="158"/>
        <v>0</v>
      </c>
    </row>
    <row r="1649" spans="52:68" x14ac:dyDescent="0.25">
      <c r="AZ1649" s="471"/>
      <c r="BA1649" s="181"/>
      <c r="BB1649" s="182"/>
      <c r="BC1649" s="209"/>
      <c r="BD1649" s="182"/>
      <c r="BE1649" s="209"/>
      <c r="BF1649" s="182"/>
      <c r="BG1649" s="209"/>
      <c r="BH1649" s="182"/>
      <c r="BI1649" s="209"/>
      <c r="BJ1649" s="183"/>
      <c r="BK1649" s="209"/>
      <c r="BL1649" s="182"/>
      <c r="BM1649" s="210"/>
      <c r="BO1649" s="28" t="e">
        <f t="shared" si="157"/>
        <v>#DIV/0!</v>
      </c>
      <c r="BP1649" s="28">
        <f t="shared" si="158"/>
        <v>0</v>
      </c>
    </row>
    <row r="1650" spans="52:68" x14ac:dyDescent="0.25">
      <c r="AZ1650" s="471"/>
      <c r="BA1650" s="181"/>
      <c r="BB1650" s="182"/>
      <c r="BC1650" s="209"/>
      <c r="BD1650" s="182"/>
      <c r="BE1650" s="209"/>
      <c r="BF1650" s="182"/>
      <c r="BG1650" s="209"/>
      <c r="BH1650" s="182"/>
      <c r="BI1650" s="209"/>
      <c r="BJ1650" s="183"/>
      <c r="BK1650" s="209"/>
      <c r="BL1650" s="182"/>
      <c r="BM1650" s="210"/>
      <c r="BO1650" s="28" t="e">
        <f t="shared" si="157"/>
        <v>#DIV/0!</v>
      </c>
      <c r="BP1650" s="28">
        <f t="shared" si="158"/>
        <v>0</v>
      </c>
    </row>
    <row r="1651" spans="52:68" x14ac:dyDescent="0.25">
      <c r="AZ1651" s="471"/>
      <c r="BA1651" s="181"/>
      <c r="BB1651" s="182"/>
      <c r="BC1651" s="209"/>
      <c r="BD1651" s="182"/>
      <c r="BE1651" s="209"/>
      <c r="BF1651" s="182"/>
      <c r="BG1651" s="209"/>
      <c r="BH1651" s="182"/>
      <c r="BI1651" s="209"/>
      <c r="BJ1651" s="183"/>
      <c r="BK1651" s="209"/>
      <c r="BL1651" s="182"/>
      <c r="BM1651" s="210"/>
      <c r="BO1651" s="28" t="e">
        <f t="shared" si="157"/>
        <v>#DIV/0!</v>
      </c>
      <c r="BP1651" s="28">
        <f t="shared" si="158"/>
        <v>0</v>
      </c>
    </row>
    <row r="1652" spans="52:68" x14ac:dyDescent="0.25">
      <c r="AZ1652" s="471"/>
      <c r="BA1652" s="181"/>
      <c r="BB1652" s="182"/>
      <c r="BC1652" s="209"/>
      <c r="BD1652" s="182"/>
      <c r="BE1652" s="209"/>
      <c r="BF1652" s="182"/>
      <c r="BG1652" s="209"/>
      <c r="BH1652" s="182"/>
      <c r="BI1652" s="209"/>
      <c r="BJ1652" s="183"/>
      <c r="BK1652" s="209"/>
      <c r="BL1652" s="182"/>
      <c r="BM1652" s="210"/>
      <c r="BO1652" s="28" t="e">
        <f t="shared" si="157"/>
        <v>#DIV/0!</v>
      </c>
      <c r="BP1652" s="28">
        <f t="shared" si="158"/>
        <v>0</v>
      </c>
    </row>
    <row r="1653" spans="52:68" x14ac:dyDescent="0.25">
      <c r="AZ1653" s="471"/>
      <c r="BA1653" s="181"/>
      <c r="BB1653" s="182"/>
      <c r="BC1653" s="209"/>
      <c r="BD1653" s="182"/>
      <c r="BE1653" s="209"/>
      <c r="BF1653" s="182"/>
      <c r="BG1653" s="209"/>
      <c r="BH1653" s="182"/>
      <c r="BI1653" s="209"/>
      <c r="BJ1653" s="183"/>
      <c r="BK1653" s="209"/>
      <c r="BL1653" s="182"/>
      <c r="BM1653" s="210"/>
      <c r="BO1653" s="28" t="e">
        <f t="shared" si="157"/>
        <v>#DIV/0!</v>
      </c>
      <c r="BP1653" s="28">
        <f t="shared" si="158"/>
        <v>0</v>
      </c>
    </row>
    <row r="1654" spans="52:68" x14ac:dyDescent="0.25">
      <c r="AZ1654" s="471"/>
      <c r="BA1654" s="181"/>
      <c r="BB1654" s="182"/>
      <c r="BC1654" s="209"/>
      <c r="BD1654" s="182"/>
      <c r="BE1654" s="209"/>
      <c r="BF1654" s="182"/>
      <c r="BG1654" s="209"/>
      <c r="BH1654" s="182"/>
      <c r="BI1654" s="209"/>
      <c r="BJ1654" s="183"/>
      <c r="BK1654" s="209"/>
      <c r="BL1654" s="182"/>
      <c r="BM1654" s="210"/>
      <c r="BO1654" s="28" t="e">
        <f t="shared" si="157"/>
        <v>#DIV/0!</v>
      </c>
      <c r="BP1654" s="28">
        <f t="shared" si="158"/>
        <v>0</v>
      </c>
    </row>
    <row r="1655" spans="52:68" x14ac:dyDescent="0.25">
      <c r="AZ1655" s="471"/>
      <c r="BA1655" s="181"/>
      <c r="BB1655" s="182"/>
      <c r="BC1655" s="209"/>
      <c r="BD1655" s="182"/>
      <c r="BE1655" s="209"/>
      <c r="BF1655" s="182"/>
      <c r="BG1655" s="209"/>
      <c r="BH1655" s="182"/>
      <c r="BI1655" s="209"/>
      <c r="BJ1655" s="183"/>
      <c r="BK1655" s="209"/>
      <c r="BL1655" s="182"/>
      <c r="BM1655" s="210"/>
      <c r="BO1655" s="28" t="e">
        <f t="shared" si="157"/>
        <v>#DIV/0!</v>
      </c>
      <c r="BP1655" s="28">
        <f t="shared" si="158"/>
        <v>0</v>
      </c>
    </row>
    <row r="1656" spans="52:68" x14ac:dyDescent="0.25">
      <c r="AZ1656" s="471"/>
      <c r="BA1656" s="181"/>
      <c r="BB1656" s="182"/>
      <c r="BC1656" s="209"/>
      <c r="BD1656" s="182"/>
      <c r="BE1656" s="209"/>
      <c r="BF1656" s="182"/>
      <c r="BG1656" s="209"/>
      <c r="BH1656" s="182"/>
      <c r="BI1656" s="209"/>
      <c r="BJ1656" s="183"/>
      <c r="BK1656" s="209"/>
      <c r="BL1656" s="182"/>
      <c r="BM1656" s="210"/>
      <c r="BO1656" s="28" t="e">
        <f t="shared" si="157"/>
        <v>#DIV/0!</v>
      </c>
      <c r="BP1656" s="28">
        <f t="shared" si="158"/>
        <v>0</v>
      </c>
    </row>
    <row r="1657" spans="52:68" x14ac:dyDescent="0.25">
      <c r="AZ1657" s="471"/>
      <c r="BA1657" s="181"/>
      <c r="BB1657" s="182"/>
      <c r="BC1657" s="209"/>
      <c r="BD1657" s="182"/>
      <c r="BE1657" s="209"/>
      <c r="BF1657" s="182"/>
      <c r="BG1657" s="209"/>
      <c r="BH1657" s="182"/>
      <c r="BI1657" s="209"/>
      <c r="BJ1657" s="183"/>
      <c r="BK1657" s="209"/>
      <c r="BL1657" s="182"/>
      <c r="BM1657" s="210"/>
      <c r="BO1657" s="28" t="e">
        <f t="shared" si="157"/>
        <v>#DIV/0!</v>
      </c>
      <c r="BP1657" s="28">
        <f t="shared" si="158"/>
        <v>0</v>
      </c>
    </row>
    <row r="1658" spans="52:68" x14ac:dyDescent="0.25">
      <c r="AZ1658" s="471"/>
      <c r="BA1658" s="181"/>
      <c r="BB1658" s="182"/>
      <c r="BC1658" s="209"/>
      <c r="BD1658" s="182"/>
      <c r="BE1658" s="209"/>
      <c r="BF1658" s="182"/>
      <c r="BG1658" s="209"/>
      <c r="BH1658" s="182"/>
      <c r="BI1658" s="209"/>
      <c r="BJ1658" s="183"/>
      <c r="BK1658" s="209"/>
      <c r="BL1658" s="182"/>
      <c r="BM1658" s="210"/>
      <c r="BO1658" s="28" t="e">
        <f t="shared" si="157"/>
        <v>#DIV/0!</v>
      </c>
      <c r="BP1658" s="28">
        <f t="shared" si="158"/>
        <v>0</v>
      </c>
    </row>
    <row r="1659" spans="52:68" x14ac:dyDescent="0.25">
      <c r="AZ1659" s="471"/>
      <c r="BA1659" s="181"/>
      <c r="BB1659" s="182"/>
      <c r="BC1659" s="209"/>
      <c r="BD1659" s="182"/>
      <c r="BE1659" s="209"/>
      <c r="BF1659" s="182"/>
      <c r="BG1659" s="209"/>
      <c r="BH1659" s="182"/>
      <c r="BI1659" s="209"/>
      <c r="BJ1659" s="183"/>
      <c r="BK1659" s="209"/>
      <c r="BL1659" s="182"/>
      <c r="BM1659" s="210"/>
      <c r="BO1659" s="28" t="e">
        <f t="shared" si="157"/>
        <v>#DIV/0!</v>
      </c>
      <c r="BP1659" s="28">
        <f t="shared" si="158"/>
        <v>0</v>
      </c>
    </row>
    <row r="1660" spans="52:68" x14ac:dyDescent="0.25">
      <c r="AZ1660" s="471"/>
      <c r="BA1660" s="181"/>
      <c r="BB1660" s="182"/>
      <c r="BC1660" s="209"/>
      <c r="BD1660" s="182"/>
      <c r="BE1660" s="209"/>
      <c r="BF1660" s="182"/>
      <c r="BG1660" s="209"/>
      <c r="BH1660" s="182"/>
      <c r="BI1660" s="209"/>
      <c r="BJ1660" s="183"/>
      <c r="BK1660" s="209"/>
      <c r="BL1660" s="182"/>
      <c r="BM1660" s="210"/>
      <c r="BO1660" s="28" t="e">
        <f t="shared" si="157"/>
        <v>#DIV/0!</v>
      </c>
      <c r="BP1660" s="28">
        <f t="shared" si="158"/>
        <v>0</v>
      </c>
    </row>
    <row r="1661" spans="52:68" x14ac:dyDescent="0.25">
      <c r="AZ1661" s="471"/>
      <c r="BA1661" s="181"/>
      <c r="BB1661" s="182"/>
      <c r="BC1661" s="209"/>
      <c r="BD1661" s="182"/>
      <c r="BE1661" s="209"/>
      <c r="BF1661" s="182"/>
      <c r="BG1661" s="209"/>
      <c r="BH1661" s="182"/>
      <c r="BI1661" s="209"/>
      <c r="BJ1661" s="183"/>
      <c r="BK1661" s="209"/>
      <c r="BL1661" s="182"/>
      <c r="BM1661" s="210"/>
      <c r="BO1661" s="28" t="e">
        <f t="shared" si="157"/>
        <v>#DIV/0!</v>
      </c>
      <c r="BP1661" s="28">
        <f t="shared" si="158"/>
        <v>0</v>
      </c>
    </row>
    <row r="1662" spans="52:68" x14ac:dyDescent="0.25">
      <c r="AZ1662" s="471"/>
      <c r="BA1662" s="181"/>
      <c r="BB1662" s="182"/>
      <c r="BC1662" s="209"/>
      <c r="BD1662" s="182"/>
      <c r="BE1662" s="209"/>
      <c r="BF1662" s="182"/>
      <c r="BG1662" s="209"/>
      <c r="BH1662" s="182"/>
      <c r="BI1662" s="209"/>
      <c r="BJ1662" s="183"/>
      <c r="BK1662" s="209"/>
      <c r="BL1662" s="182"/>
      <c r="BM1662" s="210"/>
      <c r="BO1662" s="28" t="e">
        <f t="shared" si="157"/>
        <v>#DIV/0!</v>
      </c>
      <c r="BP1662" s="28">
        <f t="shared" si="158"/>
        <v>0</v>
      </c>
    </row>
    <row r="1663" spans="52:68" x14ac:dyDescent="0.25">
      <c r="AZ1663" s="471"/>
      <c r="BA1663" s="181"/>
      <c r="BB1663" s="182"/>
      <c r="BC1663" s="209"/>
      <c r="BD1663" s="182"/>
      <c r="BE1663" s="209"/>
      <c r="BF1663" s="182"/>
      <c r="BG1663" s="209"/>
      <c r="BH1663" s="182"/>
      <c r="BI1663" s="209"/>
      <c r="BJ1663" s="183"/>
      <c r="BK1663" s="209"/>
      <c r="BL1663" s="182"/>
      <c r="BM1663" s="210"/>
      <c r="BO1663" s="28" t="e">
        <f t="shared" si="157"/>
        <v>#DIV/0!</v>
      </c>
      <c r="BP1663" s="28">
        <f t="shared" si="158"/>
        <v>0</v>
      </c>
    </row>
    <row r="1664" spans="52:68" x14ac:dyDescent="0.25">
      <c r="AZ1664" s="471"/>
      <c r="BA1664" s="181"/>
      <c r="BB1664" s="182"/>
      <c r="BC1664" s="209"/>
      <c r="BD1664" s="182"/>
      <c r="BE1664" s="209"/>
      <c r="BF1664" s="182"/>
      <c r="BG1664" s="209"/>
      <c r="BH1664" s="182"/>
      <c r="BI1664" s="209"/>
      <c r="BJ1664" s="183"/>
      <c r="BK1664" s="209"/>
      <c r="BL1664" s="182"/>
      <c r="BM1664" s="210"/>
      <c r="BO1664" s="28" t="e">
        <f t="shared" si="157"/>
        <v>#DIV/0!</v>
      </c>
      <c r="BP1664" s="28">
        <f t="shared" si="158"/>
        <v>0</v>
      </c>
    </row>
    <row r="1665" spans="52:68" x14ac:dyDescent="0.25">
      <c r="AZ1665" s="471"/>
      <c r="BA1665" s="181"/>
      <c r="BB1665" s="182"/>
      <c r="BC1665" s="209"/>
      <c r="BD1665" s="182"/>
      <c r="BE1665" s="209"/>
      <c r="BF1665" s="182"/>
      <c r="BG1665" s="209"/>
      <c r="BH1665" s="182"/>
      <c r="BI1665" s="209"/>
      <c r="BJ1665" s="183"/>
      <c r="BK1665" s="209"/>
      <c r="BL1665" s="182"/>
      <c r="BM1665" s="210"/>
      <c r="BO1665" s="28" t="e">
        <f t="shared" si="157"/>
        <v>#DIV/0!</v>
      </c>
      <c r="BP1665" s="28">
        <f t="shared" si="158"/>
        <v>0</v>
      </c>
    </row>
    <row r="1666" spans="52:68" x14ac:dyDescent="0.25">
      <c r="AZ1666" s="471"/>
      <c r="BA1666" s="181"/>
      <c r="BB1666" s="182"/>
      <c r="BC1666" s="209"/>
      <c r="BD1666" s="182"/>
      <c r="BE1666" s="209"/>
      <c r="BF1666" s="182"/>
      <c r="BG1666" s="209"/>
      <c r="BH1666" s="182"/>
      <c r="BI1666" s="209"/>
      <c r="BJ1666" s="183"/>
      <c r="BK1666" s="209"/>
      <c r="BL1666" s="182"/>
      <c r="BM1666" s="210"/>
      <c r="BO1666" s="28" t="e">
        <f t="shared" si="157"/>
        <v>#DIV/0!</v>
      </c>
      <c r="BP1666" s="28">
        <f t="shared" si="158"/>
        <v>0</v>
      </c>
    </row>
    <row r="1667" spans="52:68" x14ac:dyDescent="0.25">
      <c r="AZ1667" s="471"/>
      <c r="BA1667" s="181"/>
      <c r="BB1667" s="182"/>
      <c r="BC1667" s="209"/>
      <c r="BD1667" s="182"/>
      <c r="BE1667" s="209"/>
      <c r="BF1667" s="182"/>
      <c r="BG1667" s="209"/>
      <c r="BH1667" s="182"/>
      <c r="BI1667" s="209"/>
      <c r="BJ1667" s="183"/>
      <c r="BK1667" s="209"/>
      <c r="BL1667" s="182"/>
      <c r="BM1667" s="210"/>
      <c r="BO1667" s="28" t="e">
        <f t="shared" si="157"/>
        <v>#DIV/0!</v>
      </c>
      <c r="BP1667" s="28">
        <f t="shared" si="158"/>
        <v>0</v>
      </c>
    </row>
    <row r="1668" spans="52:68" x14ac:dyDescent="0.25">
      <c r="AZ1668" s="471"/>
      <c r="BA1668" s="181"/>
      <c r="BB1668" s="182"/>
      <c r="BC1668" s="209"/>
      <c r="BD1668" s="182"/>
      <c r="BE1668" s="209"/>
      <c r="BF1668" s="182"/>
      <c r="BG1668" s="209"/>
      <c r="BH1668" s="182"/>
      <c r="BI1668" s="209"/>
      <c r="BJ1668" s="183"/>
      <c r="BK1668" s="209"/>
      <c r="BL1668" s="182"/>
      <c r="BM1668" s="210"/>
      <c r="BO1668" s="28" t="e">
        <f t="shared" si="157"/>
        <v>#DIV/0!</v>
      </c>
      <c r="BP1668" s="28">
        <f t="shared" si="158"/>
        <v>0</v>
      </c>
    </row>
    <row r="1669" spans="52:68" x14ac:dyDescent="0.25">
      <c r="AZ1669" s="471"/>
      <c r="BA1669" s="181"/>
      <c r="BB1669" s="182"/>
      <c r="BC1669" s="209"/>
      <c r="BD1669" s="182"/>
      <c r="BE1669" s="209"/>
      <c r="BF1669" s="182"/>
      <c r="BG1669" s="209"/>
      <c r="BH1669" s="182"/>
      <c r="BI1669" s="209"/>
      <c r="BJ1669" s="183"/>
      <c r="BK1669" s="209"/>
      <c r="BL1669" s="182"/>
      <c r="BM1669" s="210"/>
      <c r="BO1669" s="28" t="e">
        <f t="shared" si="157"/>
        <v>#DIV/0!</v>
      </c>
      <c r="BP1669" s="28">
        <f t="shared" si="158"/>
        <v>0</v>
      </c>
    </row>
    <row r="1670" spans="52:68" x14ac:dyDescent="0.25">
      <c r="AZ1670" s="471"/>
      <c r="BA1670" s="181"/>
      <c r="BB1670" s="182"/>
      <c r="BC1670" s="209"/>
      <c r="BD1670" s="182"/>
      <c r="BE1670" s="209"/>
      <c r="BF1670" s="182"/>
      <c r="BG1670" s="209"/>
      <c r="BH1670" s="182"/>
      <c r="BI1670" s="209"/>
      <c r="BJ1670" s="183"/>
      <c r="BK1670" s="209"/>
      <c r="BL1670" s="182"/>
      <c r="BM1670" s="210"/>
      <c r="BO1670" s="28" t="e">
        <f t="shared" si="157"/>
        <v>#DIV/0!</v>
      </c>
      <c r="BP1670" s="28">
        <f t="shared" si="158"/>
        <v>0</v>
      </c>
    </row>
    <row r="1671" spans="52:68" x14ac:dyDescent="0.25">
      <c r="AZ1671" s="471"/>
      <c r="BA1671" s="181"/>
      <c r="BB1671" s="182"/>
      <c r="BC1671" s="209"/>
      <c r="BD1671" s="182"/>
      <c r="BE1671" s="209"/>
      <c r="BF1671" s="182"/>
      <c r="BG1671" s="209"/>
      <c r="BH1671" s="182"/>
      <c r="BI1671" s="209"/>
      <c r="BJ1671" s="183"/>
      <c r="BK1671" s="209"/>
      <c r="BL1671" s="182"/>
      <c r="BM1671" s="210"/>
      <c r="BO1671" s="28" t="e">
        <f t="shared" si="157"/>
        <v>#DIV/0!</v>
      </c>
      <c r="BP1671" s="28">
        <f t="shared" si="158"/>
        <v>0</v>
      </c>
    </row>
    <row r="1672" spans="52:68" x14ac:dyDescent="0.25">
      <c r="AZ1672" s="471"/>
      <c r="BA1672" s="181"/>
      <c r="BB1672" s="182"/>
      <c r="BC1672" s="209"/>
      <c r="BD1672" s="182"/>
      <c r="BE1672" s="209"/>
      <c r="BF1672" s="182"/>
      <c r="BG1672" s="209"/>
      <c r="BH1672" s="182"/>
      <c r="BI1672" s="209"/>
      <c r="BJ1672" s="183"/>
      <c r="BK1672" s="209"/>
      <c r="BL1672" s="182"/>
      <c r="BM1672" s="210"/>
      <c r="BO1672" s="28" t="e">
        <f t="shared" si="157"/>
        <v>#DIV/0!</v>
      </c>
      <c r="BP1672" s="28">
        <f t="shared" si="158"/>
        <v>0</v>
      </c>
    </row>
    <row r="1673" spans="52:68" x14ac:dyDescent="0.25">
      <c r="AZ1673" s="471"/>
      <c r="BA1673" s="181"/>
      <c r="BB1673" s="182"/>
      <c r="BC1673" s="209"/>
      <c r="BD1673" s="182"/>
      <c r="BE1673" s="209"/>
      <c r="BF1673" s="182"/>
      <c r="BG1673" s="209"/>
      <c r="BH1673" s="182"/>
      <c r="BI1673" s="209"/>
      <c r="BJ1673" s="183"/>
      <c r="BK1673" s="209"/>
      <c r="BL1673" s="182"/>
      <c r="BM1673" s="210"/>
      <c r="BO1673" s="28" t="e">
        <f t="shared" ref="BO1673:BO1736" si="159">AVERAGE(BB1673:BM1673)</f>
        <v>#DIV/0!</v>
      </c>
      <c r="BP1673" s="28">
        <f t="shared" ref="BP1673:BP1736" si="160">SUM(BB1673:BM1673)</f>
        <v>0</v>
      </c>
    </row>
    <row r="1674" spans="52:68" x14ac:dyDescent="0.25">
      <c r="AZ1674" s="471"/>
      <c r="BA1674" s="181"/>
      <c r="BB1674" s="182"/>
      <c r="BC1674" s="209"/>
      <c r="BD1674" s="182"/>
      <c r="BE1674" s="209"/>
      <c r="BF1674" s="182"/>
      <c r="BG1674" s="209"/>
      <c r="BH1674" s="182"/>
      <c r="BI1674" s="209"/>
      <c r="BJ1674" s="183"/>
      <c r="BK1674" s="209"/>
      <c r="BL1674" s="182"/>
      <c r="BM1674" s="210"/>
      <c r="BO1674" s="28" t="e">
        <f t="shared" si="159"/>
        <v>#DIV/0!</v>
      </c>
      <c r="BP1674" s="28">
        <f t="shared" si="160"/>
        <v>0</v>
      </c>
    </row>
    <row r="1675" spans="52:68" x14ac:dyDescent="0.25">
      <c r="AZ1675" s="471"/>
      <c r="BA1675" s="181"/>
      <c r="BB1675" s="182"/>
      <c r="BC1675" s="209"/>
      <c r="BD1675" s="182"/>
      <c r="BE1675" s="209"/>
      <c r="BF1675" s="182"/>
      <c r="BG1675" s="209"/>
      <c r="BH1675" s="182"/>
      <c r="BI1675" s="209"/>
      <c r="BJ1675" s="183"/>
      <c r="BK1675" s="209"/>
      <c r="BL1675" s="182"/>
      <c r="BM1675" s="210"/>
      <c r="BO1675" s="28" t="e">
        <f t="shared" si="159"/>
        <v>#DIV/0!</v>
      </c>
      <c r="BP1675" s="28">
        <f t="shared" si="160"/>
        <v>0</v>
      </c>
    </row>
    <row r="1676" spans="52:68" x14ac:dyDescent="0.25">
      <c r="AZ1676" s="471"/>
      <c r="BA1676" s="181"/>
      <c r="BB1676" s="182"/>
      <c r="BC1676" s="209"/>
      <c r="BD1676" s="182"/>
      <c r="BE1676" s="209"/>
      <c r="BF1676" s="182"/>
      <c r="BG1676" s="209"/>
      <c r="BH1676" s="182"/>
      <c r="BI1676" s="209"/>
      <c r="BJ1676" s="183"/>
      <c r="BK1676" s="209"/>
      <c r="BL1676" s="182"/>
      <c r="BM1676" s="210"/>
      <c r="BO1676" s="28" t="e">
        <f t="shared" si="159"/>
        <v>#DIV/0!</v>
      </c>
      <c r="BP1676" s="28">
        <f t="shared" si="160"/>
        <v>0</v>
      </c>
    </row>
    <row r="1677" spans="52:68" x14ac:dyDescent="0.25">
      <c r="AZ1677" s="471"/>
      <c r="BA1677" s="181"/>
      <c r="BB1677" s="182"/>
      <c r="BC1677" s="209"/>
      <c r="BD1677" s="182"/>
      <c r="BE1677" s="209"/>
      <c r="BF1677" s="182"/>
      <c r="BG1677" s="209"/>
      <c r="BH1677" s="182"/>
      <c r="BI1677" s="209"/>
      <c r="BJ1677" s="183"/>
      <c r="BK1677" s="209"/>
      <c r="BL1677" s="182"/>
      <c r="BM1677" s="210"/>
      <c r="BO1677" s="28" t="e">
        <f t="shared" si="159"/>
        <v>#DIV/0!</v>
      </c>
      <c r="BP1677" s="28">
        <f t="shared" si="160"/>
        <v>0</v>
      </c>
    </row>
    <row r="1678" spans="52:68" x14ac:dyDescent="0.25">
      <c r="AZ1678" s="471"/>
      <c r="BA1678" s="181"/>
      <c r="BB1678" s="182"/>
      <c r="BC1678" s="209"/>
      <c r="BD1678" s="182"/>
      <c r="BE1678" s="209"/>
      <c r="BF1678" s="182"/>
      <c r="BG1678" s="209"/>
      <c r="BH1678" s="182"/>
      <c r="BI1678" s="209"/>
      <c r="BJ1678" s="183"/>
      <c r="BK1678" s="209"/>
      <c r="BL1678" s="182"/>
      <c r="BM1678" s="210"/>
      <c r="BO1678" s="28" t="e">
        <f t="shared" si="159"/>
        <v>#DIV/0!</v>
      </c>
      <c r="BP1678" s="28">
        <f t="shared" si="160"/>
        <v>0</v>
      </c>
    </row>
    <row r="1679" spans="52:68" x14ac:dyDescent="0.25">
      <c r="AZ1679" s="471"/>
      <c r="BA1679" s="181"/>
      <c r="BB1679" s="182"/>
      <c r="BC1679" s="209"/>
      <c r="BD1679" s="182"/>
      <c r="BE1679" s="209"/>
      <c r="BF1679" s="182"/>
      <c r="BG1679" s="209"/>
      <c r="BH1679" s="182"/>
      <c r="BI1679" s="209"/>
      <c r="BJ1679" s="183"/>
      <c r="BK1679" s="209"/>
      <c r="BL1679" s="182"/>
      <c r="BM1679" s="210"/>
      <c r="BO1679" s="28" t="e">
        <f t="shared" si="159"/>
        <v>#DIV/0!</v>
      </c>
      <c r="BP1679" s="28">
        <f t="shared" si="160"/>
        <v>0</v>
      </c>
    </row>
    <row r="1680" spans="52:68" x14ac:dyDescent="0.25">
      <c r="AZ1680" s="471"/>
      <c r="BA1680" s="181"/>
      <c r="BB1680" s="182"/>
      <c r="BC1680" s="209"/>
      <c r="BD1680" s="182"/>
      <c r="BE1680" s="209"/>
      <c r="BF1680" s="182"/>
      <c r="BG1680" s="209"/>
      <c r="BH1680" s="182"/>
      <c r="BI1680" s="209"/>
      <c r="BJ1680" s="183"/>
      <c r="BK1680" s="209"/>
      <c r="BL1680" s="182"/>
      <c r="BM1680" s="210"/>
      <c r="BO1680" s="28" t="e">
        <f t="shared" si="159"/>
        <v>#DIV/0!</v>
      </c>
      <c r="BP1680" s="28">
        <f t="shared" si="160"/>
        <v>0</v>
      </c>
    </row>
    <row r="1681" spans="52:68" x14ac:dyDescent="0.25">
      <c r="AZ1681" s="471"/>
      <c r="BA1681" s="181"/>
      <c r="BB1681" s="182"/>
      <c r="BC1681" s="209"/>
      <c r="BD1681" s="182"/>
      <c r="BE1681" s="209"/>
      <c r="BF1681" s="182"/>
      <c r="BG1681" s="209"/>
      <c r="BH1681" s="182"/>
      <c r="BI1681" s="209"/>
      <c r="BJ1681" s="183"/>
      <c r="BK1681" s="209"/>
      <c r="BL1681" s="182"/>
      <c r="BM1681" s="210"/>
      <c r="BO1681" s="28" t="e">
        <f t="shared" si="159"/>
        <v>#DIV/0!</v>
      </c>
      <c r="BP1681" s="28">
        <f t="shared" si="160"/>
        <v>0</v>
      </c>
    </row>
    <row r="1682" spans="52:68" x14ac:dyDescent="0.25">
      <c r="AZ1682" s="471"/>
      <c r="BA1682" s="181"/>
      <c r="BB1682" s="182"/>
      <c r="BC1682" s="209"/>
      <c r="BD1682" s="182"/>
      <c r="BE1682" s="209"/>
      <c r="BF1682" s="182"/>
      <c r="BG1682" s="209"/>
      <c r="BH1682" s="182"/>
      <c r="BI1682" s="209"/>
      <c r="BJ1682" s="183"/>
      <c r="BK1682" s="209"/>
      <c r="BL1682" s="182"/>
      <c r="BM1682" s="210"/>
      <c r="BO1682" s="28" t="e">
        <f t="shared" si="159"/>
        <v>#DIV/0!</v>
      </c>
      <c r="BP1682" s="28">
        <f t="shared" si="160"/>
        <v>0</v>
      </c>
    </row>
    <row r="1683" spans="52:68" x14ac:dyDescent="0.25">
      <c r="AZ1683" s="471"/>
      <c r="BA1683" s="181"/>
      <c r="BB1683" s="182"/>
      <c r="BC1683" s="209"/>
      <c r="BD1683" s="182"/>
      <c r="BE1683" s="209"/>
      <c r="BF1683" s="182"/>
      <c r="BG1683" s="209"/>
      <c r="BH1683" s="182"/>
      <c r="BI1683" s="209"/>
      <c r="BJ1683" s="183"/>
      <c r="BK1683" s="209"/>
      <c r="BL1683" s="182"/>
      <c r="BM1683" s="210"/>
      <c r="BO1683" s="28" t="e">
        <f t="shared" si="159"/>
        <v>#DIV/0!</v>
      </c>
      <c r="BP1683" s="28">
        <f t="shared" si="160"/>
        <v>0</v>
      </c>
    </row>
    <row r="1684" spans="52:68" x14ac:dyDescent="0.25">
      <c r="AZ1684" s="471"/>
      <c r="BA1684" s="181"/>
      <c r="BB1684" s="182"/>
      <c r="BC1684" s="209"/>
      <c r="BD1684" s="182"/>
      <c r="BE1684" s="209"/>
      <c r="BF1684" s="182"/>
      <c r="BG1684" s="209"/>
      <c r="BH1684" s="182"/>
      <c r="BI1684" s="209"/>
      <c r="BJ1684" s="183"/>
      <c r="BK1684" s="209"/>
      <c r="BL1684" s="182"/>
      <c r="BM1684" s="210"/>
      <c r="BO1684" s="28" t="e">
        <f t="shared" si="159"/>
        <v>#DIV/0!</v>
      </c>
      <c r="BP1684" s="28">
        <f t="shared" si="160"/>
        <v>0</v>
      </c>
    </row>
    <row r="1685" spans="52:68" x14ac:dyDescent="0.25">
      <c r="AZ1685" s="471"/>
      <c r="BA1685" s="181"/>
      <c r="BB1685" s="182"/>
      <c r="BC1685" s="209"/>
      <c r="BD1685" s="182"/>
      <c r="BE1685" s="209"/>
      <c r="BF1685" s="182"/>
      <c r="BG1685" s="209"/>
      <c r="BH1685" s="182"/>
      <c r="BI1685" s="209"/>
      <c r="BJ1685" s="183"/>
      <c r="BK1685" s="209"/>
      <c r="BL1685" s="182"/>
      <c r="BM1685" s="210"/>
      <c r="BO1685" s="28" t="e">
        <f t="shared" si="159"/>
        <v>#DIV/0!</v>
      </c>
      <c r="BP1685" s="28">
        <f t="shared" si="160"/>
        <v>0</v>
      </c>
    </row>
    <row r="1686" spans="52:68" x14ac:dyDescent="0.25">
      <c r="AZ1686" s="471"/>
      <c r="BA1686" s="181"/>
      <c r="BB1686" s="182"/>
      <c r="BC1686" s="209"/>
      <c r="BD1686" s="182"/>
      <c r="BE1686" s="209"/>
      <c r="BF1686" s="182"/>
      <c r="BG1686" s="209"/>
      <c r="BH1686" s="182"/>
      <c r="BI1686" s="209"/>
      <c r="BJ1686" s="183"/>
      <c r="BK1686" s="209"/>
      <c r="BL1686" s="182"/>
      <c r="BM1686" s="210"/>
      <c r="BO1686" s="28" t="e">
        <f t="shared" si="159"/>
        <v>#DIV/0!</v>
      </c>
      <c r="BP1686" s="28">
        <f t="shared" si="160"/>
        <v>0</v>
      </c>
    </row>
    <row r="1687" spans="52:68" x14ac:dyDescent="0.25">
      <c r="AZ1687" s="471"/>
      <c r="BA1687" s="181"/>
      <c r="BB1687" s="182"/>
      <c r="BC1687" s="209"/>
      <c r="BD1687" s="182"/>
      <c r="BE1687" s="209"/>
      <c r="BF1687" s="182"/>
      <c r="BG1687" s="209"/>
      <c r="BH1687" s="182"/>
      <c r="BI1687" s="209"/>
      <c r="BJ1687" s="183"/>
      <c r="BK1687" s="209"/>
      <c r="BL1687" s="182"/>
      <c r="BM1687" s="210"/>
      <c r="BO1687" s="28" t="e">
        <f t="shared" si="159"/>
        <v>#DIV/0!</v>
      </c>
      <c r="BP1687" s="28">
        <f t="shared" si="160"/>
        <v>0</v>
      </c>
    </row>
    <row r="1688" spans="52:68" x14ac:dyDescent="0.25">
      <c r="AZ1688" s="471"/>
      <c r="BA1688" s="181"/>
      <c r="BB1688" s="182"/>
      <c r="BC1688" s="209"/>
      <c r="BD1688" s="182"/>
      <c r="BE1688" s="209"/>
      <c r="BF1688" s="182"/>
      <c r="BG1688" s="209"/>
      <c r="BH1688" s="182"/>
      <c r="BI1688" s="209"/>
      <c r="BJ1688" s="183"/>
      <c r="BK1688" s="209"/>
      <c r="BL1688" s="182"/>
      <c r="BM1688" s="210"/>
      <c r="BO1688" s="28" t="e">
        <f t="shared" si="159"/>
        <v>#DIV/0!</v>
      </c>
      <c r="BP1688" s="28">
        <f t="shared" si="160"/>
        <v>0</v>
      </c>
    </row>
    <row r="1689" spans="52:68" x14ac:dyDescent="0.25">
      <c r="AZ1689" s="471"/>
      <c r="BA1689" s="181"/>
      <c r="BB1689" s="182"/>
      <c r="BC1689" s="209"/>
      <c r="BD1689" s="182"/>
      <c r="BE1689" s="209"/>
      <c r="BF1689" s="182"/>
      <c r="BG1689" s="209"/>
      <c r="BH1689" s="182"/>
      <c r="BI1689" s="209"/>
      <c r="BJ1689" s="183"/>
      <c r="BK1689" s="209"/>
      <c r="BL1689" s="182"/>
      <c r="BM1689" s="210"/>
      <c r="BO1689" s="28" t="e">
        <f t="shared" si="159"/>
        <v>#DIV/0!</v>
      </c>
      <c r="BP1689" s="28">
        <f t="shared" si="160"/>
        <v>0</v>
      </c>
    </row>
    <row r="1690" spans="52:68" x14ac:dyDescent="0.25">
      <c r="AZ1690" s="471"/>
      <c r="BA1690" s="181"/>
      <c r="BB1690" s="182"/>
      <c r="BC1690" s="209"/>
      <c r="BD1690" s="182"/>
      <c r="BE1690" s="209"/>
      <c r="BF1690" s="182"/>
      <c r="BG1690" s="209"/>
      <c r="BH1690" s="182"/>
      <c r="BI1690" s="209"/>
      <c r="BJ1690" s="183"/>
      <c r="BK1690" s="209"/>
      <c r="BL1690" s="182"/>
      <c r="BM1690" s="210"/>
      <c r="BO1690" s="28" t="e">
        <f t="shared" si="159"/>
        <v>#DIV/0!</v>
      </c>
      <c r="BP1690" s="28">
        <f t="shared" si="160"/>
        <v>0</v>
      </c>
    </row>
    <row r="1691" spans="52:68" x14ac:dyDescent="0.25">
      <c r="AZ1691" s="471"/>
      <c r="BA1691" s="181"/>
      <c r="BB1691" s="182"/>
      <c r="BC1691" s="209"/>
      <c r="BD1691" s="182"/>
      <c r="BE1691" s="209"/>
      <c r="BF1691" s="182"/>
      <c r="BG1691" s="209"/>
      <c r="BH1691" s="182"/>
      <c r="BI1691" s="209"/>
      <c r="BJ1691" s="183"/>
      <c r="BK1691" s="209"/>
      <c r="BL1691" s="182"/>
      <c r="BM1691" s="210"/>
      <c r="BO1691" s="28" t="e">
        <f t="shared" si="159"/>
        <v>#DIV/0!</v>
      </c>
      <c r="BP1691" s="28">
        <f t="shared" si="160"/>
        <v>0</v>
      </c>
    </row>
    <row r="1692" spans="52:68" x14ac:dyDescent="0.25">
      <c r="AZ1692" s="471"/>
      <c r="BA1692" s="181"/>
      <c r="BB1692" s="182"/>
      <c r="BC1692" s="209"/>
      <c r="BD1692" s="182"/>
      <c r="BE1692" s="209"/>
      <c r="BF1692" s="182"/>
      <c r="BG1692" s="209"/>
      <c r="BH1692" s="182"/>
      <c r="BI1692" s="209"/>
      <c r="BJ1692" s="183"/>
      <c r="BK1692" s="209"/>
      <c r="BL1692" s="182"/>
      <c r="BM1692" s="210"/>
      <c r="BO1692" s="28" t="e">
        <f t="shared" si="159"/>
        <v>#DIV/0!</v>
      </c>
      <c r="BP1692" s="28">
        <f t="shared" si="160"/>
        <v>0</v>
      </c>
    </row>
    <row r="1693" spans="52:68" x14ac:dyDescent="0.25">
      <c r="AZ1693" s="471"/>
      <c r="BA1693" s="181"/>
      <c r="BB1693" s="182"/>
      <c r="BC1693" s="209"/>
      <c r="BD1693" s="182"/>
      <c r="BE1693" s="209"/>
      <c r="BF1693" s="182"/>
      <c r="BG1693" s="209"/>
      <c r="BH1693" s="182"/>
      <c r="BI1693" s="209"/>
      <c r="BJ1693" s="183"/>
      <c r="BK1693" s="209"/>
      <c r="BL1693" s="182"/>
      <c r="BM1693" s="210"/>
      <c r="BO1693" s="28" t="e">
        <f t="shared" si="159"/>
        <v>#DIV/0!</v>
      </c>
      <c r="BP1693" s="28">
        <f t="shared" si="160"/>
        <v>0</v>
      </c>
    </row>
    <row r="1694" spans="52:68" x14ac:dyDescent="0.25">
      <c r="AZ1694" s="471"/>
      <c r="BA1694" s="181"/>
      <c r="BB1694" s="182"/>
      <c r="BC1694" s="209"/>
      <c r="BD1694" s="182"/>
      <c r="BE1694" s="209"/>
      <c r="BF1694" s="182"/>
      <c r="BG1694" s="209"/>
      <c r="BH1694" s="182"/>
      <c r="BI1694" s="209"/>
      <c r="BJ1694" s="183"/>
      <c r="BK1694" s="209"/>
      <c r="BL1694" s="182"/>
      <c r="BM1694" s="210"/>
      <c r="BO1694" s="28" t="e">
        <f t="shared" si="159"/>
        <v>#DIV/0!</v>
      </c>
      <c r="BP1694" s="28">
        <f t="shared" si="160"/>
        <v>0</v>
      </c>
    </row>
    <row r="1695" spans="52:68" x14ac:dyDescent="0.25">
      <c r="AZ1695" s="471"/>
      <c r="BA1695" s="181"/>
      <c r="BB1695" s="182"/>
      <c r="BC1695" s="209"/>
      <c r="BD1695" s="182"/>
      <c r="BE1695" s="209"/>
      <c r="BF1695" s="182"/>
      <c r="BG1695" s="209"/>
      <c r="BH1695" s="182"/>
      <c r="BI1695" s="209"/>
      <c r="BJ1695" s="183"/>
      <c r="BK1695" s="209"/>
      <c r="BL1695" s="182"/>
      <c r="BM1695" s="210"/>
      <c r="BO1695" s="28" t="e">
        <f t="shared" si="159"/>
        <v>#DIV/0!</v>
      </c>
      <c r="BP1695" s="28">
        <f t="shared" si="160"/>
        <v>0</v>
      </c>
    </row>
    <row r="1696" spans="52:68" x14ac:dyDescent="0.25">
      <c r="AZ1696" s="471"/>
      <c r="BA1696" s="181"/>
      <c r="BB1696" s="182"/>
      <c r="BC1696" s="209"/>
      <c r="BD1696" s="182"/>
      <c r="BE1696" s="209"/>
      <c r="BF1696" s="182"/>
      <c r="BG1696" s="209"/>
      <c r="BH1696" s="182"/>
      <c r="BI1696" s="209"/>
      <c r="BJ1696" s="183"/>
      <c r="BK1696" s="209"/>
      <c r="BL1696" s="182"/>
      <c r="BM1696" s="210"/>
      <c r="BO1696" s="28" t="e">
        <f t="shared" si="159"/>
        <v>#DIV/0!</v>
      </c>
      <c r="BP1696" s="28">
        <f t="shared" si="160"/>
        <v>0</v>
      </c>
    </row>
    <row r="1697" spans="52:68" x14ac:dyDescent="0.25">
      <c r="AZ1697" s="471"/>
      <c r="BA1697" s="181"/>
      <c r="BB1697" s="182"/>
      <c r="BC1697" s="209"/>
      <c r="BD1697" s="182"/>
      <c r="BE1697" s="209"/>
      <c r="BF1697" s="182"/>
      <c r="BG1697" s="209"/>
      <c r="BH1697" s="182"/>
      <c r="BI1697" s="209"/>
      <c r="BJ1697" s="183"/>
      <c r="BK1697" s="209"/>
      <c r="BL1697" s="182"/>
      <c r="BM1697" s="210"/>
      <c r="BO1697" s="28" t="e">
        <f t="shared" si="159"/>
        <v>#DIV/0!</v>
      </c>
      <c r="BP1697" s="28">
        <f t="shared" si="160"/>
        <v>0</v>
      </c>
    </row>
    <row r="1698" spans="52:68" x14ac:dyDescent="0.25">
      <c r="AZ1698" s="471"/>
      <c r="BA1698" s="181"/>
      <c r="BB1698" s="182"/>
      <c r="BC1698" s="209"/>
      <c r="BD1698" s="182"/>
      <c r="BE1698" s="209"/>
      <c r="BF1698" s="182"/>
      <c r="BG1698" s="209"/>
      <c r="BH1698" s="182"/>
      <c r="BI1698" s="209"/>
      <c r="BJ1698" s="183"/>
      <c r="BK1698" s="209"/>
      <c r="BL1698" s="182"/>
      <c r="BM1698" s="210"/>
      <c r="BO1698" s="28" t="e">
        <f t="shared" si="159"/>
        <v>#DIV/0!</v>
      </c>
      <c r="BP1698" s="28">
        <f t="shared" si="160"/>
        <v>0</v>
      </c>
    </row>
    <row r="1699" spans="52:68" x14ac:dyDescent="0.25">
      <c r="AZ1699" s="471"/>
      <c r="BA1699" s="181"/>
      <c r="BB1699" s="182"/>
      <c r="BC1699" s="209"/>
      <c r="BD1699" s="182"/>
      <c r="BE1699" s="209"/>
      <c r="BF1699" s="182"/>
      <c r="BG1699" s="209"/>
      <c r="BH1699" s="182"/>
      <c r="BI1699" s="209"/>
      <c r="BJ1699" s="183"/>
      <c r="BK1699" s="209"/>
      <c r="BL1699" s="182"/>
      <c r="BM1699" s="210"/>
      <c r="BO1699" s="28" t="e">
        <f t="shared" si="159"/>
        <v>#DIV/0!</v>
      </c>
      <c r="BP1699" s="28">
        <f t="shared" si="160"/>
        <v>0</v>
      </c>
    </row>
    <row r="1700" spans="52:68" x14ac:dyDescent="0.25">
      <c r="AZ1700" s="471"/>
      <c r="BA1700" s="181"/>
      <c r="BB1700" s="182"/>
      <c r="BC1700" s="209"/>
      <c r="BD1700" s="182"/>
      <c r="BE1700" s="209"/>
      <c r="BF1700" s="182"/>
      <c r="BG1700" s="209"/>
      <c r="BH1700" s="182"/>
      <c r="BI1700" s="209"/>
      <c r="BJ1700" s="183"/>
      <c r="BK1700" s="209"/>
      <c r="BL1700" s="182"/>
      <c r="BM1700" s="210"/>
      <c r="BO1700" s="28" t="e">
        <f t="shared" si="159"/>
        <v>#DIV/0!</v>
      </c>
      <c r="BP1700" s="28">
        <f t="shared" si="160"/>
        <v>0</v>
      </c>
    </row>
    <row r="1701" spans="52:68" x14ac:dyDescent="0.25">
      <c r="AZ1701" s="471"/>
      <c r="BA1701" s="181"/>
      <c r="BB1701" s="182"/>
      <c r="BC1701" s="209"/>
      <c r="BD1701" s="182"/>
      <c r="BE1701" s="209"/>
      <c r="BF1701" s="182"/>
      <c r="BG1701" s="209"/>
      <c r="BH1701" s="182"/>
      <c r="BI1701" s="209"/>
      <c r="BJ1701" s="183"/>
      <c r="BK1701" s="209"/>
      <c r="BL1701" s="182"/>
      <c r="BM1701" s="210"/>
      <c r="BO1701" s="28" t="e">
        <f t="shared" si="159"/>
        <v>#DIV/0!</v>
      </c>
      <c r="BP1701" s="28">
        <f t="shared" si="160"/>
        <v>0</v>
      </c>
    </row>
    <row r="1702" spans="52:68" x14ac:dyDescent="0.25">
      <c r="AZ1702" s="471"/>
      <c r="BA1702" s="181"/>
      <c r="BB1702" s="182"/>
      <c r="BC1702" s="209"/>
      <c r="BD1702" s="182"/>
      <c r="BE1702" s="209"/>
      <c r="BF1702" s="182"/>
      <c r="BG1702" s="209"/>
      <c r="BH1702" s="182"/>
      <c r="BI1702" s="209"/>
      <c r="BJ1702" s="183"/>
      <c r="BK1702" s="209"/>
      <c r="BL1702" s="182"/>
      <c r="BM1702" s="210"/>
      <c r="BO1702" s="28" t="e">
        <f t="shared" si="159"/>
        <v>#DIV/0!</v>
      </c>
      <c r="BP1702" s="28">
        <f t="shared" si="160"/>
        <v>0</v>
      </c>
    </row>
    <row r="1703" spans="52:68" x14ac:dyDescent="0.25">
      <c r="AZ1703" s="471"/>
      <c r="BA1703" s="181"/>
      <c r="BB1703" s="182"/>
      <c r="BC1703" s="209"/>
      <c r="BD1703" s="182"/>
      <c r="BE1703" s="209"/>
      <c r="BF1703" s="182"/>
      <c r="BG1703" s="209"/>
      <c r="BH1703" s="182"/>
      <c r="BI1703" s="209"/>
      <c r="BJ1703" s="183"/>
      <c r="BK1703" s="209"/>
      <c r="BL1703" s="182"/>
      <c r="BM1703" s="210"/>
      <c r="BO1703" s="28" t="e">
        <f t="shared" si="159"/>
        <v>#DIV/0!</v>
      </c>
      <c r="BP1703" s="28">
        <f t="shared" si="160"/>
        <v>0</v>
      </c>
    </row>
    <row r="1704" spans="52:68" x14ac:dyDescent="0.25">
      <c r="AZ1704" s="471"/>
      <c r="BA1704" s="181"/>
      <c r="BB1704" s="182"/>
      <c r="BC1704" s="209"/>
      <c r="BD1704" s="182"/>
      <c r="BE1704" s="209"/>
      <c r="BF1704" s="182"/>
      <c r="BG1704" s="209"/>
      <c r="BH1704" s="182"/>
      <c r="BI1704" s="209"/>
      <c r="BJ1704" s="183"/>
      <c r="BK1704" s="209"/>
      <c r="BL1704" s="182"/>
      <c r="BM1704" s="210"/>
      <c r="BO1704" s="28" t="e">
        <f t="shared" si="159"/>
        <v>#DIV/0!</v>
      </c>
      <c r="BP1704" s="28">
        <f t="shared" si="160"/>
        <v>0</v>
      </c>
    </row>
    <row r="1705" spans="52:68" x14ac:dyDescent="0.25">
      <c r="AZ1705" s="471"/>
      <c r="BA1705" s="181"/>
      <c r="BB1705" s="182"/>
      <c r="BC1705" s="209"/>
      <c r="BD1705" s="182"/>
      <c r="BE1705" s="209"/>
      <c r="BF1705" s="182"/>
      <c r="BG1705" s="209"/>
      <c r="BH1705" s="182"/>
      <c r="BI1705" s="209"/>
      <c r="BJ1705" s="183"/>
      <c r="BK1705" s="209"/>
      <c r="BL1705" s="182"/>
      <c r="BM1705" s="210"/>
      <c r="BO1705" s="28" t="e">
        <f t="shared" si="159"/>
        <v>#DIV/0!</v>
      </c>
      <c r="BP1705" s="28">
        <f t="shared" si="160"/>
        <v>0</v>
      </c>
    </row>
    <row r="1706" spans="52:68" x14ac:dyDescent="0.25">
      <c r="AZ1706" s="471"/>
      <c r="BA1706" s="181"/>
      <c r="BB1706" s="182"/>
      <c r="BC1706" s="209"/>
      <c r="BD1706" s="182"/>
      <c r="BE1706" s="209"/>
      <c r="BF1706" s="182"/>
      <c r="BG1706" s="209"/>
      <c r="BH1706" s="182"/>
      <c r="BI1706" s="209"/>
      <c r="BJ1706" s="183"/>
      <c r="BK1706" s="209"/>
      <c r="BL1706" s="182"/>
      <c r="BM1706" s="210"/>
      <c r="BO1706" s="28" t="e">
        <f t="shared" si="159"/>
        <v>#DIV/0!</v>
      </c>
      <c r="BP1706" s="28">
        <f t="shared" si="160"/>
        <v>0</v>
      </c>
    </row>
    <row r="1707" spans="52:68" x14ac:dyDescent="0.25">
      <c r="AZ1707" s="471"/>
      <c r="BA1707" s="181"/>
      <c r="BB1707" s="182"/>
      <c r="BC1707" s="209"/>
      <c r="BD1707" s="182"/>
      <c r="BE1707" s="209"/>
      <c r="BF1707" s="182"/>
      <c r="BG1707" s="209"/>
      <c r="BH1707" s="182"/>
      <c r="BI1707" s="209"/>
      <c r="BJ1707" s="183"/>
      <c r="BK1707" s="209"/>
      <c r="BL1707" s="182"/>
      <c r="BM1707" s="210"/>
      <c r="BO1707" s="28" t="e">
        <f t="shared" si="159"/>
        <v>#DIV/0!</v>
      </c>
      <c r="BP1707" s="28">
        <f t="shared" si="160"/>
        <v>0</v>
      </c>
    </row>
    <row r="1708" spans="52:68" x14ac:dyDescent="0.25">
      <c r="AZ1708" s="471"/>
      <c r="BA1708" s="181"/>
      <c r="BB1708" s="182"/>
      <c r="BC1708" s="209"/>
      <c r="BD1708" s="182"/>
      <c r="BE1708" s="209"/>
      <c r="BF1708" s="182"/>
      <c r="BG1708" s="209"/>
      <c r="BH1708" s="182"/>
      <c r="BI1708" s="209"/>
      <c r="BJ1708" s="183"/>
      <c r="BK1708" s="209"/>
      <c r="BL1708" s="182"/>
      <c r="BM1708" s="210"/>
      <c r="BO1708" s="28" t="e">
        <f t="shared" si="159"/>
        <v>#DIV/0!</v>
      </c>
      <c r="BP1708" s="28">
        <f t="shared" si="160"/>
        <v>0</v>
      </c>
    </row>
    <row r="1709" spans="52:68" x14ac:dyDescent="0.25">
      <c r="AZ1709" s="471"/>
      <c r="BA1709" s="181"/>
      <c r="BB1709" s="182"/>
      <c r="BC1709" s="209"/>
      <c r="BD1709" s="182"/>
      <c r="BE1709" s="209"/>
      <c r="BF1709" s="182"/>
      <c r="BG1709" s="209"/>
      <c r="BH1709" s="182"/>
      <c r="BI1709" s="209"/>
      <c r="BJ1709" s="183"/>
      <c r="BK1709" s="209"/>
      <c r="BL1709" s="182"/>
      <c r="BM1709" s="210"/>
      <c r="BO1709" s="28" t="e">
        <f t="shared" si="159"/>
        <v>#DIV/0!</v>
      </c>
      <c r="BP1709" s="28">
        <f t="shared" si="160"/>
        <v>0</v>
      </c>
    </row>
    <row r="1710" spans="52:68" x14ac:dyDescent="0.25">
      <c r="AZ1710" s="471"/>
      <c r="BA1710" s="181"/>
      <c r="BB1710" s="182"/>
      <c r="BC1710" s="209"/>
      <c r="BD1710" s="182"/>
      <c r="BE1710" s="209"/>
      <c r="BF1710" s="182"/>
      <c r="BG1710" s="209"/>
      <c r="BH1710" s="182"/>
      <c r="BI1710" s="209"/>
      <c r="BJ1710" s="183"/>
      <c r="BK1710" s="209"/>
      <c r="BL1710" s="182"/>
      <c r="BM1710" s="210"/>
      <c r="BO1710" s="28" t="e">
        <f t="shared" si="159"/>
        <v>#DIV/0!</v>
      </c>
      <c r="BP1710" s="28">
        <f t="shared" si="160"/>
        <v>0</v>
      </c>
    </row>
    <row r="1711" spans="52:68" x14ac:dyDescent="0.25">
      <c r="AZ1711" s="471"/>
      <c r="BA1711" s="181"/>
      <c r="BB1711" s="182"/>
      <c r="BC1711" s="209"/>
      <c r="BD1711" s="182"/>
      <c r="BE1711" s="209"/>
      <c r="BF1711" s="182"/>
      <c r="BG1711" s="209"/>
      <c r="BH1711" s="182"/>
      <c r="BI1711" s="209"/>
      <c r="BJ1711" s="183"/>
      <c r="BK1711" s="209"/>
      <c r="BL1711" s="182"/>
      <c r="BM1711" s="210"/>
      <c r="BO1711" s="28" t="e">
        <f t="shared" si="159"/>
        <v>#DIV/0!</v>
      </c>
      <c r="BP1711" s="28">
        <f t="shared" si="160"/>
        <v>0</v>
      </c>
    </row>
    <row r="1712" spans="52:68" x14ac:dyDescent="0.25">
      <c r="AZ1712" s="471"/>
      <c r="BA1712" s="181"/>
      <c r="BB1712" s="182"/>
      <c r="BC1712" s="209"/>
      <c r="BD1712" s="182"/>
      <c r="BE1712" s="209"/>
      <c r="BF1712" s="182"/>
      <c r="BG1712" s="209"/>
      <c r="BH1712" s="182"/>
      <c r="BI1712" s="209"/>
      <c r="BJ1712" s="183"/>
      <c r="BK1712" s="209"/>
      <c r="BL1712" s="182"/>
      <c r="BM1712" s="210"/>
      <c r="BO1712" s="28" t="e">
        <f t="shared" si="159"/>
        <v>#DIV/0!</v>
      </c>
      <c r="BP1712" s="28">
        <f t="shared" si="160"/>
        <v>0</v>
      </c>
    </row>
    <row r="1713" spans="52:68" x14ac:dyDescent="0.25">
      <c r="AZ1713" s="471"/>
      <c r="BA1713" s="181"/>
      <c r="BB1713" s="182"/>
      <c r="BC1713" s="209"/>
      <c r="BD1713" s="182"/>
      <c r="BE1713" s="209"/>
      <c r="BF1713" s="182"/>
      <c r="BG1713" s="209"/>
      <c r="BH1713" s="182"/>
      <c r="BI1713" s="209"/>
      <c r="BJ1713" s="183"/>
      <c r="BK1713" s="209"/>
      <c r="BL1713" s="182"/>
      <c r="BM1713" s="210"/>
      <c r="BO1713" s="28" t="e">
        <f t="shared" si="159"/>
        <v>#DIV/0!</v>
      </c>
      <c r="BP1713" s="28">
        <f t="shared" si="160"/>
        <v>0</v>
      </c>
    </row>
    <row r="1714" spans="52:68" x14ac:dyDescent="0.25">
      <c r="AZ1714" s="471"/>
      <c r="BA1714" s="181"/>
      <c r="BB1714" s="182"/>
      <c r="BC1714" s="209"/>
      <c r="BD1714" s="182"/>
      <c r="BE1714" s="209"/>
      <c r="BF1714" s="182"/>
      <c r="BG1714" s="209"/>
      <c r="BH1714" s="182"/>
      <c r="BI1714" s="209"/>
      <c r="BJ1714" s="183"/>
      <c r="BK1714" s="209"/>
      <c r="BL1714" s="182"/>
      <c r="BM1714" s="210"/>
      <c r="BO1714" s="28" t="e">
        <f t="shared" si="159"/>
        <v>#DIV/0!</v>
      </c>
      <c r="BP1714" s="28">
        <f t="shared" si="160"/>
        <v>0</v>
      </c>
    </row>
    <row r="1715" spans="52:68" x14ac:dyDescent="0.25">
      <c r="AZ1715" s="471"/>
      <c r="BA1715" s="181"/>
      <c r="BB1715" s="182"/>
      <c r="BC1715" s="209"/>
      <c r="BD1715" s="182"/>
      <c r="BE1715" s="209"/>
      <c r="BF1715" s="182"/>
      <c r="BG1715" s="209"/>
      <c r="BH1715" s="182"/>
      <c r="BI1715" s="209"/>
      <c r="BJ1715" s="183"/>
      <c r="BK1715" s="209"/>
      <c r="BL1715" s="182"/>
      <c r="BM1715" s="210"/>
      <c r="BO1715" s="28" t="e">
        <f t="shared" si="159"/>
        <v>#DIV/0!</v>
      </c>
      <c r="BP1715" s="28">
        <f t="shared" si="160"/>
        <v>0</v>
      </c>
    </row>
    <row r="1716" spans="52:68" x14ac:dyDescent="0.25">
      <c r="AZ1716" s="471"/>
      <c r="BA1716" s="181"/>
      <c r="BB1716" s="182"/>
      <c r="BC1716" s="209"/>
      <c r="BD1716" s="182"/>
      <c r="BE1716" s="209"/>
      <c r="BF1716" s="182"/>
      <c r="BG1716" s="209"/>
      <c r="BH1716" s="182"/>
      <c r="BI1716" s="209"/>
      <c r="BJ1716" s="183"/>
      <c r="BK1716" s="209"/>
      <c r="BL1716" s="182"/>
      <c r="BM1716" s="210"/>
      <c r="BO1716" s="28" t="e">
        <f t="shared" si="159"/>
        <v>#DIV/0!</v>
      </c>
      <c r="BP1716" s="28">
        <f t="shared" si="160"/>
        <v>0</v>
      </c>
    </row>
    <row r="1717" spans="52:68" x14ac:dyDescent="0.25">
      <c r="AZ1717" s="471"/>
      <c r="BA1717" s="181"/>
      <c r="BB1717" s="182"/>
      <c r="BC1717" s="209"/>
      <c r="BD1717" s="182"/>
      <c r="BE1717" s="209"/>
      <c r="BF1717" s="182"/>
      <c r="BG1717" s="209"/>
      <c r="BH1717" s="182"/>
      <c r="BI1717" s="209"/>
      <c r="BJ1717" s="183"/>
      <c r="BK1717" s="209"/>
      <c r="BL1717" s="182"/>
      <c r="BM1717" s="210"/>
      <c r="BO1717" s="28" t="e">
        <f t="shared" si="159"/>
        <v>#DIV/0!</v>
      </c>
      <c r="BP1717" s="28">
        <f t="shared" si="160"/>
        <v>0</v>
      </c>
    </row>
    <row r="1718" spans="52:68" x14ac:dyDescent="0.25">
      <c r="AZ1718" s="471"/>
      <c r="BA1718" s="181"/>
      <c r="BB1718" s="182"/>
      <c r="BC1718" s="209"/>
      <c r="BD1718" s="182"/>
      <c r="BE1718" s="209"/>
      <c r="BF1718" s="182"/>
      <c r="BG1718" s="209"/>
      <c r="BH1718" s="182"/>
      <c r="BI1718" s="209"/>
      <c r="BJ1718" s="183"/>
      <c r="BK1718" s="209"/>
      <c r="BL1718" s="182"/>
      <c r="BM1718" s="210"/>
      <c r="BO1718" s="28" t="e">
        <f t="shared" si="159"/>
        <v>#DIV/0!</v>
      </c>
      <c r="BP1718" s="28">
        <f t="shared" si="160"/>
        <v>0</v>
      </c>
    </row>
    <row r="1719" spans="52:68" x14ac:dyDescent="0.25">
      <c r="AZ1719" s="471"/>
      <c r="BA1719" s="181"/>
      <c r="BB1719" s="182"/>
      <c r="BC1719" s="209"/>
      <c r="BD1719" s="182"/>
      <c r="BE1719" s="209"/>
      <c r="BF1719" s="182"/>
      <c r="BG1719" s="209"/>
      <c r="BH1719" s="182"/>
      <c r="BI1719" s="209"/>
      <c r="BJ1719" s="183"/>
      <c r="BK1719" s="209"/>
      <c r="BL1719" s="182"/>
      <c r="BM1719" s="210"/>
      <c r="BO1719" s="28" t="e">
        <f t="shared" si="159"/>
        <v>#DIV/0!</v>
      </c>
      <c r="BP1719" s="28">
        <f t="shared" si="160"/>
        <v>0</v>
      </c>
    </row>
    <row r="1720" spans="52:68" x14ac:dyDescent="0.25">
      <c r="AZ1720" s="471"/>
      <c r="BA1720" s="181"/>
      <c r="BB1720" s="182"/>
      <c r="BC1720" s="209"/>
      <c r="BD1720" s="182"/>
      <c r="BE1720" s="209"/>
      <c r="BF1720" s="182"/>
      <c r="BG1720" s="209"/>
      <c r="BH1720" s="182"/>
      <c r="BI1720" s="209"/>
      <c r="BJ1720" s="183"/>
      <c r="BK1720" s="209"/>
      <c r="BL1720" s="182"/>
      <c r="BM1720" s="210"/>
      <c r="BO1720" s="28" t="e">
        <f t="shared" si="159"/>
        <v>#DIV/0!</v>
      </c>
      <c r="BP1720" s="28">
        <f t="shared" si="160"/>
        <v>0</v>
      </c>
    </row>
    <row r="1721" spans="52:68" x14ac:dyDescent="0.25">
      <c r="AZ1721" s="471"/>
      <c r="BA1721" s="181"/>
      <c r="BB1721" s="182"/>
      <c r="BC1721" s="209"/>
      <c r="BD1721" s="182"/>
      <c r="BE1721" s="209"/>
      <c r="BF1721" s="182"/>
      <c r="BG1721" s="209"/>
      <c r="BH1721" s="182"/>
      <c r="BI1721" s="209"/>
      <c r="BJ1721" s="183"/>
      <c r="BK1721" s="209"/>
      <c r="BL1721" s="182"/>
      <c r="BM1721" s="210"/>
      <c r="BO1721" s="28" t="e">
        <f t="shared" si="159"/>
        <v>#DIV/0!</v>
      </c>
      <c r="BP1721" s="28">
        <f t="shared" si="160"/>
        <v>0</v>
      </c>
    </row>
    <row r="1722" spans="52:68" x14ac:dyDescent="0.25">
      <c r="AZ1722" s="471"/>
      <c r="BA1722" s="181"/>
      <c r="BB1722" s="182"/>
      <c r="BC1722" s="209"/>
      <c r="BD1722" s="182"/>
      <c r="BE1722" s="209"/>
      <c r="BF1722" s="182"/>
      <c r="BG1722" s="209"/>
      <c r="BH1722" s="182"/>
      <c r="BI1722" s="209"/>
      <c r="BJ1722" s="183"/>
      <c r="BK1722" s="209"/>
      <c r="BL1722" s="182"/>
      <c r="BM1722" s="210"/>
      <c r="BO1722" s="28" t="e">
        <f t="shared" si="159"/>
        <v>#DIV/0!</v>
      </c>
      <c r="BP1722" s="28">
        <f t="shared" si="160"/>
        <v>0</v>
      </c>
    </row>
    <row r="1723" spans="52:68" x14ac:dyDescent="0.25">
      <c r="AZ1723" s="471"/>
      <c r="BA1723" s="181"/>
      <c r="BB1723" s="182"/>
      <c r="BC1723" s="209"/>
      <c r="BD1723" s="182"/>
      <c r="BE1723" s="209"/>
      <c r="BF1723" s="182"/>
      <c r="BG1723" s="209"/>
      <c r="BH1723" s="182"/>
      <c r="BI1723" s="209"/>
      <c r="BJ1723" s="183"/>
      <c r="BK1723" s="209"/>
      <c r="BL1723" s="182"/>
      <c r="BM1723" s="210"/>
      <c r="BO1723" s="28" t="e">
        <f t="shared" si="159"/>
        <v>#DIV/0!</v>
      </c>
      <c r="BP1723" s="28">
        <f t="shared" si="160"/>
        <v>0</v>
      </c>
    </row>
    <row r="1724" spans="52:68" x14ac:dyDescent="0.25">
      <c r="AZ1724" s="471"/>
      <c r="BA1724" s="181"/>
      <c r="BB1724" s="182"/>
      <c r="BC1724" s="209"/>
      <c r="BD1724" s="182"/>
      <c r="BE1724" s="209"/>
      <c r="BF1724" s="182"/>
      <c r="BG1724" s="209"/>
      <c r="BH1724" s="182"/>
      <c r="BI1724" s="209"/>
      <c r="BJ1724" s="183"/>
      <c r="BK1724" s="209"/>
      <c r="BL1724" s="182"/>
      <c r="BM1724" s="210"/>
      <c r="BO1724" s="28" t="e">
        <f t="shared" si="159"/>
        <v>#DIV/0!</v>
      </c>
      <c r="BP1724" s="28">
        <f t="shared" si="160"/>
        <v>0</v>
      </c>
    </row>
    <row r="1725" spans="52:68" x14ac:dyDescent="0.25">
      <c r="AZ1725" s="471"/>
      <c r="BA1725" s="181"/>
      <c r="BB1725" s="182"/>
      <c r="BC1725" s="209"/>
      <c r="BD1725" s="182"/>
      <c r="BE1725" s="209"/>
      <c r="BF1725" s="182"/>
      <c r="BG1725" s="209"/>
      <c r="BH1725" s="182"/>
      <c r="BI1725" s="209"/>
      <c r="BJ1725" s="183"/>
      <c r="BK1725" s="209"/>
      <c r="BL1725" s="182"/>
      <c r="BM1725" s="210"/>
      <c r="BO1725" s="28" t="e">
        <f t="shared" si="159"/>
        <v>#DIV/0!</v>
      </c>
      <c r="BP1725" s="28">
        <f t="shared" si="160"/>
        <v>0</v>
      </c>
    </row>
    <row r="1726" spans="52:68" x14ac:dyDescent="0.25">
      <c r="AZ1726" s="471"/>
      <c r="BA1726" s="181"/>
      <c r="BB1726" s="182"/>
      <c r="BC1726" s="209"/>
      <c r="BD1726" s="182"/>
      <c r="BE1726" s="209"/>
      <c r="BF1726" s="182"/>
      <c r="BG1726" s="209"/>
      <c r="BH1726" s="182"/>
      <c r="BI1726" s="209"/>
      <c r="BJ1726" s="183"/>
      <c r="BK1726" s="209"/>
      <c r="BL1726" s="182"/>
      <c r="BM1726" s="210"/>
      <c r="BO1726" s="28" t="e">
        <f t="shared" si="159"/>
        <v>#DIV/0!</v>
      </c>
      <c r="BP1726" s="28">
        <f t="shared" si="160"/>
        <v>0</v>
      </c>
    </row>
    <row r="1727" spans="52:68" x14ac:dyDescent="0.25">
      <c r="AZ1727" s="471"/>
      <c r="BA1727" s="181"/>
      <c r="BB1727" s="182"/>
      <c r="BC1727" s="209"/>
      <c r="BD1727" s="182"/>
      <c r="BE1727" s="209"/>
      <c r="BF1727" s="182"/>
      <c r="BG1727" s="209"/>
      <c r="BH1727" s="182"/>
      <c r="BI1727" s="209"/>
      <c r="BJ1727" s="183"/>
      <c r="BK1727" s="209"/>
      <c r="BL1727" s="182"/>
      <c r="BM1727" s="210"/>
      <c r="BO1727" s="28" t="e">
        <f t="shared" si="159"/>
        <v>#DIV/0!</v>
      </c>
      <c r="BP1727" s="28">
        <f t="shared" si="160"/>
        <v>0</v>
      </c>
    </row>
    <row r="1728" spans="52:68" x14ac:dyDescent="0.25">
      <c r="AZ1728" s="471"/>
      <c r="BA1728" s="181"/>
      <c r="BB1728" s="182"/>
      <c r="BC1728" s="209"/>
      <c r="BD1728" s="182"/>
      <c r="BE1728" s="209"/>
      <c r="BF1728" s="182"/>
      <c r="BG1728" s="209"/>
      <c r="BH1728" s="182"/>
      <c r="BI1728" s="209"/>
      <c r="BJ1728" s="183"/>
      <c r="BK1728" s="209"/>
      <c r="BL1728" s="182"/>
      <c r="BM1728" s="210"/>
      <c r="BO1728" s="28" t="e">
        <f t="shared" si="159"/>
        <v>#DIV/0!</v>
      </c>
      <c r="BP1728" s="28">
        <f t="shared" si="160"/>
        <v>0</v>
      </c>
    </row>
    <row r="1729" spans="52:68" x14ac:dyDescent="0.25">
      <c r="AZ1729" s="471"/>
      <c r="BA1729" s="181"/>
      <c r="BB1729" s="182"/>
      <c r="BC1729" s="209"/>
      <c r="BD1729" s="182"/>
      <c r="BE1729" s="209"/>
      <c r="BF1729" s="182"/>
      <c r="BG1729" s="209"/>
      <c r="BH1729" s="182"/>
      <c r="BI1729" s="209"/>
      <c r="BJ1729" s="183"/>
      <c r="BK1729" s="209"/>
      <c r="BL1729" s="182"/>
      <c r="BM1729" s="210"/>
      <c r="BO1729" s="28" t="e">
        <f t="shared" si="159"/>
        <v>#DIV/0!</v>
      </c>
      <c r="BP1729" s="28">
        <f t="shared" si="160"/>
        <v>0</v>
      </c>
    </row>
    <row r="1730" spans="52:68" x14ac:dyDescent="0.25">
      <c r="AZ1730" s="471"/>
      <c r="BA1730" s="181"/>
      <c r="BB1730" s="182"/>
      <c r="BC1730" s="209"/>
      <c r="BD1730" s="182"/>
      <c r="BE1730" s="209"/>
      <c r="BF1730" s="182"/>
      <c r="BG1730" s="209"/>
      <c r="BH1730" s="182"/>
      <c r="BI1730" s="209"/>
      <c r="BJ1730" s="183"/>
      <c r="BK1730" s="209"/>
      <c r="BL1730" s="182"/>
      <c r="BM1730" s="210"/>
      <c r="BO1730" s="28" t="e">
        <f t="shared" si="159"/>
        <v>#DIV/0!</v>
      </c>
      <c r="BP1730" s="28">
        <f t="shared" si="160"/>
        <v>0</v>
      </c>
    </row>
    <row r="1731" spans="52:68" x14ac:dyDescent="0.25">
      <c r="AZ1731" s="471"/>
      <c r="BA1731" s="181"/>
      <c r="BB1731" s="182"/>
      <c r="BC1731" s="209"/>
      <c r="BD1731" s="182"/>
      <c r="BE1731" s="209"/>
      <c r="BF1731" s="182"/>
      <c r="BG1731" s="209"/>
      <c r="BH1731" s="182"/>
      <c r="BI1731" s="209"/>
      <c r="BJ1731" s="183"/>
      <c r="BK1731" s="209"/>
      <c r="BL1731" s="182"/>
      <c r="BM1731" s="210"/>
      <c r="BO1731" s="28" t="e">
        <f t="shared" si="159"/>
        <v>#DIV/0!</v>
      </c>
      <c r="BP1731" s="28">
        <f t="shared" si="160"/>
        <v>0</v>
      </c>
    </row>
    <row r="1732" spans="52:68" x14ac:dyDescent="0.25">
      <c r="AZ1732" s="471"/>
      <c r="BA1732" s="181"/>
      <c r="BB1732" s="182"/>
      <c r="BC1732" s="209"/>
      <c r="BD1732" s="182"/>
      <c r="BE1732" s="209"/>
      <c r="BF1732" s="182"/>
      <c r="BG1732" s="209"/>
      <c r="BH1732" s="182"/>
      <c r="BI1732" s="209"/>
      <c r="BJ1732" s="183"/>
      <c r="BK1732" s="209"/>
      <c r="BL1732" s="182"/>
      <c r="BM1732" s="210"/>
      <c r="BO1732" s="28" t="e">
        <f t="shared" si="159"/>
        <v>#DIV/0!</v>
      </c>
      <c r="BP1732" s="28">
        <f t="shared" si="160"/>
        <v>0</v>
      </c>
    </row>
    <row r="1733" spans="52:68" x14ac:dyDescent="0.25">
      <c r="AZ1733" s="471"/>
      <c r="BA1733" s="181"/>
      <c r="BB1733" s="182"/>
      <c r="BC1733" s="209"/>
      <c r="BD1733" s="182"/>
      <c r="BE1733" s="209"/>
      <c r="BF1733" s="182"/>
      <c r="BG1733" s="209"/>
      <c r="BH1733" s="182"/>
      <c r="BI1733" s="209"/>
      <c r="BJ1733" s="183"/>
      <c r="BK1733" s="209"/>
      <c r="BL1733" s="182"/>
      <c r="BM1733" s="210"/>
      <c r="BO1733" s="28" t="e">
        <f t="shared" si="159"/>
        <v>#DIV/0!</v>
      </c>
      <c r="BP1733" s="28">
        <f t="shared" si="160"/>
        <v>0</v>
      </c>
    </row>
    <row r="1734" spans="52:68" x14ac:dyDescent="0.25">
      <c r="AZ1734" s="471"/>
      <c r="BA1734" s="181"/>
      <c r="BB1734" s="182"/>
      <c r="BC1734" s="209"/>
      <c r="BD1734" s="182"/>
      <c r="BE1734" s="209"/>
      <c r="BF1734" s="182"/>
      <c r="BG1734" s="209"/>
      <c r="BH1734" s="182"/>
      <c r="BI1734" s="209"/>
      <c r="BJ1734" s="183"/>
      <c r="BK1734" s="209"/>
      <c r="BL1734" s="182"/>
      <c r="BM1734" s="210"/>
      <c r="BO1734" s="28" t="e">
        <f t="shared" si="159"/>
        <v>#DIV/0!</v>
      </c>
      <c r="BP1734" s="28">
        <f t="shared" si="160"/>
        <v>0</v>
      </c>
    </row>
    <row r="1735" spans="52:68" x14ac:dyDescent="0.25">
      <c r="AZ1735" s="471"/>
      <c r="BA1735" s="181"/>
      <c r="BB1735" s="182"/>
      <c r="BC1735" s="209"/>
      <c r="BD1735" s="182"/>
      <c r="BE1735" s="209"/>
      <c r="BF1735" s="182"/>
      <c r="BG1735" s="209"/>
      <c r="BH1735" s="182"/>
      <c r="BI1735" s="209"/>
      <c r="BJ1735" s="183"/>
      <c r="BK1735" s="209"/>
      <c r="BL1735" s="182"/>
      <c r="BM1735" s="210"/>
      <c r="BO1735" s="28" t="e">
        <f t="shared" si="159"/>
        <v>#DIV/0!</v>
      </c>
      <c r="BP1735" s="28">
        <f t="shared" si="160"/>
        <v>0</v>
      </c>
    </row>
    <row r="1736" spans="52:68" x14ac:dyDescent="0.25">
      <c r="AZ1736" s="471"/>
      <c r="BA1736" s="181"/>
      <c r="BB1736" s="182"/>
      <c r="BC1736" s="209"/>
      <c r="BD1736" s="182"/>
      <c r="BE1736" s="209"/>
      <c r="BF1736" s="182"/>
      <c r="BG1736" s="209"/>
      <c r="BH1736" s="182"/>
      <c r="BI1736" s="209"/>
      <c r="BJ1736" s="183"/>
      <c r="BK1736" s="209"/>
      <c r="BL1736" s="182"/>
      <c r="BM1736" s="210"/>
      <c r="BO1736" s="28" t="e">
        <f t="shared" si="159"/>
        <v>#DIV/0!</v>
      </c>
      <c r="BP1736" s="28">
        <f t="shared" si="160"/>
        <v>0</v>
      </c>
    </row>
    <row r="1737" spans="52:68" x14ac:dyDescent="0.25">
      <c r="AZ1737" s="471"/>
      <c r="BA1737" s="181"/>
      <c r="BB1737" s="182"/>
      <c r="BC1737" s="209"/>
      <c r="BD1737" s="182"/>
      <c r="BE1737" s="209"/>
      <c r="BF1737" s="182"/>
      <c r="BG1737" s="209"/>
      <c r="BH1737" s="182"/>
      <c r="BI1737" s="209"/>
      <c r="BJ1737" s="183"/>
      <c r="BK1737" s="209"/>
      <c r="BL1737" s="182"/>
      <c r="BM1737" s="210"/>
      <c r="BO1737" s="28" t="e">
        <f t="shared" ref="BO1737:BO1800" si="161">AVERAGE(BB1737:BM1737)</f>
        <v>#DIV/0!</v>
      </c>
      <c r="BP1737" s="28">
        <f t="shared" ref="BP1737:BP1800" si="162">SUM(BB1737:BM1737)</f>
        <v>0</v>
      </c>
    </row>
    <row r="1738" spans="52:68" x14ac:dyDescent="0.25">
      <c r="AZ1738" s="471"/>
      <c r="BA1738" s="181"/>
      <c r="BB1738" s="182"/>
      <c r="BC1738" s="209"/>
      <c r="BD1738" s="182"/>
      <c r="BE1738" s="209"/>
      <c r="BF1738" s="182"/>
      <c r="BG1738" s="209"/>
      <c r="BH1738" s="182"/>
      <c r="BI1738" s="209"/>
      <c r="BJ1738" s="183"/>
      <c r="BK1738" s="209"/>
      <c r="BL1738" s="182"/>
      <c r="BM1738" s="210"/>
      <c r="BO1738" s="28" t="e">
        <f t="shared" si="161"/>
        <v>#DIV/0!</v>
      </c>
      <c r="BP1738" s="28">
        <f t="shared" si="162"/>
        <v>0</v>
      </c>
    </row>
    <row r="1739" spans="52:68" x14ac:dyDescent="0.25">
      <c r="AZ1739" s="471"/>
      <c r="BA1739" s="181"/>
      <c r="BB1739" s="182"/>
      <c r="BC1739" s="209"/>
      <c r="BD1739" s="182"/>
      <c r="BE1739" s="209"/>
      <c r="BF1739" s="182"/>
      <c r="BG1739" s="209"/>
      <c r="BH1739" s="182"/>
      <c r="BI1739" s="209"/>
      <c r="BJ1739" s="183"/>
      <c r="BK1739" s="209"/>
      <c r="BL1739" s="182"/>
      <c r="BM1739" s="210"/>
      <c r="BO1739" s="28" t="e">
        <f t="shared" si="161"/>
        <v>#DIV/0!</v>
      </c>
      <c r="BP1739" s="28">
        <f t="shared" si="162"/>
        <v>0</v>
      </c>
    </row>
    <row r="1740" spans="52:68" x14ac:dyDescent="0.25">
      <c r="AZ1740" s="471"/>
      <c r="BA1740" s="181"/>
      <c r="BB1740" s="182"/>
      <c r="BC1740" s="209"/>
      <c r="BD1740" s="182"/>
      <c r="BE1740" s="209"/>
      <c r="BF1740" s="182"/>
      <c r="BG1740" s="209"/>
      <c r="BH1740" s="182"/>
      <c r="BI1740" s="209"/>
      <c r="BJ1740" s="183"/>
      <c r="BK1740" s="209"/>
      <c r="BL1740" s="182"/>
      <c r="BM1740" s="210"/>
      <c r="BO1740" s="28" t="e">
        <f t="shared" si="161"/>
        <v>#DIV/0!</v>
      </c>
      <c r="BP1740" s="28">
        <f t="shared" si="162"/>
        <v>0</v>
      </c>
    </row>
    <row r="1741" spans="52:68" x14ac:dyDescent="0.25">
      <c r="AZ1741" s="471"/>
      <c r="BA1741" s="181"/>
      <c r="BB1741" s="182"/>
      <c r="BC1741" s="209"/>
      <c r="BD1741" s="182"/>
      <c r="BE1741" s="209"/>
      <c r="BF1741" s="182"/>
      <c r="BG1741" s="209"/>
      <c r="BH1741" s="182"/>
      <c r="BI1741" s="209"/>
      <c r="BJ1741" s="183"/>
      <c r="BK1741" s="209"/>
      <c r="BL1741" s="182"/>
      <c r="BM1741" s="210"/>
      <c r="BO1741" s="28" t="e">
        <f t="shared" si="161"/>
        <v>#DIV/0!</v>
      </c>
      <c r="BP1741" s="28">
        <f t="shared" si="162"/>
        <v>0</v>
      </c>
    </row>
    <row r="1742" spans="52:68" x14ac:dyDescent="0.25">
      <c r="AZ1742" s="471"/>
      <c r="BA1742" s="181"/>
      <c r="BB1742" s="182"/>
      <c r="BC1742" s="209"/>
      <c r="BD1742" s="182"/>
      <c r="BE1742" s="209"/>
      <c r="BF1742" s="182"/>
      <c r="BG1742" s="209"/>
      <c r="BH1742" s="182"/>
      <c r="BI1742" s="209"/>
      <c r="BJ1742" s="183"/>
      <c r="BK1742" s="209"/>
      <c r="BL1742" s="182"/>
      <c r="BM1742" s="210"/>
      <c r="BO1742" s="28" t="e">
        <f t="shared" si="161"/>
        <v>#DIV/0!</v>
      </c>
      <c r="BP1742" s="28">
        <f t="shared" si="162"/>
        <v>0</v>
      </c>
    </row>
    <row r="1743" spans="52:68" x14ac:dyDescent="0.25">
      <c r="AZ1743" s="471"/>
      <c r="BA1743" s="181"/>
      <c r="BB1743" s="182"/>
      <c r="BC1743" s="209"/>
      <c r="BD1743" s="182"/>
      <c r="BE1743" s="209"/>
      <c r="BF1743" s="182"/>
      <c r="BG1743" s="209"/>
      <c r="BH1743" s="182"/>
      <c r="BI1743" s="209"/>
      <c r="BJ1743" s="183"/>
      <c r="BK1743" s="209"/>
      <c r="BL1743" s="182"/>
      <c r="BM1743" s="210"/>
      <c r="BO1743" s="28" t="e">
        <f t="shared" si="161"/>
        <v>#DIV/0!</v>
      </c>
      <c r="BP1743" s="28">
        <f t="shared" si="162"/>
        <v>0</v>
      </c>
    </row>
    <row r="1744" spans="52:68" x14ac:dyDescent="0.25">
      <c r="AZ1744" s="471"/>
      <c r="BA1744" s="181"/>
      <c r="BB1744" s="182"/>
      <c r="BC1744" s="209"/>
      <c r="BD1744" s="182"/>
      <c r="BE1744" s="209"/>
      <c r="BF1744" s="182"/>
      <c r="BG1744" s="209"/>
      <c r="BH1744" s="182"/>
      <c r="BI1744" s="209"/>
      <c r="BJ1744" s="183"/>
      <c r="BK1744" s="209"/>
      <c r="BL1744" s="182"/>
      <c r="BM1744" s="210"/>
      <c r="BO1744" s="28" t="e">
        <f t="shared" si="161"/>
        <v>#DIV/0!</v>
      </c>
      <c r="BP1744" s="28">
        <f t="shared" si="162"/>
        <v>0</v>
      </c>
    </row>
    <row r="1745" spans="52:68" x14ac:dyDescent="0.25">
      <c r="AZ1745" s="471"/>
      <c r="BA1745" s="181"/>
      <c r="BB1745" s="182"/>
      <c r="BC1745" s="209"/>
      <c r="BD1745" s="182"/>
      <c r="BE1745" s="209"/>
      <c r="BF1745" s="182"/>
      <c r="BG1745" s="209"/>
      <c r="BH1745" s="182"/>
      <c r="BI1745" s="209"/>
      <c r="BJ1745" s="183"/>
      <c r="BK1745" s="209"/>
      <c r="BL1745" s="182"/>
      <c r="BM1745" s="210"/>
      <c r="BO1745" s="28" t="e">
        <f t="shared" si="161"/>
        <v>#DIV/0!</v>
      </c>
      <c r="BP1745" s="28">
        <f t="shared" si="162"/>
        <v>0</v>
      </c>
    </row>
    <row r="1746" spans="52:68" x14ac:dyDescent="0.25">
      <c r="AZ1746" s="471"/>
      <c r="BA1746" s="181"/>
      <c r="BB1746" s="182"/>
      <c r="BC1746" s="209"/>
      <c r="BD1746" s="182"/>
      <c r="BE1746" s="209"/>
      <c r="BF1746" s="182"/>
      <c r="BG1746" s="209"/>
      <c r="BH1746" s="182"/>
      <c r="BI1746" s="209"/>
      <c r="BJ1746" s="183"/>
      <c r="BK1746" s="209"/>
      <c r="BL1746" s="182"/>
      <c r="BM1746" s="210"/>
      <c r="BO1746" s="28" t="e">
        <f t="shared" si="161"/>
        <v>#DIV/0!</v>
      </c>
      <c r="BP1746" s="28">
        <f t="shared" si="162"/>
        <v>0</v>
      </c>
    </row>
    <row r="1747" spans="52:68" x14ac:dyDescent="0.25">
      <c r="AZ1747" s="471"/>
      <c r="BA1747" s="181"/>
      <c r="BB1747" s="182"/>
      <c r="BC1747" s="209"/>
      <c r="BD1747" s="182"/>
      <c r="BE1747" s="209"/>
      <c r="BF1747" s="182"/>
      <c r="BG1747" s="209"/>
      <c r="BH1747" s="182"/>
      <c r="BI1747" s="209"/>
      <c r="BJ1747" s="183"/>
      <c r="BK1747" s="209"/>
      <c r="BL1747" s="182"/>
      <c r="BM1747" s="210"/>
      <c r="BO1747" s="28" t="e">
        <f t="shared" si="161"/>
        <v>#DIV/0!</v>
      </c>
      <c r="BP1747" s="28">
        <f t="shared" si="162"/>
        <v>0</v>
      </c>
    </row>
    <row r="1748" spans="52:68" x14ac:dyDescent="0.25">
      <c r="AZ1748" s="471"/>
      <c r="BA1748" s="181"/>
      <c r="BB1748" s="182"/>
      <c r="BC1748" s="209"/>
      <c r="BD1748" s="182"/>
      <c r="BE1748" s="209"/>
      <c r="BF1748" s="182"/>
      <c r="BG1748" s="209"/>
      <c r="BH1748" s="182"/>
      <c r="BI1748" s="209"/>
      <c r="BJ1748" s="183"/>
      <c r="BK1748" s="209"/>
      <c r="BL1748" s="182"/>
      <c r="BM1748" s="210"/>
      <c r="BO1748" s="28" t="e">
        <f t="shared" si="161"/>
        <v>#DIV/0!</v>
      </c>
      <c r="BP1748" s="28">
        <f t="shared" si="162"/>
        <v>0</v>
      </c>
    </row>
    <row r="1749" spans="52:68" x14ac:dyDescent="0.25">
      <c r="AZ1749" s="471"/>
      <c r="BA1749" s="181"/>
      <c r="BB1749" s="182"/>
      <c r="BC1749" s="209"/>
      <c r="BD1749" s="182"/>
      <c r="BE1749" s="209"/>
      <c r="BF1749" s="182"/>
      <c r="BG1749" s="209"/>
      <c r="BH1749" s="182"/>
      <c r="BI1749" s="209"/>
      <c r="BJ1749" s="183"/>
      <c r="BK1749" s="209"/>
      <c r="BL1749" s="182"/>
      <c r="BM1749" s="210"/>
      <c r="BO1749" s="28" t="e">
        <f t="shared" si="161"/>
        <v>#DIV/0!</v>
      </c>
      <c r="BP1749" s="28">
        <f t="shared" si="162"/>
        <v>0</v>
      </c>
    </row>
    <row r="1750" spans="52:68" x14ac:dyDescent="0.25">
      <c r="AZ1750" s="471"/>
      <c r="BA1750" s="181"/>
      <c r="BB1750" s="182"/>
      <c r="BC1750" s="209"/>
      <c r="BD1750" s="182"/>
      <c r="BE1750" s="209"/>
      <c r="BF1750" s="182"/>
      <c r="BG1750" s="209"/>
      <c r="BH1750" s="182"/>
      <c r="BI1750" s="209"/>
      <c r="BJ1750" s="183"/>
      <c r="BK1750" s="209"/>
      <c r="BL1750" s="182"/>
      <c r="BM1750" s="210"/>
      <c r="BO1750" s="28" t="e">
        <f t="shared" si="161"/>
        <v>#DIV/0!</v>
      </c>
      <c r="BP1750" s="28">
        <f t="shared" si="162"/>
        <v>0</v>
      </c>
    </row>
    <row r="1751" spans="52:68" x14ac:dyDescent="0.25">
      <c r="AZ1751" s="471"/>
      <c r="BA1751" s="181"/>
      <c r="BB1751" s="182"/>
      <c r="BC1751" s="209"/>
      <c r="BD1751" s="182"/>
      <c r="BE1751" s="209"/>
      <c r="BF1751" s="182"/>
      <c r="BG1751" s="209"/>
      <c r="BH1751" s="182"/>
      <c r="BI1751" s="209"/>
      <c r="BJ1751" s="183"/>
      <c r="BK1751" s="209"/>
      <c r="BL1751" s="182"/>
      <c r="BM1751" s="210"/>
      <c r="BO1751" s="28" t="e">
        <f t="shared" si="161"/>
        <v>#DIV/0!</v>
      </c>
      <c r="BP1751" s="28">
        <f t="shared" si="162"/>
        <v>0</v>
      </c>
    </row>
    <row r="1752" spans="52:68" x14ac:dyDescent="0.25">
      <c r="AZ1752" s="471"/>
      <c r="BA1752" s="181"/>
      <c r="BB1752" s="182"/>
      <c r="BC1752" s="209"/>
      <c r="BD1752" s="182"/>
      <c r="BE1752" s="209"/>
      <c r="BF1752" s="182"/>
      <c r="BG1752" s="209"/>
      <c r="BH1752" s="182"/>
      <c r="BI1752" s="209"/>
      <c r="BJ1752" s="183"/>
      <c r="BK1752" s="209"/>
      <c r="BL1752" s="182"/>
      <c r="BM1752" s="210"/>
      <c r="BO1752" s="28" t="e">
        <f t="shared" si="161"/>
        <v>#DIV/0!</v>
      </c>
      <c r="BP1752" s="28">
        <f t="shared" si="162"/>
        <v>0</v>
      </c>
    </row>
    <row r="1753" spans="52:68" x14ac:dyDescent="0.25">
      <c r="AZ1753" s="471"/>
      <c r="BA1753" s="181"/>
      <c r="BB1753" s="182"/>
      <c r="BC1753" s="209"/>
      <c r="BD1753" s="182"/>
      <c r="BE1753" s="209"/>
      <c r="BF1753" s="182"/>
      <c r="BG1753" s="209"/>
      <c r="BH1753" s="182"/>
      <c r="BI1753" s="209"/>
      <c r="BJ1753" s="183"/>
      <c r="BK1753" s="209"/>
      <c r="BL1753" s="182"/>
      <c r="BM1753" s="210"/>
      <c r="BO1753" s="28" t="e">
        <f t="shared" si="161"/>
        <v>#DIV/0!</v>
      </c>
      <c r="BP1753" s="28">
        <f t="shared" si="162"/>
        <v>0</v>
      </c>
    </row>
    <row r="1754" spans="52:68" x14ac:dyDescent="0.25">
      <c r="AZ1754" s="471"/>
      <c r="BA1754" s="181"/>
      <c r="BB1754" s="182"/>
      <c r="BC1754" s="209"/>
      <c r="BD1754" s="182"/>
      <c r="BE1754" s="209"/>
      <c r="BF1754" s="182"/>
      <c r="BG1754" s="209"/>
      <c r="BH1754" s="182"/>
      <c r="BI1754" s="209"/>
      <c r="BJ1754" s="183"/>
      <c r="BK1754" s="209"/>
      <c r="BL1754" s="182"/>
      <c r="BM1754" s="210"/>
      <c r="BO1754" s="28" t="e">
        <f t="shared" si="161"/>
        <v>#DIV/0!</v>
      </c>
      <c r="BP1754" s="28">
        <f t="shared" si="162"/>
        <v>0</v>
      </c>
    </row>
    <row r="1755" spans="52:68" x14ac:dyDescent="0.25">
      <c r="AZ1755" s="471"/>
      <c r="BA1755" s="181"/>
      <c r="BB1755" s="182"/>
      <c r="BC1755" s="209"/>
      <c r="BD1755" s="182"/>
      <c r="BE1755" s="209"/>
      <c r="BF1755" s="182"/>
      <c r="BG1755" s="209"/>
      <c r="BH1755" s="182"/>
      <c r="BI1755" s="209"/>
      <c r="BJ1755" s="183"/>
      <c r="BK1755" s="209"/>
      <c r="BL1755" s="182"/>
      <c r="BM1755" s="210"/>
      <c r="BO1755" s="28" t="e">
        <f t="shared" si="161"/>
        <v>#DIV/0!</v>
      </c>
      <c r="BP1755" s="28">
        <f t="shared" si="162"/>
        <v>0</v>
      </c>
    </row>
    <row r="1756" spans="52:68" x14ac:dyDescent="0.25">
      <c r="AZ1756" s="471"/>
      <c r="BA1756" s="181"/>
      <c r="BB1756" s="182"/>
      <c r="BC1756" s="209"/>
      <c r="BD1756" s="182"/>
      <c r="BE1756" s="209"/>
      <c r="BF1756" s="182"/>
      <c r="BG1756" s="209"/>
      <c r="BH1756" s="182"/>
      <c r="BI1756" s="209"/>
      <c r="BJ1756" s="183"/>
      <c r="BK1756" s="209"/>
      <c r="BL1756" s="182"/>
      <c r="BM1756" s="210"/>
      <c r="BO1756" s="28" t="e">
        <f t="shared" si="161"/>
        <v>#DIV/0!</v>
      </c>
      <c r="BP1756" s="28">
        <f t="shared" si="162"/>
        <v>0</v>
      </c>
    </row>
    <row r="1757" spans="52:68" x14ac:dyDescent="0.25">
      <c r="AZ1757" s="471"/>
      <c r="BA1757" s="181"/>
      <c r="BB1757" s="182"/>
      <c r="BC1757" s="209"/>
      <c r="BD1757" s="182"/>
      <c r="BE1757" s="209"/>
      <c r="BF1757" s="182"/>
      <c r="BG1757" s="209"/>
      <c r="BH1757" s="182"/>
      <c r="BI1757" s="209"/>
      <c r="BJ1757" s="183"/>
      <c r="BK1757" s="209"/>
      <c r="BL1757" s="182"/>
      <c r="BM1757" s="210"/>
      <c r="BO1757" s="28" t="e">
        <f t="shared" si="161"/>
        <v>#DIV/0!</v>
      </c>
      <c r="BP1757" s="28">
        <f t="shared" si="162"/>
        <v>0</v>
      </c>
    </row>
    <row r="1758" spans="52:68" x14ac:dyDescent="0.25">
      <c r="AZ1758" s="471"/>
      <c r="BA1758" s="181"/>
      <c r="BB1758" s="182"/>
      <c r="BC1758" s="209"/>
      <c r="BD1758" s="182"/>
      <c r="BE1758" s="209"/>
      <c r="BF1758" s="182"/>
      <c r="BG1758" s="209"/>
      <c r="BH1758" s="182"/>
      <c r="BI1758" s="209"/>
      <c r="BJ1758" s="183"/>
      <c r="BK1758" s="209"/>
      <c r="BL1758" s="182"/>
      <c r="BM1758" s="210"/>
      <c r="BO1758" s="28" t="e">
        <f t="shared" si="161"/>
        <v>#DIV/0!</v>
      </c>
      <c r="BP1758" s="28">
        <f t="shared" si="162"/>
        <v>0</v>
      </c>
    </row>
    <row r="1759" spans="52:68" x14ac:dyDescent="0.25">
      <c r="AZ1759" s="471"/>
      <c r="BA1759" s="181"/>
      <c r="BB1759" s="182"/>
      <c r="BC1759" s="209"/>
      <c r="BD1759" s="182"/>
      <c r="BE1759" s="209"/>
      <c r="BF1759" s="182"/>
      <c r="BG1759" s="209"/>
      <c r="BH1759" s="182"/>
      <c r="BI1759" s="209"/>
      <c r="BJ1759" s="183"/>
      <c r="BK1759" s="209"/>
      <c r="BL1759" s="182"/>
      <c r="BM1759" s="210"/>
      <c r="BO1759" s="28" t="e">
        <f t="shared" si="161"/>
        <v>#DIV/0!</v>
      </c>
      <c r="BP1759" s="28">
        <f t="shared" si="162"/>
        <v>0</v>
      </c>
    </row>
    <row r="1760" spans="52:68" x14ac:dyDescent="0.25">
      <c r="AZ1760" s="471"/>
      <c r="BA1760" s="181"/>
      <c r="BB1760" s="182"/>
      <c r="BC1760" s="209"/>
      <c r="BD1760" s="182"/>
      <c r="BE1760" s="209"/>
      <c r="BF1760" s="182"/>
      <c r="BG1760" s="209"/>
      <c r="BH1760" s="182"/>
      <c r="BI1760" s="209"/>
      <c r="BJ1760" s="183"/>
      <c r="BK1760" s="209"/>
      <c r="BL1760" s="182"/>
      <c r="BM1760" s="210"/>
      <c r="BO1760" s="28" t="e">
        <f t="shared" si="161"/>
        <v>#DIV/0!</v>
      </c>
      <c r="BP1760" s="28">
        <f t="shared" si="162"/>
        <v>0</v>
      </c>
    </row>
    <row r="1761" spans="52:68" x14ac:dyDescent="0.25">
      <c r="AZ1761" s="471"/>
      <c r="BA1761" s="181"/>
      <c r="BB1761" s="182"/>
      <c r="BC1761" s="209"/>
      <c r="BD1761" s="182"/>
      <c r="BE1761" s="209"/>
      <c r="BF1761" s="182"/>
      <c r="BG1761" s="209"/>
      <c r="BH1761" s="182"/>
      <c r="BI1761" s="209"/>
      <c r="BJ1761" s="183"/>
      <c r="BK1761" s="209"/>
      <c r="BL1761" s="182"/>
      <c r="BM1761" s="210"/>
      <c r="BO1761" s="28" t="e">
        <f t="shared" si="161"/>
        <v>#DIV/0!</v>
      </c>
      <c r="BP1761" s="28">
        <f t="shared" si="162"/>
        <v>0</v>
      </c>
    </row>
    <row r="1762" spans="52:68" x14ac:dyDescent="0.25">
      <c r="AZ1762" s="471"/>
      <c r="BA1762" s="181"/>
      <c r="BB1762" s="182"/>
      <c r="BC1762" s="209"/>
      <c r="BD1762" s="182"/>
      <c r="BE1762" s="209"/>
      <c r="BF1762" s="182"/>
      <c r="BG1762" s="209"/>
      <c r="BH1762" s="182"/>
      <c r="BI1762" s="209"/>
      <c r="BJ1762" s="183"/>
      <c r="BK1762" s="209"/>
      <c r="BL1762" s="182"/>
      <c r="BM1762" s="210"/>
      <c r="BO1762" s="28" t="e">
        <f t="shared" si="161"/>
        <v>#DIV/0!</v>
      </c>
      <c r="BP1762" s="28">
        <f t="shared" si="162"/>
        <v>0</v>
      </c>
    </row>
    <row r="1763" spans="52:68" x14ac:dyDescent="0.25">
      <c r="AZ1763" s="471"/>
      <c r="BA1763" s="181"/>
      <c r="BB1763" s="182"/>
      <c r="BC1763" s="209"/>
      <c r="BD1763" s="182"/>
      <c r="BE1763" s="209"/>
      <c r="BF1763" s="182"/>
      <c r="BG1763" s="209"/>
      <c r="BH1763" s="182"/>
      <c r="BI1763" s="209"/>
      <c r="BJ1763" s="183"/>
      <c r="BK1763" s="209"/>
      <c r="BL1763" s="182"/>
      <c r="BM1763" s="210"/>
      <c r="BO1763" s="28" t="e">
        <f t="shared" si="161"/>
        <v>#DIV/0!</v>
      </c>
      <c r="BP1763" s="28">
        <f t="shared" si="162"/>
        <v>0</v>
      </c>
    </row>
    <row r="1764" spans="52:68" x14ac:dyDescent="0.25">
      <c r="AZ1764" s="471"/>
      <c r="BA1764" s="181"/>
      <c r="BB1764" s="182"/>
      <c r="BC1764" s="209"/>
      <c r="BD1764" s="182"/>
      <c r="BE1764" s="209"/>
      <c r="BF1764" s="182"/>
      <c r="BG1764" s="209"/>
      <c r="BH1764" s="182"/>
      <c r="BI1764" s="209"/>
      <c r="BJ1764" s="183"/>
      <c r="BK1764" s="209"/>
      <c r="BL1764" s="182"/>
      <c r="BM1764" s="210"/>
      <c r="BO1764" s="28" t="e">
        <f t="shared" si="161"/>
        <v>#DIV/0!</v>
      </c>
      <c r="BP1764" s="28">
        <f t="shared" si="162"/>
        <v>0</v>
      </c>
    </row>
    <row r="1765" spans="52:68" x14ac:dyDescent="0.25">
      <c r="AZ1765" s="471"/>
      <c r="BA1765" s="181"/>
      <c r="BB1765" s="182"/>
      <c r="BC1765" s="209"/>
      <c r="BD1765" s="182"/>
      <c r="BE1765" s="209"/>
      <c r="BF1765" s="182"/>
      <c r="BG1765" s="209"/>
      <c r="BH1765" s="182"/>
      <c r="BI1765" s="209"/>
      <c r="BJ1765" s="183"/>
      <c r="BK1765" s="209"/>
      <c r="BL1765" s="182"/>
      <c r="BM1765" s="210"/>
      <c r="BO1765" s="28" t="e">
        <f t="shared" si="161"/>
        <v>#DIV/0!</v>
      </c>
      <c r="BP1765" s="28">
        <f t="shared" si="162"/>
        <v>0</v>
      </c>
    </row>
    <row r="1766" spans="52:68" x14ac:dyDescent="0.25">
      <c r="AZ1766" s="471"/>
      <c r="BA1766" s="181"/>
      <c r="BB1766" s="182"/>
      <c r="BC1766" s="209"/>
      <c r="BD1766" s="182"/>
      <c r="BE1766" s="209"/>
      <c r="BF1766" s="182"/>
      <c r="BG1766" s="209"/>
      <c r="BH1766" s="182"/>
      <c r="BI1766" s="209"/>
      <c r="BJ1766" s="183"/>
      <c r="BK1766" s="209"/>
      <c r="BL1766" s="182"/>
      <c r="BM1766" s="210"/>
      <c r="BO1766" s="28" t="e">
        <f t="shared" si="161"/>
        <v>#DIV/0!</v>
      </c>
      <c r="BP1766" s="28">
        <f t="shared" si="162"/>
        <v>0</v>
      </c>
    </row>
    <row r="1767" spans="52:68" x14ac:dyDescent="0.25">
      <c r="AZ1767" s="471"/>
      <c r="BA1767" s="181"/>
      <c r="BB1767" s="182"/>
      <c r="BC1767" s="209"/>
      <c r="BD1767" s="182"/>
      <c r="BE1767" s="209"/>
      <c r="BF1767" s="182"/>
      <c r="BG1767" s="209"/>
      <c r="BH1767" s="182"/>
      <c r="BI1767" s="209"/>
      <c r="BJ1767" s="183"/>
      <c r="BK1767" s="209"/>
      <c r="BL1767" s="182"/>
      <c r="BM1767" s="210"/>
      <c r="BO1767" s="28" t="e">
        <f t="shared" si="161"/>
        <v>#DIV/0!</v>
      </c>
      <c r="BP1767" s="28">
        <f t="shared" si="162"/>
        <v>0</v>
      </c>
    </row>
    <row r="1768" spans="52:68" x14ac:dyDescent="0.25">
      <c r="AZ1768" s="471"/>
      <c r="BA1768" s="181"/>
      <c r="BB1768" s="182"/>
      <c r="BC1768" s="209"/>
      <c r="BD1768" s="182"/>
      <c r="BE1768" s="209"/>
      <c r="BF1768" s="182"/>
      <c r="BG1768" s="209"/>
      <c r="BH1768" s="182"/>
      <c r="BI1768" s="209"/>
      <c r="BJ1768" s="183"/>
      <c r="BK1768" s="209"/>
      <c r="BL1768" s="182"/>
      <c r="BM1768" s="210"/>
      <c r="BO1768" s="28" t="e">
        <f t="shared" si="161"/>
        <v>#DIV/0!</v>
      </c>
      <c r="BP1768" s="28">
        <f t="shared" si="162"/>
        <v>0</v>
      </c>
    </row>
    <row r="1769" spans="52:68" x14ac:dyDescent="0.25">
      <c r="AZ1769" s="471"/>
      <c r="BA1769" s="181"/>
      <c r="BB1769" s="182"/>
      <c r="BC1769" s="209"/>
      <c r="BD1769" s="182"/>
      <c r="BE1769" s="209"/>
      <c r="BF1769" s="182"/>
      <c r="BG1769" s="209"/>
      <c r="BH1769" s="182"/>
      <c r="BI1769" s="209"/>
      <c r="BJ1769" s="183"/>
      <c r="BK1769" s="209"/>
      <c r="BL1769" s="182"/>
      <c r="BM1769" s="210"/>
      <c r="BO1769" s="28" t="e">
        <f t="shared" si="161"/>
        <v>#DIV/0!</v>
      </c>
      <c r="BP1769" s="28">
        <f t="shared" si="162"/>
        <v>0</v>
      </c>
    </row>
    <row r="1770" spans="52:68" x14ac:dyDescent="0.25">
      <c r="AZ1770" s="471"/>
      <c r="BA1770" s="181"/>
      <c r="BB1770" s="182"/>
      <c r="BC1770" s="209"/>
      <c r="BD1770" s="182"/>
      <c r="BE1770" s="209"/>
      <c r="BF1770" s="182"/>
      <c r="BG1770" s="209"/>
      <c r="BH1770" s="182"/>
      <c r="BI1770" s="209"/>
      <c r="BJ1770" s="183"/>
      <c r="BK1770" s="209"/>
      <c r="BL1770" s="182"/>
      <c r="BM1770" s="210"/>
      <c r="BO1770" s="28" t="e">
        <f t="shared" si="161"/>
        <v>#DIV/0!</v>
      </c>
      <c r="BP1770" s="28">
        <f t="shared" si="162"/>
        <v>0</v>
      </c>
    </row>
    <row r="1771" spans="52:68" x14ac:dyDescent="0.25">
      <c r="AZ1771" s="471"/>
      <c r="BA1771" s="181"/>
      <c r="BB1771" s="182"/>
      <c r="BC1771" s="209"/>
      <c r="BD1771" s="182"/>
      <c r="BE1771" s="209"/>
      <c r="BF1771" s="182"/>
      <c r="BG1771" s="209"/>
      <c r="BH1771" s="182"/>
      <c r="BI1771" s="209"/>
      <c r="BJ1771" s="183"/>
      <c r="BK1771" s="209"/>
      <c r="BL1771" s="182"/>
      <c r="BM1771" s="210"/>
      <c r="BO1771" s="28" t="e">
        <f t="shared" si="161"/>
        <v>#DIV/0!</v>
      </c>
      <c r="BP1771" s="28">
        <f t="shared" si="162"/>
        <v>0</v>
      </c>
    </row>
    <row r="1772" spans="52:68" x14ac:dyDescent="0.25">
      <c r="AZ1772" s="471"/>
      <c r="BA1772" s="181"/>
      <c r="BB1772" s="182"/>
      <c r="BC1772" s="209"/>
      <c r="BD1772" s="182"/>
      <c r="BE1772" s="209"/>
      <c r="BF1772" s="182"/>
      <c r="BG1772" s="209"/>
      <c r="BH1772" s="182"/>
      <c r="BI1772" s="209"/>
      <c r="BJ1772" s="183"/>
      <c r="BK1772" s="209"/>
      <c r="BL1772" s="182"/>
      <c r="BM1772" s="210"/>
      <c r="BO1772" s="28" t="e">
        <f t="shared" si="161"/>
        <v>#DIV/0!</v>
      </c>
      <c r="BP1772" s="28">
        <f t="shared" si="162"/>
        <v>0</v>
      </c>
    </row>
    <row r="1773" spans="52:68" x14ac:dyDescent="0.25">
      <c r="AZ1773" s="471"/>
      <c r="BA1773" s="181"/>
      <c r="BB1773" s="182"/>
      <c r="BC1773" s="209"/>
      <c r="BD1773" s="182"/>
      <c r="BE1773" s="209"/>
      <c r="BF1773" s="182"/>
      <c r="BG1773" s="209"/>
      <c r="BH1773" s="182"/>
      <c r="BI1773" s="209"/>
      <c r="BJ1773" s="183"/>
      <c r="BK1773" s="209"/>
      <c r="BL1773" s="182"/>
      <c r="BM1773" s="210"/>
      <c r="BO1773" s="28" t="e">
        <f t="shared" si="161"/>
        <v>#DIV/0!</v>
      </c>
      <c r="BP1773" s="28">
        <f t="shared" si="162"/>
        <v>0</v>
      </c>
    </row>
    <row r="1774" spans="52:68" x14ac:dyDescent="0.25">
      <c r="AZ1774" s="471"/>
      <c r="BA1774" s="181"/>
      <c r="BB1774" s="182"/>
      <c r="BC1774" s="209"/>
      <c r="BD1774" s="182"/>
      <c r="BE1774" s="209"/>
      <c r="BF1774" s="182"/>
      <c r="BG1774" s="209"/>
      <c r="BH1774" s="182"/>
      <c r="BI1774" s="209"/>
      <c r="BJ1774" s="183"/>
      <c r="BK1774" s="209"/>
      <c r="BL1774" s="182"/>
      <c r="BM1774" s="210"/>
      <c r="BO1774" s="28" t="e">
        <f t="shared" si="161"/>
        <v>#DIV/0!</v>
      </c>
      <c r="BP1774" s="28">
        <f t="shared" si="162"/>
        <v>0</v>
      </c>
    </row>
    <row r="1775" spans="52:68" x14ac:dyDescent="0.25">
      <c r="AZ1775" s="471"/>
      <c r="BA1775" s="181"/>
      <c r="BB1775" s="182"/>
      <c r="BC1775" s="209"/>
      <c r="BD1775" s="182"/>
      <c r="BE1775" s="209"/>
      <c r="BF1775" s="182"/>
      <c r="BG1775" s="209"/>
      <c r="BH1775" s="182"/>
      <c r="BI1775" s="209"/>
      <c r="BJ1775" s="183"/>
      <c r="BK1775" s="209"/>
      <c r="BL1775" s="182"/>
      <c r="BM1775" s="210"/>
      <c r="BO1775" s="28" t="e">
        <f t="shared" si="161"/>
        <v>#DIV/0!</v>
      </c>
      <c r="BP1775" s="28">
        <f t="shared" si="162"/>
        <v>0</v>
      </c>
    </row>
    <row r="1776" spans="52:68" x14ac:dyDescent="0.25">
      <c r="AZ1776" s="471"/>
      <c r="BA1776" s="181"/>
      <c r="BB1776" s="182"/>
      <c r="BC1776" s="209"/>
      <c r="BD1776" s="182"/>
      <c r="BE1776" s="209"/>
      <c r="BF1776" s="182"/>
      <c r="BG1776" s="209"/>
      <c r="BH1776" s="182"/>
      <c r="BI1776" s="209"/>
      <c r="BJ1776" s="183"/>
      <c r="BK1776" s="209"/>
      <c r="BL1776" s="182"/>
      <c r="BM1776" s="210"/>
      <c r="BO1776" s="28" t="e">
        <f t="shared" si="161"/>
        <v>#DIV/0!</v>
      </c>
      <c r="BP1776" s="28">
        <f t="shared" si="162"/>
        <v>0</v>
      </c>
    </row>
    <row r="1777" spans="52:68" x14ac:dyDescent="0.25">
      <c r="AZ1777" s="471"/>
      <c r="BA1777" s="181"/>
      <c r="BB1777" s="182"/>
      <c r="BC1777" s="209"/>
      <c r="BD1777" s="182"/>
      <c r="BE1777" s="209"/>
      <c r="BF1777" s="182"/>
      <c r="BG1777" s="209"/>
      <c r="BH1777" s="182"/>
      <c r="BI1777" s="209"/>
      <c r="BJ1777" s="183"/>
      <c r="BK1777" s="209"/>
      <c r="BL1777" s="182"/>
      <c r="BM1777" s="210"/>
      <c r="BO1777" s="28" t="e">
        <f t="shared" si="161"/>
        <v>#DIV/0!</v>
      </c>
      <c r="BP1777" s="28">
        <f t="shared" si="162"/>
        <v>0</v>
      </c>
    </row>
    <row r="1778" spans="52:68" x14ac:dyDescent="0.25">
      <c r="AZ1778" s="471"/>
      <c r="BA1778" s="181"/>
      <c r="BB1778" s="182"/>
      <c r="BC1778" s="209"/>
      <c r="BD1778" s="182"/>
      <c r="BE1778" s="209"/>
      <c r="BF1778" s="182"/>
      <c r="BG1778" s="209"/>
      <c r="BH1778" s="182"/>
      <c r="BI1778" s="209"/>
      <c r="BJ1778" s="183"/>
      <c r="BK1778" s="209"/>
      <c r="BL1778" s="182"/>
      <c r="BM1778" s="210"/>
      <c r="BO1778" s="28" t="e">
        <f t="shared" si="161"/>
        <v>#DIV/0!</v>
      </c>
      <c r="BP1778" s="28">
        <f t="shared" si="162"/>
        <v>0</v>
      </c>
    </row>
    <row r="1779" spans="52:68" x14ac:dyDescent="0.25">
      <c r="AZ1779" s="471"/>
      <c r="BA1779" s="181"/>
      <c r="BB1779" s="182"/>
      <c r="BC1779" s="209"/>
      <c r="BD1779" s="182"/>
      <c r="BE1779" s="209"/>
      <c r="BF1779" s="182"/>
      <c r="BG1779" s="209"/>
      <c r="BH1779" s="182"/>
      <c r="BI1779" s="209"/>
      <c r="BJ1779" s="183"/>
      <c r="BK1779" s="209"/>
      <c r="BL1779" s="182"/>
      <c r="BM1779" s="210"/>
      <c r="BO1779" s="28" t="e">
        <f t="shared" si="161"/>
        <v>#DIV/0!</v>
      </c>
      <c r="BP1779" s="28">
        <f t="shared" si="162"/>
        <v>0</v>
      </c>
    </row>
    <row r="1780" spans="52:68" x14ac:dyDescent="0.25">
      <c r="AZ1780" s="471"/>
      <c r="BA1780" s="181"/>
      <c r="BB1780" s="182"/>
      <c r="BC1780" s="209"/>
      <c r="BD1780" s="182"/>
      <c r="BE1780" s="209"/>
      <c r="BF1780" s="182"/>
      <c r="BG1780" s="209"/>
      <c r="BH1780" s="182"/>
      <c r="BI1780" s="209"/>
      <c r="BJ1780" s="183"/>
      <c r="BK1780" s="209"/>
      <c r="BL1780" s="182"/>
      <c r="BM1780" s="210"/>
      <c r="BO1780" s="28" t="e">
        <f t="shared" si="161"/>
        <v>#DIV/0!</v>
      </c>
      <c r="BP1780" s="28">
        <f t="shared" si="162"/>
        <v>0</v>
      </c>
    </row>
    <row r="1781" spans="52:68" x14ac:dyDescent="0.25">
      <c r="AZ1781" s="471"/>
      <c r="BA1781" s="181"/>
      <c r="BB1781" s="182"/>
      <c r="BC1781" s="209"/>
      <c r="BD1781" s="182"/>
      <c r="BE1781" s="209"/>
      <c r="BF1781" s="182"/>
      <c r="BG1781" s="209"/>
      <c r="BH1781" s="182"/>
      <c r="BI1781" s="209"/>
      <c r="BJ1781" s="183"/>
      <c r="BK1781" s="209"/>
      <c r="BL1781" s="182"/>
      <c r="BM1781" s="210"/>
      <c r="BO1781" s="28" t="e">
        <f t="shared" si="161"/>
        <v>#DIV/0!</v>
      </c>
      <c r="BP1781" s="28">
        <f t="shared" si="162"/>
        <v>0</v>
      </c>
    </row>
    <row r="1782" spans="52:68" x14ac:dyDescent="0.25">
      <c r="AZ1782" s="471"/>
      <c r="BA1782" s="181"/>
      <c r="BB1782" s="182"/>
      <c r="BC1782" s="209"/>
      <c r="BD1782" s="182"/>
      <c r="BE1782" s="209"/>
      <c r="BF1782" s="182"/>
      <c r="BG1782" s="209"/>
      <c r="BH1782" s="182"/>
      <c r="BI1782" s="209"/>
      <c r="BJ1782" s="183"/>
      <c r="BK1782" s="209"/>
      <c r="BL1782" s="182"/>
      <c r="BM1782" s="210"/>
      <c r="BO1782" s="28" t="e">
        <f t="shared" si="161"/>
        <v>#DIV/0!</v>
      </c>
      <c r="BP1782" s="28">
        <f t="shared" si="162"/>
        <v>0</v>
      </c>
    </row>
    <row r="1783" spans="52:68" x14ac:dyDescent="0.25">
      <c r="AZ1783" s="471"/>
      <c r="BA1783" s="181"/>
      <c r="BB1783" s="182"/>
      <c r="BC1783" s="209"/>
      <c r="BD1783" s="182"/>
      <c r="BE1783" s="209"/>
      <c r="BF1783" s="182"/>
      <c r="BG1783" s="209"/>
      <c r="BH1783" s="182"/>
      <c r="BI1783" s="209"/>
      <c r="BJ1783" s="183"/>
      <c r="BK1783" s="209"/>
      <c r="BL1783" s="182"/>
      <c r="BM1783" s="210"/>
      <c r="BO1783" s="28" t="e">
        <f t="shared" si="161"/>
        <v>#DIV/0!</v>
      </c>
      <c r="BP1783" s="28">
        <f t="shared" si="162"/>
        <v>0</v>
      </c>
    </row>
    <row r="1784" spans="52:68" x14ac:dyDescent="0.25">
      <c r="AZ1784" s="471"/>
      <c r="BA1784" s="181"/>
      <c r="BB1784" s="182"/>
      <c r="BC1784" s="209"/>
      <c r="BD1784" s="182"/>
      <c r="BE1784" s="209"/>
      <c r="BF1784" s="182"/>
      <c r="BG1784" s="209"/>
      <c r="BH1784" s="182"/>
      <c r="BI1784" s="209"/>
      <c r="BJ1784" s="183"/>
      <c r="BK1784" s="209"/>
      <c r="BL1784" s="182"/>
      <c r="BM1784" s="210"/>
      <c r="BO1784" s="28" t="e">
        <f t="shared" si="161"/>
        <v>#DIV/0!</v>
      </c>
      <c r="BP1784" s="28">
        <f t="shared" si="162"/>
        <v>0</v>
      </c>
    </row>
    <row r="1785" spans="52:68" x14ac:dyDescent="0.25">
      <c r="AZ1785" s="471"/>
      <c r="BA1785" s="181"/>
      <c r="BB1785" s="182"/>
      <c r="BC1785" s="209"/>
      <c r="BD1785" s="182"/>
      <c r="BE1785" s="209"/>
      <c r="BF1785" s="182"/>
      <c r="BG1785" s="209"/>
      <c r="BH1785" s="182"/>
      <c r="BI1785" s="209"/>
      <c r="BJ1785" s="183"/>
      <c r="BK1785" s="209"/>
      <c r="BL1785" s="182"/>
      <c r="BM1785" s="210"/>
      <c r="BO1785" s="28" t="e">
        <f t="shared" si="161"/>
        <v>#DIV/0!</v>
      </c>
      <c r="BP1785" s="28">
        <f t="shared" si="162"/>
        <v>0</v>
      </c>
    </row>
    <row r="1786" spans="52:68" x14ac:dyDescent="0.25">
      <c r="AZ1786" s="471"/>
      <c r="BA1786" s="181"/>
      <c r="BB1786" s="182"/>
      <c r="BC1786" s="209"/>
      <c r="BD1786" s="182"/>
      <c r="BE1786" s="209"/>
      <c r="BF1786" s="182"/>
      <c r="BG1786" s="209"/>
      <c r="BH1786" s="182"/>
      <c r="BI1786" s="209"/>
      <c r="BJ1786" s="183"/>
      <c r="BK1786" s="209"/>
      <c r="BL1786" s="182"/>
      <c r="BM1786" s="210"/>
      <c r="BO1786" s="28" t="e">
        <f t="shared" si="161"/>
        <v>#DIV/0!</v>
      </c>
      <c r="BP1786" s="28">
        <f t="shared" si="162"/>
        <v>0</v>
      </c>
    </row>
    <row r="1787" spans="52:68" x14ac:dyDescent="0.25">
      <c r="AZ1787" s="471"/>
      <c r="BA1787" s="181"/>
      <c r="BB1787" s="182"/>
      <c r="BC1787" s="209"/>
      <c r="BD1787" s="182"/>
      <c r="BE1787" s="209"/>
      <c r="BF1787" s="182"/>
      <c r="BG1787" s="209"/>
      <c r="BH1787" s="182"/>
      <c r="BI1787" s="209"/>
      <c r="BJ1787" s="183"/>
      <c r="BK1787" s="209"/>
      <c r="BL1787" s="182"/>
      <c r="BM1787" s="210"/>
      <c r="BO1787" s="28" t="e">
        <f t="shared" si="161"/>
        <v>#DIV/0!</v>
      </c>
      <c r="BP1787" s="28">
        <f t="shared" si="162"/>
        <v>0</v>
      </c>
    </row>
    <row r="1788" spans="52:68" x14ac:dyDescent="0.25">
      <c r="AZ1788" s="471"/>
      <c r="BA1788" s="181"/>
      <c r="BB1788" s="182"/>
      <c r="BC1788" s="209"/>
      <c r="BD1788" s="182"/>
      <c r="BE1788" s="209"/>
      <c r="BF1788" s="182"/>
      <c r="BG1788" s="209"/>
      <c r="BH1788" s="182"/>
      <c r="BI1788" s="209"/>
      <c r="BJ1788" s="183"/>
      <c r="BK1788" s="209"/>
      <c r="BL1788" s="182"/>
      <c r="BM1788" s="210"/>
      <c r="BO1788" s="28" t="e">
        <f t="shared" si="161"/>
        <v>#DIV/0!</v>
      </c>
      <c r="BP1788" s="28">
        <f t="shared" si="162"/>
        <v>0</v>
      </c>
    </row>
    <row r="1789" spans="52:68" x14ac:dyDescent="0.25">
      <c r="AZ1789" s="471"/>
      <c r="BA1789" s="181"/>
      <c r="BB1789" s="182"/>
      <c r="BC1789" s="209"/>
      <c r="BD1789" s="182"/>
      <c r="BE1789" s="209"/>
      <c r="BF1789" s="182"/>
      <c r="BG1789" s="209"/>
      <c r="BH1789" s="182"/>
      <c r="BI1789" s="209"/>
      <c r="BJ1789" s="183"/>
      <c r="BK1789" s="209"/>
      <c r="BL1789" s="182"/>
      <c r="BM1789" s="210"/>
      <c r="BO1789" s="28" t="e">
        <f t="shared" si="161"/>
        <v>#DIV/0!</v>
      </c>
      <c r="BP1789" s="28">
        <f t="shared" si="162"/>
        <v>0</v>
      </c>
    </row>
    <row r="1790" spans="52:68" x14ac:dyDescent="0.25">
      <c r="AZ1790" s="471"/>
      <c r="BA1790" s="181"/>
      <c r="BB1790" s="182"/>
      <c r="BC1790" s="209"/>
      <c r="BD1790" s="182"/>
      <c r="BE1790" s="209"/>
      <c r="BF1790" s="182"/>
      <c r="BG1790" s="209"/>
      <c r="BH1790" s="182"/>
      <c r="BI1790" s="209"/>
      <c r="BJ1790" s="183"/>
      <c r="BK1790" s="209"/>
      <c r="BL1790" s="182"/>
      <c r="BM1790" s="210"/>
      <c r="BO1790" s="28" t="e">
        <f t="shared" si="161"/>
        <v>#DIV/0!</v>
      </c>
      <c r="BP1790" s="28">
        <f t="shared" si="162"/>
        <v>0</v>
      </c>
    </row>
    <row r="1791" spans="52:68" x14ac:dyDescent="0.25">
      <c r="AZ1791" s="471"/>
      <c r="BA1791" s="181"/>
      <c r="BB1791" s="182"/>
      <c r="BC1791" s="209"/>
      <c r="BD1791" s="182"/>
      <c r="BE1791" s="209"/>
      <c r="BF1791" s="182"/>
      <c r="BG1791" s="209"/>
      <c r="BH1791" s="182"/>
      <c r="BI1791" s="209"/>
      <c r="BJ1791" s="183"/>
      <c r="BK1791" s="209"/>
      <c r="BL1791" s="182"/>
      <c r="BM1791" s="210"/>
      <c r="BO1791" s="28" t="e">
        <f t="shared" si="161"/>
        <v>#DIV/0!</v>
      </c>
      <c r="BP1791" s="28">
        <f t="shared" si="162"/>
        <v>0</v>
      </c>
    </row>
    <row r="1792" spans="52:68" x14ac:dyDescent="0.25">
      <c r="AZ1792" s="471"/>
      <c r="BA1792" s="181"/>
      <c r="BB1792" s="182"/>
      <c r="BC1792" s="209"/>
      <c r="BD1792" s="182"/>
      <c r="BE1792" s="209"/>
      <c r="BF1792" s="182"/>
      <c r="BG1792" s="209"/>
      <c r="BH1792" s="182"/>
      <c r="BI1792" s="209"/>
      <c r="BJ1792" s="183"/>
      <c r="BK1792" s="209"/>
      <c r="BL1792" s="182"/>
      <c r="BM1792" s="210"/>
      <c r="BO1792" s="28" t="e">
        <f t="shared" si="161"/>
        <v>#DIV/0!</v>
      </c>
      <c r="BP1792" s="28">
        <f t="shared" si="162"/>
        <v>0</v>
      </c>
    </row>
    <row r="1793" spans="52:68" x14ac:dyDescent="0.25">
      <c r="AZ1793" s="471"/>
      <c r="BA1793" s="181"/>
      <c r="BB1793" s="182"/>
      <c r="BC1793" s="209"/>
      <c r="BD1793" s="182"/>
      <c r="BE1793" s="209"/>
      <c r="BF1793" s="182"/>
      <c r="BG1793" s="209"/>
      <c r="BH1793" s="182"/>
      <c r="BI1793" s="209"/>
      <c r="BJ1793" s="183"/>
      <c r="BK1793" s="209"/>
      <c r="BL1793" s="182"/>
      <c r="BM1793" s="210"/>
      <c r="BO1793" s="28" t="e">
        <f t="shared" si="161"/>
        <v>#DIV/0!</v>
      </c>
      <c r="BP1793" s="28">
        <f t="shared" si="162"/>
        <v>0</v>
      </c>
    </row>
    <row r="1794" spans="52:68" x14ac:dyDescent="0.25">
      <c r="AZ1794" s="471"/>
      <c r="BA1794" s="181"/>
      <c r="BB1794" s="182"/>
      <c r="BC1794" s="209"/>
      <c r="BD1794" s="182"/>
      <c r="BE1794" s="209"/>
      <c r="BF1794" s="182"/>
      <c r="BG1794" s="209"/>
      <c r="BH1794" s="182"/>
      <c r="BI1794" s="209"/>
      <c r="BJ1794" s="183"/>
      <c r="BK1794" s="209"/>
      <c r="BL1794" s="182"/>
      <c r="BM1794" s="210"/>
      <c r="BO1794" s="28" t="e">
        <f t="shared" si="161"/>
        <v>#DIV/0!</v>
      </c>
      <c r="BP1794" s="28">
        <f t="shared" si="162"/>
        <v>0</v>
      </c>
    </row>
    <row r="1795" spans="52:68" x14ac:dyDescent="0.25">
      <c r="AZ1795" s="471"/>
      <c r="BA1795" s="181"/>
      <c r="BB1795" s="182"/>
      <c r="BC1795" s="209"/>
      <c r="BD1795" s="182"/>
      <c r="BE1795" s="209"/>
      <c r="BF1795" s="182"/>
      <c r="BG1795" s="209"/>
      <c r="BH1795" s="182"/>
      <c r="BI1795" s="209"/>
      <c r="BJ1795" s="183"/>
      <c r="BK1795" s="209"/>
      <c r="BL1795" s="182"/>
      <c r="BM1795" s="210"/>
      <c r="BO1795" s="28" t="e">
        <f t="shared" si="161"/>
        <v>#DIV/0!</v>
      </c>
      <c r="BP1795" s="28">
        <f t="shared" si="162"/>
        <v>0</v>
      </c>
    </row>
    <row r="1796" spans="52:68" x14ac:dyDescent="0.25">
      <c r="AZ1796" s="471"/>
      <c r="BA1796" s="181"/>
      <c r="BB1796" s="182"/>
      <c r="BC1796" s="209"/>
      <c r="BD1796" s="182"/>
      <c r="BE1796" s="209"/>
      <c r="BF1796" s="182"/>
      <c r="BG1796" s="209"/>
      <c r="BH1796" s="182"/>
      <c r="BI1796" s="209"/>
      <c r="BJ1796" s="183"/>
      <c r="BK1796" s="209"/>
      <c r="BL1796" s="182"/>
      <c r="BM1796" s="210"/>
      <c r="BO1796" s="28" t="e">
        <f t="shared" si="161"/>
        <v>#DIV/0!</v>
      </c>
      <c r="BP1796" s="28">
        <f t="shared" si="162"/>
        <v>0</v>
      </c>
    </row>
    <row r="1797" spans="52:68" x14ac:dyDescent="0.25">
      <c r="AZ1797" s="471"/>
      <c r="BA1797" s="181"/>
      <c r="BB1797" s="182"/>
      <c r="BC1797" s="209"/>
      <c r="BD1797" s="182"/>
      <c r="BE1797" s="209"/>
      <c r="BF1797" s="182"/>
      <c r="BG1797" s="209"/>
      <c r="BH1797" s="182"/>
      <c r="BI1797" s="209"/>
      <c r="BJ1797" s="183"/>
      <c r="BK1797" s="209"/>
      <c r="BL1797" s="182"/>
      <c r="BM1797" s="210"/>
      <c r="BO1797" s="28" t="e">
        <f t="shared" si="161"/>
        <v>#DIV/0!</v>
      </c>
      <c r="BP1797" s="28">
        <f t="shared" si="162"/>
        <v>0</v>
      </c>
    </row>
    <row r="1798" spans="52:68" x14ac:dyDescent="0.25">
      <c r="AZ1798" s="471"/>
      <c r="BA1798" s="181"/>
      <c r="BB1798" s="182"/>
      <c r="BC1798" s="209"/>
      <c r="BD1798" s="182"/>
      <c r="BE1798" s="209"/>
      <c r="BF1798" s="182"/>
      <c r="BG1798" s="209"/>
      <c r="BH1798" s="182"/>
      <c r="BI1798" s="209"/>
      <c r="BJ1798" s="183"/>
      <c r="BK1798" s="209"/>
      <c r="BL1798" s="182"/>
      <c r="BM1798" s="210"/>
      <c r="BO1798" s="28" t="e">
        <f t="shared" si="161"/>
        <v>#DIV/0!</v>
      </c>
      <c r="BP1798" s="28">
        <f t="shared" si="162"/>
        <v>0</v>
      </c>
    </row>
    <row r="1799" spans="52:68" x14ac:dyDescent="0.25">
      <c r="AZ1799" s="471"/>
      <c r="BA1799" s="181"/>
      <c r="BB1799" s="182"/>
      <c r="BC1799" s="209"/>
      <c r="BD1799" s="182"/>
      <c r="BE1799" s="209"/>
      <c r="BF1799" s="182"/>
      <c r="BG1799" s="209"/>
      <c r="BH1799" s="182"/>
      <c r="BI1799" s="209"/>
      <c r="BJ1799" s="183"/>
      <c r="BK1799" s="209"/>
      <c r="BL1799" s="182"/>
      <c r="BM1799" s="210"/>
      <c r="BO1799" s="28" t="e">
        <f t="shared" si="161"/>
        <v>#DIV/0!</v>
      </c>
      <c r="BP1799" s="28">
        <f t="shared" si="162"/>
        <v>0</v>
      </c>
    </row>
    <row r="1800" spans="52:68" x14ac:dyDescent="0.25">
      <c r="AZ1800" s="471"/>
      <c r="BA1800" s="181"/>
      <c r="BB1800" s="182"/>
      <c r="BC1800" s="209"/>
      <c r="BD1800" s="182"/>
      <c r="BE1800" s="209"/>
      <c r="BF1800" s="182"/>
      <c r="BG1800" s="209"/>
      <c r="BH1800" s="182"/>
      <c r="BI1800" s="209"/>
      <c r="BJ1800" s="183"/>
      <c r="BK1800" s="209"/>
      <c r="BL1800" s="182"/>
      <c r="BM1800" s="210"/>
      <c r="BO1800" s="28" t="e">
        <f t="shared" si="161"/>
        <v>#DIV/0!</v>
      </c>
      <c r="BP1800" s="28">
        <f t="shared" si="162"/>
        <v>0</v>
      </c>
    </row>
    <row r="1801" spans="52:68" x14ac:dyDescent="0.25">
      <c r="AZ1801" s="471"/>
      <c r="BA1801" s="181"/>
      <c r="BB1801" s="182"/>
      <c r="BC1801" s="209"/>
      <c r="BD1801" s="182"/>
      <c r="BE1801" s="209"/>
      <c r="BF1801" s="182"/>
      <c r="BG1801" s="209"/>
      <c r="BH1801" s="182"/>
      <c r="BI1801" s="209"/>
      <c r="BJ1801" s="183"/>
      <c r="BK1801" s="209"/>
      <c r="BL1801" s="182"/>
      <c r="BM1801" s="210"/>
      <c r="BO1801" s="28" t="e">
        <f t="shared" ref="BO1801:BO1864" si="163">AVERAGE(BB1801:BM1801)</f>
        <v>#DIV/0!</v>
      </c>
      <c r="BP1801" s="28">
        <f t="shared" ref="BP1801:BP1864" si="164">SUM(BB1801:BM1801)</f>
        <v>0</v>
      </c>
    </row>
    <row r="1802" spans="52:68" x14ac:dyDescent="0.25">
      <c r="AZ1802" s="471"/>
      <c r="BA1802" s="181"/>
      <c r="BB1802" s="182"/>
      <c r="BC1802" s="209"/>
      <c r="BD1802" s="182"/>
      <c r="BE1802" s="209"/>
      <c r="BF1802" s="182"/>
      <c r="BG1802" s="209"/>
      <c r="BH1802" s="182"/>
      <c r="BI1802" s="209"/>
      <c r="BJ1802" s="183"/>
      <c r="BK1802" s="209"/>
      <c r="BL1802" s="182"/>
      <c r="BM1802" s="210"/>
      <c r="BO1802" s="28" t="e">
        <f t="shared" si="163"/>
        <v>#DIV/0!</v>
      </c>
      <c r="BP1802" s="28">
        <f t="shared" si="164"/>
        <v>0</v>
      </c>
    </row>
    <row r="1803" spans="52:68" x14ac:dyDescent="0.25">
      <c r="AZ1803" s="471"/>
      <c r="BA1803" s="181"/>
      <c r="BB1803" s="182"/>
      <c r="BC1803" s="209"/>
      <c r="BD1803" s="182"/>
      <c r="BE1803" s="209"/>
      <c r="BF1803" s="182"/>
      <c r="BG1803" s="209"/>
      <c r="BH1803" s="182"/>
      <c r="BI1803" s="209"/>
      <c r="BJ1803" s="183"/>
      <c r="BK1803" s="209"/>
      <c r="BL1803" s="182"/>
      <c r="BM1803" s="210"/>
      <c r="BO1803" s="28" t="e">
        <f t="shared" si="163"/>
        <v>#DIV/0!</v>
      </c>
      <c r="BP1803" s="28">
        <f t="shared" si="164"/>
        <v>0</v>
      </c>
    </row>
    <row r="1804" spans="52:68" x14ac:dyDescent="0.25">
      <c r="AZ1804" s="471"/>
      <c r="BA1804" s="181"/>
      <c r="BB1804" s="182"/>
      <c r="BC1804" s="209"/>
      <c r="BD1804" s="182"/>
      <c r="BE1804" s="209"/>
      <c r="BF1804" s="182"/>
      <c r="BG1804" s="209"/>
      <c r="BH1804" s="182"/>
      <c r="BI1804" s="209"/>
      <c r="BJ1804" s="183"/>
      <c r="BK1804" s="209"/>
      <c r="BL1804" s="182"/>
      <c r="BM1804" s="210"/>
      <c r="BO1804" s="28" t="e">
        <f t="shared" si="163"/>
        <v>#DIV/0!</v>
      </c>
      <c r="BP1804" s="28">
        <f t="shared" si="164"/>
        <v>0</v>
      </c>
    </row>
    <row r="1805" spans="52:68" x14ac:dyDescent="0.25">
      <c r="AZ1805" s="471"/>
      <c r="BA1805" s="181"/>
      <c r="BB1805" s="182"/>
      <c r="BC1805" s="209"/>
      <c r="BD1805" s="182"/>
      <c r="BE1805" s="209"/>
      <c r="BF1805" s="182"/>
      <c r="BG1805" s="209"/>
      <c r="BH1805" s="182"/>
      <c r="BI1805" s="209"/>
      <c r="BJ1805" s="183"/>
      <c r="BK1805" s="209"/>
      <c r="BL1805" s="182"/>
      <c r="BM1805" s="210"/>
      <c r="BO1805" s="28" t="e">
        <f t="shared" si="163"/>
        <v>#DIV/0!</v>
      </c>
      <c r="BP1805" s="28">
        <f t="shared" si="164"/>
        <v>0</v>
      </c>
    </row>
    <row r="1806" spans="52:68" x14ac:dyDescent="0.25">
      <c r="AZ1806" s="471"/>
      <c r="BA1806" s="181"/>
      <c r="BB1806" s="182"/>
      <c r="BC1806" s="209"/>
      <c r="BD1806" s="182"/>
      <c r="BE1806" s="209"/>
      <c r="BF1806" s="182"/>
      <c r="BG1806" s="209"/>
      <c r="BH1806" s="182"/>
      <c r="BI1806" s="209"/>
      <c r="BJ1806" s="183"/>
      <c r="BK1806" s="209"/>
      <c r="BL1806" s="182"/>
      <c r="BM1806" s="210"/>
      <c r="BO1806" s="28" t="e">
        <f t="shared" si="163"/>
        <v>#DIV/0!</v>
      </c>
      <c r="BP1806" s="28">
        <f t="shared" si="164"/>
        <v>0</v>
      </c>
    </row>
    <row r="1807" spans="52:68" x14ac:dyDescent="0.25">
      <c r="AZ1807" s="471"/>
      <c r="BA1807" s="181"/>
      <c r="BB1807" s="182"/>
      <c r="BC1807" s="209"/>
      <c r="BD1807" s="182"/>
      <c r="BE1807" s="209"/>
      <c r="BF1807" s="182"/>
      <c r="BG1807" s="209"/>
      <c r="BH1807" s="182"/>
      <c r="BI1807" s="209"/>
      <c r="BJ1807" s="183"/>
      <c r="BK1807" s="209"/>
      <c r="BL1807" s="182"/>
      <c r="BM1807" s="210"/>
      <c r="BO1807" s="28" t="e">
        <f t="shared" si="163"/>
        <v>#DIV/0!</v>
      </c>
      <c r="BP1807" s="28">
        <f t="shared" si="164"/>
        <v>0</v>
      </c>
    </row>
    <row r="1808" spans="52:68" x14ac:dyDescent="0.25">
      <c r="AZ1808" s="471"/>
      <c r="BA1808" s="181"/>
      <c r="BB1808" s="182"/>
      <c r="BC1808" s="209"/>
      <c r="BD1808" s="182"/>
      <c r="BE1808" s="209"/>
      <c r="BF1808" s="182"/>
      <c r="BG1808" s="209"/>
      <c r="BH1808" s="182"/>
      <c r="BI1808" s="209"/>
      <c r="BJ1808" s="183"/>
      <c r="BK1808" s="209"/>
      <c r="BL1808" s="182"/>
      <c r="BM1808" s="210"/>
      <c r="BO1808" s="28" t="e">
        <f t="shared" si="163"/>
        <v>#DIV/0!</v>
      </c>
      <c r="BP1808" s="28">
        <f t="shared" si="164"/>
        <v>0</v>
      </c>
    </row>
    <row r="1809" spans="52:68" x14ac:dyDescent="0.25">
      <c r="AZ1809" s="471"/>
      <c r="BA1809" s="181"/>
      <c r="BB1809" s="182"/>
      <c r="BC1809" s="209"/>
      <c r="BD1809" s="182"/>
      <c r="BE1809" s="209"/>
      <c r="BF1809" s="182"/>
      <c r="BG1809" s="209"/>
      <c r="BH1809" s="182"/>
      <c r="BI1809" s="209"/>
      <c r="BJ1809" s="183"/>
      <c r="BK1809" s="209"/>
      <c r="BL1809" s="182"/>
      <c r="BM1809" s="210"/>
      <c r="BO1809" s="28" t="e">
        <f t="shared" si="163"/>
        <v>#DIV/0!</v>
      </c>
      <c r="BP1809" s="28">
        <f t="shared" si="164"/>
        <v>0</v>
      </c>
    </row>
    <row r="1810" spans="52:68" x14ac:dyDescent="0.25">
      <c r="AZ1810" s="471"/>
      <c r="BA1810" s="181"/>
      <c r="BB1810" s="182"/>
      <c r="BC1810" s="209"/>
      <c r="BD1810" s="182"/>
      <c r="BE1810" s="209"/>
      <c r="BF1810" s="182"/>
      <c r="BG1810" s="209"/>
      <c r="BH1810" s="182"/>
      <c r="BI1810" s="209"/>
      <c r="BJ1810" s="183"/>
      <c r="BK1810" s="209"/>
      <c r="BL1810" s="182"/>
      <c r="BM1810" s="210"/>
      <c r="BO1810" s="28" t="e">
        <f t="shared" si="163"/>
        <v>#DIV/0!</v>
      </c>
      <c r="BP1810" s="28">
        <f t="shared" si="164"/>
        <v>0</v>
      </c>
    </row>
    <row r="1811" spans="52:68" x14ac:dyDescent="0.25">
      <c r="AZ1811" s="471"/>
      <c r="BA1811" s="181"/>
      <c r="BB1811" s="182"/>
      <c r="BC1811" s="209"/>
      <c r="BD1811" s="182"/>
      <c r="BE1811" s="209"/>
      <c r="BF1811" s="182"/>
      <c r="BG1811" s="209"/>
      <c r="BH1811" s="182"/>
      <c r="BI1811" s="209"/>
      <c r="BJ1811" s="183"/>
      <c r="BK1811" s="209"/>
      <c r="BL1811" s="182"/>
      <c r="BM1811" s="210"/>
      <c r="BO1811" s="28" t="e">
        <f t="shared" si="163"/>
        <v>#DIV/0!</v>
      </c>
      <c r="BP1811" s="28">
        <f t="shared" si="164"/>
        <v>0</v>
      </c>
    </row>
    <row r="1812" spans="52:68" x14ac:dyDescent="0.25">
      <c r="AZ1812" s="471"/>
      <c r="BA1812" s="181"/>
      <c r="BB1812" s="182"/>
      <c r="BC1812" s="209"/>
      <c r="BD1812" s="182"/>
      <c r="BE1812" s="209"/>
      <c r="BF1812" s="182"/>
      <c r="BG1812" s="209"/>
      <c r="BH1812" s="182"/>
      <c r="BI1812" s="209"/>
      <c r="BJ1812" s="183"/>
      <c r="BK1812" s="209"/>
      <c r="BL1812" s="182"/>
      <c r="BM1812" s="210"/>
      <c r="BO1812" s="28" t="e">
        <f t="shared" si="163"/>
        <v>#DIV/0!</v>
      </c>
      <c r="BP1812" s="28">
        <f t="shared" si="164"/>
        <v>0</v>
      </c>
    </row>
    <row r="1813" spans="52:68" x14ac:dyDescent="0.25">
      <c r="AZ1813" s="471"/>
      <c r="BA1813" s="181"/>
      <c r="BB1813" s="182"/>
      <c r="BC1813" s="209"/>
      <c r="BD1813" s="182"/>
      <c r="BE1813" s="209"/>
      <c r="BF1813" s="182"/>
      <c r="BG1813" s="209"/>
      <c r="BH1813" s="182"/>
      <c r="BI1813" s="209"/>
      <c r="BJ1813" s="183"/>
      <c r="BK1813" s="209"/>
      <c r="BL1813" s="182"/>
      <c r="BM1813" s="210"/>
      <c r="BO1813" s="28" t="e">
        <f t="shared" si="163"/>
        <v>#DIV/0!</v>
      </c>
      <c r="BP1813" s="28">
        <f t="shared" si="164"/>
        <v>0</v>
      </c>
    </row>
    <row r="1814" spans="52:68" x14ac:dyDescent="0.25">
      <c r="AZ1814" s="471"/>
      <c r="BA1814" s="181"/>
      <c r="BB1814" s="182"/>
      <c r="BC1814" s="209"/>
      <c r="BD1814" s="182"/>
      <c r="BE1814" s="209"/>
      <c r="BF1814" s="182"/>
      <c r="BG1814" s="209"/>
      <c r="BH1814" s="182"/>
      <c r="BI1814" s="209"/>
      <c r="BJ1814" s="183"/>
      <c r="BK1814" s="209"/>
      <c r="BL1814" s="182"/>
      <c r="BM1814" s="210"/>
      <c r="BO1814" s="28" t="e">
        <f t="shared" si="163"/>
        <v>#DIV/0!</v>
      </c>
      <c r="BP1814" s="28">
        <f t="shared" si="164"/>
        <v>0</v>
      </c>
    </row>
    <row r="1815" spans="52:68" x14ac:dyDescent="0.25">
      <c r="AZ1815" s="471"/>
      <c r="BA1815" s="181"/>
      <c r="BB1815" s="182"/>
      <c r="BC1815" s="209"/>
      <c r="BD1815" s="182"/>
      <c r="BE1815" s="209"/>
      <c r="BF1815" s="182"/>
      <c r="BG1815" s="209"/>
      <c r="BH1815" s="182"/>
      <c r="BI1815" s="209"/>
      <c r="BJ1815" s="183"/>
      <c r="BK1815" s="209"/>
      <c r="BL1815" s="182"/>
      <c r="BM1815" s="210"/>
      <c r="BO1815" s="28" t="e">
        <f t="shared" si="163"/>
        <v>#DIV/0!</v>
      </c>
      <c r="BP1815" s="28">
        <f t="shared" si="164"/>
        <v>0</v>
      </c>
    </row>
    <row r="1816" spans="52:68" x14ac:dyDescent="0.25">
      <c r="AZ1816" s="471"/>
      <c r="BA1816" s="181"/>
      <c r="BB1816" s="182"/>
      <c r="BC1816" s="209"/>
      <c r="BD1816" s="182"/>
      <c r="BE1816" s="209"/>
      <c r="BF1816" s="182"/>
      <c r="BG1816" s="209"/>
      <c r="BH1816" s="182"/>
      <c r="BI1816" s="209"/>
      <c r="BJ1816" s="183"/>
      <c r="BK1816" s="209"/>
      <c r="BL1816" s="182"/>
      <c r="BM1816" s="210"/>
      <c r="BO1816" s="28" t="e">
        <f t="shared" si="163"/>
        <v>#DIV/0!</v>
      </c>
      <c r="BP1816" s="28">
        <f t="shared" si="164"/>
        <v>0</v>
      </c>
    </row>
    <row r="1817" spans="52:68" x14ac:dyDescent="0.25">
      <c r="AZ1817" s="471"/>
      <c r="BA1817" s="181"/>
      <c r="BB1817" s="182"/>
      <c r="BC1817" s="209"/>
      <c r="BD1817" s="182"/>
      <c r="BE1817" s="209"/>
      <c r="BF1817" s="182"/>
      <c r="BG1817" s="209"/>
      <c r="BH1817" s="182"/>
      <c r="BI1817" s="209"/>
      <c r="BJ1817" s="183"/>
      <c r="BK1817" s="209"/>
      <c r="BL1817" s="182"/>
      <c r="BM1817" s="210"/>
      <c r="BO1817" s="28" t="e">
        <f t="shared" si="163"/>
        <v>#DIV/0!</v>
      </c>
      <c r="BP1817" s="28">
        <f t="shared" si="164"/>
        <v>0</v>
      </c>
    </row>
    <row r="1818" spans="52:68" x14ac:dyDescent="0.25">
      <c r="AZ1818" s="471"/>
      <c r="BA1818" s="181"/>
      <c r="BB1818" s="182"/>
      <c r="BC1818" s="209"/>
      <c r="BD1818" s="182"/>
      <c r="BE1818" s="209"/>
      <c r="BF1818" s="182"/>
      <c r="BG1818" s="209"/>
      <c r="BH1818" s="182"/>
      <c r="BI1818" s="209"/>
      <c r="BJ1818" s="183"/>
      <c r="BK1818" s="209"/>
      <c r="BL1818" s="182"/>
      <c r="BM1818" s="210"/>
      <c r="BO1818" s="28" t="e">
        <f t="shared" si="163"/>
        <v>#DIV/0!</v>
      </c>
      <c r="BP1818" s="28">
        <f t="shared" si="164"/>
        <v>0</v>
      </c>
    </row>
    <row r="1819" spans="52:68" x14ac:dyDescent="0.25">
      <c r="AZ1819" s="471"/>
      <c r="BA1819" s="181"/>
      <c r="BB1819" s="182"/>
      <c r="BC1819" s="209"/>
      <c r="BD1819" s="182"/>
      <c r="BE1819" s="209"/>
      <c r="BF1819" s="182"/>
      <c r="BG1819" s="209"/>
      <c r="BH1819" s="182"/>
      <c r="BI1819" s="209"/>
      <c r="BJ1819" s="183"/>
      <c r="BK1819" s="209"/>
      <c r="BL1819" s="182"/>
      <c r="BM1819" s="210"/>
      <c r="BO1819" s="28" t="e">
        <f t="shared" si="163"/>
        <v>#DIV/0!</v>
      </c>
      <c r="BP1819" s="28">
        <f t="shared" si="164"/>
        <v>0</v>
      </c>
    </row>
    <row r="1820" spans="52:68" x14ac:dyDescent="0.25">
      <c r="AZ1820" s="471"/>
      <c r="BA1820" s="181"/>
      <c r="BB1820" s="182"/>
      <c r="BC1820" s="209"/>
      <c r="BD1820" s="182"/>
      <c r="BE1820" s="209"/>
      <c r="BF1820" s="182"/>
      <c r="BG1820" s="209"/>
      <c r="BH1820" s="182"/>
      <c r="BI1820" s="209"/>
      <c r="BJ1820" s="183"/>
      <c r="BK1820" s="209"/>
      <c r="BL1820" s="182"/>
      <c r="BM1820" s="210"/>
      <c r="BO1820" s="28" t="e">
        <f t="shared" si="163"/>
        <v>#DIV/0!</v>
      </c>
      <c r="BP1820" s="28">
        <f t="shared" si="164"/>
        <v>0</v>
      </c>
    </row>
    <row r="1821" spans="52:68" x14ac:dyDescent="0.25">
      <c r="AZ1821" s="471"/>
      <c r="BA1821" s="181"/>
      <c r="BB1821" s="182"/>
      <c r="BC1821" s="209"/>
      <c r="BD1821" s="182"/>
      <c r="BE1821" s="209"/>
      <c r="BF1821" s="182"/>
      <c r="BG1821" s="209"/>
      <c r="BH1821" s="182"/>
      <c r="BI1821" s="209"/>
      <c r="BJ1821" s="183"/>
      <c r="BK1821" s="209"/>
      <c r="BL1821" s="182"/>
      <c r="BM1821" s="210"/>
      <c r="BO1821" s="28" t="e">
        <f t="shared" si="163"/>
        <v>#DIV/0!</v>
      </c>
      <c r="BP1821" s="28">
        <f t="shared" si="164"/>
        <v>0</v>
      </c>
    </row>
    <row r="1822" spans="52:68" x14ac:dyDescent="0.25">
      <c r="AZ1822" s="471"/>
      <c r="BA1822" s="181"/>
      <c r="BB1822" s="182"/>
      <c r="BC1822" s="209"/>
      <c r="BD1822" s="182"/>
      <c r="BE1822" s="209"/>
      <c r="BF1822" s="182"/>
      <c r="BG1822" s="209"/>
      <c r="BH1822" s="182"/>
      <c r="BI1822" s="209"/>
      <c r="BJ1822" s="183"/>
      <c r="BK1822" s="209"/>
      <c r="BL1822" s="182"/>
      <c r="BM1822" s="210"/>
      <c r="BO1822" s="28" t="e">
        <f t="shared" si="163"/>
        <v>#DIV/0!</v>
      </c>
      <c r="BP1822" s="28">
        <f t="shared" si="164"/>
        <v>0</v>
      </c>
    </row>
    <row r="1823" spans="52:68" x14ac:dyDescent="0.25">
      <c r="AZ1823" s="471"/>
      <c r="BA1823" s="181"/>
      <c r="BB1823" s="182"/>
      <c r="BC1823" s="209"/>
      <c r="BD1823" s="182"/>
      <c r="BE1823" s="209"/>
      <c r="BF1823" s="182"/>
      <c r="BG1823" s="209"/>
      <c r="BH1823" s="182"/>
      <c r="BI1823" s="209"/>
      <c r="BJ1823" s="183"/>
      <c r="BK1823" s="209"/>
      <c r="BL1823" s="182"/>
      <c r="BM1823" s="210"/>
      <c r="BO1823" s="28" t="e">
        <f t="shared" si="163"/>
        <v>#DIV/0!</v>
      </c>
      <c r="BP1823" s="28">
        <f t="shared" si="164"/>
        <v>0</v>
      </c>
    </row>
    <row r="1824" spans="52:68" x14ac:dyDescent="0.25">
      <c r="AZ1824" s="471"/>
      <c r="BA1824" s="181"/>
      <c r="BB1824" s="182"/>
      <c r="BC1824" s="209"/>
      <c r="BD1824" s="182"/>
      <c r="BE1824" s="209"/>
      <c r="BF1824" s="182"/>
      <c r="BG1824" s="209"/>
      <c r="BH1824" s="182"/>
      <c r="BI1824" s="209"/>
      <c r="BJ1824" s="183"/>
      <c r="BK1824" s="209"/>
      <c r="BL1824" s="182"/>
      <c r="BM1824" s="210"/>
      <c r="BO1824" s="28" t="e">
        <f t="shared" si="163"/>
        <v>#DIV/0!</v>
      </c>
      <c r="BP1824" s="28">
        <f t="shared" si="164"/>
        <v>0</v>
      </c>
    </row>
    <row r="1825" spans="52:68" x14ac:dyDescent="0.25">
      <c r="AZ1825" s="471"/>
      <c r="BA1825" s="181"/>
      <c r="BB1825" s="182"/>
      <c r="BC1825" s="209"/>
      <c r="BD1825" s="182"/>
      <c r="BE1825" s="209"/>
      <c r="BF1825" s="182"/>
      <c r="BG1825" s="209"/>
      <c r="BH1825" s="182"/>
      <c r="BI1825" s="209"/>
      <c r="BJ1825" s="183"/>
      <c r="BK1825" s="209"/>
      <c r="BL1825" s="182"/>
      <c r="BM1825" s="210"/>
      <c r="BO1825" s="28" t="e">
        <f t="shared" si="163"/>
        <v>#DIV/0!</v>
      </c>
      <c r="BP1825" s="28">
        <f t="shared" si="164"/>
        <v>0</v>
      </c>
    </row>
    <row r="1826" spans="52:68" x14ac:dyDescent="0.25">
      <c r="AZ1826" s="471"/>
      <c r="BA1826" s="181"/>
      <c r="BB1826" s="182"/>
      <c r="BC1826" s="209"/>
      <c r="BD1826" s="182"/>
      <c r="BE1826" s="209"/>
      <c r="BF1826" s="182"/>
      <c r="BG1826" s="209"/>
      <c r="BH1826" s="182"/>
      <c r="BI1826" s="209"/>
      <c r="BJ1826" s="183"/>
      <c r="BK1826" s="209"/>
      <c r="BL1826" s="182"/>
      <c r="BM1826" s="210"/>
      <c r="BO1826" s="28" t="e">
        <f t="shared" si="163"/>
        <v>#DIV/0!</v>
      </c>
      <c r="BP1826" s="28">
        <f t="shared" si="164"/>
        <v>0</v>
      </c>
    </row>
    <row r="1827" spans="52:68" x14ac:dyDescent="0.25">
      <c r="AZ1827" s="471"/>
      <c r="BA1827" s="181"/>
      <c r="BB1827" s="182"/>
      <c r="BC1827" s="209"/>
      <c r="BD1827" s="182"/>
      <c r="BE1827" s="209"/>
      <c r="BF1827" s="182"/>
      <c r="BG1827" s="209"/>
      <c r="BH1827" s="182"/>
      <c r="BI1827" s="209"/>
      <c r="BJ1827" s="183"/>
      <c r="BK1827" s="209"/>
      <c r="BL1827" s="182"/>
      <c r="BM1827" s="210"/>
      <c r="BO1827" s="28" t="e">
        <f t="shared" si="163"/>
        <v>#DIV/0!</v>
      </c>
      <c r="BP1827" s="28">
        <f t="shared" si="164"/>
        <v>0</v>
      </c>
    </row>
    <row r="1828" spans="52:68" x14ac:dyDescent="0.25">
      <c r="AZ1828" s="471"/>
      <c r="BA1828" s="181"/>
      <c r="BB1828" s="182"/>
      <c r="BC1828" s="209"/>
      <c r="BD1828" s="182"/>
      <c r="BE1828" s="209"/>
      <c r="BF1828" s="182"/>
      <c r="BG1828" s="209"/>
      <c r="BH1828" s="182"/>
      <c r="BI1828" s="209"/>
      <c r="BJ1828" s="183"/>
      <c r="BK1828" s="209"/>
      <c r="BL1828" s="182"/>
      <c r="BM1828" s="210"/>
      <c r="BO1828" s="28" t="e">
        <f t="shared" si="163"/>
        <v>#DIV/0!</v>
      </c>
      <c r="BP1828" s="28">
        <f t="shared" si="164"/>
        <v>0</v>
      </c>
    </row>
    <row r="1829" spans="52:68" x14ac:dyDescent="0.25">
      <c r="AZ1829" s="471"/>
      <c r="BA1829" s="181"/>
      <c r="BB1829" s="182"/>
      <c r="BC1829" s="209"/>
      <c r="BD1829" s="182"/>
      <c r="BE1829" s="209"/>
      <c r="BF1829" s="182"/>
      <c r="BG1829" s="209"/>
      <c r="BH1829" s="182"/>
      <c r="BI1829" s="209"/>
      <c r="BJ1829" s="183"/>
      <c r="BK1829" s="209"/>
      <c r="BL1829" s="182"/>
      <c r="BM1829" s="210"/>
      <c r="BO1829" s="28" t="e">
        <f t="shared" si="163"/>
        <v>#DIV/0!</v>
      </c>
      <c r="BP1829" s="28">
        <f t="shared" si="164"/>
        <v>0</v>
      </c>
    </row>
    <row r="1830" spans="52:68" x14ac:dyDescent="0.25">
      <c r="AZ1830" s="471"/>
      <c r="BA1830" s="181"/>
      <c r="BB1830" s="182"/>
      <c r="BC1830" s="209"/>
      <c r="BD1830" s="182"/>
      <c r="BE1830" s="209"/>
      <c r="BF1830" s="182"/>
      <c r="BG1830" s="209"/>
      <c r="BH1830" s="182"/>
      <c r="BI1830" s="209"/>
      <c r="BJ1830" s="183"/>
      <c r="BK1830" s="209"/>
      <c r="BL1830" s="182"/>
      <c r="BM1830" s="210"/>
      <c r="BO1830" s="28" t="e">
        <f t="shared" si="163"/>
        <v>#DIV/0!</v>
      </c>
      <c r="BP1830" s="28">
        <f t="shared" si="164"/>
        <v>0</v>
      </c>
    </row>
    <row r="1831" spans="52:68" x14ac:dyDescent="0.25">
      <c r="AZ1831" s="471"/>
      <c r="BA1831" s="181"/>
      <c r="BB1831" s="182"/>
      <c r="BC1831" s="209"/>
      <c r="BD1831" s="182"/>
      <c r="BE1831" s="209"/>
      <c r="BF1831" s="182"/>
      <c r="BG1831" s="209"/>
      <c r="BH1831" s="182"/>
      <c r="BI1831" s="209"/>
      <c r="BJ1831" s="183"/>
      <c r="BK1831" s="209"/>
      <c r="BL1831" s="182"/>
      <c r="BM1831" s="210"/>
      <c r="BO1831" s="28" t="e">
        <f t="shared" si="163"/>
        <v>#DIV/0!</v>
      </c>
      <c r="BP1831" s="28">
        <f t="shared" si="164"/>
        <v>0</v>
      </c>
    </row>
    <row r="1832" spans="52:68" x14ac:dyDescent="0.25">
      <c r="AZ1832" s="471"/>
      <c r="BA1832" s="181"/>
      <c r="BB1832" s="182"/>
      <c r="BC1832" s="209"/>
      <c r="BD1832" s="182"/>
      <c r="BE1832" s="209"/>
      <c r="BF1832" s="182"/>
      <c r="BG1832" s="209"/>
      <c r="BH1832" s="182"/>
      <c r="BI1832" s="209"/>
      <c r="BJ1832" s="183"/>
      <c r="BK1832" s="209"/>
      <c r="BL1832" s="182"/>
      <c r="BM1832" s="210"/>
      <c r="BO1832" s="28" t="e">
        <f t="shared" si="163"/>
        <v>#DIV/0!</v>
      </c>
      <c r="BP1832" s="28">
        <f t="shared" si="164"/>
        <v>0</v>
      </c>
    </row>
    <row r="1833" spans="52:68" x14ac:dyDescent="0.25">
      <c r="AZ1833" s="471"/>
      <c r="BA1833" s="181"/>
      <c r="BB1833" s="182"/>
      <c r="BC1833" s="209"/>
      <c r="BD1833" s="182"/>
      <c r="BE1833" s="209"/>
      <c r="BF1833" s="182"/>
      <c r="BG1833" s="209"/>
      <c r="BH1833" s="182"/>
      <c r="BI1833" s="209"/>
      <c r="BJ1833" s="183"/>
      <c r="BK1833" s="209"/>
      <c r="BL1833" s="182"/>
      <c r="BM1833" s="210"/>
      <c r="BO1833" s="28" t="e">
        <f t="shared" si="163"/>
        <v>#DIV/0!</v>
      </c>
      <c r="BP1833" s="28">
        <f t="shared" si="164"/>
        <v>0</v>
      </c>
    </row>
    <row r="1834" spans="52:68" x14ac:dyDescent="0.25">
      <c r="AZ1834" s="471"/>
      <c r="BA1834" s="181"/>
      <c r="BB1834" s="182"/>
      <c r="BC1834" s="209"/>
      <c r="BD1834" s="182"/>
      <c r="BE1834" s="209"/>
      <c r="BF1834" s="182"/>
      <c r="BG1834" s="209"/>
      <c r="BH1834" s="182"/>
      <c r="BI1834" s="209"/>
      <c r="BJ1834" s="183"/>
      <c r="BK1834" s="209"/>
      <c r="BL1834" s="182"/>
      <c r="BM1834" s="210"/>
      <c r="BO1834" s="28" t="e">
        <f t="shared" si="163"/>
        <v>#DIV/0!</v>
      </c>
      <c r="BP1834" s="28">
        <f t="shared" si="164"/>
        <v>0</v>
      </c>
    </row>
    <row r="1835" spans="52:68" x14ac:dyDescent="0.25">
      <c r="AZ1835" s="471"/>
      <c r="BA1835" s="181"/>
      <c r="BB1835" s="182"/>
      <c r="BC1835" s="209"/>
      <c r="BD1835" s="182"/>
      <c r="BE1835" s="209"/>
      <c r="BF1835" s="182"/>
      <c r="BG1835" s="209"/>
      <c r="BH1835" s="182"/>
      <c r="BI1835" s="209"/>
      <c r="BJ1835" s="183"/>
      <c r="BK1835" s="209"/>
      <c r="BL1835" s="182"/>
      <c r="BM1835" s="210"/>
      <c r="BO1835" s="28" t="e">
        <f t="shared" si="163"/>
        <v>#DIV/0!</v>
      </c>
      <c r="BP1835" s="28">
        <f t="shared" si="164"/>
        <v>0</v>
      </c>
    </row>
    <row r="1836" spans="52:68" x14ac:dyDescent="0.25">
      <c r="AZ1836" s="471"/>
      <c r="BA1836" s="181"/>
      <c r="BB1836" s="182"/>
      <c r="BC1836" s="209"/>
      <c r="BD1836" s="182"/>
      <c r="BE1836" s="209"/>
      <c r="BF1836" s="182"/>
      <c r="BG1836" s="209"/>
      <c r="BH1836" s="182"/>
      <c r="BI1836" s="209"/>
      <c r="BJ1836" s="183"/>
      <c r="BK1836" s="209"/>
      <c r="BL1836" s="182"/>
      <c r="BM1836" s="210"/>
      <c r="BO1836" s="28" t="e">
        <f t="shared" si="163"/>
        <v>#DIV/0!</v>
      </c>
      <c r="BP1836" s="28">
        <f t="shared" si="164"/>
        <v>0</v>
      </c>
    </row>
    <row r="1837" spans="52:68" x14ac:dyDescent="0.25">
      <c r="AZ1837" s="471"/>
      <c r="BA1837" s="181"/>
      <c r="BB1837" s="182"/>
      <c r="BC1837" s="209"/>
      <c r="BD1837" s="182"/>
      <c r="BE1837" s="209"/>
      <c r="BF1837" s="182"/>
      <c r="BG1837" s="209"/>
      <c r="BH1837" s="182"/>
      <c r="BI1837" s="209"/>
      <c r="BJ1837" s="183"/>
      <c r="BK1837" s="209"/>
      <c r="BL1837" s="182"/>
      <c r="BM1837" s="210"/>
      <c r="BO1837" s="28" t="e">
        <f t="shared" si="163"/>
        <v>#DIV/0!</v>
      </c>
      <c r="BP1837" s="28">
        <f t="shared" si="164"/>
        <v>0</v>
      </c>
    </row>
    <row r="1838" spans="52:68" x14ac:dyDescent="0.25">
      <c r="AZ1838" s="471"/>
      <c r="BA1838" s="181"/>
      <c r="BB1838" s="182"/>
      <c r="BC1838" s="209"/>
      <c r="BD1838" s="182"/>
      <c r="BE1838" s="209"/>
      <c r="BF1838" s="182"/>
      <c r="BG1838" s="209"/>
      <c r="BH1838" s="182"/>
      <c r="BI1838" s="209"/>
      <c r="BJ1838" s="183"/>
      <c r="BK1838" s="209"/>
      <c r="BL1838" s="182"/>
      <c r="BM1838" s="210"/>
      <c r="BO1838" s="28" t="e">
        <f t="shared" si="163"/>
        <v>#DIV/0!</v>
      </c>
      <c r="BP1838" s="28">
        <f t="shared" si="164"/>
        <v>0</v>
      </c>
    </row>
    <row r="1839" spans="52:68" x14ac:dyDescent="0.25">
      <c r="AZ1839" s="471"/>
      <c r="BA1839" s="181"/>
      <c r="BB1839" s="182"/>
      <c r="BC1839" s="209"/>
      <c r="BD1839" s="182"/>
      <c r="BE1839" s="209"/>
      <c r="BF1839" s="182"/>
      <c r="BG1839" s="209"/>
      <c r="BH1839" s="182"/>
      <c r="BI1839" s="209"/>
      <c r="BJ1839" s="183"/>
      <c r="BK1839" s="209"/>
      <c r="BL1839" s="182"/>
      <c r="BM1839" s="210"/>
      <c r="BO1839" s="28" t="e">
        <f t="shared" si="163"/>
        <v>#DIV/0!</v>
      </c>
      <c r="BP1839" s="28">
        <f t="shared" si="164"/>
        <v>0</v>
      </c>
    </row>
    <row r="1840" spans="52:68" x14ac:dyDescent="0.25">
      <c r="AZ1840" s="471"/>
      <c r="BA1840" s="181"/>
      <c r="BB1840" s="182"/>
      <c r="BC1840" s="209"/>
      <c r="BD1840" s="182"/>
      <c r="BE1840" s="209"/>
      <c r="BF1840" s="182"/>
      <c r="BG1840" s="209"/>
      <c r="BH1840" s="182"/>
      <c r="BI1840" s="209"/>
      <c r="BJ1840" s="183"/>
      <c r="BK1840" s="209"/>
      <c r="BL1840" s="182"/>
      <c r="BM1840" s="210"/>
      <c r="BO1840" s="28" t="e">
        <f t="shared" si="163"/>
        <v>#DIV/0!</v>
      </c>
      <c r="BP1840" s="28">
        <f t="shared" si="164"/>
        <v>0</v>
      </c>
    </row>
    <row r="1841" spans="52:68" x14ac:dyDescent="0.25">
      <c r="AZ1841" s="471"/>
      <c r="BA1841" s="181"/>
      <c r="BB1841" s="182"/>
      <c r="BC1841" s="209"/>
      <c r="BD1841" s="182"/>
      <c r="BE1841" s="209"/>
      <c r="BF1841" s="182"/>
      <c r="BG1841" s="209"/>
      <c r="BH1841" s="182"/>
      <c r="BI1841" s="209"/>
      <c r="BJ1841" s="183"/>
      <c r="BK1841" s="209"/>
      <c r="BL1841" s="182"/>
      <c r="BM1841" s="210"/>
      <c r="BO1841" s="28" t="e">
        <f t="shared" si="163"/>
        <v>#DIV/0!</v>
      </c>
      <c r="BP1841" s="28">
        <f t="shared" si="164"/>
        <v>0</v>
      </c>
    </row>
    <row r="1842" spans="52:68" x14ac:dyDescent="0.25">
      <c r="AZ1842" s="471"/>
      <c r="BA1842" s="181"/>
      <c r="BB1842" s="182"/>
      <c r="BC1842" s="209"/>
      <c r="BD1842" s="182"/>
      <c r="BE1842" s="209"/>
      <c r="BF1842" s="182"/>
      <c r="BG1842" s="209"/>
      <c r="BH1842" s="182"/>
      <c r="BI1842" s="209"/>
      <c r="BJ1842" s="183"/>
      <c r="BK1842" s="209"/>
      <c r="BL1842" s="182"/>
      <c r="BM1842" s="210"/>
      <c r="BO1842" s="28" t="e">
        <f t="shared" si="163"/>
        <v>#DIV/0!</v>
      </c>
      <c r="BP1842" s="28">
        <f t="shared" si="164"/>
        <v>0</v>
      </c>
    </row>
    <row r="1843" spans="52:68" x14ac:dyDescent="0.25">
      <c r="AZ1843" s="471"/>
      <c r="BA1843" s="181"/>
      <c r="BB1843" s="182"/>
      <c r="BC1843" s="209"/>
      <c r="BD1843" s="182"/>
      <c r="BE1843" s="209"/>
      <c r="BF1843" s="182"/>
      <c r="BG1843" s="209"/>
      <c r="BH1843" s="182"/>
      <c r="BI1843" s="209"/>
      <c r="BJ1843" s="183"/>
      <c r="BK1843" s="209"/>
      <c r="BL1843" s="182"/>
      <c r="BM1843" s="210"/>
      <c r="BO1843" s="28" t="e">
        <f t="shared" si="163"/>
        <v>#DIV/0!</v>
      </c>
      <c r="BP1843" s="28">
        <f t="shared" si="164"/>
        <v>0</v>
      </c>
    </row>
    <row r="1844" spans="52:68" x14ac:dyDescent="0.25">
      <c r="AZ1844" s="471"/>
      <c r="BA1844" s="181"/>
      <c r="BB1844" s="182"/>
      <c r="BC1844" s="209"/>
      <c r="BD1844" s="182"/>
      <c r="BE1844" s="209"/>
      <c r="BF1844" s="182"/>
      <c r="BG1844" s="209"/>
      <c r="BH1844" s="182"/>
      <c r="BI1844" s="209"/>
      <c r="BJ1844" s="183"/>
      <c r="BK1844" s="209"/>
      <c r="BL1844" s="182"/>
      <c r="BM1844" s="210"/>
      <c r="BO1844" s="28" t="e">
        <f t="shared" si="163"/>
        <v>#DIV/0!</v>
      </c>
      <c r="BP1844" s="28">
        <f t="shared" si="164"/>
        <v>0</v>
      </c>
    </row>
    <row r="1845" spans="52:68" x14ac:dyDescent="0.25">
      <c r="AZ1845" s="471"/>
      <c r="BA1845" s="181"/>
      <c r="BB1845" s="182"/>
      <c r="BC1845" s="209"/>
      <c r="BD1845" s="182"/>
      <c r="BE1845" s="209"/>
      <c r="BF1845" s="182"/>
      <c r="BG1845" s="209"/>
      <c r="BH1845" s="182"/>
      <c r="BI1845" s="209"/>
      <c r="BJ1845" s="183"/>
      <c r="BK1845" s="209"/>
      <c r="BL1845" s="182"/>
      <c r="BM1845" s="210"/>
      <c r="BO1845" s="28" t="e">
        <f t="shared" si="163"/>
        <v>#DIV/0!</v>
      </c>
      <c r="BP1845" s="28">
        <f t="shared" si="164"/>
        <v>0</v>
      </c>
    </row>
    <row r="1846" spans="52:68" x14ac:dyDescent="0.25">
      <c r="AZ1846" s="471"/>
      <c r="BA1846" s="181"/>
      <c r="BB1846" s="182"/>
      <c r="BC1846" s="209"/>
      <c r="BD1846" s="182"/>
      <c r="BE1846" s="209"/>
      <c r="BF1846" s="182"/>
      <c r="BG1846" s="209"/>
      <c r="BH1846" s="182"/>
      <c r="BI1846" s="209"/>
      <c r="BJ1846" s="183"/>
      <c r="BK1846" s="209"/>
      <c r="BL1846" s="182"/>
      <c r="BM1846" s="210"/>
      <c r="BO1846" s="28" t="e">
        <f t="shared" si="163"/>
        <v>#DIV/0!</v>
      </c>
      <c r="BP1846" s="28">
        <f t="shared" si="164"/>
        <v>0</v>
      </c>
    </row>
    <row r="1847" spans="52:68" x14ac:dyDescent="0.25">
      <c r="AZ1847" s="471"/>
      <c r="BA1847" s="181"/>
      <c r="BB1847" s="182"/>
      <c r="BC1847" s="209"/>
      <c r="BD1847" s="182"/>
      <c r="BE1847" s="209"/>
      <c r="BF1847" s="182"/>
      <c r="BG1847" s="209"/>
      <c r="BH1847" s="182"/>
      <c r="BI1847" s="209"/>
      <c r="BJ1847" s="183"/>
      <c r="BK1847" s="209"/>
      <c r="BL1847" s="182"/>
      <c r="BM1847" s="210"/>
      <c r="BO1847" s="28" t="e">
        <f t="shared" si="163"/>
        <v>#DIV/0!</v>
      </c>
      <c r="BP1847" s="28">
        <f t="shared" si="164"/>
        <v>0</v>
      </c>
    </row>
    <row r="1848" spans="52:68" x14ac:dyDescent="0.25">
      <c r="AZ1848" s="471"/>
      <c r="BA1848" s="181"/>
      <c r="BB1848" s="182"/>
      <c r="BC1848" s="209"/>
      <c r="BD1848" s="182"/>
      <c r="BE1848" s="209"/>
      <c r="BF1848" s="182"/>
      <c r="BG1848" s="209"/>
      <c r="BH1848" s="182"/>
      <c r="BI1848" s="209"/>
      <c r="BJ1848" s="183"/>
      <c r="BK1848" s="209"/>
      <c r="BL1848" s="182"/>
      <c r="BM1848" s="210"/>
      <c r="BO1848" s="28" t="e">
        <f t="shared" si="163"/>
        <v>#DIV/0!</v>
      </c>
      <c r="BP1848" s="28">
        <f t="shared" si="164"/>
        <v>0</v>
      </c>
    </row>
    <row r="1849" spans="52:68" x14ac:dyDescent="0.25">
      <c r="AZ1849" s="471"/>
      <c r="BA1849" s="181"/>
      <c r="BB1849" s="182"/>
      <c r="BC1849" s="209"/>
      <c r="BD1849" s="182"/>
      <c r="BE1849" s="209"/>
      <c r="BF1849" s="182"/>
      <c r="BG1849" s="209"/>
      <c r="BH1849" s="182"/>
      <c r="BI1849" s="209"/>
      <c r="BJ1849" s="183"/>
      <c r="BK1849" s="209"/>
      <c r="BL1849" s="182"/>
      <c r="BM1849" s="210"/>
      <c r="BO1849" s="28" t="e">
        <f t="shared" si="163"/>
        <v>#DIV/0!</v>
      </c>
      <c r="BP1849" s="28">
        <f t="shared" si="164"/>
        <v>0</v>
      </c>
    </row>
    <row r="1850" spans="52:68" x14ac:dyDescent="0.25">
      <c r="AZ1850" s="471"/>
      <c r="BA1850" s="181"/>
      <c r="BB1850" s="182"/>
      <c r="BC1850" s="209"/>
      <c r="BD1850" s="182"/>
      <c r="BE1850" s="209"/>
      <c r="BF1850" s="182"/>
      <c r="BG1850" s="209"/>
      <c r="BH1850" s="182"/>
      <c r="BI1850" s="209"/>
      <c r="BJ1850" s="183"/>
      <c r="BK1850" s="209"/>
      <c r="BL1850" s="182"/>
      <c r="BM1850" s="210"/>
      <c r="BO1850" s="28" t="e">
        <f t="shared" si="163"/>
        <v>#DIV/0!</v>
      </c>
      <c r="BP1850" s="28">
        <f t="shared" si="164"/>
        <v>0</v>
      </c>
    </row>
    <row r="1851" spans="52:68" x14ac:dyDescent="0.25">
      <c r="AZ1851" s="471"/>
      <c r="BA1851" s="181"/>
      <c r="BB1851" s="182"/>
      <c r="BC1851" s="209"/>
      <c r="BD1851" s="182"/>
      <c r="BE1851" s="209"/>
      <c r="BF1851" s="182"/>
      <c r="BG1851" s="209"/>
      <c r="BH1851" s="182"/>
      <c r="BI1851" s="209"/>
      <c r="BJ1851" s="183"/>
      <c r="BK1851" s="209"/>
      <c r="BL1851" s="182"/>
      <c r="BM1851" s="210"/>
      <c r="BO1851" s="28" t="e">
        <f t="shared" si="163"/>
        <v>#DIV/0!</v>
      </c>
      <c r="BP1851" s="28">
        <f t="shared" si="164"/>
        <v>0</v>
      </c>
    </row>
    <row r="1852" spans="52:68" x14ac:dyDescent="0.25">
      <c r="AZ1852" s="471"/>
      <c r="BA1852" s="181"/>
      <c r="BB1852" s="182"/>
      <c r="BC1852" s="209"/>
      <c r="BD1852" s="182"/>
      <c r="BE1852" s="209"/>
      <c r="BF1852" s="182"/>
      <c r="BG1852" s="209"/>
      <c r="BH1852" s="182"/>
      <c r="BI1852" s="209"/>
      <c r="BJ1852" s="183"/>
      <c r="BK1852" s="209"/>
      <c r="BL1852" s="182"/>
      <c r="BM1852" s="210"/>
      <c r="BO1852" s="28" t="e">
        <f t="shared" si="163"/>
        <v>#DIV/0!</v>
      </c>
      <c r="BP1852" s="28">
        <f t="shared" si="164"/>
        <v>0</v>
      </c>
    </row>
    <row r="1853" spans="52:68" x14ac:dyDescent="0.25">
      <c r="AZ1853" s="471"/>
      <c r="BA1853" s="181"/>
      <c r="BB1853" s="182"/>
      <c r="BC1853" s="209"/>
      <c r="BD1853" s="182"/>
      <c r="BE1853" s="209"/>
      <c r="BF1853" s="182"/>
      <c r="BG1853" s="209"/>
      <c r="BH1853" s="182"/>
      <c r="BI1853" s="209"/>
      <c r="BJ1853" s="183"/>
      <c r="BK1853" s="209"/>
      <c r="BL1853" s="182"/>
      <c r="BM1853" s="210"/>
      <c r="BO1853" s="28" t="e">
        <f t="shared" si="163"/>
        <v>#DIV/0!</v>
      </c>
      <c r="BP1853" s="28">
        <f t="shared" si="164"/>
        <v>0</v>
      </c>
    </row>
    <row r="1854" spans="52:68" x14ac:dyDescent="0.25">
      <c r="AZ1854" s="471"/>
      <c r="BA1854" s="181"/>
      <c r="BB1854" s="182"/>
      <c r="BC1854" s="209"/>
      <c r="BD1854" s="182"/>
      <c r="BE1854" s="209"/>
      <c r="BF1854" s="182"/>
      <c r="BG1854" s="209"/>
      <c r="BH1854" s="182"/>
      <c r="BI1854" s="209"/>
      <c r="BJ1854" s="183"/>
      <c r="BK1854" s="209"/>
      <c r="BL1854" s="182"/>
      <c r="BM1854" s="210"/>
      <c r="BO1854" s="28" t="e">
        <f t="shared" si="163"/>
        <v>#DIV/0!</v>
      </c>
      <c r="BP1854" s="28">
        <f t="shared" si="164"/>
        <v>0</v>
      </c>
    </row>
    <row r="1855" spans="52:68" x14ac:dyDescent="0.25">
      <c r="AZ1855" s="471"/>
      <c r="BA1855" s="181"/>
      <c r="BB1855" s="182"/>
      <c r="BC1855" s="209"/>
      <c r="BD1855" s="182"/>
      <c r="BE1855" s="209"/>
      <c r="BF1855" s="182"/>
      <c r="BG1855" s="209"/>
      <c r="BH1855" s="182"/>
      <c r="BI1855" s="209"/>
      <c r="BJ1855" s="183"/>
      <c r="BK1855" s="209"/>
      <c r="BL1855" s="182"/>
      <c r="BM1855" s="210"/>
      <c r="BO1855" s="28" t="e">
        <f t="shared" si="163"/>
        <v>#DIV/0!</v>
      </c>
      <c r="BP1855" s="28">
        <f t="shared" si="164"/>
        <v>0</v>
      </c>
    </row>
    <row r="1856" spans="52:68" x14ac:dyDescent="0.25">
      <c r="AZ1856" s="471"/>
      <c r="BA1856" s="181"/>
      <c r="BB1856" s="182"/>
      <c r="BC1856" s="209"/>
      <c r="BD1856" s="182"/>
      <c r="BE1856" s="209"/>
      <c r="BF1856" s="182"/>
      <c r="BG1856" s="209"/>
      <c r="BH1856" s="182"/>
      <c r="BI1856" s="209"/>
      <c r="BJ1856" s="183"/>
      <c r="BK1856" s="209"/>
      <c r="BL1856" s="182"/>
      <c r="BM1856" s="210"/>
      <c r="BO1856" s="28" t="e">
        <f t="shared" si="163"/>
        <v>#DIV/0!</v>
      </c>
      <c r="BP1856" s="28">
        <f t="shared" si="164"/>
        <v>0</v>
      </c>
    </row>
    <row r="1857" spans="52:68" x14ac:dyDescent="0.25">
      <c r="AZ1857" s="471"/>
      <c r="BA1857" s="181"/>
      <c r="BB1857" s="182"/>
      <c r="BC1857" s="209"/>
      <c r="BD1857" s="182"/>
      <c r="BE1857" s="209"/>
      <c r="BF1857" s="182"/>
      <c r="BG1857" s="209"/>
      <c r="BH1857" s="182"/>
      <c r="BI1857" s="209"/>
      <c r="BJ1857" s="183"/>
      <c r="BK1857" s="209"/>
      <c r="BL1857" s="182"/>
      <c r="BM1857" s="210"/>
      <c r="BO1857" s="28" t="e">
        <f t="shared" si="163"/>
        <v>#DIV/0!</v>
      </c>
      <c r="BP1857" s="28">
        <f t="shared" si="164"/>
        <v>0</v>
      </c>
    </row>
    <row r="1858" spans="52:68" x14ac:dyDescent="0.25">
      <c r="AZ1858" s="471"/>
      <c r="BA1858" s="181"/>
      <c r="BB1858" s="182"/>
      <c r="BC1858" s="209"/>
      <c r="BD1858" s="182"/>
      <c r="BE1858" s="209"/>
      <c r="BF1858" s="182"/>
      <c r="BG1858" s="209"/>
      <c r="BH1858" s="182"/>
      <c r="BI1858" s="209"/>
      <c r="BJ1858" s="183"/>
      <c r="BK1858" s="209"/>
      <c r="BL1858" s="182"/>
      <c r="BM1858" s="210"/>
      <c r="BO1858" s="28" t="e">
        <f t="shared" si="163"/>
        <v>#DIV/0!</v>
      </c>
      <c r="BP1858" s="28">
        <f t="shared" si="164"/>
        <v>0</v>
      </c>
    </row>
    <row r="1859" spans="52:68" x14ac:dyDescent="0.25">
      <c r="AZ1859" s="471"/>
      <c r="BA1859" s="181"/>
      <c r="BB1859" s="182"/>
      <c r="BC1859" s="209"/>
      <c r="BD1859" s="182"/>
      <c r="BE1859" s="209"/>
      <c r="BF1859" s="182"/>
      <c r="BG1859" s="209"/>
      <c r="BH1859" s="182"/>
      <c r="BI1859" s="209"/>
      <c r="BJ1859" s="183"/>
      <c r="BK1859" s="209"/>
      <c r="BL1859" s="182"/>
      <c r="BM1859" s="210"/>
      <c r="BO1859" s="28" t="e">
        <f t="shared" si="163"/>
        <v>#DIV/0!</v>
      </c>
      <c r="BP1859" s="28">
        <f t="shared" si="164"/>
        <v>0</v>
      </c>
    </row>
    <row r="1860" spans="52:68" x14ac:dyDescent="0.25">
      <c r="AZ1860" s="471"/>
      <c r="BA1860" s="181"/>
      <c r="BB1860" s="182"/>
      <c r="BC1860" s="209"/>
      <c r="BD1860" s="182"/>
      <c r="BE1860" s="209"/>
      <c r="BF1860" s="182"/>
      <c r="BG1860" s="209"/>
      <c r="BH1860" s="182"/>
      <c r="BI1860" s="209"/>
      <c r="BJ1860" s="183"/>
      <c r="BK1860" s="209"/>
      <c r="BL1860" s="182"/>
      <c r="BM1860" s="210"/>
      <c r="BO1860" s="28" t="e">
        <f t="shared" si="163"/>
        <v>#DIV/0!</v>
      </c>
      <c r="BP1860" s="28">
        <f t="shared" si="164"/>
        <v>0</v>
      </c>
    </row>
    <row r="1861" spans="52:68" x14ac:dyDescent="0.25">
      <c r="AZ1861" s="471"/>
      <c r="BA1861" s="181"/>
      <c r="BB1861" s="182"/>
      <c r="BC1861" s="209"/>
      <c r="BD1861" s="182"/>
      <c r="BE1861" s="209"/>
      <c r="BF1861" s="182"/>
      <c r="BG1861" s="209"/>
      <c r="BH1861" s="182"/>
      <c r="BI1861" s="209"/>
      <c r="BJ1861" s="183"/>
      <c r="BK1861" s="209"/>
      <c r="BL1861" s="182"/>
      <c r="BM1861" s="210"/>
      <c r="BO1861" s="28" t="e">
        <f t="shared" si="163"/>
        <v>#DIV/0!</v>
      </c>
      <c r="BP1861" s="28">
        <f t="shared" si="164"/>
        <v>0</v>
      </c>
    </row>
    <row r="1862" spans="52:68" x14ac:dyDescent="0.25">
      <c r="AZ1862" s="471"/>
      <c r="BA1862" s="181"/>
      <c r="BB1862" s="182"/>
      <c r="BC1862" s="209"/>
      <c r="BD1862" s="182"/>
      <c r="BE1862" s="209"/>
      <c r="BF1862" s="182"/>
      <c r="BG1862" s="209"/>
      <c r="BH1862" s="182"/>
      <c r="BI1862" s="209"/>
      <c r="BJ1862" s="183"/>
      <c r="BK1862" s="209"/>
      <c r="BL1862" s="182"/>
      <c r="BM1862" s="210"/>
      <c r="BO1862" s="28" t="e">
        <f t="shared" si="163"/>
        <v>#DIV/0!</v>
      </c>
      <c r="BP1862" s="28">
        <f t="shared" si="164"/>
        <v>0</v>
      </c>
    </row>
    <row r="1863" spans="52:68" x14ac:dyDescent="0.25">
      <c r="AZ1863" s="471"/>
      <c r="BA1863" s="181"/>
      <c r="BB1863" s="182"/>
      <c r="BC1863" s="209"/>
      <c r="BD1863" s="182"/>
      <c r="BE1863" s="209"/>
      <c r="BF1863" s="182"/>
      <c r="BG1863" s="209"/>
      <c r="BH1863" s="182"/>
      <c r="BI1863" s="209"/>
      <c r="BJ1863" s="183"/>
      <c r="BK1863" s="209"/>
      <c r="BL1863" s="182"/>
      <c r="BM1863" s="210"/>
      <c r="BO1863" s="28" t="e">
        <f t="shared" si="163"/>
        <v>#DIV/0!</v>
      </c>
      <c r="BP1863" s="28">
        <f t="shared" si="164"/>
        <v>0</v>
      </c>
    </row>
    <row r="1864" spans="52:68" x14ac:dyDescent="0.25">
      <c r="AZ1864" s="471"/>
      <c r="BA1864" s="181"/>
      <c r="BB1864" s="182"/>
      <c r="BC1864" s="209"/>
      <c r="BD1864" s="182"/>
      <c r="BE1864" s="209"/>
      <c r="BF1864" s="182"/>
      <c r="BG1864" s="209"/>
      <c r="BH1864" s="182"/>
      <c r="BI1864" s="209"/>
      <c r="BJ1864" s="183"/>
      <c r="BK1864" s="209"/>
      <c r="BL1864" s="182"/>
      <c r="BM1864" s="210"/>
      <c r="BO1864" s="28" t="e">
        <f t="shared" si="163"/>
        <v>#DIV/0!</v>
      </c>
      <c r="BP1864" s="28">
        <f t="shared" si="164"/>
        <v>0</v>
      </c>
    </row>
    <row r="1865" spans="52:68" x14ac:dyDescent="0.25">
      <c r="AZ1865" s="471"/>
      <c r="BA1865" s="181"/>
      <c r="BB1865" s="182"/>
      <c r="BC1865" s="209"/>
      <c r="BD1865" s="182"/>
      <c r="BE1865" s="209"/>
      <c r="BF1865" s="182"/>
      <c r="BG1865" s="209"/>
      <c r="BH1865" s="182"/>
      <c r="BI1865" s="209"/>
      <c r="BJ1865" s="183"/>
      <c r="BK1865" s="209"/>
      <c r="BL1865" s="182"/>
      <c r="BM1865" s="210"/>
      <c r="BO1865" s="28" t="e">
        <f t="shared" ref="BO1865:BO1928" si="165">AVERAGE(BB1865:BM1865)</f>
        <v>#DIV/0!</v>
      </c>
      <c r="BP1865" s="28">
        <f t="shared" ref="BP1865:BP1928" si="166">SUM(BB1865:BM1865)</f>
        <v>0</v>
      </c>
    </row>
    <row r="1866" spans="52:68" x14ac:dyDescent="0.25">
      <c r="AZ1866" s="471"/>
      <c r="BA1866" s="181"/>
      <c r="BB1866" s="182"/>
      <c r="BC1866" s="209"/>
      <c r="BD1866" s="182"/>
      <c r="BE1866" s="209"/>
      <c r="BF1866" s="182"/>
      <c r="BG1866" s="209"/>
      <c r="BH1866" s="182"/>
      <c r="BI1866" s="209"/>
      <c r="BJ1866" s="183"/>
      <c r="BK1866" s="209"/>
      <c r="BL1866" s="182"/>
      <c r="BM1866" s="210"/>
      <c r="BO1866" s="28" t="e">
        <f t="shared" si="165"/>
        <v>#DIV/0!</v>
      </c>
      <c r="BP1866" s="28">
        <f t="shared" si="166"/>
        <v>0</v>
      </c>
    </row>
    <row r="1867" spans="52:68" x14ac:dyDescent="0.25">
      <c r="AZ1867" s="471"/>
      <c r="BA1867" s="181"/>
      <c r="BB1867" s="182"/>
      <c r="BC1867" s="209"/>
      <c r="BD1867" s="182"/>
      <c r="BE1867" s="209"/>
      <c r="BF1867" s="182"/>
      <c r="BG1867" s="209"/>
      <c r="BH1867" s="182"/>
      <c r="BI1867" s="209"/>
      <c r="BJ1867" s="183"/>
      <c r="BK1867" s="209"/>
      <c r="BL1867" s="182"/>
      <c r="BM1867" s="210"/>
      <c r="BO1867" s="28" t="e">
        <f t="shared" si="165"/>
        <v>#DIV/0!</v>
      </c>
      <c r="BP1867" s="28">
        <f t="shared" si="166"/>
        <v>0</v>
      </c>
    </row>
    <row r="1868" spans="52:68" x14ac:dyDescent="0.25">
      <c r="AZ1868" s="471"/>
      <c r="BA1868" s="181"/>
      <c r="BB1868" s="182"/>
      <c r="BC1868" s="209"/>
      <c r="BD1868" s="182"/>
      <c r="BE1868" s="209"/>
      <c r="BF1868" s="182"/>
      <c r="BG1868" s="209"/>
      <c r="BH1868" s="182"/>
      <c r="BI1868" s="209"/>
      <c r="BJ1868" s="183"/>
      <c r="BK1868" s="209"/>
      <c r="BL1868" s="182"/>
      <c r="BM1868" s="210"/>
      <c r="BO1868" s="28" t="e">
        <f t="shared" si="165"/>
        <v>#DIV/0!</v>
      </c>
      <c r="BP1868" s="28">
        <f t="shared" si="166"/>
        <v>0</v>
      </c>
    </row>
    <row r="1869" spans="52:68" x14ac:dyDescent="0.25">
      <c r="AZ1869" s="471"/>
      <c r="BA1869" s="181"/>
      <c r="BB1869" s="182"/>
      <c r="BC1869" s="209"/>
      <c r="BD1869" s="182"/>
      <c r="BE1869" s="209"/>
      <c r="BF1869" s="182"/>
      <c r="BG1869" s="209"/>
      <c r="BH1869" s="182"/>
      <c r="BI1869" s="209"/>
      <c r="BJ1869" s="183"/>
      <c r="BK1869" s="209"/>
      <c r="BL1869" s="182"/>
      <c r="BM1869" s="210"/>
      <c r="BO1869" s="28" t="e">
        <f t="shared" si="165"/>
        <v>#DIV/0!</v>
      </c>
      <c r="BP1869" s="28">
        <f t="shared" si="166"/>
        <v>0</v>
      </c>
    </row>
    <row r="1870" spans="52:68" x14ac:dyDescent="0.25">
      <c r="AZ1870" s="471"/>
      <c r="BA1870" s="181"/>
      <c r="BB1870" s="182"/>
      <c r="BC1870" s="209"/>
      <c r="BD1870" s="182"/>
      <c r="BE1870" s="209"/>
      <c r="BF1870" s="182"/>
      <c r="BG1870" s="209"/>
      <c r="BH1870" s="182"/>
      <c r="BI1870" s="209"/>
      <c r="BJ1870" s="183"/>
      <c r="BK1870" s="209"/>
      <c r="BL1870" s="182"/>
      <c r="BM1870" s="210"/>
      <c r="BO1870" s="28" t="e">
        <f t="shared" si="165"/>
        <v>#DIV/0!</v>
      </c>
      <c r="BP1870" s="28">
        <f t="shared" si="166"/>
        <v>0</v>
      </c>
    </row>
    <row r="1871" spans="52:68" x14ac:dyDescent="0.25">
      <c r="AZ1871" s="471"/>
      <c r="BA1871" s="181"/>
      <c r="BB1871" s="182"/>
      <c r="BC1871" s="209"/>
      <c r="BD1871" s="182"/>
      <c r="BE1871" s="209"/>
      <c r="BF1871" s="182"/>
      <c r="BG1871" s="209"/>
      <c r="BH1871" s="182"/>
      <c r="BI1871" s="209"/>
      <c r="BJ1871" s="183"/>
      <c r="BK1871" s="209"/>
      <c r="BL1871" s="182"/>
      <c r="BM1871" s="210"/>
      <c r="BO1871" s="28" t="e">
        <f t="shared" si="165"/>
        <v>#DIV/0!</v>
      </c>
      <c r="BP1871" s="28">
        <f t="shared" si="166"/>
        <v>0</v>
      </c>
    </row>
    <row r="1872" spans="52:68" x14ac:dyDescent="0.25">
      <c r="AZ1872" s="471"/>
      <c r="BA1872" s="181"/>
      <c r="BB1872" s="182"/>
      <c r="BC1872" s="209"/>
      <c r="BD1872" s="182"/>
      <c r="BE1872" s="209"/>
      <c r="BF1872" s="182"/>
      <c r="BG1872" s="209"/>
      <c r="BH1872" s="182"/>
      <c r="BI1872" s="209"/>
      <c r="BJ1872" s="183"/>
      <c r="BK1872" s="209"/>
      <c r="BL1872" s="182"/>
      <c r="BM1872" s="210"/>
      <c r="BO1872" s="28" t="e">
        <f t="shared" si="165"/>
        <v>#DIV/0!</v>
      </c>
      <c r="BP1872" s="28">
        <f t="shared" si="166"/>
        <v>0</v>
      </c>
    </row>
    <row r="1873" spans="52:68" x14ac:dyDescent="0.25">
      <c r="AZ1873" s="471"/>
      <c r="BA1873" s="181"/>
      <c r="BB1873" s="182"/>
      <c r="BC1873" s="209"/>
      <c r="BD1873" s="182"/>
      <c r="BE1873" s="209"/>
      <c r="BF1873" s="182"/>
      <c r="BG1873" s="209"/>
      <c r="BH1873" s="182"/>
      <c r="BI1873" s="209"/>
      <c r="BJ1873" s="183"/>
      <c r="BK1873" s="209"/>
      <c r="BL1873" s="182"/>
      <c r="BM1873" s="210"/>
      <c r="BO1873" s="28" t="e">
        <f t="shared" si="165"/>
        <v>#DIV/0!</v>
      </c>
      <c r="BP1873" s="28">
        <f t="shared" si="166"/>
        <v>0</v>
      </c>
    </row>
    <row r="1874" spans="52:68" x14ac:dyDescent="0.25">
      <c r="AZ1874" s="471"/>
      <c r="BA1874" s="181"/>
      <c r="BB1874" s="182"/>
      <c r="BC1874" s="209"/>
      <c r="BD1874" s="182"/>
      <c r="BE1874" s="209"/>
      <c r="BF1874" s="182"/>
      <c r="BG1874" s="209"/>
      <c r="BH1874" s="182"/>
      <c r="BI1874" s="209"/>
      <c r="BJ1874" s="183"/>
      <c r="BK1874" s="209"/>
      <c r="BL1874" s="182"/>
      <c r="BM1874" s="210"/>
      <c r="BO1874" s="28" t="e">
        <f t="shared" si="165"/>
        <v>#DIV/0!</v>
      </c>
      <c r="BP1874" s="28">
        <f t="shared" si="166"/>
        <v>0</v>
      </c>
    </row>
    <row r="1875" spans="52:68" x14ac:dyDescent="0.25">
      <c r="AZ1875" s="471"/>
      <c r="BA1875" s="181"/>
      <c r="BB1875" s="182"/>
      <c r="BC1875" s="209"/>
      <c r="BD1875" s="182"/>
      <c r="BE1875" s="209"/>
      <c r="BF1875" s="182"/>
      <c r="BG1875" s="209"/>
      <c r="BH1875" s="182"/>
      <c r="BI1875" s="209"/>
      <c r="BJ1875" s="183"/>
      <c r="BK1875" s="209"/>
      <c r="BL1875" s="182"/>
      <c r="BM1875" s="210"/>
      <c r="BO1875" s="28" t="e">
        <f t="shared" si="165"/>
        <v>#DIV/0!</v>
      </c>
      <c r="BP1875" s="28">
        <f t="shared" si="166"/>
        <v>0</v>
      </c>
    </row>
    <row r="1876" spans="52:68" x14ac:dyDescent="0.25">
      <c r="AZ1876" s="471"/>
      <c r="BA1876" s="181"/>
      <c r="BB1876" s="182"/>
      <c r="BC1876" s="209"/>
      <c r="BD1876" s="182"/>
      <c r="BE1876" s="209"/>
      <c r="BF1876" s="182"/>
      <c r="BG1876" s="209"/>
      <c r="BH1876" s="182"/>
      <c r="BI1876" s="209"/>
      <c r="BJ1876" s="183"/>
      <c r="BK1876" s="209"/>
      <c r="BL1876" s="182"/>
      <c r="BM1876" s="210"/>
      <c r="BO1876" s="28" t="e">
        <f t="shared" si="165"/>
        <v>#DIV/0!</v>
      </c>
      <c r="BP1876" s="28">
        <f t="shared" si="166"/>
        <v>0</v>
      </c>
    </row>
    <row r="1877" spans="52:68" x14ac:dyDescent="0.25">
      <c r="AZ1877" s="471"/>
      <c r="BA1877" s="181"/>
      <c r="BB1877" s="182"/>
      <c r="BC1877" s="209"/>
      <c r="BD1877" s="182"/>
      <c r="BE1877" s="209"/>
      <c r="BF1877" s="182"/>
      <c r="BG1877" s="209"/>
      <c r="BH1877" s="182"/>
      <c r="BI1877" s="209"/>
      <c r="BJ1877" s="183"/>
      <c r="BK1877" s="209"/>
      <c r="BL1877" s="182"/>
      <c r="BM1877" s="210"/>
      <c r="BO1877" s="28" t="e">
        <f t="shared" si="165"/>
        <v>#DIV/0!</v>
      </c>
      <c r="BP1877" s="28">
        <f t="shared" si="166"/>
        <v>0</v>
      </c>
    </row>
    <row r="1878" spans="52:68" x14ac:dyDescent="0.25">
      <c r="AZ1878" s="471"/>
      <c r="BA1878" s="181"/>
      <c r="BB1878" s="182"/>
      <c r="BC1878" s="209"/>
      <c r="BD1878" s="182"/>
      <c r="BE1878" s="209"/>
      <c r="BF1878" s="182"/>
      <c r="BG1878" s="209"/>
      <c r="BH1878" s="182"/>
      <c r="BI1878" s="209"/>
      <c r="BJ1878" s="183"/>
      <c r="BK1878" s="209"/>
      <c r="BL1878" s="182"/>
      <c r="BM1878" s="210"/>
      <c r="BO1878" s="28" t="e">
        <f t="shared" si="165"/>
        <v>#DIV/0!</v>
      </c>
      <c r="BP1878" s="28">
        <f t="shared" si="166"/>
        <v>0</v>
      </c>
    </row>
    <row r="1879" spans="52:68" x14ac:dyDescent="0.25">
      <c r="AZ1879" s="471"/>
      <c r="BA1879" s="181"/>
      <c r="BB1879" s="182"/>
      <c r="BC1879" s="209"/>
      <c r="BD1879" s="182"/>
      <c r="BE1879" s="209"/>
      <c r="BF1879" s="182"/>
      <c r="BG1879" s="209"/>
      <c r="BH1879" s="182"/>
      <c r="BI1879" s="209"/>
      <c r="BJ1879" s="183"/>
      <c r="BK1879" s="209"/>
      <c r="BL1879" s="182"/>
      <c r="BM1879" s="210"/>
      <c r="BO1879" s="28" t="e">
        <f t="shared" si="165"/>
        <v>#DIV/0!</v>
      </c>
      <c r="BP1879" s="28">
        <f t="shared" si="166"/>
        <v>0</v>
      </c>
    </row>
    <row r="1880" spans="52:68" x14ac:dyDescent="0.25">
      <c r="AZ1880" s="471"/>
      <c r="BA1880" s="181"/>
      <c r="BB1880" s="182"/>
      <c r="BC1880" s="209"/>
      <c r="BD1880" s="182"/>
      <c r="BE1880" s="209"/>
      <c r="BF1880" s="182"/>
      <c r="BG1880" s="209"/>
      <c r="BH1880" s="182"/>
      <c r="BI1880" s="209"/>
      <c r="BJ1880" s="183"/>
      <c r="BK1880" s="209"/>
      <c r="BL1880" s="182"/>
      <c r="BM1880" s="210"/>
      <c r="BO1880" s="28" t="e">
        <f t="shared" si="165"/>
        <v>#DIV/0!</v>
      </c>
      <c r="BP1880" s="28">
        <f t="shared" si="166"/>
        <v>0</v>
      </c>
    </row>
    <row r="1881" spans="52:68" x14ac:dyDescent="0.25">
      <c r="AZ1881" s="471"/>
      <c r="BA1881" s="181"/>
      <c r="BB1881" s="182"/>
      <c r="BC1881" s="209"/>
      <c r="BD1881" s="182"/>
      <c r="BE1881" s="209"/>
      <c r="BF1881" s="182"/>
      <c r="BG1881" s="209"/>
      <c r="BH1881" s="182"/>
      <c r="BI1881" s="209"/>
      <c r="BJ1881" s="183"/>
      <c r="BK1881" s="209"/>
      <c r="BL1881" s="182"/>
      <c r="BM1881" s="210"/>
      <c r="BO1881" s="28" t="e">
        <f t="shared" si="165"/>
        <v>#DIV/0!</v>
      </c>
      <c r="BP1881" s="28">
        <f t="shared" si="166"/>
        <v>0</v>
      </c>
    </row>
    <row r="1882" spans="52:68" x14ac:dyDescent="0.25">
      <c r="AZ1882" s="471"/>
      <c r="BA1882" s="181"/>
      <c r="BB1882" s="182"/>
      <c r="BC1882" s="209"/>
      <c r="BD1882" s="182"/>
      <c r="BE1882" s="209"/>
      <c r="BF1882" s="182"/>
      <c r="BG1882" s="209"/>
      <c r="BH1882" s="182"/>
      <c r="BI1882" s="209"/>
      <c r="BJ1882" s="183"/>
      <c r="BK1882" s="209"/>
      <c r="BL1882" s="182"/>
      <c r="BM1882" s="210"/>
      <c r="BO1882" s="28" t="e">
        <f t="shared" si="165"/>
        <v>#DIV/0!</v>
      </c>
      <c r="BP1882" s="28">
        <f t="shared" si="166"/>
        <v>0</v>
      </c>
    </row>
    <row r="1883" spans="52:68" x14ac:dyDescent="0.25">
      <c r="AZ1883" s="471"/>
      <c r="BA1883" s="181"/>
      <c r="BB1883" s="182"/>
      <c r="BC1883" s="209"/>
      <c r="BD1883" s="182"/>
      <c r="BE1883" s="209"/>
      <c r="BF1883" s="182"/>
      <c r="BG1883" s="209"/>
      <c r="BH1883" s="182"/>
      <c r="BI1883" s="209"/>
      <c r="BJ1883" s="183"/>
      <c r="BK1883" s="209"/>
      <c r="BL1883" s="182"/>
      <c r="BM1883" s="210"/>
      <c r="BO1883" s="28" t="e">
        <f t="shared" si="165"/>
        <v>#DIV/0!</v>
      </c>
      <c r="BP1883" s="28">
        <f t="shared" si="166"/>
        <v>0</v>
      </c>
    </row>
    <row r="1884" spans="52:68" x14ac:dyDescent="0.25">
      <c r="AZ1884" s="471"/>
      <c r="BA1884" s="181"/>
      <c r="BB1884" s="182"/>
      <c r="BC1884" s="209"/>
      <c r="BD1884" s="182"/>
      <c r="BE1884" s="209"/>
      <c r="BF1884" s="182"/>
      <c r="BG1884" s="209"/>
      <c r="BH1884" s="182"/>
      <c r="BI1884" s="209"/>
      <c r="BJ1884" s="183"/>
      <c r="BK1884" s="209"/>
      <c r="BL1884" s="182"/>
      <c r="BM1884" s="210"/>
      <c r="BO1884" s="28" t="e">
        <f t="shared" si="165"/>
        <v>#DIV/0!</v>
      </c>
      <c r="BP1884" s="28">
        <f t="shared" si="166"/>
        <v>0</v>
      </c>
    </row>
    <row r="1885" spans="52:68" x14ac:dyDescent="0.25">
      <c r="AZ1885" s="471"/>
      <c r="BA1885" s="181"/>
      <c r="BB1885" s="182"/>
      <c r="BC1885" s="209"/>
      <c r="BD1885" s="182"/>
      <c r="BE1885" s="209"/>
      <c r="BF1885" s="182"/>
      <c r="BG1885" s="209"/>
      <c r="BH1885" s="182"/>
      <c r="BI1885" s="209"/>
      <c r="BJ1885" s="183"/>
      <c r="BK1885" s="209"/>
      <c r="BL1885" s="182"/>
      <c r="BM1885" s="210"/>
      <c r="BO1885" s="28" t="e">
        <f t="shared" si="165"/>
        <v>#DIV/0!</v>
      </c>
      <c r="BP1885" s="28">
        <f t="shared" si="166"/>
        <v>0</v>
      </c>
    </row>
    <row r="1886" spans="52:68" x14ac:dyDescent="0.25">
      <c r="AZ1886" s="471"/>
      <c r="BA1886" s="181"/>
      <c r="BB1886" s="182"/>
      <c r="BC1886" s="209"/>
      <c r="BD1886" s="182"/>
      <c r="BE1886" s="209"/>
      <c r="BF1886" s="182"/>
      <c r="BG1886" s="209"/>
      <c r="BH1886" s="182"/>
      <c r="BI1886" s="209"/>
      <c r="BJ1886" s="183"/>
      <c r="BK1886" s="209"/>
      <c r="BL1886" s="182"/>
      <c r="BM1886" s="210"/>
      <c r="BO1886" s="28" t="e">
        <f t="shared" si="165"/>
        <v>#DIV/0!</v>
      </c>
      <c r="BP1886" s="28">
        <f t="shared" si="166"/>
        <v>0</v>
      </c>
    </row>
    <row r="1887" spans="52:68" x14ac:dyDescent="0.25">
      <c r="AZ1887" s="471"/>
      <c r="BA1887" s="181"/>
      <c r="BB1887" s="182"/>
      <c r="BC1887" s="209"/>
      <c r="BD1887" s="182"/>
      <c r="BE1887" s="209"/>
      <c r="BF1887" s="182"/>
      <c r="BG1887" s="209"/>
      <c r="BH1887" s="182"/>
      <c r="BI1887" s="209"/>
      <c r="BJ1887" s="183"/>
      <c r="BK1887" s="209"/>
      <c r="BL1887" s="182"/>
      <c r="BM1887" s="210"/>
      <c r="BO1887" s="28" t="e">
        <f t="shared" si="165"/>
        <v>#DIV/0!</v>
      </c>
      <c r="BP1887" s="28">
        <f t="shared" si="166"/>
        <v>0</v>
      </c>
    </row>
    <row r="1888" spans="52:68" x14ac:dyDescent="0.25">
      <c r="AZ1888" s="471"/>
      <c r="BA1888" s="181"/>
      <c r="BB1888" s="182"/>
      <c r="BC1888" s="209"/>
      <c r="BD1888" s="182"/>
      <c r="BE1888" s="209"/>
      <c r="BF1888" s="182"/>
      <c r="BG1888" s="209"/>
      <c r="BH1888" s="182"/>
      <c r="BI1888" s="209"/>
      <c r="BJ1888" s="183"/>
      <c r="BK1888" s="209"/>
      <c r="BL1888" s="182"/>
      <c r="BM1888" s="210"/>
      <c r="BO1888" s="28" t="e">
        <f t="shared" si="165"/>
        <v>#DIV/0!</v>
      </c>
      <c r="BP1888" s="28">
        <f t="shared" si="166"/>
        <v>0</v>
      </c>
    </row>
    <row r="1889" spans="52:68" x14ac:dyDescent="0.25">
      <c r="AZ1889" s="471"/>
      <c r="BA1889" s="181"/>
      <c r="BB1889" s="182"/>
      <c r="BC1889" s="209"/>
      <c r="BD1889" s="182"/>
      <c r="BE1889" s="209"/>
      <c r="BF1889" s="182"/>
      <c r="BG1889" s="209"/>
      <c r="BH1889" s="182"/>
      <c r="BI1889" s="209"/>
      <c r="BJ1889" s="183"/>
      <c r="BK1889" s="209"/>
      <c r="BL1889" s="182"/>
      <c r="BM1889" s="210"/>
      <c r="BO1889" s="28" t="e">
        <f t="shared" si="165"/>
        <v>#DIV/0!</v>
      </c>
      <c r="BP1889" s="28">
        <f t="shared" si="166"/>
        <v>0</v>
      </c>
    </row>
    <row r="1890" spans="52:68" x14ac:dyDescent="0.25">
      <c r="AZ1890" s="471"/>
      <c r="BA1890" s="181"/>
      <c r="BB1890" s="182"/>
      <c r="BC1890" s="209"/>
      <c r="BD1890" s="182"/>
      <c r="BE1890" s="209"/>
      <c r="BF1890" s="182"/>
      <c r="BG1890" s="209"/>
      <c r="BH1890" s="182"/>
      <c r="BI1890" s="209"/>
      <c r="BJ1890" s="183"/>
      <c r="BK1890" s="209"/>
      <c r="BL1890" s="182"/>
      <c r="BM1890" s="210"/>
      <c r="BO1890" s="28" t="e">
        <f t="shared" si="165"/>
        <v>#DIV/0!</v>
      </c>
      <c r="BP1890" s="28">
        <f t="shared" si="166"/>
        <v>0</v>
      </c>
    </row>
    <row r="1891" spans="52:68" x14ac:dyDescent="0.25">
      <c r="AZ1891" s="471"/>
      <c r="BA1891" s="181"/>
      <c r="BB1891" s="184"/>
      <c r="BC1891" s="209"/>
      <c r="BD1891" s="184"/>
      <c r="BE1891" s="209"/>
      <c r="BF1891" s="182"/>
      <c r="BG1891" s="209"/>
      <c r="BH1891" s="182"/>
      <c r="BI1891" s="209"/>
      <c r="BJ1891" s="183"/>
      <c r="BK1891" s="209"/>
      <c r="BL1891" s="182"/>
      <c r="BM1891" s="210"/>
      <c r="BO1891" s="28" t="e">
        <f t="shared" si="165"/>
        <v>#DIV/0!</v>
      </c>
      <c r="BP1891" s="28">
        <f t="shared" si="166"/>
        <v>0</v>
      </c>
    </row>
    <row r="1892" spans="52:68" x14ac:dyDescent="0.25">
      <c r="AZ1892" s="471"/>
      <c r="BA1892" s="181"/>
      <c r="BB1892" s="184"/>
      <c r="BC1892" s="209"/>
      <c r="BD1892" s="184"/>
      <c r="BE1892" s="209"/>
      <c r="BF1892" s="182"/>
      <c r="BG1892" s="209"/>
      <c r="BH1892" s="182"/>
      <c r="BI1892" s="209"/>
      <c r="BJ1892" s="183"/>
      <c r="BK1892" s="209"/>
      <c r="BL1892" s="182"/>
      <c r="BM1892" s="210"/>
      <c r="BO1892" s="28" t="e">
        <f t="shared" si="165"/>
        <v>#DIV/0!</v>
      </c>
      <c r="BP1892" s="28">
        <f t="shared" si="166"/>
        <v>0</v>
      </c>
    </row>
    <row r="1893" spans="52:68" x14ac:dyDescent="0.25">
      <c r="AZ1893" s="471"/>
      <c r="BA1893" s="181"/>
      <c r="BB1893" s="184"/>
      <c r="BC1893" s="209"/>
      <c r="BD1893" s="184"/>
      <c r="BE1893" s="209"/>
      <c r="BF1893" s="182"/>
      <c r="BG1893" s="209"/>
      <c r="BH1893" s="182"/>
      <c r="BI1893" s="209"/>
      <c r="BJ1893" s="183"/>
      <c r="BK1893" s="209"/>
      <c r="BL1893" s="182"/>
      <c r="BM1893" s="210"/>
      <c r="BO1893" s="28" t="e">
        <f t="shared" si="165"/>
        <v>#DIV/0!</v>
      </c>
      <c r="BP1893" s="28">
        <f t="shared" si="166"/>
        <v>0</v>
      </c>
    </row>
    <row r="1894" spans="52:68" x14ac:dyDescent="0.25">
      <c r="AZ1894" s="471"/>
      <c r="BA1894" s="181"/>
      <c r="BB1894" s="182"/>
      <c r="BC1894" s="209"/>
      <c r="BD1894" s="182"/>
      <c r="BE1894" s="209"/>
      <c r="BF1894" s="182"/>
      <c r="BG1894" s="209"/>
      <c r="BH1894" s="182"/>
      <c r="BI1894" s="209"/>
      <c r="BJ1894" s="183"/>
      <c r="BK1894" s="209"/>
      <c r="BL1894" s="182"/>
      <c r="BM1894" s="210"/>
      <c r="BO1894" s="28" t="e">
        <f t="shared" si="165"/>
        <v>#DIV/0!</v>
      </c>
      <c r="BP1894" s="28">
        <f t="shared" si="166"/>
        <v>0</v>
      </c>
    </row>
    <row r="1895" spans="52:68" x14ac:dyDescent="0.25">
      <c r="AZ1895" s="471"/>
      <c r="BA1895" s="181"/>
      <c r="BB1895" s="182"/>
      <c r="BC1895" s="209"/>
      <c r="BD1895" s="182"/>
      <c r="BE1895" s="209"/>
      <c r="BF1895" s="182"/>
      <c r="BG1895" s="209"/>
      <c r="BH1895" s="182"/>
      <c r="BI1895" s="209"/>
      <c r="BJ1895" s="183"/>
      <c r="BK1895" s="209"/>
      <c r="BL1895" s="182"/>
      <c r="BM1895" s="210"/>
      <c r="BO1895" s="28" t="e">
        <f t="shared" si="165"/>
        <v>#DIV/0!</v>
      </c>
      <c r="BP1895" s="28">
        <f t="shared" si="166"/>
        <v>0</v>
      </c>
    </row>
    <row r="1896" spans="52:68" x14ac:dyDescent="0.25">
      <c r="AZ1896" s="471"/>
      <c r="BA1896" s="181"/>
      <c r="BB1896" s="182"/>
      <c r="BC1896" s="209"/>
      <c r="BD1896" s="182"/>
      <c r="BE1896" s="209"/>
      <c r="BF1896" s="182"/>
      <c r="BG1896" s="209"/>
      <c r="BH1896" s="182"/>
      <c r="BI1896" s="209"/>
      <c r="BJ1896" s="183"/>
      <c r="BK1896" s="209"/>
      <c r="BL1896" s="182"/>
      <c r="BM1896" s="210"/>
      <c r="BO1896" s="28" t="e">
        <f t="shared" si="165"/>
        <v>#DIV/0!</v>
      </c>
      <c r="BP1896" s="28">
        <f t="shared" si="166"/>
        <v>0</v>
      </c>
    </row>
    <row r="1897" spans="52:68" x14ac:dyDescent="0.25">
      <c r="AZ1897" s="471"/>
      <c r="BA1897" s="181"/>
      <c r="BB1897" s="182"/>
      <c r="BC1897" s="209"/>
      <c r="BD1897" s="182"/>
      <c r="BE1897" s="209"/>
      <c r="BF1897" s="182"/>
      <c r="BG1897" s="209"/>
      <c r="BH1897" s="182"/>
      <c r="BI1897" s="209"/>
      <c r="BJ1897" s="183"/>
      <c r="BK1897" s="209"/>
      <c r="BL1897" s="182"/>
      <c r="BM1897" s="210"/>
      <c r="BO1897" s="28" t="e">
        <f t="shared" si="165"/>
        <v>#DIV/0!</v>
      </c>
      <c r="BP1897" s="28">
        <f t="shared" si="166"/>
        <v>0</v>
      </c>
    </row>
    <row r="1898" spans="52:68" x14ac:dyDescent="0.25">
      <c r="AZ1898" s="471"/>
      <c r="BA1898" s="181"/>
      <c r="BB1898" s="182"/>
      <c r="BC1898" s="209"/>
      <c r="BD1898" s="182"/>
      <c r="BE1898" s="209"/>
      <c r="BF1898" s="182"/>
      <c r="BG1898" s="209"/>
      <c r="BH1898" s="182"/>
      <c r="BI1898" s="209"/>
      <c r="BJ1898" s="183"/>
      <c r="BK1898" s="209"/>
      <c r="BL1898" s="182"/>
      <c r="BM1898" s="210"/>
      <c r="BO1898" s="28" t="e">
        <f t="shared" si="165"/>
        <v>#DIV/0!</v>
      </c>
      <c r="BP1898" s="28">
        <f t="shared" si="166"/>
        <v>0</v>
      </c>
    </row>
    <row r="1899" spans="52:68" x14ac:dyDescent="0.25">
      <c r="AZ1899" s="471"/>
      <c r="BA1899" s="181"/>
      <c r="BB1899" s="182"/>
      <c r="BC1899" s="209"/>
      <c r="BD1899" s="182"/>
      <c r="BE1899" s="209"/>
      <c r="BF1899" s="182"/>
      <c r="BG1899" s="209"/>
      <c r="BH1899" s="182"/>
      <c r="BI1899" s="209"/>
      <c r="BJ1899" s="183"/>
      <c r="BK1899" s="209"/>
      <c r="BL1899" s="182"/>
      <c r="BM1899" s="210"/>
      <c r="BO1899" s="28" t="e">
        <f t="shared" si="165"/>
        <v>#DIV/0!</v>
      </c>
      <c r="BP1899" s="28">
        <f t="shared" si="166"/>
        <v>0</v>
      </c>
    </row>
    <row r="1900" spans="52:68" x14ac:dyDescent="0.25">
      <c r="AZ1900" s="471"/>
      <c r="BA1900" s="181"/>
      <c r="BB1900" s="182"/>
      <c r="BC1900" s="209"/>
      <c r="BD1900" s="182"/>
      <c r="BE1900" s="209"/>
      <c r="BF1900" s="182"/>
      <c r="BG1900" s="209"/>
      <c r="BH1900" s="182"/>
      <c r="BI1900" s="209"/>
      <c r="BJ1900" s="183"/>
      <c r="BK1900" s="209"/>
      <c r="BL1900" s="182"/>
      <c r="BM1900" s="210"/>
      <c r="BO1900" s="28" t="e">
        <f t="shared" si="165"/>
        <v>#DIV/0!</v>
      </c>
      <c r="BP1900" s="28">
        <f t="shared" si="166"/>
        <v>0</v>
      </c>
    </row>
    <row r="1901" spans="52:68" x14ac:dyDescent="0.25">
      <c r="AZ1901" s="471"/>
      <c r="BA1901" s="181"/>
      <c r="BB1901" s="182"/>
      <c r="BC1901" s="209"/>
      <c r="BD1901" s="182"/>
      <c r="BE1901" s="209"/>
      <c r="BF1901" s="182"/>
      <c r="BG1901" s="209"/>
      <c r="BH1901" s="182"/>
      <c r="BI1901" s="209"/>
      <c r="BJ1901" s="183"/>
      <c r="BK1901" s="209"/>
      <c r="BL1901" s="182"/>
      <c r="BM1901" s="210"/>
      <c r="BO1901" s="28" t="e">
        <f t="shared" si="165"/>
        <v>#DIV/0!</v>
      </c>
      <c r="BP1901" s="28">
        <f t="shared" si="166"/>
        <v>0</v>
      </c>
    </row>
    <row r="1902" spans="52:68" x14ac:dyDescent="0.25">
      <c r="AZ1902" s="471"/>
      <c r="BA1902" s="181"/>
      <c r="BB1902" s="182"/>
      <c r="BC1902" s="209"/>
      <c r="BD1902" s="182"/>
      <c r="BE1902" s="209"/>
      <c r="BF1902" s="182"/>
      <c r="BG1902" s="209"/>
      <c r="BH1902" s="182"/>
      <c r="BI1902" s="209"/>
      <c r="BJ1902" s="183"/>
      <c r="BK1902" s="209"/>
      <c r="BL1902" s="182"/>
      <c r="BM1902" s="210"/>
      <c r="BO1902" s="28" t="e">
        <f t="shared" si="165"/>
        <v>#DIV/0!</v>
      </c>
      <c r="BP1902" s="28">
        <f t="shared" si="166"/>
        <v>0</v>
      </c>
    </row>
    <row r="1903" spans="52:68" x14ac:dyDescent="0.25">
      <c r="AZ1903" s="471"/>
      <c r="BA1903" s="181"/>
      <c r="BB1903" s="184"/>
      <c r="BC1903" s="209"/>
      <c r="BD1903" s="184"/>
      <c r="BE1903" s="209"/>
      <c r="BF1903" s="182"/>
      <c r="BG1903" s="209"/>
      <c r="BH1903" s="182"/>
      <c r="BI1903" s="209"/>
      <c r="BJ1903" s="183"/>
      <c r="BK1903" s="209"/>
      <c r="BL1903" s="182"/>
      <c r="BM1903" s="210"/>
      <c r="BO1903" s="28" t="e">
        <f t="shared" si="165"/>
        <v>#DIV/0!</v>
      </c>
      <c r="BP1903" s="28">
        <f t="shared" si="166"/>
        <v>0</v>
      </c>
    </row>
    <row r="1904" spans="52:68" x14ac:dyDescent="0.25">
      <c r="AZ1904" s="471"/>
      <c r="BA1904" s="181"/>
      <c r="BB1904" s="182"/>
      <c r="BC1904" s="209"/>
      <c r="BD1904" s="182"/>
      <c r="BE1904" s="209"/>
      <c r="BF1904" s="182"/>
      <c r="BG1904" s="209"/>
      <c r="BH1904" s="182"/>
      <c r="BI1904" s="209"/>
      <c r="BJ1904" s="183"/>
      <c r="BK1904" s="209"/>
      <c r="BL1904" s="182"/>
      <c r="BM1904" s="210"/>
      <c r="BO1904" s="28" t="e">
        <f t="shared" si="165"/>
        <v>#DIV/0!</v>
      </c>
      <c r="BP1904" s="28">
        <f t="shared" si="166"/>
        <v>0</v>
      </c>
    </row>
    <row r="1905" spans="52:68" x14ac:dyDescent="0.25">
      <c r="AZ1905" s="471"/>
      <c r="BA1905" s="181"/>
      <c r="BB1905" s="182"/>
      <c r="BC1905" s="209"/>
      <c r="BD1905" s="182"/>
      <c r="BE1905" s="209"/>
      <c r="BF1905" s="182"/>
      <c r="BG1905" s="209"/>
      <c r="BH1905" s="182"/>
      <c r="BI1905" s="209"/>
      <c r="BJ1905" s="183"/>
      <c r="BK1905" s="209"/>
      <c r="BL1905" s="182"/>
      <c r="BM1905" s="210"/>
      <c r="BO1905" s="28" t="e">
        <f t="shared" si="165"/>
        <v>#DIV/0!</v>
      </c>
      <c r="BP1905" s="28">
        <f t="shared" si="166"/>
        <v>0</v>
      </c>
    </row>
    <row r="1906" spans="52:68" x14ac:dyDescent="0.25">
      <c r="AZ1906" s="471"/>
      <c r="BA1906" s="181"/>
      <c r="BB1906" s="182"/>
      <c r="BC1906" s="209"/>
      <c r="BD1906" s="182"/>
      <c r="BE1906" s="209"/>
      <c r="BF1906" s="182"/>
      <c r="BG1906" s="209"/>
      <c r="BH1906" s="182"/>
      <c r="BI1906" s="209"/>
      <c r="BJ1906" s="183"/>
      <c r="BK1906" s="209"/>
      <c r="BL1906" s="182"/>
      <c r="BM1906" s="210"/>
      <c r="BO1906" s="28" t="e">
        <f t="shared" si="165"/>
        <v>#DIV/0!</v>
      </c>
      <c r="BP1906" s="28">
        <f t="shared" si="166"/>
        <v>0</v>
      </c>
    </row>
    <row r="1907" spans="52:68" x14ac:dyDescent="0.25">
      <c r="AZ1907" s="471"/>
      <c r="BA1907" s="181"/>
      <c r="BB1907" s="182"/>
      <c r="BC1907" s="209"/>
      <c r="BD1907" s="182"/>
      <c r="BE1907" s="209"/>
      <c r="BF1907" s="182"/>
      <c r="BG1907" s="209"/>
      <c r="BH1907" s="182"/>
      <c r="BI1907" s="209"/>
      <c r="BJ1907" s="183"/>
      <c r="BK1907" s="209"/>
      <c r="BL1907" s="182"/>
      <c r="BM1907" s="210"/>
      <c r="BO1907" s="28" t="e">
        <f t="shared" si="165"/>
        <v>#DIV/0!</v>
      </c>
      <c r="BP1907" s="28">
        <f t="shared" si="166"/>
        <v>0</v>
      </c>
    </row>
    <row r="1908" spans="52:68" x14ac:dyDescent="0.25">
      <c r="AZ1908" s="471"/>
      <c r="BA1908" s="181"/>
      <c r="BB1908" s="182"/>
      <c r="BC1908" s="209"/>
      <c r="BD1908" s="182"/>
      <c r="BE1908" s="209"/>
      <c r="BF1908" s="182"/>
      <c r="BG1908" s="209"/>
      <c r="BH1908" s="182"/>
      <c r="BI1908" s="209"/>
      <c r="BJ1908" s="183"/>
      <c r="BK1908" s="209"/>
      <c r="BL1908" s="182"/>
      <c r="BM1908" s="210"/>
      <c r="BO1908" s="28" t="e">
        <f t="shared" si="165"/>
        <v>#DIV/0!</v>
      </c>
      <c r="BP1908" s="28">
        <f t="shared" si="166"/>
        <v>0</v>
      </c>
    </row>
    <row r="1909" spans="52:68" x14ac:dyDescent="0.25">
      <c r="AZ1909" s="471"/>
      <c r="BA1909" s="181"/>
      <c r="BB1909" s="182"/>
      <c r="BC1909" s="209"/>
      <c r="BD1909" s="182"/>
      <c r="BE1909" s="209"/>
      <c r="BF1909" s="182"/>
      <c r="BG1909" s="209"/>
      <c r="BH1909" s="182"/>
      <c r="BI1909" s="209"/>
      <c r="BJ1909" s="183"/>
      <c r="BK1909" s="209"/>
      <c r="BL1909" s="182"/>
      <c r="BM1909" s="210"/>
      <c r="BO1909" s="28" t="e">
        <f t="shared" si="165"/>
        <v>#DIV/0!</v>
      </c>
      <c r="BP1909" s="28">
        <f t="shared" si="166"/>
        <v>0</v>
      </c>
    </row>
    <row r="1910" spans="52:68" x14ac:dyDescent="0.25">
      <c r="AZ1910" s="471"/>
      <c r="BA1910" s="181"/>
      <c r="BB1910" s="182"/>
      <c r="BC1910" s="209"/>
      <c r="BD1910" s="182"/>
      <c r="BE1910" s="209"/>
      <c r="BF1910" s="182"/>
      <c r="BG1910" s="209"/>
      <c r="BH1910" s="182"/>
      <c r="BI1910" s="209"/>
      <c r="BJ1910" s="183"/>
      <c r="BK1910" s="209"/>
      <c r="BL1910" s="182"/>
      <c r="BM1910" s="210"/>
      <c r="BO1910" s="28" t="e">
        <f t="shared" si="165"/>
        <v>#DIV/0!</v>
      </c>
      <c r="BP1910" s="28">
        <f t="shared" si="166"/>
        <v>0</v>
      </c>
    </row>
    <row r="1911" spans="52:68" x14ac:dyDescent="0.25">
      <c r="AZ1911" s="471"/>
      <c r="BA1911" s="181"/>
      <c r="BB1911" s="182"/>
      <c r="BC1911" s="209"/>
      <c r="BD1911" s="182"/>
      <c r="BE1911" s="209"/>
      <c r="BF1911" s="182"/>
      <c r="BG1911" s="209"/>
      <c r="BH1911" s="182"/>
      <c r="BI1911" s="209"/>
      <c r="BJ1911" s="183"/>
      <c r="BK1911" s="209"/>
      <c r="BL1911" s="182"/>
      <c r="BM1911" s="210"/>
      <c r="BO1911" s="28" t="e">
        <f t="shared" si="165"/>
        <v>#DIV/0!</v>
      </c>
      <c r="BP1911" s="28">
        <f t="shared" si="166"/>
        <v>0</v>
      </c>
    </row>
    <row r="1912" spans="52:68" x14ac:dyDescent="0.25">
      <c r="AZ1912" s="471"/>
      <c r="BA1912" s="181"/>
      <c r="BB1912" s="182"/>
      <c r="BC1912" s="209"/>
      <c r="BD1912" s="182"/>
      <c r="BE1912" s="209"/>
      <c r="BF1912" s="182"/>
      <c r="BG1912" s="209"/>
      <c r="BH1912" s="182"/>
      <c r="BI1912" s="209"/>
      <c r="BJ1912" s="183"/>
      <c r="BK1912" s="209"/>
      <c r="BL1912" s="182"/>
      <c r="BM1912" s="210"/>
      <c r="BO1912" s="28" t="e">
        <f t="shared" si="165"/>
        <v>#DIV/0!</v>
      </c>
      <c r="BP1912" s="28">
        <f t="shared" si="166"/>
        <v>0</v>
      </c>
    </row>
    <row r="1913" spans="52:68" x14ac:dyDescent="0.25">
      <c r="AZ1913" s="471"/>
      <c r="BA1913" s="181"/>
      <c r="BB1913" s="182"/>
      <c r="BC1913" s="209"/>
      <c r="BD1913" s="182"/>
      <c r="BE1913" s="209"/>
      <c r="BF1913" s="182"/>
      <c r="BG1913" s="209"/>
      <c r="BH1913" s="182"/>
      <c r="BI1913" s="209"/>
      <c r="BJ1913" s="183"/>
      <c r="BK1913" s="209"/>
      <c r="BL1913" s="182"/>
      <c r="BM1913" s="210"/>
      <c r="BO1913" s="28" t="e">
        <f t="shared" si="165"/>
        <v>#DIV/0!</v>
      </c>
      <c r="BP1913" s="28">
        <f t="shared" si="166"/>
        <v>0</v>
      </c>
    </row>
    <row r="1914" spans="52:68" x14ac:dyDescent="0.25">
      <c r="AZ1914" s="471"/>
      <c r="BA1914" s="181"/>
      <c r="BB1914" s="182"/>
      <c r="BC1914" s="209"/>
      <c r="BD1914" s="182"/>
      <c r="BE1914" s="209"/>
      <c r="BF1914" s="182"/>
      <c r="BG1914" s="209"/>
      <c r="BH1914" s="182"/>
      <c r="BI1914" s="209"/>
      <c r="BJ1914" s="183"/>
      <c r="BK1914" s="209"/>
      <c r="BL1914" s="182"/>
      <c r="BM1914" s="210"/>
      <c r="BO1914" s="28" t="e">
        <f t="shared" si="165"/>
        <v>#DIV/0!</v>
      </c>
      <c r="BP1914" s="28">
        <f t="shared" si="166"/>
        <v>0</v>
      </c>
    </row>
    <row r="1915" spans="52:68" x14ac:dyDescent="0.25">
      <c r="AZ1915" s="471"/>
      <c r="BA1915" s="181"/>
      <c r="BB1915" s="182"/>
      <c r="BC1915" s="209"/>
      <c r="BD1915" s="182"/>
      <c r="BE1915" s="209"/>
      <c r="BF1915" s="182"/>
      <c r="BG1915" s="209"/>
      <c r="BH1915" s="182"/>
      <c r="BI1915" s="209"/>
      <c r="BJ1915" s="183"/>
      <c r="BK1915" s="209"/>
      <c r="BL1915" s="182"/>
      <c r="BM1915" s="210"/>
      <c r="BO1915" s="28" t="e">
        <f t="shared" si="165"/>
        <v>#DIV/0!</v>
      </c>
      <c r="BP1915" s="28">
        <f t="shared" si="166"/>
        <v>0</v>
      </c>
    </row>
    <row r="1916" spans="52:68" x14ac:dyDescent="0.25">
      <c r="AZ1916" s="471"/>
      <c r="BA1916" s="181"/>
      <c r="BB1916" s="182"/>
      <c r="BC1916" s="209"/>
      <c r="BD1916" s="182"/>
      <c r="BE1916" s="209"/>
      <c r="BF1916" s="182"/>
      <c r="BG1916" s="209"/>
      <c r="BH1916" s="182"/>
      <c r="BI1916" s="209"/>
      <c r="BJ1916" s="183"/>
      <c r="BK1916" s="209"/>
      <c r="BL1916" s="182"/>
      <c r="BM1916" s="210"/>
      <c r="BO1916" s="28" t="e">
        <f t="shared" si="165"/>
        <v>#DIV/0!</v>
      </c>
      <c r="BP1916" s="28">
        <f t="shared" si="166"/>
        <v>0</v>
      </c>
    </row>
    <row r="1917" spans="52:68" x14ac:dyDescent="0.25">
      <c r="AZ1917" s="471"/>
      <c r="BA1917" s="181"/>
      <c r="BB1917" s="182"/>
      <c r="BC1917" s="209"/>
      <c r="BD1917" s="182"/>
      <c r="BE1917" s="209"/>
      <c r="BF1917" s="182"/>
      <c r="BG1917" s="209"/>
      <c r="BH1917" s="182"/>
      <c r="BI1917" s="209"/>
      <c r="BJ1917" s="183"/>
      <c r="BK1917" s="209"/>
      <c r="BL1917" s="182"/>
      <c r="BM1917" s="210"/>
      <c r="BO1917" s="28" t="e">
        <f t="shared" si="165"/>
        <v>#DIV/0!</v>
      </c>
      <c r="BP1917" s="28">
        <f t="shared" si="166"/>
        <v>0</v>
      </c>
    </row>
    <row r="1918" spans="52:68" x14ac:dyDescent="0.25">
      <c r="AZ1918" s="471"/>
      <c r="BA1918" s="181"/>
      <c r="BB1918" s="182"/>
      <c r="BC1918" s="209"/>
      <c r="BD1918" s="182"/>
      <c r="BE1918" s="209"/>
      <c r="BF1918" s="182"/>
      <c r="BG1918" s="209"/>
      <c r="BH1918" s="182"/>
      <c r="BI1918" s="209"/>
      <c r="BJ1918" s="183"/>
      <c r="BK1918" s="209"/>
      <c r="BL1918" s="182"/>
      <c r="BM1918" s="210"/>
      <c r="BO1918" s="28" t="e">
        <f t="shared" si="165"/>
        <v>#DIV/0!</v>
      </c>
      <c r="BP1918" s="28">
        <f t="shared" si="166"/>
        <v>0</v>
      </c>
    </row>
    <row r="1919" spans="52:68" x14ac:dyDescent="0.25">
      <c r="AZ1919" s="471"/>
      <c r="BA1919" s="181"/>
      <c r="BB1919" s="182"/>
      <c r="BC1919" s="209"/>
      <c r="BD1919" s="182"/>
      <c r="BE1919" s="209"/>
      <c r="BF1919" s="182"/>
      <c r="BG1919" s="209"/>
      <c r="BH1919" s="182"/>
      <c r="BI1919" s="209"/>
      <c r="BJ1919" s="183"/>
      <c r="BK1919" s="209"/>
      <c r="BL1919" s="182"/>
      <c r="BM1919" s="210"/>
      <c r="BO1919" s="28" t="e">
        <f t="shared" si="165"/>
        <v>#DIV/0!</v>
      </c>
      <c r="BP1919" s="28">
        <f t="shared" si="166"/>
        <v>0</v>
      </c>
    </row>
    <row r="1920" spans="52:68" x14ac:dyDescent="0.25">
      <c r="AZ1920" s="471"/>
      <c r="BA1920" s="181"/>
      <c r="BB1920" s="182"/>
      <c r="BC1920" s="209"/>
      <c r="BD1920" s="182"/>
      <c r="BE1920" s="209"/>
      <c r="BF1920" s="182"/>
      <c r="BG1920" s="209"/>
      <c r="BH1920" s="182"/>
      <c r="BI1920" s="209"/>
      <c r="BJ1920" s="183"/>
      <c r="BK1920" s="209"/>
      <c r="BL1920" s="182"/>
      <c r="BM1920" s="210"/>
      <c r="BO1920" s="28" t="e">
        <f t="shared" si="165"/>
        <v>#DIV/0!</v>
      </c>
      <c r="BP1920" s="28">
        <f t="shared" si="166"/>
        <v>0</v>
      </c>
    </row>
    <row r="1921" spans="52:68" x14ac:dyDescent="0.25">
      <c r="AZ1921" s="471"/>
      <c r="BA1921" s="181"/>
      <c r="BB1921" s="182"/>
      <c r="BC1921" s="209"/>
      <c r="BD1921" s="182"/>
      <c r="BE1921" s="209"/>
      <c r="BF1921" s="182"/>
      <c r="BG1921" s="209"/>
      <c r="BH1921" s="182"/>
      <c r="BI1921" s="209"/>
      <c r="BJ1921" s="183"/>
      <c r="BK1921" s="209"/>
      <c r="BL1921" s="182"/>
      <c r="BM1921" s="210"/>
      <c r="BO1921" s="28" t="e">
        <f t="shared" si="165"/>
        <v>#DIV/0!</v>
      </c>
      <c r="BP1921" s="28">
        <f t="shared" si="166"/>
        <v>0</v>
      </c>
    </row>
    <row r="1922" spans="52:68" x14ac:dyDescent="0.25">
      <c r="AZ1922" s="471"/>
      <c r="BA1922" s="181"/>
      <c r="BB1922" s="184"/>
      <c r="BC1922" s="209"/>
      <c r="BD1922" s="184"/>
      <c r="BE1922" s="209"/>
      <c r="BF1922" s="182"/>
      <c r="BG1922" s="209"/>
      <c r="BH1922" s="182"/>
      <c r="BI1922" s="209"/>
      <c r="BJ1922" s="183"/>
      <c r="BK1922" s="209"/>
      <c r="BL1922" s="182"/>
      <c r="BM1922" s="210"/>
      <c r="BO1922" s="28" t="e">
        <f t="shared" si="165"/>
        <v>#DIV/0!</v>
      </c>
      <c r="BP1922" s="28">
        <f t="shared" si="166"/>
        <v>0</v>
      </c>
    </row>
    <row r="1923" spans="52:68" x14ac:dyDescent="0.25">
      <c r="AZ1923" s="471"/>
      <c r="BA1923" s="181"/>
      <c r="BB1923" s="182"/>
      <c r="BC1923" s="209"/>
      <c r="BD1923" s="182"/>
      <c r="BE1923" s="209"/>
      <c r="BF1923" s="182"/>
      <c r="BG1923" s="209"/>
      <c r="BH1923" s="182"/>
      <c r="BI1923" s="209"/>
      <c r="BJ1923" s="183"/>
      <c r="BK1923" s="209"/>
      <c r="BL1923" s="182"/>
      <c r="BM1923" s="210"/>
      <c r="BO1923" s="28" t="e">
        <f t="shared" si="165"/>
        <v>#DIV/0!</v>
      </c>
      <c r="BP1923" s="28">
        <f t="shared" si="166"/>
        <v>0</v>
      </c>
    </row>
    <row r="1924" spans="52:68" x14ac:dyDescent="0.25">
      <c r="AZ1924" s="471"/>
      <c r="BA1924" s="181"/>
      <c r="BB1924" s="182"/>
      <c r="BC1924" s="209"/>
      <c r="BD1924" s="182"/>
      <c r="BE1924" s="209"/>
      <c r="BF1924" s="182"/>
      <c r="BG1924" s="209"/>
      <c r="BH1924" s="182"/>
      <c r="BI1924" s="209"/>
      <c r="BJ1924" s="183"/>
      <c r="BK1924" s="209"/>
      <c r="BL1924" s="182"/>
      <c r="BM1924" s="210"/>
      <c r="BO1924" s="28" t="e">
        <f t="shared" si="165"/>
        <v>#DIV/0!</v>
      </c>
      <c r="BP1924" s="28">
        <f t="shared" si="166"/>
        <v>0</v>
      </c>
    </row>
    <row r="1925" spans="52:68" x14ac:dyDescent="0.25">
      <c r="AZ1925" s="471"/>
      <c r="BA1925" s="181"/>
      <c r="BB1925" s="182"/>
      <c r="BC1925" s="209"/>
      <c r="BD1925" s="182"/>
      <c r="BE1925" s="209"/>
      <c r="BF1925" s="182"/>
      <c r="BG1925" s="209"/>
      <c r="BH1925" s="182"/>
      <c r="BI1925" s="209"/>
      <c r="BJ1925" s="183"/>
      <c r="BK1925" s="209"/>
      <c r="BL1925" s="182"/>
      <c r="BM1925" s="210"/>
      <c r="BO1925" s="28" t="e">
        <f t="shared" si="165"/>
        <v>#DIV/0!</v>
      </c>
      <c r="BP1925" s="28">
        <f t="shared" si="166"/>
        <v>0</v>
      </c>
    </row>
    <row r="1926" spans="52:68" x14ac:dyDescent="0.25">
      <c r="AZ1926" s="471"/>
      <c r="BA1926" s="181"/>
      <c r="BB1926" s="182"/>
      <c r="BC1926" s="209"/>
      <c r="BD1926" s="182"/>
      <c r="BE1926" s="209"/>
      <c r="BF1926" s="182"/>
      <c r="BG1926" s="209"/>
      <c r="BH1926" s="182"/>
      <c r="BI1926" s="209"/>
      <c r="BJ1926" s="183"/>
      <c r="BK1926" s="209"/>
      <c r="BL1926" s="182"/>
      <c r="BM1926" s="210"/>
      <c r="BO1926" s="28" t="e">
        <f t="shared" si="165"/>
        <v>#DIV/0!</v>
      </c>
      <c r="BP1926" s="28">
        <f t="shared" si="166"/>
        <v>0</v>
      </c>
    </row>
    <row r="1927" spans="52:68" x14ac:dyDescent="0.25">
      <c r="AZ1927" s="471"/>
      <c r="BA1927" s="181"/>
      <c r="BB1927" s="182"/>
      <c r="BC1927" s="209"/>
      <c r="BD1927" s="182"/>
      <c r="BE1927" s="209"/>
      <c r="BF1927" s="182"/>
      <c r="BG1927" s="209"/>
      <c r="BH1927" s="182"/>
      <c r="BI1927" s="209"/>
      <c r="BJ1927" s="183"/>
      <c r="BK1927" s="209"/>
      <c r="BL1927" s="182"/>
      <c r="BM1927" s="210"/>
      <c r="BO1927" s="28" t="e">
        <f t="shared" si="165"/>
        <v>#DIV/0!</v>
      </c>
      <c r="BP1927" s="28">
        <f t="shared" si="166"/>
        <v>0</v>
      </c>
    </row>
    <row r="1928" spans="52:68" x14ac:dyDescent="0.25">
      <c r="AZ1928" s="471"/>
      <c r="BA1928" s="181"/>
      <c r="BB1928" s="182"/>
      <c r="BC1928" s="209"/>
      <c r="BD1928" s="182"/>
      <c r="BE1928" s="209"/>
      <c r="BF1928" s="182"/>
      <c r="BG1928" s="209"/>
      <c r="BH1928" s="182"/>
      <c r="BI1928" s="209"/>
      <c r="BJ1928" s="183"/>
      <c r="BK1928" s="209"/>
      <c r="BL1928" s="182"/>
      <c r="BM1928" s="210"/>
      <c r="BO1928" s="28" t="e">
        <f t="shared" si="165"/>
        <v>#DIV/0!</v>
      </c>
      <c r="BP1928" s="28">
        <f t="shared" si="166"/>
        <v>0</v>
      </c>
    </row>
    <row r="1929" spans="52:68" x14ac:dyDescent="0.25">
      <c r="AZ1929" s="471"/>
      <c r="BA1929" s="181"/>
      <c r="BB1929" s="182"/>
      <c r="BC1929" s="209"/>
      <c r="BD1929" s="182"/>
      <c r="BE1929" s="209"/>
      <c r="BF1929" s="182"/>
      <c r="BG1929" s="209"/>
      <c r="BH1929" s="182"/>
      <c r="BI1929" s="209"/>
      <c r="BJ1929" s="183"/>
      <c r="BK1929" s="209"/>
      <c r="BL1929" s="182"/>
      <c r="BM1929" s="210"/>
      <c r="BO1929" s="28" t="e">
        <f t="shared" ref="BO1929:BO1992" si="167">AVERAGE(BB1929:BM1929)</f>
        <v>#DIV/0!</v>
      </c>
      <c r="BP1929" s="28">
        <f t="shared" ref="BP1929:BP1992" si="168">SUM(BB1929:BM1929)</f>
        <v>0</v>
      </c>
    </row>
    <row r="1930" spans="52:68" x14ac:dyDescent="0.25">
      <c r="AZ1930" s="471"/>
      <c r="BA1930" s="181"/>
      <c r="BB1930" s="182"/>
      <c r="BC1930" s="209"/>
      <c r="BD1930" s="182"/>
      <c r="BE1930" s="209"/>
      <c r="BF1930" s="182"/>
      <c r="BG1930" s="209"/>
      <c r="BH1930" s="182"/>
      <c r="BI1930" s="209"/>
      <c r="BJ1930" s="183"/>
      <c r="BK1930" s="209"/>
      <c r="BL1930" s="182"/>
      <c r="BM1930" s="210"/>
      <c r="BO1930" s="28" t="e">
        <f t="shared" si="167"/>
        <v>#DIV/0!</v>
      </c>
      <c r="BP1930" s="28">
        <f t="shared" si="168"/>
        <v>0</v>
      </c>
    </row>
    <row r="1931" spans="52:68" x14ac:dyDescent="0.25">
      <c r="AZ1931" s="471"/>
      <c r="BA1931" s="181"/>
      <c r="BB1931" s="182"/>
      <c r="BC1931" s="209"/>
      <c r="BD1931" s="182"/>
      <c r="BE1931" s="209"/>
      <c r="BF1931" s="182"/>
      <c r="BG1931" s="209"/>
      <c r="BH1931" s="182"/>
      <c r="BI1931" s="209"/>
      <c r="BJ1931" s="183"/>
      <c r="BK1931" s="209"/>
      <c r="BL1931" s="182"/>
      <c r="BM1931" s="210"/>
      <c r="BO1931" s="28" t="e">
        <f t="shared" si="167"/>
        <v>#DIV/0!</v>
      </c>
      <c r="BP1931" s="28">
        <f t="shared" si="168"/>
        <v>0</v>
      </c>
    </row>
    <row r="1932" spans="52:68" x14ac:dyDescent="0.25">
      <c r="AZ1932" s="471"/>
      <c r="BA1932" s="181"/>
      <c r="BB1932" s="182"/>
      <c r="BC1932" s="209"/>
      <c r="BD1932" s="182"/>
      <c r="BE1932" s="209"/>
      <c r="BF1932" s="182"/>
      <c r="BG1932" s="209"/>
      <c r="BH1932" s="182"/>
      <c r="BI1932" s="209"/>
      <c r="BJ1932" s="183"/>
      <c r="BK1932" s="209"/>
      <c r="BL1932" s="182"/>
      <c r="BM1932" s="210"/>
      <c r="BO1932" s="28" t="e">
        <f t="shared" si="167"/>
        <v>#DIV/0!</v>
      </c>
      <c r="BP1932" s="28">
        <f t="shared" si="168"/>
        <v>0</v>
      </c>
    </row>
    <row r="1933" spans="52:68" x14ac:dyDescent="0.25">
      <c r="AZ1933" s="471"/>
      <c r="BA1933" s="181"/>
      <c r="BB1933" s="182"/>
      <c r="BC1933" s="209"/>
      <c r="BD1933" s="182"/>
      <c r="BE1933" s="209"/>
      <c r="BF1933" s="182"/>
      <c r="BG1933" s="209"/>
      <c r="BH1933" s="182"/>
      <c r="BI1933" s="209"/>
      <c r="BJ1933" s="183"/>
      <c r="BK1933" s="209"/>
      <c r="BL1933" s="182"/>
      <c r="BM1933" s="210"/>
      <c r="BO1933" s="28" t="e">
        <f t="shared" si="167"/>
        <v>#DIV/0!</v>
      </c>
      <c r="BP1933" s="28">
        <f t="shared" si="168"/>
        <v>0</v>
      </c>
    </row>
    <row r="1934" spans="52:68" x14ac:dyDescent="0.25">
      <c r="AZ1934" s="471"/>
      <c r="BA1934" s="181"/>
      <c r="BB1934" s="182"/>
      <c r="BC1934" s="209"/>
      <c r="BD1934" s="182"/>
      <c r="BE1934" s="209"/>
      <c r="BF1934" s="182"/>
      <c r="BG1934" s="209"/>
      <c r="BH1934" s="182"/>
      <c r="BI1934" s="209"/>
      <c r="BJ1934" s="183"/>
      <c r="BK1934" s="209"/>
      <c r="BL1934" s="182"/>
      <c r="BM1934" s="210"/>
      <c r="BO1934" s="28" t="e">
        <f t="shared" si="167"/>
        <v>#DIV/0!</v>
      </c>
      <c r="BP1934" s="28">
        <f t="shared" si="168"/>
        <v>0</v>
      </c>
    </row>
    <row r="1935" spans="52:68" x14ac:dyDescent="0.25">
      <c r="AZ1935" s="471"/>
      <c r="BA1935" s="181"/>
      <c r="BB1935" s="182"/>
      <c r="BC1935" s="209"/>
      <c r="BD1935" s="182"/>
      <c r="BE1935" s="209"/>
      <c r="BF1935" s="182"/>
      <c r="BG1935" s="209"/>
      <c r="BH1935" s="182"/>
      <c r="BI1935" s="209"/>
      <c r="BJ1935" s="183"/>
      <c r="BK1935" s="209"/>
      <c r="BL1935" s="182"/>
      <c r="BM1935" s="210"/>
      <c r="BO1935" s="28" t="e">
        <f t="shared" si="167"/>
        <v>#DIV/0!</v>
      </c>
      <c r="BP1935" s="28">
        <f t="shared" si="168"/>
        <v>0</v>
      </c>
    </row>
    <row r="1936" spans="52:68" x14ac:dyDescent="0.25">
      <c r="AZ1936" s="471"/>
      <c r="BA1936" s="181"/>
      <c r="BB1936" s="182"/>
      <c r="BC1936" s="209"/>
      <c r="BD1936" s="182"/>
      <c r="BE1936" s="209"/>
      <c r="BF1936" s="182"/>
      <c r="BG1936" s="209"/>
      <c r="BH1936" s="182"/>
      <c r="BI1936" s="209"/>
      <c r="BJ1936" s="183"/>
      <c r="BK1936" s="209"/>
      <c r="BL1936" s="182"/>
      <c r="BM1936" s="210"/>
      <c r="BO1936" s="28" t="e">
        <f t="shared" si="167"/>
        <v>#DIV/0!</v>
      </c>
      <c r="BP1936" s="28">
        <f t="shared" si="168"/>
        <v>0</v>
      </c>
    </row>
    <row r="1937" spans="52:68" x14ac:dyDescent="0.25">
      <c r="AZ1937" s="471"/>
      <c r="BA1937" s="181"/>
      <c r="BB1937" s="182"/>
      <c r="BC1937" s="209"/>
      <c r="BD1937" s="182"/>
      <c r="BE1937" s="209"/>
      <c r="BF1937" s="182"/>
      <c r="BG1937" s="209"/>
      <c r="BH1937" s="182"/>
      <c r="BI1937" s="209"/>
      <c r="BJ1937" s="183"/>
      <c r="BK1937" s="209"/>
      <c r="BL1937" s="182"/>
      <c r="BM1937" s="210"/>
      <c r="BO1937" s="28" t="e">
        <f t="shared" si="167"/>
        <v>#DIV/0!</v>
      </c>
      <c r="BP1937" s="28">
        <f t="shared" si="168"/>
        <v>0</v>
      </c>
    </row>
    <row r="1938" spans="52:68" x14ac:dyDescent="0.25">
      <c r="AZ1938" s="471"/>
      <c r="BA1938" s="181"/>
      <c r="BB1938" s="182"/>
      <c r="BC1938" s="209"/>
      <c r="BD1938" s="182"/>
      <c r="BE1938" s="209"/>
      <c r="BF1938" s="182"/>
      <c r="BG1938" s="209"/>
      <c r="BH1938" s="182"/>
      <c r="BI1938" s="209"/>
      <c r="BJ1938" s="183"/>
      <c r="BK1938" s="209"/>
      <c r="BL1938" s="182"/>
      <c r="BM1938" s="210"/>
      <c r="BO1938" s="28" t="e">
        <f t="shared" si="167"/>
        <v>#DIV/0!</v>
      </c>
      <c r="BP1938" s="28">
        <f t="shared" si="168"/>
        <v>0</v>
      </c>
    </row>
    <row r="1939" spans="52:68" x14ac:dyDescent="0.25">
      <c r="AZ1939" s="471"/>
      <c r="BA1939" s="181"/>
      <c r="BB1939" s="182"/>
      <c r="BC1939" s="209"/>
      <c r="BD1939" s="182"/>
      <c r="BE1939" s="209"/>
      <c r="BF1939" s="182"/>
      <c r="BG1939" s="209"/>
      <c r="BH1939" s="182"/>
      <c r="BI1939" s="209"/>
      <c r="BJ1939" s="183"/>
      <c r="BK1939" s="209"/>
      <c r="BL1939" s="182"/>
      <c r="BM1939" s="210"/>
      <c r="BO1939" s="28" t="e">
        <f t="shared" si="167"/>
        <v>#DIV/0!</v>
      </c>
      <c r="BP1939" s="28">
        <f t="shared" si="168"/>
        <v>0</v>
      </c>
    </row>
    <row r="1940" spans="52:68" x14ac:dyDescent="0.25">
      <c r="AZ1940" s="471"/>
      <c r="BA1940" s="181"/>
      <c r="BB1940" s="182"/>
      <c r="BC1940" s="209"/>
      <c r="BD1940" s="182"/>
      <c r="BE1940" s="209"/>
      <c r="BF1940" s="182"/>
      <c r="BG1940" s="209"/>
      <c r="BH1940" s="182"/>
      <c r="BI1940" s="209"/>
      <c r="BJ1940" s="183"/>
      <c r="BK1940" s="209"/>
      <c r="BL1940" s="182"/>
      <c r="BM1940" s="210"/>
      <c r="BO1940" s="28" t="e">
        <f t="shared" si="167"/>
        <v>#DIV/0!</v>
      </c>
      <c r="BP1940" s="28">
        <f t="shared" si="168"/>
        <v>0</v>
      </c>
    </row>
    <row r="1941" spans="52:68" x14ac:dyDescent="0.25">
      <c r="AZ1941" s="471"/>
      <c r="BA1941" s="181"/>
      <c r="BB1941" s="182"/>
      <c r="BC1941" s="209"/>
      <c r="BD1941" s="182"/>
      <c r="BE1941" s="209"/>
      <c r="BF1941" s="182"/>
      <c r="BG1941" s="209"/>
      <c r="BH1941" s="182"/>
      <c r="BI1941" s="209"/>
      <c r="BJ1941" s="183"/>
      <c r="BK1941" s="209"/>
      <c r="BL1941" s="182"/>
      <c r="BM1941" s="210"/>
      <c r="BO1941" s="28" t="e">
        <f t="shared" si="167"/>
        <v>#DIV/0!</v>
      </c>
      <c r="BP1941" s="28">
        <f t="shared" si="168"/>
        <v>0</v>
      </c>
    </row>
    <row r="1942" spans="52:68" x14ac:dyDescent="0.25">
      <c r="AZ1942" s="471"/>
      <c r="BA1942" s="181"/>
      <c r="BB1942" s="182"/>
      <c r="BC1942" s="209"/>
      <c r="BD1942" s="182"/>
      <c r="BE1942" s="209"/>
      <c r="BF1942" s="182"/>
      <c r="BG1942" s="209"/>
      <c r="BH1942" s="182"/>
      <c r="BI1942" s="209"/>
      <c r="BJ1942" s="183"/>
      <c r="BK1942" s="209"/>
      <c r="BL1942" s="182"/>
      <c r="BM1942" s="210"/>
      <c r="BO1942" s="28" t="e">
        <f t="shared" si="167"/>
        <v>#DIV/0!</v>
      </c>
      <c r="BP1942" s="28">
        <f t="shared" si="168"/>
        <v>0</v>
      </c>
    </row>
    <row r="1943" spans="52:68" x14ac:dyDescent="0.25">
      <c r="AZ1943" s="471"/>
      <c r="BA1943" s="181"/>
      <c r="BB1943" s="182"/>
      <c r="BC1943" s="209"/>
      <c r="BD1943" s="182"/>
      <c r="BE1943" s="209"/>
      <c r="BF1943" s="182"/>
      <c r="BG1943" s="209"/>
      <c r="BH1943" s="182"/>
      <c r="BI1943" s="209"/>
      <c r="BJ1943" s="183"/>
      <c r="BK1943" s="209"/>
      <c r="BL1943" s="182"/>
      <c r="BM1943" s="210"/>
      <c r="BO1943" s="28" t="e">
        <f t="shared" si="167"/>
        <v>#DIV/0!</v>
      </c>
      <c r="BP1943" s="28">
        <f t="shared" si="168"/>
        <v>0</v>
      </c>
    </row>
    <row r="1944" spans="52:68" x14ac:dyDescent="0.25">
      <c r="AZ1944" s="471"/>
      <c r="BA1944" s="181"/>
      <c r="BB1944" s="184"/>
      <c r="BC1944" s="209"/>
      <c r="BD1944" s="184"/>
      <c r="BE1944" s="209"/>
      <c r="BF1944" s="182"/>
      <c r="BG1944" s="209"/>
      <c r="BH1944" s="182"/>
      <c r="BI1944" s="209"/>
      <c r="BJ1944" s="183"/>
      <c r="BK1944" s="209"/>
      <c r="BL1944" s="182"/>
      <c r="BM1944" s="210"/>
      <c r="BO1944" s="28" t="e">
        <f t="shared" si="167"/>
        <v>#DIV/0!</v>
      </c>
      <c r="BP1944" s="28">
        <f t="shared" si="168"/>
        <v>0</v>
      </c>
    </row>
    <row r="1945" spans="52:68" x14ac:dyDescent="0.25">
      <c r="AZ1945" s="471"/>
      <c r="BA1945" s="181"/>
      <c r="BB1945" s="182"/>
      <c r="BC1945" s="209"/>
      <c r="BD1945" s="182"/>
      <c r="BE1945" s="209"/>
      <c r="BF1945" s="182"/>
      <c r="BG1945" s="209"/>
      <c r="BH1945" s="182"/>
      <c r="BI1945" s="209"/>
      <c r="BJ1945" s="183"/>
      <c r="BK1945" s="209"/>
      <c r="BL1945" s="182"/>
      <c r="BM1945" s="210"/>
      <c r="BO1945" s="28" t="e">
        <f t="shared" si="167"/>
        <v>#DIV/0!</v>
      </c>
      <c r="BP1945" s="28">
        <f t="shared" si="168"/>
        <v>0</v>
      </c>
    </row>
    <row r="1946" spans="52:68" x14ac:dyDescent="0.25">
      <c r="AZ1946" s="471"/>
      <c r="BA1946" s="181"/>
      <c r="BB1946" s="182"/>
      <c r="BC1946" s="209"/>
      <c r="BD1946" s="182"/>
      <c r="BE1946" s="209"/>
      <c r="BF1946" s="182"/>
      <c r="BG1946" s="209"/>
      <c r="BH1946" s="182"/>
      <c r="BI1946" s="209"/>
      <c r="BJ1946" s="183"/>
      <c r="BK1946" s="209"/>
      <c r="BL1946" s="182"/>
      <c r="BM1946" s="210"/>
      <c r="BO1946" s="28" t="e">
        <f t="shared" si="167"/>
        <v>#DIV/0!</v>
      </c>
      <c r="BP1946" s="28">
        <f t="shared" si="168"/>
        <v>0</v>
      </c>
    </row>
    <row r="1947" spans="52:68" x14ac:dyDescent="0.25">
      <c r="AZ1947" s="471"/>
      <c r="BA1947" s="181"/>
      <c r="BB1947" s="182"/>
      <c r="BC1947" s="209"/>
      <c r="BD1947" s="182"/>
      <c r="BE1947" s="209"/>
      <c r="BF1947" s="182"/>
      <c r="BG1947" s="209"/>
      <c r="BH1947" s="182"/>
      <c r="BI1947" s="209"/>
      <c r="BJ1947" s="183"/>
      <c r="BK1947" s="209"/>
      <c r="BL1947" s="182"/>
      <c r="BM1947" s="210"/>
      <c r="BO1947" s="28" t="e">
        <f t="shared" si="167"/>
        <v>#DIV/0!</v>
      </c>
      <c r="BP1947" s="28">
        <f t="shared" si="168"/>
        <v>0</v>
      </c>
    </row>
    <row r="1948" spans="52:68" x14ac:dyDescent="0.25">
      <c r="AZ1948" s="471"/>
      <c r="BA1948" s="181"/>
      <c r="BB1948" s="182"/>
      <c r="BC1948" s="209"/>
      <c r="BD1948" s="182"/>
      <c r="BE1948" s="209"/>
      <c r="BF1948" s="182"/>
      <c r="BG1948" s="209"/>
      <c r="BH1948" s="182"/>
      <c r="BI1948" s="209"/>
      <c r="BJ1948" s="183"/>
      <c r="BK1948" s="209"/>
      <c r="BL1948" s="182"/>
      <c r="BM1948" s="210"/>
      <c r="BO1948" s="28" t="e">
        <f t="shared" si="167"/>
        <v>#DIV/0!</v>
      </c>
      <c r="BP1948" s="28">
        <f t="shared" si="168"/>
        <v>0</v>
      </c>
    </row>
    <row r="1949" spans="52:68" x14ac:dyDescent="0.25">
      <c r="AZ1949" s="471"/>
      <c r="BA1949" s="181"/>
      <c r="BB1949" s="182"/>
      <c r="BC1949" s="209"/>
      <c r="BD1949" s="182"/>
      <c r="BE1949" s="209"/>
      <c r="BF1949" s="182"/>
      <c r="BG1949" s="209"/>
      <c r="BH1949" s="182"/>
      <c r="BI1949" s="209"/>
      <c r="BJ1949" s="183"/>
      <c r="BK1949" s="209"/>
      <c r="BL1949" s="182"/>
      <c r="BM1949" s="210"/>
      <c r="BO1949" s="28" t="e">
        <f t="shared" si="167"/>
        <v>#DIV/0!</v>
      </c>
      <c r="BP1949" s="28">
        <f t="shared" si="168"/>
        <v>0</v>
      </c>
    </row>
    <row r="1950" spans="52:68" x14ac:dyDescent="0.25">
      <c r="AZ1950" s="471"/>
      <c r="BA1950" s="181"/>
      <c r="BB1950" s="182"/>
      <c r="BC1950" s="209"/>
      <c r="BD1950" s="182"/>
      <c r="BE1950" s="209"/>
      <c r="BF1950" s="182"/>
      <c r="BG1950" s="209"/>
      <c r="BH1950" s="182"/>
      <c r="BI1950" s="209"/>
      <c r="BJ1950" s="183"/>
      <c r="BK1950" s="209"/>
      <c r="BL1950" s="182"/>
      <c r="BM1950" s="210"/>
      <c r="BO1950" s="28" t="e">
        <f t="shared" si="167"/>
        <v>#DIV/0!</v>
      </c>
      <c r="BP1950" s="28">
        <f t="shared" si="168"/>
        <v>0</v>
      </c>
    </row>
    <row r="1951" spans="52:68" x14ac:dyDescent="0.25">
      <c r="AZ1951" s="471"/>
      <c r="BA1951" s="181"/>
      <c r="BB1951" s="182"/>
      <c r="BC1951" s="209"/>
      <c r="BD1951" s="182"/>
      <c r="BE1951" s="209"/>
      <c r="BF1951" s="182"/>
      <c r="BG1951" s="209"/>
      <c r="BH1951" s="182"/>
      <c r="BI1951" s="209"/>
      <c r="BJ1951" s="183"/>
      <c r="BK1951" s="209"/>
      <c r="BL1951" s="182"/>
      <c r="BM1951" s="210"/>
      <c r="BO1951" s="28" t="e">
        <f t="shared" si="167"/>
        <v>#DIV/0!</v>
      </c>
      <c r="BP1951" s="28">
        <f t="shared" si="168"/>
        <v>0</v>
      </c>
    </row>
    <row r="1952" spans="52:68" x14ac:dyDescent="0.25">
      <c r="AZ1952" s="471"/>
      <c r="BA1952" s="181"/>
      <c r="BB1952" s="182"/>
      <c r="BC1952" s="209"/>
      <c r="BD1952" s="182"/>
      <c r="BE1952" s="209"/>
      <c r="BF1952" s="182"/>
      <c r="BG1952" s="209"/>
      <c r="BH1952" s="182"/>
      <c r="BI1952" s="209"/>
      <c r="BJ1952" s="183"/>
      <c r="BK1952" s="209"/>
      <c r="BL1952" s="182"/>
      <c r="BM1952" s="210"/>
      <c r="BO1952" s="28" t="e">
        <f t="shared" si="167"/>
        <v>#DIV/0!</v>
      </c>
      <c r="BP1952" s="28">
        <f t="shared" si="168"/>
        <v>0</v>
      </c>
    </row>
    <row r="1953" spans="52:68" x14ac:dyDescent="0.25">
      <c r="AZ1953" s="471"/>
      <c r="BA1953" s="181"/>
      <c r="BB1953" s="182"/>
      <c r="BC1953" s="209"/>
      <c r="BD1953" s="182"/>
      <c r="BE1953" s="209"/>
      <c r="BF1953" s="182"/>
      <c r="BG1953" s="209"/>
      <c r="BH1953" s="182"/>
      <c r="BI1953" s="209"/>
      <c r="BJ1953" s="183"/>
      <c r="BK1953" s="209"/>
      <c r="BL1953" s="182"/>
      <c r="BM1953" s="210"/>
      <c r="BO1953" s="28" t="e">
        <f t="shared" si="167"/>
        <v>#DIV/0!</v>
      </c>
      <c r="BP1953" s="28">
        <f t="shared" si="168"/>
        <v>0</v>
      </c>
    </row>
    <row r="1954" spans="52:68" x14ac:dyDescent="0.25">
      <c r="AZ1954" s="471"/>
      <c r="BA1954" s="181"/>
      <c r="BB1954" s="182"/>
      <c r="BC1954" s="209"/>
      <c r="BD1954" s="182"/>
      <c r="BE1954" s="209"/>
      <c r="BF1954" s="182"/>
      <c r="BG1954" s="209"/>
      <c r="BH1954" s="182"/>
      <c r="BI1954" s="209"/>
      <c r="BJ1954" s="183"/>
      <c r="BK1954" s="209"/>
      <c r="BL1954" s="182"/>
      <c r="BM1954" s="210"/>
      <c r="BO1954" s="28" t="e">
        <f t="shared" si="167"/>
        <v>#DIV/0!</v>
      </c>
      <c r="BP1954" s="28">
        <f t="shared" si="168"/>
        <v>0</v>
      </c>
    </row>
    <row r="1955" spans="52:68" x14ac:dyDescent="0.25">
      <c r="AZ1955" s="471"/>
      <c r="BA1955" s="181"/>
      <c r="BB1955" s="182"/>
      <c r="BC1955" s="209"/>
      <c r="BD1955" s="182"/>
      <c r="BE1955" s="209"/>
      <c r="BF1955" s="182"/>
      <c r="BG1955" s="209"/>
      <c r="BH1955" s="182"/>
      <c r="BI1955" s="209"/>
      <c r="BJ1955" s="183"/>
      <c r="BK1955" s="209"/>
      <c r="BL1955" s="182"/>
      <c r="BM1955" s="210"/>
      <c r="BO1955" s="28" t="e">
        <f t="shared" si="167"/>
        <v>#DIV/0!</v>
      </c>
      <c r="BP1955" s="28">
        <f t="shared" si="168"/>
        <v>0</v>
      </c>
    </row>
    <row r="1956" spans="52:68" x14ac:dyDescent="0.25">
      <c r="AZ1956" s="471"/>
      <c r="BA1956" s="181"/>
      <c r="BB1956" s="182"/>
      <c r="BC1956" s="209"/>
      <c r="BD1956" s="182"/>
      <c r="BE1956" s="209"/>
      <c r="BF1956" s="182"/>
      <c r="BG1956" s="209"/>
      <c r="BH1956" s="182"/>
      <c r="BI1956" s="209"/>
      <c r="BJ1956" s="183"/>
      <c r="BK1956" s="209"/>
      <c r="BL1956" s="182"/>
      <c r="BM1956" s="210"/>
      <c r="BO1956" s="28" t="e">
        <f t="shared" si="167"/>
        <v>#DIV/0!</v>
      </c>
      <c r="BP1956" s="28">
        <f t="shared" si="168"/>
        <v>0</v>
      </c>
    </row>
    <row r="1957" spans="52:68" x14ac:dyDescent="0.25">
      <c r="AZ1957" s="471"/>
      <c r="BA1957" s="181"/>
      <c r="BB1957" s="182"/>
      <c r="BC1957" s="209"/>
      <c r="BD1957" s="182"/>
      <c r="BE1957" s="209"/>
      <c r="BF1957" s="182"/>
      <c r="BG1957" s="209"/>
      <c r="BH1957" s="182"/>
      <c r="BI1957" s="209"/>
      <c r="BJ1957" s="183"/>
      <c r="BK1957" s="209"/>
      <c r="BL1957" s="182"/>
      <c r="BM1957" s="210"/>
      <c r="BO1957" s="28" t="e">
        <f t="shared" si="167"/>
        <v>#DIV/0!</v>
      </c>
      <c r="BP1957" s="28">
        <f t="shared" si="168"/>
        <v>0</v>
      </c>
    </row>
    <row r="1958" spans="52:68" x14ac:dyDescent="0.25">
      <c r="AZ1958" s="471"/>
      <c r="BA1958" s="181"/>
      <c r="BB1958" s="182"/>
      <c r="BC1958" s="209"/>
      <c r="BD1958" s="182"/>
      <c r="BE1958" s="209"/>
      <c r="BF1958" s="182"/>
      <c r="BG1958" s="209"/>
      <c r="BH1958" s="182"/>
      <c r="BI1958" s="209"/>
      <c r="BJ1958" s="183"/>
      <c r="BK1958" s="209"/>
      <c r="BL1958" s="182"/>
      <c r="BM1958" s="210"/>
      <c r="BO1958" s="28" t="e">
        <f t="shared" si="167"/>
        <v>#DIV/0!</v>
      </c>
      <c r="BP1958" s="28">
        <f t="shared" si="168"/>
        <v>0</v>
      </c>
    </row>
    <row r="1959" spans="52:68" x14ac:dyDescent="0.25">
      <c r="AZ1959" s="471"/>
      <c r="BA1959" s="181"/>
      <c r="BB1959" s="182"/>
      <c r="BC1959" s="209"/>
      <c r="BD1959" s="182"/>
      <c r="BE1959" s="209"/>
      <c r="BF1959" s="182"/>
      <c r="BG1959" s="209"/>
      <c r="BH1959" s="182"/>
      <c r="BI1959" s="209"/>
      <c r="BJ1959" s="183"/>
      <c r="BK1959" s="209"/>
      <c r="BL1959" s="182"/>
      <c r="BM1959" s="210"/>
      <c r="BO1959" s="28" t="e">
        <f t="shared" si="167"/>
        <v>#DIV/0!</v>
      </c>
      <c r="BP1959" s="28">
        <f t="shared" si="168"/>
        <v>0</v>
      </c>
    </row>
    <row r="1960" spans="52:68" x14ac:dyDescent="0.25">
      <c r="AZ1960" s="471"/>
      <c r="BA1960" s="181"/>
      <c r="BB1960" s="182"/>
      <c r="BC1960" s="209"/>
      <c r="BD1960" s="182"/>
      <c r="BE1960" s="209"/>
      <c r="BF1960" s="182"/>
      <c r="BG1960" s="209"/>
      <c r="BH1960" s="182"/>
      <c r="BI1960" s="209"/>
      <c r="BJ1960" s="183"/>
      <c r="BK1960" s="209"/>
      <c r="BL1960" s="182"/>
      <c r="BM1960" s="210"/>
      <c r="BO1960" s="28" t="e">
        <f t="shared" si="167"/>
        <v>#DIV/0!</v>
      </c>
      <c r="BP1960" s="28">
        <f t="shared" si="168"/>
        <v>0</v>
      </c>
    </row>
    <row r="1961" spans="52:68" x14ac:dyDescent="0.25">
      <c r="AZ1961" s="471"/>
      <c r="BA1961" s="181"/>
      <c r="BB1961" s="182"/>
      <c r="BC1961" s="209"/>
      <c r="BD1961" s="182"/>
      <c r="BE1961" s="209"/>
      <c r="BF1961" s="182"/>
      <c r="BG1961" s="209"/>
      <c r="BH1961" s="182"/>
      <c r="BI1961" s="209"/>
      <c r="BJ1961" s="183"/>
      <c r="BK1961" s="209"/>
      <c r="BL1961" s="182"/>
      <c r="BM1961" s="210"/>
      <c r="BO1961" s="28" t="e">
        <f t="shared" si="167"/>
        <v>#DIV/0!</v>
      </c>
      <c r="BP1961" s="28">
        <f t="shared" si="168"/>
        <v>0</v>
      </c>
    </row>
    <row r="1962" spans="52:68" x14ac:dyDescent="0.25">
      <c r="AZ1962" s="471"/>
      <c r="BA1962" s="181"/>
      <c r="BB1962" s="182"/>
      <c r="BC1962" s="209"/>
      <c r="BD1962" s="182"/>
      <c r="BE1962" s="209"/>
      <c r="BF1962" s="182"/>
      <c r="BG1962" s="209"/>
      <c r="BH1962" s="182"/>
      <c r="BI1962" s="209"/>
      <c r="BJ1962" s="183"/>
      <c r="BK1962" s="209"/>
      <c r="BL1962" s="182"/>
      <c r="BM1962" s="210"/>
      <c r="BO1962" s="28" t="e">
        <f t="shared" si="167"/>
        <v>#DIV/0!</v>
      </c>
      <c r="BP1962" s="28">
        <f t="shared" si="168"/>
        <v>0</v>
      </c>
    </row>
    <row r="1963" spans="52:68" x14ac:dyDescent="0.25">
      <c r="AZ1963" s="471"/>
      <c r="BA1963" s="181"/>
      <c r="BB1963" s="182"/>
      <c r="BC1963" s="209"/>
      <c r="BD1963" s="182"/>
      <c r="BE1963" s="209"/>
      <c r="BF1963" s="182"/>
      <c r="BG1963" s="209"/>
      <c r="BH1963" s="182"/>
      <c r="BI1963" s="209"/>
      <c r="BJ1963" s="183"/>
      <c r="BK1963" s="209"/>
      <c r="BL1963" s="182"/>
      <c r="BM1963" s="210"/>
      <c r="BO1963" s="28" t="e">
        <f t="shared" si="167"/>
        <v>#DIV/0!</v>
      </c>
      <c r="BP1963" s="28">
        <f t="shared" si="168"/>
        <v>0</v>
      </c>
    </row>
    <row r="1964" spans="52:68" x14ac:dyDescent="0.25">
      <c r="AZ1964" s="471"/>
      <c r="BA1964" s="181"/>
      <c r="BB1964" s="182"/>
      <c r="BC1964" s="209"/>
      <c r="BD1964" s="182"/>
      <c r="BE1964" s="209"/>
      <c r="BF1964" s="182"/>
      <c r="BG1964" s="209"/>
      <c r="BH1964" s="182"/>
      <c r="BI1964" s="209"/>
      <c r="BJ1964" s="183"/>
      <c r="BK1964" s="209"/>
      <c r="BL1964" s="182"/>
      <c r="BM1964" s="210"/>
      <c r="BO1964" s="28" t="e">
        <f t="shared" si="167"/>
        <v>#DIV/0!</v>
      </c>
      <c r="BP1964" s="28">
        <f t="shared" si="168"/>
        <v>0</v>
      </c>
    </row>
    <row r="1965" spans="52:68" x14ac:dyDescent="0.25">
      <c r="AZ1965" s="471"/>
      <c r="BA1965" s="181"/>
      <c r="BB1965" s="182"/>
      <c r="BC1965" s="209"/>
      <c r="BD1965" s="182"/>
      <c r="BE1965" s="209"/>
      <c r="BF1965" s="182"/>
      <c r="BG1965" s="209"/>
      <c r="BH1965" s="182"/>
      <c r="BI1965" s="209"/>
      <c r="BJ1965" s="183"/>
      <c r="BK1965" s="209"/>
      <c r="BL1965" s="182"/>
      <c r="BM1965" s="210"/>
      <c r="BO1965" s="28" t="e">
        <f t="shared" si="167"/>
        <v>#DIV/0!</v>
      </c>
      <c r="BP1965" s="28">
        <f t="shared" si="168"/>
        <v>0</v>
      </c>
    </row>
    <row r="1966" spans="52:68" x14ac:dyDescent="0.25">
      <c r="AZ1966" s="471"/>
      <c r="BA1966" s="181"/>
      <c r="BB1966" s="182"/>
      <c r="BC1966" s="209"/>
      <c r="BD1966" s="182"/>
      <c r="BE1966" s="209"/>
      <c r="BF1966" s="182"/>
      <c r="BG1966" s="209"/>
      <c r="BH1966" s="182"/>
      <c r="BI1966" s="209"/>
      <c r="BJ1966" s="183"/>
      <c r="BK1966" s="209"/>
      <c r="BL1966" s="182"/>
      <c r="BM1966" s="210"/>
      <c r="BO1966" s="28" t="e">
        <f t="shared" si="167"/>
        <v>#DIV/0!</v>
      </c>
      <c r="BP1966" s="28">
        <f t="shared" si="168"/>
        <v>0</v>
      </c>
    </row>
    <row r="1967" spans="52:68" x14ac:dyDescent="0.25">
      <c r="AZ1967" s="471"/>
      <c r="BA1967" s="181"/>
      <c r="BB1967" s="182"/>
      <c r="BC1967" s="209"/>
      <c r="BD1967" s="182"/>
      <c r="BE1967" s="209"/>
      <c r="BF1967" s="182"/>
      <c r="BG1967" s="209"/>
      <c r="BH1967" s="182"/>
      <c r="BI1967" s="209"/>
      <c r="BJ1967" s="183"/>
      <c r="BK1967" s="209"/>
      <c r="BL1967" s="182"/>
      <c r="BM1967" s="210"/>
      <c r="BO1967" s="28" t="e">
        <f t="shared" si="167"/>
        <v>#DIV/0!</v>
      </c>
      <c r="BP1967" s="28">
        <f t="shared" si="168"/>
        <v>0</v>
      </c>
    </row>
    <row r="1968" spans="52:68" x14ac:dyDescent="0.25">
      <c r="AZ1968" s="471"/>
      <c r="BA1968" s="181"/>
      <c r="BB1968" s="182"/>
      <c r="BC1968" s="209"/>
      <c r="BD1968" s="182"/>
      <c r="BE1968" s="209"/>
      <c r="BF1968" s="182"/>
      <c r="BG1968" s="209"/>
      <c r="BH1968" s="182"/>
      <c r="BI1968" s="209"/>
      <c r="BJ1968" s="183"/>
      <c r="BK1968" s="209"/>
      <c r="BL1968" s="182"/>
      <c r="BM1968" s="210"/>
      <c r="BO1968" s="28" t="e">
        <f t="shared" si="167"/>
        <v>#DIV/0!</v>
      </c>
      <c r="BP1968" s="28">
        <f t="shared" si="168"/>
        <v>0</v>
      </c>
    </row>
    <row r="1969" spans="52:68" x14ac:dyDescent="0.25">
      <c r="AZ1969" s="471"/>
      <c r="BA1969" s="181"/>
      <c r="BB1969" s="182"/>
      <c r="BC1969" s="209"/>
      <c r="BD1969" s="182"/>
      <c r="BE1969" s="209"/>
      <c r="BF1969" s="182"/>
      <c r="BG1969" s="209"/>
      <c r="BH1969" s="182"/>
      <c r="BI1969" s="209"/>
      <c r="BJ1969" s="183"/>
      <c r="BK1969" s="209"/>
      <c r="BL1969" s="182"/>
      <c r="BM1969" s="210"/>
      <c r="BO1969" s="28" t="e">
        <f t="shared" si="167"/>
        <v>#DIV/0!</v>
      </c>
      <c r="BP1969" s="28">
        <f t="shared" si="168"/>
        <v>0</v>
      </c>
    </row>
    <row r="1970" spans="52:68" x14ac:dyDescent="0.25">
      <c r="AZ1970" s="471"/>
      <c r="BA1970" s="181"/>
      <c r="BB1970" s="182"/>
      <c r="BC1970" s="209"/>
      <c r="BD1970" s="182"/>
      <c r="BE1970" s="209"/>
      <c r="BF1970" s="182"/>
      <c r="BG1970" s="209"/>
      <c r="BH1970" s="182"/>
      <c r="BI1970" s="209"/>
      <c r="BJ1970" s="183"/>
      <c r="BK1970" s="209"/>
      <c r="BL1970" s="182"/>
      <c r="BM1970" s="210"/>
      <c r="BO1970" s="28" t="e">
        <f t="shared" si="167"/>
        <v>#DIV/0!</v>
      </c>
      <c r="BP1970" s="28">
        <f t="shared" si="168"/>
        <v>0</v>
      </c>
    </row>
    <row r="1971" spans="52:68" x14ac:dyDescent="0.25">
      <c r="AZ1971" s="471"/>
      <c r="BA1971" s="181"/>
      <c r="BB1971" s="182"/>
      <c r="BC1971" s="209"/>
      <c r="BD1971" s="182"/>
      <c r="BE1971" s="209"/>
      <c r="BF1971" s="182"/>
      <c r="BG1971" s="209"/>
      <c r="BH1971" s="182"/>
      <c r="BI1971" s="209"/>
      <c r="BJ1971" s="183"/>
      <c r="BK1971" s="209"/>
      <c r="BL1971" s="182"/>
      <c r="BM1971" s="210"/>
      <c r="BO1971" s="28" t="e">
        <f t="shared" si="167"/>
        <v>#DIV/0!</v>
      </c>
      <c r="BP1971" s="28">
        <f t="shared" si="168"/>
        <v>0</v>
      </c>
    </row>
    <row r="1972" spans="52:68" x14ac:dyDescent="0.25">
      <c r="AZ1972" s="471"/>
      <c r="BA1972" s="181"/>
      <c r="BB1972" s="182"/>
      <c r="BC1972" s="209"/>
      <c r="BD1972" s="182"/>
      <c r="BE1972" s="209"/>
      <c r="BF1972" s="182"/>
      <c r="BG1972" s="209"/>
      <c r="BH1972" s="182"/>
      <c r="BI1972" s="209"/>
      <c r="BJ1972" s="183"/>
      <c r="BK1972" s="209"/>
      <c r="BL1972" s="182"/>
      <c r="BM1972" s="210"/>
      <c r="BO1972" s="28" t="e">
        <f t="shared" si="167"/>
        <v>#DIV/0!</v>
      </c>
      <c r="BP1972" s="28">
        <f t="shared" si="168"/>
        <v>0</v>
      </c>
    </row>
    <row r="1973" spans="52:68" x14ac:dyDescent="0.25">
      <c r="AZ1973" s="471"/>
      <c r="BA1973" s="181"/>
      <c r="BB1973" s="182"/>
      <c r="BC1973" s="209"/>
      <c r="BD1973" s="182"/>
      <c r="BE1973" s="209"/>
      <c r="BF1973" s="182"/>
      <c r="BG1973" s="209"/>
      <c r="BH1973" s="182"/>
      <c r="BI1973" s="209"/>
      <c r="BJ1973" s="183"/>
      <c r="BK1973" s="209"/>
      <c r="BL1973" s="182"/>
      <c r="BM1973" s="210"/>
      <c r="BO1973" s="28" t="e">
        <f t="shared" si="167"/>
        <v>#DIV/0!</v>
      </c>
      <c r="BP1973" s="28">
        <f t="shared" si="168"/>
        <v>0</v>
      </c>
    </row>
    <row r="1974" spans="52:68" x14ac:dyDescent="0.25">
      <c r="AZ1974" s="471"/>
      <c r="BA1974" s="181"/>
      <c r="BB1974" s="182"/>
      <c r="BC1974" s="209"/>
      <c r="BD1974" s="182"/>
      <c r="BE1974" s="209"/>
      <c r="BF1974" s="182"/>
      <c r="BG1974" s="209"/>
      <c r="BH1974" s="182"/>
      <c r="BI1974" s="209"/>
      <c r="BJ1974" s="183"/>
      <c r="BK1974" s="209"/>
      <c r="BL1974" s="182"/>
      <c r="BM1974" s="210"/>
      <c r="BO1974" s="28" t="e">
        <f t="shared" si="167"/>
        <v>#DIV/0!</v>
      </c>
      <c r="BP1974" s="28">
        <f t="shared" si="168"/>
        <v>0</v>
      </c>
    </row>
    <row r="1975" spans="52:68" x14ac:dyDescent="0.25">
      <c r="AZ1975" s="471"/>
      <c r="BA1975" s="181"/>
      <c r="BB1975" s="182"/>
      <c r="BC1975" s="209"/>
      <c r="BD1975" s="182"/>
      <c r="BE1975" s="209"/>
      <c r="BF1975" s="182"/>
      <c r="BG1975" s="209"/>
      <c r="BH1975" s="182"/>
      <c r="BI1975" s="209"/>
      <c r="BJ1975" s="183"/>
      <c r="BK1975" s="209"/>
      <c r="BL1975" s="182"/>
      <c r="BM1975" s="210"/>
      <c r="BO1975" s="28" t="e">
        <f t="shared" si="167"/>
        <v>#DIV/0!</v>
      </c>
      <c r="BP1975" s="28">
        <f t="shared" si="168"/>
        <v>0</v>
      </c>
    </row>
    <row r="1976" spans="52:68" x14ac:dyDescent="0.25">
      <c r="AZ1976" s="471"/>
      <c r="BA1976" s="181"/>
      <c r="BB1976" s="182"/>
      <c r="BC1976" s="209"/>
      <c r="BD1976" s="182"/>
      <c r="BE1976" s="209"/>
      <c r="BF1976" s="182"/>
      <c r="BG1976" s="209"/>
      <c r="BH1976" s="182"/>
      <c r="BI1976" s="209"/>
      <c r="BJ1976" s="183"/>
      <c r="BK1976" s="209"/>
      <c r="BL1976" s="182"/>
      <c r="BM1976" s="210"/>
      <c r="BO1976" s="28" t="e">
        <f t="shared" si="167"/>
        <v>#DIV/0!</v>
      </c>
      <c r="BP1976" s="28">
        <f t="shared" si="168"/>
        <v>0</v>
      </c>
    </row>
    <row r="1977" spans="52:68" x14ac:dyDescent="0.25">
      <c r="AZ1977" s="471"/>
      <c r="BA1977" s="181"/>
      <c r="BB1977" s="182"/>
      <c r="BC1977" s="209"/>
      <c r="BD1977" s="182"/>
      <c r="BE1977" s="209"/>
      <c r="BF1977" s="182"/>
      <c r="BG1977" s="209"/>
      <c r="BH1977" s="182"/>
      <c r="BI1977" s="209"/>
      <c r="BJ1977" s="183"/>
      <c r="BK1977" s="209"/>
      <c r="BL1977" s="182"/>
      <c r="BM1977" s="210"/>
      <c r="BO1977" s="28" t="e">
        <f t="shared" si="167"/>
        <v>#DIV/0!</v>
      </c>
      <c r="BP1977" s="28">
        <f t="shared" si="168"/>
        <v>0</v>
      </c>
    </row>
    <row r="1978" spans="52:68" x14ac:dyDescent="0.25">
      <c r="AZ1978" s="471"/>
      <c r="BA1978" s="181"/>
      <c r="BB1978" s="182"/>
      <c r="BC1978" s="209"/>
      <c r="BD1978" s="182"/>
      <c r="BE1978" s="209"/>
      <c r="BF1978" s="182"/>
      <c r="BG1978" s="209"/>
      <c r="BH1978" s="182"/>
      <c r="BI1978" s="209"/>
      <c r="BJ1978" s="183"/>
      <c r="BK1978" s="209"/>
      <c r="BL1978" s="182"/>
      <c r="BM1978" s="210"/>
      <c r="BO1978" s="28" t="e">
        <f t="shared" si="167"/>
        <v>#DIV/0!</v>
      </c>
      <c r="BP1978" s="28">
        <f t="shared" si="168"/>
        <v>0</v>
      </c>
    </row>
    <row r="1979" spans="52:68" x14ac:dyDescent="0.25">
      <c r="AZ1979" s="471"/>
      <c r="BA1979" s="181"/>
      <c r="BB1979" s="182"/>
      <c r="BC1979" s="209"/>
      <c r="BD1979" s="182"/>
      <c r="BE1979" s="209"/>
      <c r="BF1979" s="182"/>
      <c r="BG1979" s="209"/>
      <c r="BH1979" s="182"/>
      <c r="BI1979" s="209"/>
      <c r="BJ1979" s="183"/>
      <c r="BK1979" s="209"/>
      <c r="BL1979" s="182"/>
      <c r="BM1979" s="210"/>
      <c r="BO1979" s="28" t="e">
        <f t="shared" si="167"/>
        <v>#DIV/0!</v>
      </c>
      <c r="BP1979" s="28">
        <f t="shared" si="168"/>
        <v>0</v>
      </c>
    </row>
    <row r="1980" spans="52:68" x14ac:dyDescent="0.25">
      <c r="AZ1980" s="471"/>
      <c r="BA1980" s="181"/>
      <c r="BB1980" s="182"/>
      <c r="BC1980" s="209"/>
      <c r="BD1980" s="182"/>
      <c r="BE1980" s="209"/>
      <c r="BF1980" s="182"/>
      <c r="BG1980" s="209"/>
      <c r="BH1980" s="182"/>
      <c r="BI1980" s="209"/>
      <c r="BJ1980" s="183"/>
      <c r="BK1980" s="209"/>
      <c r="BL1980" s="182"/>
      <c r="BM1980" s="210"/>
      <c r="BO1980" s="28" t="e">
        <f t="shared" si="167"/>
        <v>#DIV/0!</v>
      </c>
      <c r="BP1980" s="28">
        <f t="shared" si="168"/>
        <v>0</v>
      </c>
    </row>
    <row r="1981" spans="52:68" x14ac:dyDescent="0.25">
      <c r="AZ1981" s="471"/>
      <c r="BA1981" s="181"/>
      <c r="BB1981" s="182"/>
      <c r="BC1981" s="209"/>
      <c r="BD1981" s="182"/>
      <c r="BE1981" s="209"/>
      <c r="BF1981" s="182"/>
      <c r="BG1981" s="209"/>
      <c r="BH1981" s="182"/>
      <c r="BI1981" s="209"/>
      <c r="BJ1981" s="183"/>
      <c r="BK1981" s="209"/>
      <c r="BL1981" s="182"/>
      <c r="BM1981" s="210"/>
      <c r="BO1981" s="28" t="e">
        <f t="shared" si="167"/>
        <v>#DIV/0!</v>
      </c>
      <c r="BP1981" s="28">
        <f t="shared" si="168"/>
        <v>0</v>
      </c>
    </row>
    <row r="1982" spans="52:68" x14ac:dyDescent="0.25">
      <c r="AZ1982" s="471"/>
      <c r="BA1982" s="181"/>
      <c r="BB1982" s="182"/>
      <c r="BC1982" s="209"/>
      <c r="BD1982" s="182"/>
      <c r="BE1982" s="209"/>
      <c r="BF1982" s="182"/>
      <c r="BG1982" s="209"/>
      <c r="BH1982" s="182"/>
      <c r="BI1982" s="209"/>
      <c r="BJ1982" s="183"/>
      <c r="BK1982" s="209"/>
      <c r="BL1982" s="182"/>
      <c r="BM1982" s="210"/>
      <c r="BO1982" s="28" t="e">
        <f t="shared" si="167"/>
        <v>#DIV/0!</v>
      </c>
      <c r="BP1982" s="28">
        <f t="shared" si="168"/>
        <v>0</v>
      </c>
    </row>
    <row r="1983" spans="52:68" x14ac:dyDescent="0.25">
      <c r="AZ1983" s="471"/>
      <c r="BA1983" s="181"/>
      <c r="BB1983" s="182"/>
      <c r="BC1983" s="209"/>
      <c r="BD1983" s="182"/>
      <c r="BE1983" s="209"/>
      <c r="BF1983" s="182"/>
      <c r="BG1983" s="209"/>
      <c r="BH1983" s="182"/>
      <c r="BI1983" s="209"/>
      <c r="BJ1983" s="183"/>
      <c r="BK1983" s="209"/>
      <c r="BL1983" s="182"/>
      <c r="BM1983" s="210"/>
      <c r="BO1983" s="28" t="e">
        <f t="shared" si="167"/>
        <v>#DIV/0!</v>
      </c>
      <c r="BP1983" s="28">
        <f t="shared" si="168"/>
        <v>0</v>
      </c>
    </row>
    <row r="1984" spans="52:68" x14ac:dyDescent="0.25">
      <c r="AZ1984" s="471"/>
      <c r="BA1984" s="181"/>
      <c r="BB1984" s="182"/>
      <c r="BC1984" s="209"/>
      <c r="BD1984" s="182"/>
      <c r="BE1984" s="209"/>
      <c r="BF1984" s="182"/>
      <c r="BG1984" s="209"/>
      <c r="BH1984" s="182"/>
      <c r="BI1984" s="209"/>
      <c r="BJ1984" s="183"/>
      <c r="BK1984" s="209"/>
      <c r="BL1984" s="182"/>
      <c r="BM1984" s="210"/>
      <c r="BO1984" s="28" t="e">
        <f t="shared" si="167"/>
        <v>#DIV/0!</v>
      </c>
      <c r="BP1984" s="28">
        <f t="shared" si="168"/>
        <v>0</v>
      </c>
    </row>
    <row r="1985" spans="52:68" x14ac:dyDescent="0.25">
      <c r="AZ1985" s="471"/>
      <c r="BA1985" s="181"/>
      <c r="BB1985" s="182"/>
      <c r="BC1985" s="209"/>
      <c r="BD1985" s="182"/>
      <c r="BE1985" s="209"/>
      <c r="BF1985" s="182"/>
      <c r="BG1985" s="209"/>
      <c r="BH1985" s="182"/>
      <c r="BI1985" s="209"/>
      <c r="BJ1985" s="183"/>
      <c r="BK1985" s="209"/>
      <c r="BL1985" s="182"/>
      <c r="BM1985" s="210"/>
      <c r="BO1985" s="28" t="e">
        <f t="shared" si="167"/>
        <v>#DIV/0!</v>
      </c>
      <c r="BP1985" s="28">
        <f t="shared" si="168"/>
        <v>0</v>
      </c>
    </row>
    <row r="1986" spans="52:68" x14ac:dyDescent="0.25">
      <c r="AZ1986" s="471"/>
      <c r="BA1986" s="181"/>
      <c r="BB1986" s="182"/>
      <c r="BC1986" s="209"/>
      <c r="BD1986" s="182"/>
      <c r="BE1986" s="209"/>
      <c r="BF1986" s="182"/>
      <c r="BG1986" s="209"/>
      <c r="BH1986" s="182"/>
      <c r="BI1986" s="209"/>
      <c r="BJ1986" s="183"/>
      <c r="BK1986" s="209"/>
      <c r="BL1986" s="182"/>
      <c r="BM1986" s="210"/>
      <c r="BO1986" s="28" t="e">
        <f t="shared" si="167"/>
        <v>#DIV/0!</v>
      </c>
      <c r="BP1986" s="28">
        <f t="shared" si="168"/>
        <v>0</v>
      </c>
    </row>
    <row r="1987" spans="52:68" x14ac:dyDescent="0.25">
      <c r="AZ1987" s="471"/>
      <c r="BA1987" s="181"/>
      <c r="BB1987" s="182"/>
      <c r="BC1987" s="209"/>
      <c r="BD1987" s="182"/>
      <c r="BE1987" s="209"/>
      <c r="BF1987" s="182"/>
      <c r="BG1987" s="209"/>
      <c r="BH1987" s="182"/>
      <c r="BI1987" s="209"/>
      <c r="BJ1987" s="183"/>
      <c r="BK1987" s="209"/>
      <c r="BL1987" s="182"/>
      <c r="BM1987" s="210"/>
      <c r="BO1987" s="28" t="e">
        <f t="shared" si="167"/>
        <v>#DIV/0!</v>
      </c>
      <c r="BP1987" s="28">
        <f t="shared" si="168"/>
        <v>0</v>
      </c>
    </row>
    <row r="1988" spans="52:68" x14ac:dyDescent="0.25">
      <c r="AZ1988" s="471"/>
      <c r="BA1988" s="181"/>
      <c r="BB1988" s="182"/>
      <c r="BC1988" s="209"/>
      <c r="BD1988" s="182"/>
      <c r="BE1988" s="209"/>
      <c r="BF1988" s="182"/>
      <c r="BG1988" s="209"/>
      <c r="BH1988" s="182"/>
      <c r="BI1988" s="209"/>
      <c r="BJ1988" s="183"/>
      <c r="BK1988" s="209"/>
      <c r="BL1988" s="182"/>
      <c r="BM1988" s="210"/>
      <c r="BO1988" s="28" t="e">
        <f t="shared" si="167"/>
        <v>#DIV/0!</v>
      </c>
      <c r="BP1988" s="28">
        <f t="shared" si="168"/>
        <v>0</v>
      </c>
    </row>
    <row r="1989" spans="52:68" x14ac:dyDescent="0.25">
      <c r="AZ1989" s="471"/>
      <c r="BA1989" s="181"/>
      <c r="BB1989" s="182"/>
      <c r="BC1989" s="209"/>
      <c r="BD1989" s="182"/>
      <c r="BE1989" s="209"/>
      <c r="BF1989" s="182"/>
      <c r="BG1989" s="209"/>
      <c r="BH1989" s="182"/>
      <c r="BI1989" s="209"/>
      <c r="BJ1989" s="183"/>
      <c r="BK1989" s="209"/>
      <c r="BL1989" s="182"/>
      <c r="BM1989" s="210"/>
      <c r="BO1989" s="28" t="e">
        <f t="shared" si="167"/>
        <v>#DIV/0!</v>
      </c>
      <c r="BP1989" s="28">
        <f t="shared" si="168"/>
        <v>0</v>
      </c>
    </row>
    <row r="1990" spans="52:68" x14ac:dyDescent="0.25">
      <c r="AZ1990" s="471"/>
      <c r="BA1990" s="181"/>
      <c r="BB1990" s="182"/>
      <c r="BC1990" s="209"/>
      <c r="BD1990" s="182"/>
      <c r="BE1990" s="209"/>
      <c r="BF1990" s="182"/>
      <c r="BG1990" s="209"/>
      <c r="BH1990" s="182"/>
      <c r="BI1990" s="209"/>
      <c r="BJ1990" s="183"/>
      <c r="BK1990" s="209"/>
      <c r="BL1990" s="182"/>
      <c r="BM1990" s="210"/>
      <c r="BO1990" s="28" t="e">
        <f t="shared" si="167"/>
        <v>#DIV/0!</v>
      </c>
      <c r="BP1990" s="28">
        <f t="shared" si="168"/>
        <v>0</v>
      </c>
    </row>
    <row r="1991" spans="52:68" x14ac:dyDescent="0.25">
      <c r="AZ1991" s="471"/>
      <c r="BA1991" s="181"/>
      <c r="BB1991" s="182"/>
      <c r="BC1991" s="209"/>
      <c r="BD1991" s="182"/>
      <c r="BE1991" s="209"/>
      <c r="BF1991" s="182"/>
      <c r="BG1991" s="209"/>
      <c r="BH1991" s="182"/>
      <c r="BI1991" s="209"/>
      <c r="BJ1991" s="183"/>
      <c r="BK1991" s="209"/>
      <c r="BL1991" s="182"/>
      <c r="BM1991" s="210"/>
      <c r="BO1991" s="28" t="e">
        <f t="shared" si="167"/>
        <v>#DIV/0!</v>
      </c>
      <c r="BP1991" s="28">
        <f t="shared" si="168"/>
        <v>0</v>
      </c>
    </row>
    <row r="1992" spans="52:68" x14ac:dyDescent="0.25">
      <c r="AZ1992" s="471"/>
      <c r="BA1992" s="181"/>
      <c r="BB1992" s="182"/>
      <c r="BC1992" s="209"/>
      <c r="BD1992" s="182"/>
      <c r="BE1992" s="209"/>
      <c r="BF1992" s="182"/>
      <c r="BG1992" s="209"/>
      <c r="BH1992" s="182"/>
      <c r="BI1992" s="209"/>
      <c r="BJ1992" s="183"/>
      <c r="BK1992" s="209"/>
      <c r="BL1992" s="182"/>
      <c r="BM1992" s="210"/>
      <c r="BO1992" s="28" t="e">
        <f t="shared" si="167"/>
        <v>#DIV/0!</v>
      </c>
      <c r="BP1992" s="28">
        <f t="shared" si="168"/>
        <v>0</v>
      </c>
    </row>
    <row r="1993" spans="52:68" x14ac:dyDescent="0.25">
      <c r="AZ1993" s="471"/>
      <c r="BA1993" s="181"/>
      <c r="BB1993" s="182"/>
      <c r="BC1993" s="209"/>
      <c r="BD1993" s="182"/>
      <c r="BE1993" s="209"/>
      <c r="BF1993" s="182"/>
      <c r="BG1993" s="209"/>
      <c r="BH1993" s="182"/>
      <c r="BI1993" s="209"/>
      <c r="BJ1993" s="183"/>
      <c r="BK1993" s="209"/>
      <c r="BL1993" s="182"/>
      <c r="BM1993" s="210"/>
      <c r="BO1993" s="28" t="e">
        <f t="shared" ref="BO1993:BO2008" si="169">AVERAGE(BB1993:BM1993)</f>
        <v>#DIV/0!</v>
      </c>
      <c r="BP1993" s="28">
        <f t="shared" ref="BP1993:BP2008" si="170">SUM(BB1993:BM1993)</f>
        <v>0</v>
      </c>
    </row>
    <row r="1994" spans="52:68" x14ac:dyDescent="0.25">
      <c r="AZ1994" s="471"/>
      <c r="BA1994" s="181"/>
      <c r="BB1994" s="182"/>
      <c r="BC1994" s="209"/>
      <c r="BD1994" s="182"/>
      <c r="BE1994" s="209"/>
      <c r="BF1994" s="182"/>
      <c r="BG1994" s="209"/>
      <c r="BH1994" s="182"/>
      <c r="BI1994" s="209"/>
      <c r="BJ1994" s="183"/>
      <c r="BK1994" s="209"/>
      <c r="BL1994" s="182"/>
      <c r="BM1994" s="210"/>
      <c r="BO1994" s="28" t="e">
        <f t="shared" si="169"/>
        <v>#DIV/0!</v>
      </c>
      <c r="BP1994" s="28">
        <f t="shared" si="170"/>
        <v>0</v>
      </c>
    </row>
    <row r="1995" spans="52:68" x14ac:dyDescent="0.25">
      <c r="AZ1995" s="471"/>
      <c r="BA1995" s="181"/>
      <c r="BB1995" s="182"/>
      <c r="BC1995" s="209"/>
      <c r="BD1995" s="182"/>
      <c r="BE1995" s="209"/>
      <c r="BF1995" s="182"/>
      <c r="BG1995" s="209"/>
      <c r="BH1995" s="182"/>
      <c r="BI1995" s="209"/>
      <c r="BJ1995" s="183"/>
      <c r="BK1995" s="209"/>
      <c r="BL1995" s="182"/>
      <c r="BM1995" s="210"/>
      <c r="BO1995" s="28" t="e">
        <f t="shared" si="169"/>
        <v>#DIV/0!</v>
      </c>
      <c r="BP1995" s="28">
        <f t="shared" si="170"/>
        <v>0</v>
      </c>
    </row>
    <row r="1996" spans="52:68" x14ac:dyDescent="0.25">
      <c r="AZ1996" s="471"/>
      <c r="BA1996" s="181"/>
      <c r="BB1996" s="182"/>
      <c r="BC1996" s="209"/>
      <c r="BD1996" s="182"/>
      <c r="BE1996" s="209"/>
      <c r="BF1996" s="182"/>
      <c r="BG1996" s="209"/>
      <c r="BH1996" s="182"/>
      <c r="BI1996" s="209"/>
      <c r="BJ1996" s="183"/>
      <c r="BK1996" s="209"/>
      <c r="BL1996" s="182"/>
      <c r="BM1996" s="210"/>
      <c r="BO1996" s="28" t="e">
        <f t="shared" si="169"/>
        <v>#DIV/0!</v>
      </c>
      <c r="BP1996" s="28">
        <f t="shared" si="170"/>
        <v>0</v>
      </c>
    </row>
    <row r="1997" spans="52:68" x14ac:dyDescent="0.25">
      <c r="AZ1997" s="471"/>
      <c r="BA1997" s="181"/>
      <c r="BB1997" s="182"/>
      <c r="BC1997" s="209"/>
      <c r="BD1997" s="182"/>
      <c r="BE1997" s="209"/>
      <c r="BF1997" s="182"/>
      <c r="BG1997" s="209"/>
      <c r="BH1997" s="182"/>
      <c r="BI1997" s="209"/>
      <c r="BJ1997" s="183"/>
      <c r="BK1997" s="209"/>
      <c r="BL1997" s="182"/>
      <c r="BM1997" s="210"/>
      <c r="BO1997" s="28" t="e">
        <f t="shared" si="169"/>
        <v>#DIV/0!</v>
      </c>
      <c r="BP1997" s="28">
        <f t="shared" si="170"/>
        <v>0</v>
      </c>
    </row>
    <row r="1998" spans="52:68" x14ac:dyDescent="0.25">
      <c r="AZ1998" s="471"/>
      <c r="BA1998" s="181"/>
      <c r="BB1998" s="182"/>
      <c r="BC1998" s="209"/>
      <c r="BD1998" s="182"/>
      <c r="BE1998" s="209"/>
      <c r="BF1998" s="182"/>
      <c r="BG1998" s="209"/>
      <c r="BH1998" s="182"/>
      <c r="BI1998" s="209"/>
      <c r="BJ1998" s="183"/>
      <c r="BK1998" s="209"/>
      <c r="BL1998" s="182"/>
      <c r="BM1998" s="210"/>
      <c r="BO1998" s="28" t="e">
        <f t="shared" si="169"/>
        <v>#DIV/0!</v>
      </c>
      <c r="BP1998" s="28">
        <f t="shared" si="170"/>
        <v>0</v>
      </c>
    </row>
    <row r="1999" spans="52:68" x14ac:dyDescent="0.25">
      <c r="AZ1999" s="471"/>
      <c r="BA1999" s="181"/>
      <c r="BB1999" s="182"/>
      <c r="BC1999" s="209"/>
      <c r="BD1999" s="182"/>
      <c r="BE1999" s="209"/>
      <c r="BF1999" s="182"/>
      <c r="BG1999" s="209"/>
      <c r="BH1999" s="182"/>
      <c r="BI1999" s="209"/>
      <c r="BJ1999" s="183"/>
      <c r="BK1999" s="209"/>
      <c r="BL1999" s="182"/>
      <c r="BM1999" s="210"/>
      <c r="BO1999" s="28" t="e">
        <f t="shared" si="169"/>
        <v>#DIV/0!</v>
      </c>
      <c r="BP1999" s="28">
        <f t="shared" si="170"/>
        <v>0</v>
      </c>
    </row>
    <row r="2000" spans="52:68" x14ac:dyDescent="0.25">
      <c r="AZ2000" s="471"/>
      <c r="BA2000" s="181"/>
      <c r="BB2000" s="182"/>
      <c r="BC2000" s="209"/>
      <c r="BD2000" s="182"/>
      <c r="BE2000" s="209"/>
      <c r="BF2000" s="182"/>
      <c r="BG2000" s="209"/>
      <c r="BH2000" s="182"/>
      <c r="BI2000" s="209"/>
      <c r="BJ2000" s="183"/>
      <c r="BK2000" s="209"/>
      <c r="BL2000" s="182"/>
      <c r="BM2000" s="210"/>
      <c r="BO2000" s="28" t="e">
        <f t="shared" si="169"/>
        <v>#DIV/0!</v>
      </c>
      <c r="BP2000" s="28">
        <f t="shared" si="170"/>
        <v>0</v>
      </c>
    </row>
    <row r="2001" spans="52:68" x14ac:dyDescent="0.25">
      <c r="AZ2001" s="471"/>
      <c r="BA2001" s="181"/>
      <c r="BB2001" s="182"/>
      <c r="BC2001" s="209"/>
      <c r="BD2001" s="182"/>
      <c r="BE2001" s="209"/>
      <c r="BF2001" s="182"/>
      <c r="BG2001" s="209"/>
      <c r="BH2001" s="182"/>
      <c r="BI2001" s="209"/>
      <c r="BJ2001" s="183"/>
      <c r="BK2001" s="209"/>
      <c r="BL2001" s="182"/>
      <c r="BM2001" s="210"/>
      <c r="BO2001" s="28" t="e">
        <f t="shared" si="169"/>
        <v>#DIV/0!</v>
      </c>
      <c r="BP2001" s="28">
        <f t="shared" si="170"/>
        <v>0</v>
      </c>
    </row>
    <row r="2002" spans="52:68" x14ac:dyDescent="0.25">
      <c r="AZ2002" s="471"/>
      <c r="BA2002" s="181"/>
      <c r="BB2002" s="182"/>
      <c r="BC2002" s="209"/>
      <c r="BD2002" s="182"/>
      <c r="BE2002" s="209"/>
      <c r="BF2002" s="182"/>
      <c r="BG2002" s="209"/>
      <c r="BH2002" s="182"/>
      <c r="BI2002" s="209"/>
      <c r="BJ2002" s="183"/>
      <c r="BK2002" s="209"/>
      <c r="BL2002" s="182"/>
      <c r="BM2002" s="210"/>
      <c r="BO2002" s="28" t="e">
        <f t="shared" si="169"/>
        <v>#DIV/0!</v>
      </c>
      <c r="BP2002" s="28">
        <f t="shared" si="170"/>
        <v>0</v>
      </c>
    </row>
    <row r="2003" spans="52:68" x14ac:dyDescent="0.25">
      <c r="AZ2003" s="471"/>
      <c r="BA2003" s="181"/>
      <c r="BB2003" s="187"/>
      <c r="BC2003" s="209"/>
      <c r="BD2003" s="187"/>
      <c r="BE2003" s="209"/>
      <c r="BF2003" s="182"/>
      <c r="BG2003" s="209"/>
      <c r="BH2003" s="182"/>
      <c r="BI2003" s="209"/>
      <c r="BJ2003" s="183"/>
      <c r="BK2003" s="209"/>
      <c r="BL2003" s="182"/>
      <c r="BM2003" s="210"/>
      <c r="BO2003" s="28" t="e">
        <f t="shared" si="169"/>
        <v>#DIV/0!</v>
      </c>
      <c r="BP2003" s="28">
        <f t="shared" si="170"/>
        <v>0</v>
      </c>
    </row>
    <row r="2004" spans="52:68" x14ac:dyDescent="0.25">
      <c r="AZ2004" s="471"/>
      <c r="BA2004" s="181"/>
      <c r="BB2004" s="182"/>
      <c r="BC2004" s="209"/>
      <c r="BD2004" s="182"/>
      <c r="BE2004" s="209"/>
      <c r="BF2004" s="182"/>
      <c r="BG2004" s="209"/>
      <c r="BH2004" s="182"/>
      <c r="BI2004" s="209"/>
      <c r="BJ2004" s="183"/>
      <c r="BK2004" s="209"/>
      <c r="BL2004" s="182"/>
      <c r="BM2004" s="210"/>
      <c r="BO2004" s="28" t="e">
        <f t="shared" si="169"/>
        <v>#DIV/0!</v>
      </c>
      <c r="BP2004" s="28">
        <f t="shared" si="170"/>
        <v>0</v>
      </c>
    </row>
    <row r="2005" spans="52:68" x14ac:dyDescent="0.25">
      <c r="AZ2005" s="471"/>
      <c r="BA2005" s="181"/>
      <c r="BB2005" s="182"/>
      <c r="BC2005" s="209"/>
      <c r="BD2005" s="182"/>
      <c r="BE2005" s="209"/>
      <c r="BF2005" s="182"/>
      <c r="BG2005" s="209"/>
      <c r="BH2005" s="182"/>
      <c r="BI2005" s="209"/>
      <c r="BJ2005" s="183"/>
      <c r="BK2005" s="209"/>
      <c r="BL2005" s="182"/>
      <c r="BM2005" s="210"/>
      <c r="BO2005" s="28" t="e">
        <f t="shared" si="169"/>
        <v>#DIV/0!</v>
      </c>
      <c r="BP2005" s="28">
        <f t="shared" si="170"/>
        <v>0</v>
      </c>
    </row>
    <row r="2006" spans="52:68" x14ac:dyDescent="0.25">
      <c r="AZ2006" s="471"/>
      <c r="BA2006" s="181"/>
      <c r="BB2006" s="182"/>
      <c r="BC2006" s="209"/>
      <c r="BD2006" s="182"/>
      <c r="BE2006" s="209"/>
      <c r="BF2006" s="182"/>
      <c r="BG2006" s="209"/>
      <c r="BH2006" s="182"/>
      <c r="BI2006" s="209"/>
      <c r="BJ2006" s="183"/>
      <c r="BK2006" s="209"/>
      <c r="BL2006" s="182"/>
      <c r="BM2006" s="210"/>
      <c r="BO2006" s="28" t="e">
        <f t="shared" si="169"/>
        <v>#DIV/0!</v>
      </c>
      <c r="BP2006" s="28">
        <f t="shared" si="170"/>
        <v>0</v>
      </c>
    </row>
    <row r="2007" spans="52:68" x14ac:dyDescent="0.25">
      <c r="AZ2007" s="471"/>
      <c r="BA2007" s="181"/>
      <c r="BB2007" s="182"/>
      <c r="BC2007" s="209"/>
      <c r="BD2007" s="182"/>
      <c r="BE2007" s="209"/>
      <c r="BF2007" s="182"/>
      <c r="BG2007" s="209"/>
      <c r="BH2007" s="182"/>
      <c r="BI2007" s="209"/>
      <c r="BJ2007" s="183"/>
      <c r="BK2007" s="209"/>
      <c r="BL2007" s="182"/>
      <c r="BM2007" s="210"/>
      <c r="BO2007" s="28" t="e">
        <f t="shared" si="169"/>
        <v>#DIV/0!</v>
      </c>
      <c r="BP2007" s="28">
        <f t="shared" si="170"/>
        <v>0</v>
      </c>
    </row>
    <row r="2008" spans="52:68" x14ac:dyDescent="0.25">
      <c r="AZ2008" s="471"/>
      <c r="BA2008" s="181"/>
      <c r="BB2008" s="182"/>
      <c r="BC2008" s="209"/>
      <c r="BD2008" s="182"/>
      <c r="BE2008" s="209"/>
      <c r="BF2008" s="182"/>
      <c r="BG2008" s="209"/>
      <c r="BH2008" s="182"/>
      <c r="BI2008" s="209"/>
      <c r="BJ2008" s="183"/>
      <c r="BK2008" s="209"/>
      <c r="BL2008" s="182"/>
      <c r="BM2008" s="210"/>
      <c r="BO2008" s="28" t="e">
        <f t="shared" si="169"/>
        <v>#DIV/0!</v>
      </c>
      <c r="BP2008" s="28">
        <f t="shared" si="170"/>
        <v>0</v>
      </c>
    </row>
  </sheetData>
  <sortState xmlns:xlrd2="http://schemas.microsoft.com/office/spreadsheetml/2017/richdata2" ref="V7:AA72">
    <sortCondition ref="X7:X72"/>
  </sortState>
  <dataConsolidate/>
  <mergeCells count="19">
    <mergeCell ref="BO1:BP1"/>
    <mergeCell ref="BR1:BS1"/>
    <mergeCell ref="A15:B15"/>
    <mergeCell ref="A1:B1"/>
    <mergeCell ref="I1:N1"/>
    <mergeCell ref="P1:T1"/>
    <mergeCell ref="AZ1:BM1"/>
    <mergeCell ref="V1:AF1"/>
    <mergeCell ref="D1:G1"/>
    <mergeCell ref="AZ2:BM2"/>
    <mergeCell ref="AH1:AR1"/>
    <mergeCell ref="D44:E44"/>
    <mergeCell ref="D51:E51"/>
    <mergeCell ref="A44:B44"/>
    <mergeCell ref="D40:G40"/>
    <mergeCell ref="B16:B24"/>
    <mergeCell ref="B35:B43"/>
    <mergeCell ref="A25:B25"/>
    <mergeCell ref="A34:B34"/>
  </mergeCells>
  <conditionalFormatting sqref="BC8:BC919">
    <cfRule type="expression" dxfId="15" priority="8">
      <formula>$B$10="Bi-Monthly"</formula>
    </cfRule>
  </conditionalFormatting>
  <conditionalFormatting sqref="BC920:BC2008">
    <cfRule type="expression" dxfId="14" priority="28">
      <formula>$B$9="Bi-Monthly"</formula>
    </cfRule>
  </conditionalFormatting>
  <conditionalFormatting sqref="BE8:BE919">
    <cfRule type="expression" dxfId="13" priority="7">
      <formula>$B$10="Bi-Monthly"</formula>
    </cfRule>
  </conditionalFormatting>
  <conditionalFormatting sqref="BE920:BE2008">
    <cfRule type="expression" dxfId="12" priority="27">
      <formula>$B$9="Bi-Monthly"</formula>
    </cfRule>
  </conditionalFormatting>
  <conditionalFormatting sqref="BG8:BG919">
    <cfRule type="expression" dxfId="11" priority="6">
      <formula>$B$10="Bi-Monthly"</formula>
    </cfRule>
  </conditionalFormatting>
  <conditionalFormatting sqref="BG920:BG2008">
    <cfRule type="expression" dxfId="10" priority="26">
      <formula>$B$9="Bi-Monthly"</formula>
    </cfRule>
  </conditionalFormatting>
  <conditionalFormatting sqref="BI8:BI919">
    <cfRule type="expression" dxfId="9" priority="5">
      <formula>$B$10="Bi-Monthly"</formula>
    </cfRule>
  </conditionalFormatting>
  <conditionalFormatting sqref="BI920:BI2008">
    <cfRule type="expression" dxfId="8" priority="25">
      <formula>$B$9="Bi-Monthly"</formula>
    </cfRule>
  </conditionalFormatting>
  <conditionalFormatting sqref="BK8:BK919">
    <cfRule type="expression" dxfId="7" priority="4">
      <formula>$B$10="Bi-Monthly"</formula>
    </cfRule>
  </conditionalFormatting>
  <conditionalFormatting sqref="BK920:BK2008">
    <cfRule type="expression" dxfId="6" priority="24">
      <formula>$B$9="Bi-Monthly"</formula>
    </cfRule>
  </conditionalFormatting>
  <conditionalFormatting sqref="BM8:BM919">
    <cfRule type="expression" dxfId="5" priority="3">
      <formula>$B$10="Bi-Monthly"</formula>
    </cfRule>
  </conditionalFormatting>
  <conditionalFormatting sqref="BM920:BM2008">
    <cfRule type="expression" dxfId="4" priority="23">
      <formula>$B$9="Bi-Monthly"</formula>
    </cfRule>
  </conditionalFormatting>
  <dataValidations xWindow="370" yWindow="356" count="7">
    <dataValidation allowBlank="1" showInputMessage="1" showErrorMessage="1" errorTitle="Billing Cycle" error="Select the billing cycle for the company." promptTitle="Billing Cycle" prompt="This version of the General Rate Case Model is for MONTHLY Billing Cycles only." sqref="B9" xr:uid="{00000000-0002-0000-0100-000000000000}"/>
    <dataValidation type="list" allowBlank="1" showInputMessage="1" showErrorMessage="1" promptTitle="Loan Type" prompt="Select the type of loan." sqref="R8:R28" xr:uid="{00000000-0002-0000-0100-000002000000}">
      <formula1>"Loan - Bank, Loan - Owner, Loan - Other, Loan - DWSRF"</formula1>
    </dataValidation>
    <dataValidation allowBlank="1" showInputMessage="1" showErrorMessage="1" promptTitle="Description" prompt="Input a short description of where the loan originated." sqref="Q8:Q28" xr:uid="{00000000-0002-0000-0100-000003000000}"/>
    <dataValidation type="list" allowBlank="1" showInputMessage="1" showErrorMessage="1" sqref="BB4" xr:uid="{00000000-0002-0000-0100-000004000000}">
      <formula1>$AW$8:$AW$19</formula1>
    </dataValidation>
    <dataValidation type="list" allowBlank="1" showInputMessage="1" showErrorMessage="1" sqref="AI41:AI43" xr:uid="{00000000-0002-0000-0100-000007000000}">
      <formula1>$O$13:$O$30</formula1>
    </dataValidation>
    <dataValidation type="list" allowBlank="1" showInputMessage="1" showErrorMessage="1" promptTitle="Federal Income Tax" prompt="Select the company's Federal Income Tax (FIT) percentage, if unknown than select the &quot;Suggested FIT Rate&quot;." sqref="BO6" xr:uid="{00000000-0002-0000-0100-00000B000000}">
      <formula1>"21%"</formula1>
    </dataValidation>
    <dataValidation allowBlank="1" showInputMessage="1" showErrorMessage="1" promptTitle="Input Suggested CF" prompt="PFIS Setting must be set to &quot;Company&quot;._x000a__x000a_Keep inputting the suggested CF until it no longer changes._x000a__x000a_When &quot;Input&quot; equals &quot;Suggested&quot;, then you are done._x000a__x000a_Note: If &quot;Suggested CF&quot; is a negitive number, then no rate increase is need at this time." sqref="BR6 BV6:BV7" xr:uid="{00000000-0002-0000-0100-00000C000000}"/>
  </dataValidations>
  <printOptions horizontalCentered="1"/>
  <pageMargins left="0.25" right="0.25" top="0.25" bottom="0.25" header="0" footer="0"/>
  <pageSetup scale="10" pageOrder="overThenDown" orientation="landscape" r:id="rId1"/>
  <headerFooter alignWithMargins="0">
    <oddFooter>&amp;C&amp;F&amp;R&amp;D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370" yWindow="356" count="3">
        <x14:dataValidation type="list" allowBlank="1" showInputMessage="1" showErrorMessage="1" promptTitle="Year" prompt="Select the year of when the loan originated." xr:uid="{00000000-0002-0000-0100-00000D000000}">
          <x14:formula1>
            <xm:f>'Capital Structure'!$BD$53:$EV$53</xm:f>
          </x14:formula1>
          <xm:sqref>P8:P28</xm:sqref>
        </x14:dataValidation>
        <x14:dataValidation type="list" allowBlank="1" showErrorMessage="1" errorTitle="Billing Cycle" error="Select the billing cycle for the company." xr:uid="{00000000-0002-0000-0100-00000E000000}">
          <x14:formula1>
            <xm:f>Resources!$B$7:$B$21</xm:f>
          </x14:formula1>
          <xm:sqref>B10</xm:sqref>
        </x14:dataValidation>
        <x14:dataValidation type="list" allowBlank="1" showInputMessage="1" showErrorMessage="1" xr:uid="{00000000-0002-0000-0100-00000F000000}">
          <x14:formula1>
            <xm:f>Resources!$B$7:$B$21</xm:f>
          </x14:formula1>
          <xm:sqref>AZ8:AZ2008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7" tint="0.59999389629810485"/>
    <pageSetUpPr fitToPage="1"/>
  </sheetPr>
  <dimension ref="A1:S38"/>
  <sheetViews>
    <sheetView showGridLines="0" workbookViewId="0">
      <selection activeCell="C29" sqref="C29"/>
    </sheetView>
  </sheetViews>
  <sheetFormatPr defaultColWidth="8.88671875" defaultRowHeight="15.75" x14ac:dyDescent="0.25"/>
  <cols>
    <col min="1" max="1" width="26.33203125" style="3" bestFit="1" customWidth="1"/>
    <col min="2" max="2" width="12.77734375" style="3" bestFit="1" customWidth="1"/>
    <col min="3" max="3" width="11.109375" style="3" customWidth="1"/>
    <col min="4" max="4" width="8.21875" style="3" customWidth="1"/>
    <col min="5" max="5" width="6.33203125" style="3" bestFit="1" customWidth="1"/>
    <col min="6" max="6" width="9.77734375" style="3" customWidth="1"/>
    <col min="7" max="7" width="10" style="3" customWidth="1"/>
    <col min="8" max="8" width="9.77734375" style="123" customWidth="1"/>
    <col min="9" max="9" width="2.21875" style="3" customWidth="1"/>
    <col min="10" max="10" width="6.33203125" style="3" bestFit="1" customWidth="1"/>
    <col min="11" max="11" width="10.21875" style="3" bestFit="1" customWidth="1"/>
    <col min="12" max="12" width="9.6640625" style="3" bestFit="1" customWidth="1"/>
    <col min="13" max="13" width="9.77734375" style="123" customWidth="1"/>
    <col min="14" max="14" width="2.6640625" style="3" customWidth="1"/>
    <col min="15" max="15" width="20.77734375" style="3" bestFit="1" customWidth="1"/>
    <col min="16" max="19" width="8.77734375" customWidth="1"/>
    <col min="20" max="16384" width="8.88671875" style="3"/>
  </cols>
  <sheetData>
    <row r="1" spans="1:15" ht="30" x14ac:dyDescent="0.4">
      <c r="A1" s="705">
        <v>9</v>
      </c>
      <c r="B1" s="705"/>
      <c r="C1" s="705"/>
      <c r="E1" s="705">
        <v>10</v>
      </c>
      <c r="F1" s="705"/>
      <c r="G1" s="705"/>
      <c r="H1" s="705"/>
      <c r="I1" s="705"/>
      <c r="J1" s="705"/>
      <c r="K1" s="705"/>
      <c r="L1" s="705"/>
      <c r="M1" s="705"/>
    </row>
    <row r="2" spans="1:15" x14ac:dyDescent="0.25">
      <c r="A2" s="105" t="s">
        <v>218</v>
      </c>
      <c r="B2" s="105"/>
      <c r="C2" s="105"/>
      <c r="E2" s="106" t="s">
        <v>219</v>
      </c>
      <c r="F2" s="106"/>
      <c r="G2" s="106"/>
      <c r="H2" s="153"/>
      <c r="I2" s="106"/>
      <c r="J2" s="106"/>
      <c r="K2" s="106"/>
      <c r="L2" s="106"/>
      <c r="M2" s="153"/>
      <c r="O2" t="s">
        <v>363</v>
      </c>
    </row>
    <row r="3" spans="1:15" x14ac:dyDescent="0.25">
      <c r="A3" s="86" t="s">
        <v>147</v>
      </c>
      <c r="B3" s="20" t="s">
        <v>148</v>
      </c>
      <c r="C3" s="20" t="s">
        <v>96</v>
      </c>
      <c r="E3" s="713" t="s">
        <v>620</v>
      </c>
      <c r="F3" s="713"/>
      <c r="G3" s="713"/>
      <c r="H3" s="713"/>
      <c r="I3" s="713"/>
      <c r="J3" s="713"/>
      <c r="K3" s="713"/>
      <c r="L3" s="713"/>
      <c r="M3" s="713"/>
      <c r="O3" s="383"/>
    </row>
    <row r="4" spans="1:15" x14ac:dyDescent="0.25">
      <c r="A4" s="82" t="s">
        <v>192</v>
      </c>
      <c r="B4" s="374">
        <f>PFIS!K9</f>
        <v>622256.98312093935</v>
      </c>
      <c r="C4" s="375">
        <f>PFIS!N9</f>
        <v>2.1533667446196501</v>
      </c>
      <c r="E4" s="713"/>
      <c r="F4" s="713"/>
      <c r="G4" s="713"/>
      <c r="H4" s="713"/>
      <c r="I4" s="713"/>
      <c r="J4" s="713"/>
      <c r="K4" s="713"/>
      <c r="L4" s="713"/>
      <c r="M4" s="713"/>
      <c r="N4"/>
      <c r="O4" s="384"/>
    </row>
    <row r="5" spans="1:15" x14ac:dyDescent="0.25">
      <c r="A5" s="82" t="s">
        <v>193</v>
      </c>
      <c r="B5" s="374">
        <f>PFIS!K10</f>
        <v>0</v>
      </c>
      <c r="C5" s="375" t="str">
        <f>PFIS!N10</f>
        <v/>
      </c>
      <c r="E5" s="713"/>
      <c r="F5" s="713"/>
      <c r="G5" s="713"/>
      <c r="H5" s="713"/>
      <c r="I5" s="713"/>
      <c r="J5" s="713"/>
      <c r="K5" s="713"/>
      <c r="L5" s="713"/>
      <c r="M5" s="713"/>
      <c r="O5" s="385"/>
    </row>
    <row r="6" spans="1:15" x14ac:dyDescent="0.25">
      <c r="A6" s="82" t="s">
        <v>194</v>
      </c>
      <c r="B6" s="374">
        <f>PFIS!K11</f>
        <v>0</v>
      </c>
      <c r="C6" s="375" t="str">
        <f>PFIS!N11</f>
        <v/>
      </c>
      <c r="E6" s="713"/>
      <c r="F6" s="713"/>
      <c r="G6" s="713"/>
      <c r="H6" s="713"/>
      <c r="I6" s="713"/>
      <c r="J6" s="713"/>
      <c r="K6" s="713"/>
      <c r="L6" s="713"/>
      <c r="M6" s="713"/>
      <c r="O6" s="81"/>
    </row>
    <row r="7" spans="1:15" ht="18.75" x14ac:dyDescent="0.3">
      <c r="A7" s="376" t="s">
        <v>348</v>
      </c>
      <c r="B7" s="377">
        <f>SUM(B4:B6)</f>
        <v>622256.98312093935</v>
      </c>
      <c r="C7" s="378">
        <f>SUM(PFIS!K9:K11)/SUM(PFIS!I9:I11)</f>
        <v>2.1533667446196501</v>
      </c>
      <c r="E7" s="713"/>
      <c r="F7" s="713"/>
      <c r="G7" s="713"/>
      <c r="H7" s="713"/>
      <c r="I7" s="713"/>
      <c r="J7" s="713"/>
      <c r="K7" s="713"/>
      <c r="L7" s="713"/>
      <c r="M7" s="713"/>
      <c r="O7" s="81"/>
    </row>
    <row r="8" spans="1:15" ht="22.5" customHeight="1" x14ac:dyDescent="0.3">
      <c r="A8" s="379" t="s">
        <v>347</v>
      </c>
      <c r="B8" s="380">
        <f>PFIS!K15</f>
        <v>622256.98312093935</v>
      </c>
      <c r="C8" s="381">
        <f>PFIS!N16</f>
        <v>2.1224080297407317</v>
      </c>
      <c r="E8" s="713"/>
      <c r="F8" s="713"/>
      <c r="G8" s="713"/>
      <c r="H8" s="713"/>
      <c r="I8" s="713"/>
      <c r="J8" s="713"/>
      <c r="K8" s="713"/>
      <c r="L8" s="713"/>
      <c r="M8" s="713"/>
      <c r="O8" s="81"/>
    </row>
    <row r="9" spans="1:15" x14ac:dyDescent="0.25">
      <c r="A9" s="3" t="s">
        <v>69</v>
      </c>
      <c r="B9" s="38">
        <f>PFIS!L14-PFIS!C14</f>
        <v>0</v>
      </c>
      <c r="C9" s="386">
        <f>IF(PFIS!C14&lt;&gt;0,B9/PFIS!C14,"N/A")</f>
        <v>0</v>
      </c>
      <c r="E9" s="713"/>
      <c r="F9" s="713"/>
      <c r="G9" s="713"/>
      <c r="H9" s="713"/>
      <c r="I9" s="713"/>
      <c r="J9" s="713"/>
      <c r="K9" s="713"/>
      <c r="L9" s="713"/>
      <c r="M9" s="713"/>
      <c r="O9" s="81"/>
    </row>
    <row r="10" spans="1:15" x14ac:dyDescent="0.25">
      <c r="E10" s="713"/>
      <c r="F10" s="713"/>
      <c r="G10" s="713"/>
      <c r="H10" s="713"/>
      <c r="I10" s="713"/>
      <c r="J10" s="713"/>
      <c r="K10" s="713"/>
      <c r="L10" s="713"/>
      <c r="M10" s="713"/>
      <c r="O10" s="81"/>
    </row>
    <row r="11" spans="1:15" x14ac:dyDescent="0.25">
      <c r="E11" s="713"/>
      <c r="F11" s="713"/>
      <c r="G11" s="713"/>
      <c r="H11" s="713"/>
      <c r="I11" s="713"/>
      <c r="J11" s="713"/>
      <c r="K11" s="713"/>
      <c r="L11" s="713"/>
      <c r="M11" s="713"/>
      <c r="O11" s="81"/>
    </row>
    <row r="12" spans="1:15" x14ac:dyDescent="0.25">
      <c r="E12" s="713"/>
      <c r="F12" s="713"/>
      <c r="G12" s="713"/>
      <c r="H12" s="713"/>
      <c r="I12" s="713"/>
      <c r="J12" s="713"/>
      <c r="K12" s="713"/>
      <c r="L12" s="713"/>
      <c r="M12" s="713"/>
      <c r="O12" s="81"/>
    </row>
    <row r="13" spans="1:15" ht="15.75" customHeight="1" x14ac:dyDescent="0.25">
      <c r="A13" s="382" t="s">
        <v>485</v>
      </c>
      <c r="B13" s="710">
        <v>43770</v>
      </c>
      <c r="C13" s="710"/>
      <c r="E13" s="713"/>
      <c r="F13" s="713"/>
      <c r="G13" s="713"/>
      <c r="H13" s="713"/>
      <c r="I13" s="713"/>
      <c r="J13" s="713"/>
      <c r="K13" s="713"/>
      <c r="L13" s="713"/>
      <c r="M13" s="713"/>
      <c r="O13" s="81"/>
    </row>
    <row r="14" spans="1:15" x14ac:dyDescent="0.25">
      <c r="E14" s="713"/>
      <c r="F14" s="713"/>
      <c r="G14" s="713"/>
      <c r="H14" s="713"/>
      <c r="I14" s="713"/>
      <c r="J14" s="713"/>
      <c r="K14" s="713"/>
      <c r="L14" s="713"/>
      <c r="M14" s="713"/>
      <c r="O14" s="81"/>
    </row>
    <row r="15" spans="1:15" x14ac:dyDescent="0.25">
      <c r="A15" s="711" t="s">
        <v>486</v>
      </c>
      <c r="B15" s="711"/>
      <c r="C15" s="711"/>
      <c r="E15" s="713"/>
      <c r="F15" s="713"/>
      <c r="G15" s="713"/>
      <c r="H15" s="713"/>
      <c r="I15" s="713"/>
      <c r="J15" s="713"/>
      <c r="K15" s="713"/>
      <c r="L15" s="713"/>
      <c r="M15" s="713"/>
      <c r="O15" s="81"/>
    </row>
    <row r="16" spans="1:15" x14ac:dyDescent="0.25">
      <c r="A16" s="6" t="s">
        <v>487</v>
      </c>
      <c r="E16" s="713"/>
      <c r="F16" s="713"/>
      <c r="G16" s="713"/>
      <c r="H16" s="713"/>
      <c r="I16" s="713"/>
      <c r="J16" s="713"/>
      <c r="K16" s="713"/>
      <c r="L16" s="713"/>
      <c r="M16" s="713"/>
      <c r="O16" s="81"/>
    </row>
    <row r="17" spans="1:15" x14ac:dyDescent="0.25">
      <c r="A17" s="712" t="s">
        <v>493</v>
      </c>
      <c r="E17" s="713"/>
      <c r="F17" s="713"/>
      <c r="G17" s="713"/>
      <c r="H17" s="713"/>
      <c r="I17" s="713"/>
      <c r="J17" s="713"/>
      <c r="K17" s="713"/>
      <c r="L17" s="713"/>
      <c r="M17" s="713"/>
      <c r="O17" s="81"/>
    </row>
    <row r="18" spans="1:15" x14ac:dyDescent="0.25">
      <c r="A18" s="712"/>
      <c r="E18" s="713"/>
      <c r="F18" s="713"/>
      <c r="G18" s="713"/>
      <c r="H18" s="713"/>
      <c r="I18" s="713"/>
      <c r="J18" s="713"/>
      <c r="K18" s="713"/>
      <c r="L18" s="713"/>
      <c r="M18" s="713"/>
      <c r="O18" s="81"/>
    </row>
    <row r="19" spans="1:15" x14ac:dyDescent="0.25">
      <c r="A19" s="712"/>
      <c r="E19" s="713"/>
      <c r="F19" s="713"/>
      <c r="G19" s="713"/>
      <c r="H19" s="713"/>
      <c r="I19" s="713"/>
      <c r="J19" s="713"/>
      <c r="K19" s="713"/>
      <c r="L19" s="713"/>
      <c r="M19" s="713"/>
      <c r="O19" s="81"/>
    </row>
    <row r="20" spans="1:15" x14ac:dyDescent="0.25">
      <c r="A20" s="712"/>
      <c r="E20" s="713"/>
      <c r="F20" s="713"/>
      <c r="G20" s="713"/>
      <c r="H20" s="713"/>
      <c r="I20" s="713"/>
      <c r="J20" s="713"/>
      <c r="K20" s="713"/>
      <c r="L20" s="713"/>
      <c r="M20" s="713"/>
      <c r="O20" s="81"/>
    </row>
    <row r="21" spans="1:15" x14ac:dyDescent="0.25">
      <c r="A21" s="712"/>
      <c r="E21" s="713"/>
      <c r="F21" s="713"/>
      <c r="G21" s="713"/>
      <c r="H21" s="713"/>
      <c r="I21" s="713"/>
      <c r="J21" s="713"/>
      <c r="K21" s="713"/>
      <c r="L21" s="713"/>
      <c r="M21" s="713"/>
      <c r="O21" s="81"/>
    </row>
    <row r="22" spans="1:15" x14ac:dyDescent="0.25">
      <c r="E22" s="713"/>
      <c r="F22" s="713"/>
      <c r="G22" s="713"/>
      <c r="H22" s="713"/>
      <c r="I22" s="713"/>
      <c r="J22" s="713"/>
      <c r="K22" s="713"/>
      <c r="L22" s="713"/>
      <c r="M22" s="713"/>
      <c r="O22" s="81"/>
    </row>
    <row r="23" spans="1:15" x14ac:dyDescent="0.25">
      <c r="E23" s="713"/>
      <c r="F23" s="713"/>
      <c r="G23" s="713"/>
      <c r="H23" s="713"/>
      <c r="I23" s="713"/>
      <c r="J23" s="713"/>
      <c r="K23" s="713"/>
      <c r="L23" s="713"/>
      <c r="M23" s="713"/>
      <c r="O23" s="81"/>
    </row>
    <row r="24" spans="1:15" x14ac:dyDescent="0.25">
      <c r="E24" s="713"/>
      <c r="F24" s="713"/>
      <c r="G24" s="713"/>
      <c r="H24" s="713"/>
      <c r="I24" s="713"/>
      <c r="J24" s="713"/>
      <c r="K24" s="713"/>
      <c r="L24" s="713"/>
      <c r="M24" s="713"/>
      <c r="O24" s="81"/>
    </row>
    <row r="25" spans="1:15" x14ac:dyDescent="0.25">
      <c r="E25" s="713"/>
      <c r="F25" s="713"/>
      <c r="G25" s="713"/>
      <c r="H25" s="713"/>
      <c r="I25" s="713"/>
      <c r="J25" s="713"/>
      <c r="K25" s="713"/>
      <c r="L25" s="713"/>
      <c r="M25" s="713"/>
      <c r="O25" s="81"/>
    </row>
    <row r="26" spans="1:15" x14ac:dyDescent="0.25">
      <c r="E26" s="713"/>
      <c r="F26" s="713"/>
      <c r="G26" s="713"/>
      <c r="H26" s="713"/>
      <c r="I26" s="713"/>
      <c r="J26" s="713"/>
      <c r="K26" s="713"/>
      <c r="L26" s="713"/>
      <c r="M26" s="713"/>
      <c r="O26" s="81"/>
    </row>
    <row r="27" spans="1:15" x14ac:dyDescent="0.25">
      <c r="E27" s="713"/>
      <c r="F27" s="713"/>
      <c r="G27" s="713"/>
      <c r="H27" s="713"/>
      <c r="I27" s="713"/>
      <c r="J27" s="713"/>
      <c r="K27" s="713"/>
      <c r="L27" s="713"/>
      <c r="M27" s="713"/>
      <c r="O27" s="81"/>
    </row>
    <row r="28" spans="1:15" x14ac:dyDescent="0.25">
      <c r="E28" s="713"/>
      <c r="F28" s="713"/>
      <c r="G28" s="713"/>
      <c r="H28" s="713"/>
      <c r="I28" s="713"/>
      <c r="J28" s="713"/>
      <c r="K28" s="713"/>
      <c r="L28" s="713"/>
      <c r="M28" s="713"/>
      <c r="O28" s="81"/>
    </row>
    <row r="29" spans="1:15" x14ac:dyDescent="0.25">
      <c r="E29" s="713"/>
      <c r="F29" s="713"/>
      <c r="G29" s="713"/>
      <c r="H29" s="713"/>
      <c r="I29" s="713"/>
      <c r="J29" s="713"/>
      <c r="K29" s="713"/>
      <c r="L29" s="713"/>
      <c r="M29" s="713"/>
      <c r="O29" s="81"/>
    </row>
    <row r="30" spans="1:15" x14ac:dyDescent="0.25">
      <c r="E30" s="713"/>
      <c r="F30" s="713"/>
      <c r="G30" s="713"/>
      <c r="H30" s="713"/>
      <c r="I30" s="713"/>
      <c r="J30" s="713"/>
      <c r="K30" s="713"/>
      <c r="L30" s="713"/>
      <c r="M30" s="713"/>
    </row>
    <row r="31" spans="1:15" x14ac:dyDescent="0.25">
      <c r="E31" s="713"/>
      <c r="F31" s="713"/>
      <c r="G31" s="713"/>
      <c r="H31" s="713"/>
      <c r="I31" s="713"/>
      <c r="J31" s="713"/>
      <c r="K31" s="713"/>
      <c r="L31" s="713"/>
      <c r="M31" s="713"/>
    </row>
    <row r="32" spans="1:15" x14ac:dyDescent="0.25">
      <c r="E32" s="713"/>
      <c r="F32" s="713"/>
      <c r="G32" s="713"/>
      <c r="H32" s="713"/>
      <c r="I32" s="713"/>
      <c r="J32" s="713"/>
      <c r="K32" s="713"/>
      <c r="L32" s="713"/>
      <c r="M32" s="713"/>
    </row>
    <row r="33" spans="5:13" x14ac:dyDescent="0.25">
      <c r="E33" s="713"/>
      <c r="F33" s="713"/>
      <c r="G33" s="713"/>
      <c r="H33" s="713"/>
      <c r="I33" s="713"/>
      <c r="J33" s="713"/>
      <c r="K33" s="713"/>
      <c r="L33" s="713"/>
      <c r="M33" s="713"/>
    </row>
    <row r="34" spans="5:13" x14ac:dyDescent="0.25">
      <c r="E34" s="713"/>
      <c r="F34" s="713"/>
      <c r="G34" s="713"/>
      <c r="H34" s="713"/>
      <c r="I34" s="713"/>
      <c r="J34" s="713"/>
      <c r="K34" s="713"/>
      <c r="L34" s="713"/>
      <c r="M34" s="713"/>
    </row>
    <row r="35" spans="5:13" x14ac:dyDescent="0.25">
      <c r="E35" s="713"/>
      <c r="F35" s="713"/>
      <c r="G35" s="713"/>
      <c r="H35" s="713"/>
      <c r="I35" s="713"/>
      <c r="J35" s="713"/>
      <c r="K35" s="713"/>
      <c r="L35" s="713"/>
      <c r="M35" s="713"/>
    </row>
    <row r="36" spans="5:13" x14ac:dyDescent="0.25">
      <c r="E36" s="713"/>
      <c r="F36" s="713"/>
      <c r="G36" s="713"/>
      <c r="H36" s="713"/>
      <c r="I36" s="713"/>
      <c r="J36" s="713"/>
      <c r="K36" s="713"/>
      <c r="L36" s="713"/>
      <c r="M36" s="713"/>
    </row>
    <row r="37" spans="5:13" x14ac:dyDescent="0.25">
      <c r="E37" s="1"/>
      <c r="F37" s="1"/>
      <c r="H37" s="154"/>
      <c r="M37" s="154"/>
    </row>
    <row r="38" spans="5:13" x14ac:dyDescent="0.25">
      <c r="E38" s="1"/>
      <c r="F38" s="1"/>
    </row>
  </sheetData>
  <mergeCells count="6">
    <mergeCell ref="E1:M1"/>
    <mergeCell ref="A1:C1"/>
    <mergeCell ref="B13:C13"/>
    <mergeCell ref="A15:C15"/>
    <mergeCell ref="A17:A21"/>
    <mergeCell ref="E3:M36"/>
  </mergeCells>
  <conditionalFormatting sqref="E3">
    <cfRule type="expression" dxfId="3" priority="54">
      <formula>$O$4=0.625</formula>
    </cfRule>
  </conditionalFormatting>
  <pageMargins left="0.25" right="0.25" top="0.25" bottom="0.25" header="0.5" footer="0.5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pageSetUpPr fitToPage="1"/>
  </sheetPr>
  <dimension ref="A1:Q77"/>
  <sheetViews>
    <sheetView showGridLines="0" showZeros="0" showOutlineSymbols="0" zoomScale="90" zoomScaleNormal="90" zoomScaleSheetLayoutView="75" workbookViewId="0">
      <selection activeCell="A6" sqref="A6"/>
    </sheetView>
  </sheetViews>
  <sheetFormatPr defaultColWidth="10.6640625" defaultRowHeight="15.75" x14ac:dyDescent="0.2"/>
  <cols>
    <col min="1" max="1" width="3.77734375" style="410" bestFit="1" customWidth="1"/>
    <col min="2" max="2" width="44.5546875" style="411" bestFit="1" customWidth="1"/>
    <col min="3" max="3" width="12.77734375" style="411" bestFit="1" customWidth="1"/>
    <col min="4" max="4" width="1.6640625" style="411" customWidth="1"/>
    <col min="5" max="6" width="18.5546875" style="411" customWidth="1"/>
    <col min="7" max="7" width="1.6640625" style="356" customWidth="1"/>
    <col min="8" max="9" width="18.5546875" style="411" customWidth="1"/>
    <col min="10" max="10" width="1.6640625" style="411" customWidth="1"/>
    <col min="11" max="12" width="18.5546875" style="411" customWidth="1"/>
    <col min="13" max="13" width="1.6640625" style="411" customWidth="1"/>
    <col min="14" max="14" width="12.33203125" style="411" customWidth="1"/>
    <col min="15" max="15" width="14.5546875" style="411" customWidth="1"/>
    <col min="16" max="16" width="19.88671875" style="411" bestFit="1" customWidth="1"/>
    <col min="17" max="17" width="10.6640625" style="411" customWidth="1"/>
    <col min="18" max="16384" width="10.6640625" style="411"/>
  </cols>
  <sheetData>
    <row r="1" spans="1:17" ht="15.95" customHeight="1" x14ac:dyDescent="0.2">
      <c r="B1" s="411" t="str">
        <f>Inputs!B6</f>
        <v>Washington Water Service Company</v>
      </c>
      <c r="G1" s="411"/>
    </row>
    <row r="2" spans="1:17" ht="15.95" customHeight="1" x14ac:dyDescent="0.2">
      <c r="B2" s="411" t="str">
        <f>"UW-"&amp;Inputs!B7</f>
        <v>UW-</v>
      </c>
      <c r="G2" s="411"/>
    </row>
    <row r="3" spans="1:17" ht="15.95" customHeight="1" x14ac:dyDescent="0.2">
      <c r="B3" s="412" t="str">
        <f>"For Test Year Ended "&amp;TEXT(Inputs!B8,"mmmm dd, yyyy")</f>
        <v>For Test Year Ended December 31, 2024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7" ht="15.95" customHeight="1" x14ac:dyDescent="0.2">
      <c r="B4" s="413" t="s">
        <v>173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</row>
    <row r="5" spans="1:17" s="356" customFormat="1" ht="15.95" customHeight="1" x14ac:dyDescent="0.2">
      <c r="A5" s="410"/>
      <c r="B5" s="356" t="s">
        <v>2</v>
      </c>
      <c r="C5" s="414" t="s">
        <v>3</v>
      </c>
      <c r="E5" s="239" t="s">
        <v>151</v>
      </c>
      <c r="F5" s="356" t="s">
        <v>4</v>
      </c>
      <c r="H5" s="356" t="s">
        <v>5</v>
      </c>
      <c r="I5" s="356" t="s">
        <v>6</v>
      </c>
      <c r="K5" s="356" t="s">
        <v>7</v>
      </c>
      <c r="L5" s="356" t="s">
        <v>8</v>
      </c>
    </row>
    <row r="6" spans="1:17" s="356" customFormat="1" ht="31.5" x14ac:dyDescent="0.2">
      <c r="A6" s="415" t="s">
        <v>9</v>
      </c>
      <c r="B6" s="416" t="s">
        <v>10</v>
      </c>
      <c r="C6" s="415" t="s">
        <v>11</v>
      </c>
      <c r="D6" s="417"/>
      <c r="E6" s="418" t="s">
        <v>393</v>
      </c>
      <c r="F6" s="415" t="s">
        <v>12</v>
      </c>
      <c r="H6" s="418" t="s">
        <v>394</v>
      </c>
      <c r="I6" s="415" t="s">
        <v>13</v>
      </c>
      <c r="K6" s="418" t="s">
        <v>395</v>
      </c>
      <c r="L6" s="418" t="s">
        <v>396</v>
      </c>
      <c r="M6" s="415"/>
    </row>
    <row r="7" spans="1:17" s="425" customFormat="1" ht="15.95" customHeight="1" x14ac:dyDescent="0.2">
      <c r="A7" s="419">
        <v>1</v>
      </c>
      <c r="B7" s="420" t="s">
        <v>14</v>
      </c>
      <c r="C7" s="421" t="s">
        <v>15</v>
      </c>
      <c r="D7" s="422"/>
      <c r="E7" s="423" t="s">
        <v>16</v>
      </c>
      <c r="F7" s="423" t="s">
        <v>181</v>
      </c>
      <c r="G7" s="423"/>
      <c r="H7" s="423" t="s">
        <v>16</v>
      </c>
      <c r="I7" s="423" t="s">
        <v>17</v>
      </c>
      <c r="J7" s="423"/>
      <c r="K7" s="423" t="s">
        <v>18</v>
      </c>
      <c r="L7" s="424" t="s">
        <v>19</v>
      </c>
    </row>
    <row r="8" spans="1:17" s="356" customFormat="1" ht="15.95" customHeight="1" x14ac:dyDescent="0.2">
      <c r="A8" s="419">
        <f>1+A7</f>
        <v>2</v>
      </c>
      <c r="B8" s="426" t="s">
        <v>20</v>
      </c>
      <c r="D8" s="417"/>
    </row>
    <row r="9" spans="1:17" ht="15.95" customHeight="1" x14ac:dyDescent="0.2">
      <c r="A9" s="419">
        <f t="shared" ref="A9:A64" si="0">1+A8</f>
        <v>3</v>
      </c>
      <c r="B9" s="524" t="str">
        <f>+Inputs!I8</f>
        <v>Metered Sales</v>
      </c>
      <c r="C9" s="525">
        <f>Inputs!J8</f>
        <v>281829.31</v>
      </c>
      <c r="D9" s="525"/>
      <c r="E9" s="526">
        <f>Inputs!K8</f>
        <v>7140.0374999999767</v>
      </c>
      <c r="F9" s="525">
        <f t="shared" ref="F9:F14" si="1">E9+C9</f>
        <v>288969.34749999997</v>
      </c>
      <c r="G9" s="527"/>
      <c r="H9" s="527">
        <f>Inputs!N8</f>
        <v>0</v>
      </c>
      <c r="I9" s="525">
        <f>+H9+F9</f>
        <v>288969.34749999997</v>
      </c>
      <c r="J9" s="525"/>
      <c r="K9" s="528">
        <f>L44+L48+(I61*'Capital Structure'!$I$53)-I15</f>
        <v>622256.98312093935</v>
      </c>
      <c r="L9" s="525">
        <f t="shared" ref="L9:L14" si="2">+K9+I9</f>
        <v>911226.33062093938</v>
      </c>
      <c r="M9" s="428"/>
      <c r="N9" s="598">
        <f t="shared" ref="N9:N14" si="3">IF(OR(K9=0, I9=0), "", (K9/I9))</f>
        <v>2.1533667446196501</v>
      </c>
      <c r="O9" s="432" t="s">
        <v>397</v>
      </c>
      <c r="Q9" s="468"/>
    </row>
    <row r="10" spans="1:17" ht="15.95" customHeight="1" x14ac:dyDescent="0.2">
      <c r="A10" s="419">
        <f t="shared" si="0"/>
        <v>4</v>
      </c>
      <c r="B10" s="529" t="str">
        <f>+Inputs!I9</f>
        <v>Un-Metered Sales</v>
      </c>
      <c r="C10" s="530">
        <f>Inputs!J9</f>
        <v>0</v>
      </c>
      <c r="D10" s="530"/>
      <c r="E10" s="531">
        <f>Inputs!K9</f>
        <v>0</v>
      </c>
      <c r="F10" s="530">
        <f t="shared" si="1"/>
        <v>0</v>
      </c>
      <c r="G10" s="532"/>
      <c r="H10" s="532">
        <f>Inputs!N9</f>
        <v>0</v>
      </c>
      <c r="I10" s="530">
        <f>+F10+H10</f>
        <v>0</v>
      </c>
      <c r="J10" s="530"/>
      <c r="K10" s="533">
        <v>0</v>
      </c>
      <c r="L10" s="530">
        <f t="shared" si="2"/>
        <v>0</v>
      </c>
      <c r="M10" s="428"/>
      <c r="N10" s="598" t="str">
        <f t="shared" si="3"/>
        <v/>
      </c>
      <c r="O10" s="432" t="s">
        <v>397</v>
      </c>
    </row>
    <row r="11" spans="1:17" ht="15.95" customHeight="1" x14ac:dyDescent="0.2">
      <c r="A11" s="419">
        <f t="shared" si="0"/>
        <v>5</v>
      </c>
      <c r="B11" s="529" t="str">
        <f>+Inputs!I10</f>
        <v>Ready-to-Serve</v>
      </c>
      <c r="C11" s="530">
        <f>Inputs!J10</f>
        <v>0</v>
      </c>
      <c r="D11" s="530"/>
      <c r="E11" s="531">
        <f>Inputs!K10</f>
        <v>0</v>
      </c>
      <c r="F11" s="530">
        <f t="shared" si="1"/>
        <v>0</v>
      </c>
      <c r="G11" s="532"/>
      <c r="H11" s="532">
        <f>Inputs!N10</f>
        <v>0</v>
      </c>
      <c r="I11" s="530">
        <f>F11+H11</f>
        <v>0</v>
      </c>
      <c r="J11" s="530"/>
      <c r="K11" s="534">
        <v>0</v>
      </c>
      <c r="L11" s="530">
        <f t="shared" si="2"/>
        <v>0</v>
      </c>
      <c r="M11" s="428"/>
      <c r="N11" s="598" t="str">
        <f t="shared" si="3"/>
        <v/>
      </c>
      <c r="O11" s="432" t="s">
        <v>397</v>
      </c>
    </row>
    <row r="12" spans="1:17" ht="15.95" customHeight="1" x14ac:dyDescent="0.2">
      <c r="A12" s="419">
        <f t="shared" si="0"/>
        <v>6</v>
      </c>
      <c r="B12" s="529" t="str">
        <f>+Inputs!I11</f>
        <v>Fire Protection / Irrigation</v>
      </c>
      <c r="C12" s="530">
        <f>Inputs!J11</f>
        <v>3113.3199999999997</v>
      </c>
      <c r="D12" s="530"/>
      <c r="E12" s="531">
        <f>Inputs!K11</f>
        <v>0</v>
      </c>
      <c r="F12" s="530">
        <f t="shared" si="1"/>
        <v>3113.3199999999997</v>
      </c>
      <c r="G12" s="532"/>
      <c r="H12" s="532">
        <f>Inputs!N11</f>
        <v>0</v>
      </c>
      <c r="I12" s="530">
        <f>F12+H12</f>
        <v>3113.3199999999997</v>
      </c>
      <c r="J12" s="530"/>
      <c r="K12" s="534"/>
      <c r="L12" s="530">
        <f t="shared" si="2"/>
        <v>3113.3199999999997</v>
      </c>
      <c r="M12" s="428"/>
      <c r="N12" s="598" t="str">
        <f t="shared" si="3"/>
        <v/>
      </c>
      <c r="O12" s="432" t="s">
        <v>397</v>
      </c>
    </row>
    <row r="13" spans="1:17" ht="15.95" customHeight="1" x14ac:dyDescent="0.2">
      <c r="A13" s="419">
        <f t="shared" si="0"/>
        <v>7</v>
      </c>
      <c r="B13" s="529" t="str">
        <f>+Inputs!I12</f>
        <v>Jobbing</v>
      </c>
      <c r="C13" s="530">
        <f>Inputs!J12</f>
        <v>14140.9</v>
      </c>
      <c r="D13" s="530"/>
      <c r="E13" s="531">
        <f>-C13</f>
        <v>-14140.9</v>
      </c>
      <c r="F13" s="530">
        <f t="shared" si="1"/>
        <v>0</v>
      </c>
      <c r="G13" s="532"/>
      <c r="H13" s="532">
        <f>Inputs!N12</f>
        <v>0</v>
      </c>
      <c r="I13" s="530">
        <f>F13+H13</f>
        <v>0</v>
      </c>
      <c r="J13" s="530"/>
      <c r="K13" s="534"/>
      <c r="L13" s="530">
        <f t="shared" si="2"/>
        <v>0</v>
      </c>
      <c r="M13" s="428"/>
      <c r="N13" s="598" t="str">
        <f t="shared" si="3"/>
        <v/>
      </c>
      <c r="O13" s="432" t="s">
        <v>397</v>
      </c>
    </row>
    <row r="14" spans="1:17" ht="15.95" customHeight="1" thickBot="1" x14ac:dyDescent="0.25">
      <c r="A14" s="419">
        <f t="shared" si="0"/>
        <v>8</v>
      </c>
      <c r="B14" s="535" t="str">
        <f>+Inputs!I13</f>
        <v>Other Income, Ancillary Charges</v>
      </c>
      <c r="C14" s="536">
        <f>Inputs!J13</f>
        <v>1101.76</v>
      </c>
      <c r="D14" s="536"/>
      <c r="E14" s="536">
        <f>Inputs!K13</f>
        <v>0</v>
      </c>
      <c r="F14" s="536">
        <f t="shared" si="1"/>
        <v>1101.76</v>
      </c>
      <c r="G14" s="537"/>
      <c r="H14" s="537">
        <f>Inputs!N13</f>
        <v>0</v>
      </c>
      <c r="I14" s="536">
        <f>F14+H14</f>
        <v>1101.76</v>
      </c>
      <c r="J14" s="536"/>
      <c r="K14" s="538"/>
      <c r="L14" s="536">
        <f t="shared" si="2"/>
        <v>1101.76</v>
      </c>
      <c r="M14" s="428"/>
      <c r="N14" s="598" t="str">
        <f t="shared" si="3"/>
        <v/>
      </c>
      <c r="O14" s="432" t="s">
        <v>397</v>
      </c>
    </row>
    <row r="15" spans="1:17" ht="15.95" customHeight="1" thickTop="1" x14ac:dyDescent="0.2">
      <c r="A15" s="419">
        <f t="shared" si="0"/>
        <v>9</v>
      </c>
      <c r="B15" s="245" t="s">
        <v>256</v>
      </c>
      <c r="C15" s="539">
        <f>SUM(C9:C14)</f>
        <v>300185.29000000004</v>
      </c>
      <c r="D15" s="540"/>
      <c r="E15" s="541">
        <f>SUM(E9:E14)</f>
        <v>-7000.8625000000229</v>
      </c>
      <c r="F15" s="539">
        <f>SUM(F9:F14)</f>
        <v>293184.42749999999</v>
      </c>
      <c r="G15" s="542"/>
      <c r="H15" s="541">
        <f>SUM(H9:H14)</f>
        <v>0</v>
      </c>
      <c r="I15" s="539">
        <f>SUM(I9:I14)</f>
        <v>293184.42749999999</v>
      </c>
      <c r="J15" s="540"/>
      <c r="K15" s="543">
        <f>SUM(K9:K14)</f>
        <v>622256.98312093935</v>
      </c>
      <c r="L15" s="539">
        <f>SUM(L9:L14)</f>
        <v>915441.41062093934</v>
      </c>
      <c r="M15" s="429"/>
      <c r="N15" s="599">
        <f>'Int Sync, NTG, Rev Req'!D36</f>
        <v>614165.40976924298</v>
      </c>
      <c r="O15" s="432" t="s">
        <v>91</v>
      </c>
    </row>
    <row r="16" spans="1:17" ht="15.95" customHeight="1" x14ac:dyDescent="0.2">
      <c r="A16" s="419">
        <f t="shared" si="0"/>
        <v>10</v>
      </c>
      <c r="C16" s="427"/>
      <c r="D16" s="427"/>
      <c r="E16" s="544"/>
      <c r="F16" s="427"/>
      <c r="G16" s="544"/>
      <c r="H16" s="545"/>
      <c r="I16" s="430"/>
      <c r="J16" s="430"/>
      <c r="K16" s="546"/>
      <c r="L16" s="430"/>
      <c r="M16" s="430"/>
      <c r="N16" s="598">
        <f>K15/I15</f>
        <v>2.1224080297407317</v>
      </c>
      <c r="O16" s="432" t="str">
        <f>IF(N16="", "", "(percentage difference)")</f>
        <v>(percentage difference)</v>
      </c>
    </row>
    <row r="17" spans="1:15" ht="15.95" customHeight="1" x14ac:dyDescent="0.2">
      <c r="A17" s="419">
        <f t="shared" si="0"/>
        <v>11</v>
      </c>
      <c r="B17" s="547" t="s">
        <v>21</v>
      </c>
      <c r="C17" s="428"/>
      <c r="D17" s="427"/>
      <c r="E17" s="410"/>
      <c r="F17" s="431"/>
      <c r="G17" s="544"/>
      <c r="H17" s="544"/>
      <c r="I17" s="431"/>
      <c r="J17" s="431"/>
      <c r="K17" s="548"/>
      <c r="L17" s="431"/>
      <c r="M17" s="431"/>
      <c r="N17" s="432"/>
      <c r="O17" s="432"/>
    </row>
    <row r="18" spans="1:15" ht="15.95" customHeight="1" x14ac:dyDescent="0.2">
      <c r="A18" s="419">
        <f t="shared" si="0"/>
        <v>12</v>
      </c>
      <c r="B18" s="549" t="str">
        <f>+Inputs!I17</f>
        <v>Salary and Wages - Employees</v>
      </c>
      <c r="C18" s="550">
        <f>Inputs!J17</f>
        <v>23082.35</v>
      </c>
      <c r="D18" s="550"/>
      <c r="E18" s="551">
        <f>Inputs!K17</f>
        <v>0</v>
      </c>
      <c r="F18" s="550">
        <f t="shared" ref="F18:F43" si="4">E18+C18</f>
        <v>23082.35</v>
      </c>
      <c r="G18" s="551"/>
      <c r="H18" s="551">
        <f>Inputs!N17</f>
        <v>0</v>
      </c>
      <c r="I18" s="550">
        <f t="shared" ref="I18:I43" si="5">F18+H18</f>
        <v>23082.35</v>
      </c>
      <c r="J18" s="550"/>
      <c r="K18" s="552"/>
      <c r="L18" s="550">
        <f t="shared" ref="L18:L43" si="6">I18+K18</f>
        <v>23082.35</v>
      </c>
      <c r="M18" s="428"/>
    </row>
    <row r="19" spans="1:15" ht="15.95" customHeight="1" x14ac:dyDescent="0.2">
      <c r="A19" s="419">
        <f t="shared" si="0"/>
        <v>13</v>
      </c>
      <c r="B19" s="553" t="str">
        <f>+Inputs!I18</f>
        <v>Salary and Wages - Officers</v>
      </c>
      <c r="C19" s="554">
        <f>Inputs!J18</f>
        <v>0</v>
      </c>
      <c r="D19" s="554"/>
      <c r="E19" s="551">
        <f>Inputs!K18</f>
        <v>0</v>
      </c>
      <c r="F19" s="554">
        <f t="shared" si="4"/>
        <v>0</v>
      </c>
      <c r="G19" s="555"/>
      <c r="H19" s="555">
        <f>Inputs!N18</f>
        <v>0</v>
      </c>
      <c r="I19" s="554">
        <f t="shared" si="5"/>
        <v>0</v>
      </c>
      <c r="J19" s="554"/>
      <c r="K19" s="556"/>
      <c r="L19" s="554">
        <f t="shared" si="6"/>
        <v>0</v>
      </c>
      <c r="M19" s="428"/>
    </row>
    <row r="20" spans="1:15" ht="15.95" customHeight="1" x14ac:dyDescent="0.2">
      <c r="A20" s="419">
        <f t="shared" si="0"/>
        <v>14</v>
      </c>
      <c r="B20" s="553" t="str">
        <f>+Inputs!I19</f>
        <v>Employee Pensions and Benefits</v>
      </c>
      <c r="C20" s="554">
        <f>Inputs!J19</f>
        <v>10663.4</v>
      </c>
      <c r="D20" s="554"/>
      <c r="E20" s="551">
        <f>Inputs!K19</f>
        <v>0</v>
      </c>
      <c r="F20" s="554">
        <f t="shared" si="4"/>
        <v>10663.4</v>
      </c>
      <c r="G20" s="555"/>
      <c r="H20" s="555">
        <f>Inputs!N19</f>
        <v>0</v>
      </c>
      <c r="I20" s="554">
        <f t="shared" si="5"/>
        <v>10663.4</v>
      </c>
      <c r="J20" s="554"/>
      <c r="K20" s="556"/>
      <c r="L20" s="554">
        <f t="shared" si="6"/>
        <v>10663.4</v>
      </c>
      <c r="M20" s="428"/>
    </row>
    <row r="21" spans="1:15" ht="15.95" customHeight="1" x14ac:dyDescent="0.2">
      <c r="A21" s="419">
        <f t="shared" si="0"/>
        <v>15</v>
      </c>
      <c r="B21" s="553" t="str">
        <f>+Inputs!I20</f>
        <v>Purchased Power/Water</v>
      </c>
      <c r="C21" s="554">
        <f>Inputs!J20</f>
        <v>35914.92</v>
      </c>
      <c r="D21" s="554"/>
      <c r="E21" s="551">
        <f>Inputs!K20</f>
        <v>0</v>
      </c>
      <c r="F21" s="554">
        <f t="shared" si="4"/>
        <v>35914.92</v>
      </c>
      <c r="G21" s="557"/>
      <c r="H21" s="555">
        <f>Inputs!N20</f>
        <v>216</v>
      </c>
      <c r="I21" s="554">
        <f t="shared" si="5"/>
        <v>36130.92</v>
      </c>
      <c r="J21" s="554"/>
      <c r="K21" s="556"/>
      <c r="L21" s="554">
        <f t="shared" si="6"/>
        <v>36130.92</v>
      </c>
      <c r="M21" s="428"/>
      <c r="N21" s="600"/>
      <c r="O21" s="432"/>
    </row>
    <row r="22" spans="1:15" ht="15.95" customHeight="1" x14ac:dyDescent="0.2">
      <c r="A22" s="419">
        <f t="shared" si="0"/>
        <v>16</v>
      </c>
      <c r="B22" s="553" t="str">
        <f>+Inputs!I21</f>
        <v>Chemicals &amp; Testing</v>
      </c>
      <c r="C22" s="554">
        <f>Inputs!J21</f>
        <v>1002.08</v>
      </c>
      <c r="D22" s="554"/>
      <c r="E22" s="551">
        <f>Inputs!K21</f>
        <v>-1002.08</v>
      </c>
      <c r="F22" s="554">
        <f t="shared" si="4"/>
        <v>0</v>
      </c>
      <c r="G22" s="555"/>
      <c r="H22" s="555">
        <f>Inputs!N21</f>
        <v>0</v>
      </c>
      <c r="I22" s="554">
        <f t="shared" si="5"/>
        <v>0</v>
      </c>
      <c r="J22" s="554"/>
      <c r="K22" s="556"/>
      <c r="L22" s="554">
        <f t="shared" si="6"/>
        <v>0</v>
      </c>
      <c r="M22" s="428"/>
      <c r="N22" s="600"/>
      <c r="O22" s="432"/>
    </row>
    <row r="23" spans="1:15" ht="15.95" customHeight="1" x14ac:dyDescent="0.2">
      <c r="A23" s="419">
        <f t="shared" si="0"/>
        <v>17</v>
      </c>
      <c r="B23" s="553" t="str">
        <f>+Inputs!I22</f>
        <v>Material &amp; Supplies</v>
      </c>
      <c r="C23" s="554">
        <f>Inputs!J22</f>
        <v>3241.05</v>
      </c>
      <c r="D23" s="554"/>
      <c r="E23" s="551">
        <f>Inputs!K22</f>
        <v>0</v>
      </c>
      <c r="F23" s="554">
        <f t="shared" si="4"/>
        <v>3241.05</v>
      </c>
      <c r="G23" s="555"/>
      <c r="H23" s="555">
        <f>Inputs!N22</f>
        <v>0</v>
      </c>
      <c r="I23" s="554">
        <f t="shared" si="5"/>
        <v>3241.05</v>
      </c>
      <c r="J23" s="554"/>
      <c r="K23" s="556"/>
      <c r="L23" s="554">
        <f t="shared" si="6"/>
        <v>3241.05</v>
      </c>
      <c r="M23" s="428"/>
      <c r="N23" s="600"/>
      <c r="O23" s="432"/>
    </row>
    <row r="24" spans="1:15" ht="15.95" customHeight="1" x14ac:dyDescent="0.2">
      <c r="A24" s="419">
        <f t="shared" si="0"/>
        <v>18</v>
      </c>
      <c r="B24" s="553" t="str">
        <f>+Inputs!I23</f>
        <v>Contractual Engineer</v>
      </c>
      <c r="C24" s="554">
        <f>Inputs!J23</f>
        <v>0</v>
      </c>
      <c r="D24" s="554"/>
      <c r="E24" s="551">
        <f>Inputs!K23</f>
        <v>0</v>
      </c>
      <c r="F24" s="554">
        <f t="shared" si="4"/>
        <v>0</v>
      </c>
      <c r="G24" s="555"/>
      <c r="H24" s="555">
        <f>Inputs!N23</f>
        <v>0</v>
      </c>
      <c r="I24" s="554">
        <f t="shared" si="5"/>
        <v>0</v>
      </c>
      <c r="J24" s="554"/>
      <c r="K24" s="556"/>
      <c r="L24" s="554">
        <f t="shared" si="6"/>
        <v>0</v>
      </c>
      <c r="M24" s="428"/>
      <c r="N24" s="600"/>
      <c r="O24" s="598"/>
    </row>
    <row r="25" spans="1:15" ht="15.95" customHeight="1" x14ac:dyDescent="0.2">
      <c r="A25" s="419">
        <f t="shared" si="0"/>
        <v>19</v>
      </c>
      <c r="B25" s="553" t="str">
        <f>+Inputs!I24</f>
        <v>Contractual Accounting</v>
      </c>
      <c r="C25" s="554">
        <f>Inputs!J24</f>
        <v>0</v>
      </c>
      <c r="D25" s="554"/>
      <c r="E25" s="551">
        <f>Inputs!K24</f>
        <v>0</v>
      </c>
      <c r="F25" s="554">
        <f t="shared" si="4"/>
        <v>0</v>
      </c>
      <c r="G25" s="555"/>
      <c r="H25" s="555">
        <f>Inputs!N24</f>
        <v>0</v>
      </c>
      <c r="I25" s="554">
        <f t="shared" si="5"/>
        <v>0</v>
      </c>
      <c r="J25" s="554"/>
      <c r="K25" s="556"/>
      <c r="L25" s="554">
        <f t="shared" si="6"/>
        <v>0</v>
      </c>
      <c r="M25" s="428"/>
      <c r="N25" s="600"/>
      <c r="O25" s="432"/>
    </row>
    <row r="26" spans="1:15" ht="15.95" customHeight="1" x14ac:dyDescent="0.2">
      <c r="A26" s="419">
        <f t="shared" si="0"/>
        <v>20</v>
      </c>
      <c r="B26" s="553" t="str">
        <f>+Inputs!I25</f>
        <v>Contractual Legal</v>
      </c>
      <c r="C26" s="554">
        <f>Inputs!J25</f>
        <v>560</v>
      </c>
      <c r="D26" s="554"/>
      <c r="E26" s="551">
        <f>Inputs!K25</f>
        <v>0</v>
      </c>
      <c r="F26" s="554">
        <f t="shared" si="4"/>
        <v>560</v>
      </c>
      <c r="G26" s="555"/>
      <c r="H26" s="555">
        <f>Inputs!N25</f>
        <v>0</v>
      </c>
      <c r="I26" s="554">
        <f t="shared" si="5"/>
        <v>560</v>
      </c>
      <c r="J26" s="554"/>
      <c r="K26" s="556"/>
      <c r="L26" s="554">
        <f t="shared" si="6"/>
        <v>560</v>
      </c>
      <c r="M26" s="428"/>
      <c r="N26" s="600"/>
      <c r="O26" s="432"/>
    </row>
    <row r="27" spans="1:15" ht="15.95" customHeight="1" x14ac:dyDescent="0.2">
      <c r="A27" s="419">
        <f t="shared" si="0"/>
        <v>21</v>
      </c>
      <c r="B27" s="553" t="str">
        <f>+Inputs!I26</f>
        <v>Contractual Operations</v>
      </c>
      <c r="C27" s="554">
        <f>Inputs!J26</f>
        <v>2129.92</v>
      </c>
      <c r="D27" s="554"/>
      <c r="E27" s="551">
        <f>Inputs!K26</f>
        <v>0</v>
      </c>
      <c r="F27" s="554">
        <f t="shared" si="4"/>
        <v>2129.92</v>
      </c>
      <c r="G27" s="555"/>
      <c r="H27" s="555">
        <f>Inputs!N26</f>
        <v>0</v>
      </c>
      <c r="I27" s="554">
        <f t="shared" si="5"/>
        <v>2129.92</v>
      </c>
      <c r="J27" s="554"/>
      <c r="K27" s="556"/>
      <c r="L27" s="554">
        <f t="shared" si="6"/>
        <v>2129.92</v>
      </c>
      <c r="M27" s="428"/>
      <c r="N27" s="600"/>
      <c r="O27" s="432"/>
    </row>
    <row r="28" spans="1:15" ht="15.95" customHeight="1" x14ac:dyDescent="0.2">
      <c r="A28" s="419">
        <f t="shared" si="0"/>
        <v>22</v>
      </c>
      <c r="B28" s="553" t="str">
        <f>+Inputs!I27</f>
        <v>Jobbing</v>
      </c>
      <c r="C28" s="554">
        <f>Inputs!J27</f>
        <v>26466.95</v>
      </c>
      <c r="D28" s="554"/>
      <c r="E28" s="556">
        <f>-C28</f>
        <v>-26466.95</v>
      </c>
      <c r="F28" s="554">
        <f t="shared" si="4"/>
        <v>0</v>
      </c>
      <c r="G28" s="555"/>
      <c r="H28" s="555">
        <f>Inputs!N27</f>
        <v>0</v>
      </c>
      <c r="I28" s="554">
        <f t="shared" si="5"/>
        <v>0</v>
      </c>
      <c r="J28" s="554"/>
      <c r="K28" s="556"/>
      <c r="L28" s="554">
        <f t="shared" si="6"/>
        <v>0</v>
      </c>
      <c r="M28" s="428"/>
      <c r="N28" s="598"/>
      <c r="O28" s="432"/>
    </row>
    <row r="29" spans="1:15" ht="15.95" customHeight="1" x14ac:dyDescent="0.2">
      <c r="A29" s="419">
        <f t="shared" si="0"/>
        <v>23</v>
      </c>
      <c r="B29" s="553" t="str">
        <f>+Inputs!I28</f>
        <v>Rental of Building, Property, and Equipment</v>
      </c>
      <c r="C29" s="554">
        <f>Inputs!J28</f>
        <v>0</v>
      </c>
      <c r="D29" s="554"/>
      <c r="E29" s="551">
        <f>Inputs!K28</f>
        <v>0</v>
      </c>
      <c r="F29" s="554">
        <f t="shared" si="4"/>
        <v>0</v>
      </c>
      <c r="G29" s="555"/>
      <c r="H29" s="555">
        <f>Inputs!N28</f>
        <v>0</v>
      </c>
      <c r="I29" s="554">
        <f t="shared" si="5"/>
        <v>0</v>
      </c>
      <c r="J29" s="554"/>
      <c r="K29" s="556"/>
      <c r="L29" s="554">
        <f t="shared" si="6"/>
        <v>0</v>
      </c>
      <c r="M29" s="428"/>
      <c r="N29" s="600"/>
      <c r="O29" s="432"/>
    </row>
    <row r="30" spans="1:15" ht="15.95" customHeight="1" x14ac:dyDescent="0.2">
      <c r="A30" s="419">
        <f t="shared" si="0"/>
        <v>24</v>
      </c>
      <c r="B30" s="553" t="str">
        <f>+Inputs!I29</f>
        <v>Transportation</v>
      </c>
      <c r="C30" s="554">
        <f>Inputs!J29</f>
        <v>0</v>
      </c>
      <c r="D30" s="554"/>
      <c r="E30" s="551">
        <f>Inputs!K29</f>
        <v>0</v>
      </c>
      <c r="F30" s="554">
        <f t="shared" si="4"/>
        <v>0</v>
      </c>
      <c r="G30" s="555"/>
      <c r="H30" s="555">
        <f>Inputs!N29</f>
        <v>0</v>
      </c>
      <c r="I30" s="554">
        <f t="shared" si="5"/>
        <v>0</v>
      </c>
      <c r="J30" s="554"/>
      <c r="K30" s="556"/>
      <c r="L30" s="554">
        <f t="shared" si="6"/>
        <v>0</v>
      </c>
      <c r="M30" s="428"/>
      <c r="N30" s="598"/>
      <c r="O30" s="432"/>
    </row>
    <row r="31" spans="1:15" ht="15.95" customHeight="1" x14ac:dyDescent="0.2">
      <c r="A31" s="419">
        <f t="shared" si="0"/>
        <v>25</v>
      </c>
      <c r="B31" s="553" t="str">
        <f>+Inputs!I30</f>
        <v>Insurance - Vehicle, General Liability, Workman's Comp.</v>
      </c>
      <c r="C31" s="554">
        <f>Inputs!J30</f>
        <v>-524.40000000000009</v>
      </c>
      <c r="D31" s="554"/>
      <c r="E31" s="551">
        <f>Inputs!K30</f>
        <v>0</v>
      </c>
      <c r="F31" s="554">
        <f t="shared" si="4"/>
        <v>-524.40000000000009</v>
      </c>
      <c r="G31" s="555"/>
      <c r="H31" s="555">
        <f>Inputs!N30</f>
        <v>0</v>
      </c>
      <c r="I31" s="554">
        <f t="shared" si="5"/>
        <v>-524.40000000000009</v>
      </c>
      <c r="J31" s="554"/>
      <c r="K31" s="556"/>
      <c r="L31" s="554">
        <f t="shared" si="6"/>
        <v>-524.40000000000009</v>
      </c>
      <c r="M31" s="428"/>
      <c r="N31" s="600"/>
      <c r="O31" s="432"/>
    </row>
    <row r="32" spans="1:15" ht="15.95" customHeight="1" x14ac:dyDescent="0.2">
      <c r="A32" s="419">
        <f t="shared" si="0"/>
        <v>26</v>
      </c>
      <c r="B32" s="553" t="str">
        <f>+Inputs!I31</f>
        <v>Regulatory Commission Expenses - Fees</v>
      </c>
      <c r="C32" s="554">
        <f>Inputs!J31</f>
        <v>0</v>
      </c>
      <c r="D32" s="554"/>
      <c r="E32" s="551">
        <f>Inputs!K31</f>
        <v>0</v>
      </c>
      <c r="F32" s="554">
        <f t="shared" si="4"/>
        <v>0</v>
      </c>
      <c r="G32" s="557"/>
      <c r="H32" s="554">
        <f>(I15*0.2%)-F32</f>
        <v>586.36885499999994</v>
      </c>
      <c r="I32" s="554">
        <f t="shared" si="5"/>
        <v>586.36885499999994</v>
      </c>
      <c r="J32" s="554"/>
      <c r="K32" s="556">
        <f>'Revenue Requirement Proof'!C122-I32</f>
        <v>1245.3608313729983</v>
      </c>
      <c r="L32" s="554">
        <f t="shared" si="6"/>
        <v>1831.7296863729982</v>
      </c>
      <c r="M32" s="428"/>
      <c r="N32" s="601">
        <f>+K32/$K$15</f>
        <v>2.0013609572155739E-3</v>
      </c>
      <c r="O32" s="602">
        <f>L32/L15</f>
        <v>2.0009250893845247E-3</v>
      </c>
    </row>
    <row r="33" spans="1:16" ht="15.95" customHeight="1" x14ac:dyDescent="0.2">
      <c r="A33" s="419">
        <f t="shared" si="0"/>
        <v>27</v>
      </c>
      <c r="B33" s="553" t="str">
        <f>+Inputs!I32</f>
        <v>Regulatory Commission Expenses - Amort. Rate Case</v>
      </c>
      <c r="C33" s="554">
        <f>Inputs!J32</f>
        <v>0</v>
      </c>
      <c r="D33" s="554"/>
      <c r="E33" s="551">
        <f>Inputs!K32</f>
        <v>0</v>
      </c>
      <c r="F33" s="554">
        <f t="shared" si="4"/>
        <v>0</v>
      </c>
      <c r="G33" s="555"/>
      <c r="H33" s="555">
        <f>Inputs!N32</f>
        <v>22484.333333333332</v>
      </c>
      <c r="I33" s="554">
        <f t="shared" si="5"/>
        <v>22484.333333333332</v>
      </c>
      <c r="J33" s="554"/>
      <c r="K33" s="556"/>
      <c r="L33" s="554">
        <f t="shared" si="6"/>
        <v>22484.333333333332</v>
      </c>
      <c r="M33" s="428"/>
      <c r="N33" s="600"/>
      <c r="O33" s="432"/>
    </row>
    <row r="34" spans="1:16" ht="15.95" customHeight="1" x14ac:dyDescent="0.2">
      <c r="A34" s="419">
        <f t="shared" si="0"/>
        <v>28</v>
      </c>
      <c r="B34" s="553" t="str">
        <f>+Inputs!I33</f>
        <v>Travel, Education, CCR, and Public Relations</v>
      </c>
      <c r="C34" s="554">
        <f>Inputs!J33</f>
        <v>45</v>
      </c>
      <c r="D34" s="554"/>
      <c r="E34" s="551">
        <f>Inputs!K33</f>
        <v>0</v>
      </c>
      <c r="F34" s="554">
        <f t="shared" si="4"/>
        <v>45</v>
      </c>
      <c r="G34" s="555"/>
      <c r="H34" s="555">
        <f>Inputs!N33</f>
        <v>0</v>
      </c>
      <c r="I34" s="554">
        <f t="shared" si="5"/>
        <v>45</v>
      </c>
      <c r="J34" s="554"/>
      <c r="K34" s="556"/>
      <c r="L34" s="554">
        <f t="shared" si="6"/>
        <v>45</v>
      </c>
      <c r="M34" s="428"/>
      <c r="N34" s="600"/>
      <c r="O34" s="432"/>
    </row>
    <row r="35" spans="1:16" ht="15.95" customHeight="1" x14ac:dyDescent="0.2">
      <c r="A35" s="419">
        <f t="shared" si="0"/>
        <v>29</v>
      </c>
      <c r="B35" s="553" t="str">
        <f>+Inputs!I34</f>
        <v>Office, Postage, Phone, and Bank Charges</v>
      </c>
      <c r="C35" s="554">
        <f>Inputs!J34</f>
        <v>7905.8799999999992</v>
      </c>
      <c r="D35" s="554"/>
      <c r="E35" s="551">
        <f>Inputs!K34</f>
        <v>0</v>
      </c>
      <c r="F35" s="554">
        <f t="shared" si="4"/>
        <v>7905.8799999999992</v>
      </c>
      <c r="G35" s="555"/>
      <c r="H35" s="555">
        <f>Inputs!N34</f>
        <v>0</v>
      </c>
      <c r="I35" s="554">
        <f t="shared" si="5"/>
        <v>7905.8799999999992</v>
      </c>
      <c r="J35" s="554"/>
      <c r="K35" s="556"/>
      <c r="L35" s="554">
        <f t="shared" si="6"/>
        <v>7905.8799999999992</v>
      </c>
      <c r="M35" s="428"/>
      <c r="N35" s="600"/>
      <c r="O35" s="432"/>
    </row>
    <row r="36" spans="1:16" ht="15.95" customHeight="1" x14ac:dyDescent="0.2">
      <c r="A36" s="419">
        <f t="shared" si="0"/>
        <v>30</v>
      </c>
      <c r="B36" s="553" t="str">
        <f>+Inputs!I35</f>
        <v>Bad Debt</v>
      </c>
      <c r="C36" s="554">
        <f>Inputs!J35</f>
        <v>-139.5</v>
      </c>
      <c r="D36" s="554"/>
      <c r="E36" s="556">
        <f>(SUM(Inputs!J8:J11)*Bad_Debt_Percent)-PFIS!C36</f>
        <v>1564.21315</v>
      </c>
      <c r="F36" s="554">
        <f t="shared" si="4"/>
        <v>1424.71315</v>
      </c>
      <c r="G36" s="555"/>
      <c r="H36" s="555">
        <f>(SUM(I9:I12)*Bad_Debt_Percent)-PFIS!F36</f>
        <v>35.700187499999856</v>
      </c>
      <c r="I36" s="554">
        <f t="shared" si="5"/>
        <v>1460.4133374999999</v>
      </c>
      <c r="J36" s="554"/>
      <c r="K36" s="556">
        <f>'Revenue Requirement Proof'!C123-I36</f>
        <v>3118.9108784324953</v>
      </c>
      <c r="L36" s="554">
        <f t="shared" si="6"/>
        <v>4579.3242159324955</v>
      </c>
      <c r="M36" s="428"/>
      <c r="N36" s="598"/>
      <c r="O36" s="432"/>
    </row>
    <row r="37" spans="1:16" ht="15.95" customHeight="1" x14ac:dyDescent="0.2">
      <c r="A37" s="419">
        <f t="shared" si="0"/>
        <v>31</v>
      </c>
      <c r="B37" s="553" t="str">
        <f>+Inputs!I36</f>
        <v>Repairs</v>
      </c>
      <c r="C37" s="554">
        <f>Inputs!J36</f>
        <v>31730.980000000003</v>
      </c>
      <c r="D37" s="554"/>
      <c r="E37" s="551">
        <f>Inputs!K36</f>
        <v>0</v>
      </c>
      <c r="F37" s="554">
        <f t="shared" si="4"/>
        <v>31730.980000000003</v>
      </c>
      <c r="G37" s="555"/>
      <c r="H37" s="555">
        <f>Inputs!N36</f>
        <v>0</v>
      </c>
      <c r="I37" s="554">
        <f t="shared" si="5"/>
        <v>31730.980000000003</v>
      </c>
      <c r="J37" s="554"/>
      <c r="K37" s="556"/>
      <c r="L37" s="554">
        <f t="shared" si="6"/>
        <v>31730.980000000003</v>
      </c>
      <c r="M37" s="428"/>
      <c r="N37" s="598"/>
      <c r="O37" s="432"/>
    </row>
    <row r="38" spans="1:16" ht="15.95" customHeight="1" x14ac:dyDescent="0.2">
      <c r="A38" s="419">
        <f t="shared" si="0"/>
        <v>32</v>
      </c>
      <c r="B38" s="553" t="str">
        <f>+Inputs!I37</f>
        <v>Net Depreciation/Amortization</v>
      </c>
      <c r="C38" s="554">
        <f>Inputs!J37</f>
        <v>247277.56</v>
      </c>
      <c r="D38" s="554"/>
      <c r="E38" s="555">
        <f>'[1]IS Linksheet'!$D$36</f>
        <v>7782.3352996387403</v>
      </c>
      <c r="F38" s="554">
        <f>C38+E38</f>
        <v>255059.89529963874</v>
      </c>
      <c r="G38" s="555"/>
      <c r="H38" s="555">
        <v>0</v>
      </c>
      <c r="I38" s="554">
        <f>F38+H38</f>
        <v>255059.89529963874</v>
      </c>
      <c r="J38" s="554"/>
      <c r="K38" s="556">
        <f>IF(I61&lt;=0, -I38, 0)</f>
        <v>0</v>
      </c>
      <c r="L38" s="554">
        <f t="shared" si="6"/>
        <v>255059.89529963874</v>
      </c>
      <c r="M38" s="428"/>
      <c r="N38" s="601">
        <f>+L38/L54</f>
        <v>4.7211525126101883E-2</v>
      </c>
      <c r="O38" s="603"/>
    </row>
    <row r="39" spans="1:16" ht="15.95" customHeight="1" x14ac:dyDescent="0.2">
      <c r="A39" s="419">
        <f t="shared" si="0"/>
        <v>33</v>
      </c>
      <c r="B39" s="553" t="str">
        <f>+Inputs!I38</f>
        <v>Utility Excise Tax</v>
      </c>
      <c r="C39" s="554">
        <f>Inputs!J38</f>
        <v>14547.13</v>
      </c>
      <c r="D39" s="554"/>
      <c r="E39" s="551">
        <f>Inputs!K38</f>
        <v>0</v>
      </c>
      <c r="F39" s="554">
        <f t="shared" si="4"/>
        <v>14547.13</v>
      </c>
      <c r="G39" s="555"/>
      <c r="H39" s="555">
        <f>(SUM(I9:I12)*BO_Tax_Rate)-PFIS!F39</f>
        <v>141.70734857500429</v>
      </c>
      <c r="I39" s="554">
        <f t="shared" si="5"/>
        <v>14688.837348575003</v>
      </c>
      <c r="J39" s="554"/>
      <c r="K39" s="556">
        <f>'Revenue Requirement Proof'!C124-I39</f>
        <v>31370.005615274036</v>
      </c>
      <c r="L39" s="554">
        <f t="shared" si="6"/>
        <v>46058.842963849042</v>
      </c>
      <c r="M39" s="428"/>
      <c r="N39" s="601">
        <f>+K39/$K$15</f>
        <v>5.0413264079315429E-2</v>
      </c>
      <c r="O39" s="603">
        <f>L39/L15</f>
        <v>5.0313261372573873E-2</v>
      </c>
    </row>
    <row r="40" spans="1:16" ht="15.95" customHeight="1" x14ac:dyDescent="0.2">
      <c r="A40" s="419">
        <f t="shared" si="0"/>
        <v>34</v>
      </c>
      <c r="B40" s="553" t="str">
        <f>+Inputs!I39</f>
        <v>Property Tax</v>
      </c>
      <c r="C40" s="554">
        <f>Inputs!J39</f>
        <v>8566.2900000000009</v>
      </c>
      <c r="D40" s="554"/>
      <c r="E40" s="551">
        <f>Inputs!K39</f>
        <v>0</v>
      </c>
      <c r="F40" s="554">
        <f t="shared" si="4"/>
        <v>8566.2900000000009</v>
      </c>
      <c r="G40" s="555"/>
      <c r="H40" s="555">
        <f>Inputs!N39</f>
        <v>0</v>
      </c>
      <c r="I40" s="554">
        <f t="shared" si="5"/>
        <v>8566.2900000000009</v>
      </c>
      <c r="J40" s="554"/>
      <c r="K40" s="556"/>
      <c r="L40" s="554">
        <f t="shared" si="6"/>
        <v>8566.2900000000009</v>
      </c>
      <c r="M40" s="428"/>
      <c r="N40" s="600"/>
      <c r="O40" s="432"/>
    </row>
    <row r="41" spans="1:16" ht="15.95" customHeight="1" x14ac:dyDescent="0.2">
      <c r="A41" s="419">
        <f t="shared" si="0"/>
        <v>35</v>
      </c>
      <c r="B41" s="553" t="str">
        <f>+Inputs!I40</f>
        <v>Payroll Tax (ESD, L&amp;I)</v>
      </c>
      <c r="C41" s="554">
        <f>Inputs!J40</f>
        <v>1772.78</v>
      </c>
      <c r="D41" s="554"/>
      <c r="E41" s="551">
        <f>Inputs!K40</f>
        <v>0</v>
      </c>
      <c r="F41" s="554">
        <f t="shared" si="4"/>
        <v>1772.78</v>
      </c>
      <c r="G41" s="555"/>
      <c r="H41" s="555">
        <f>Inputs!N40</f>
        <v>0</v>
      </c>
      <c r="I41" s="554">
        <f t="shared" si="5"/>
        <v>1772.78</v>
      </c>
      <c r="J41" s="554"/>
      <c r="K41" s="556"/>
      <c r="L41" s="554">
        <f t="shared" si="6"/>
        <v>1772.78</v>
      </c>
      <c r="M41" s="428"/>
      <c r="N41" s="600"/>
      <c r="O41" s="428"/>
    </row>
    <row r="42" spans="1:16" ht="15.95" customHeight="1" x14ac:dyDescent="0.2">
      <c r="A42" s="419">
        <f t="shared" si="0"/>
        <v>36</v>
      </c>
      <c r="B42" s="553" t="str">
        <f>+Inputs!I41</f>
        <v>Other Taxes &amp; Licenses (DOH/DOE)</v>
      </c>
      <c r="C42" s="554">
        <f>Inputs!J41</f>
        <v>0</v>
      </c>
      <c r="D42" s="554"/>
      <c r="E42" s="551">
        <f>Inputs!K41</f>
        <v>0</v>
      </c>
      <c r="F42" s="554">
        <f t="shared" si="4"/>
        <v>0</v>
      </c>
      <c r="G42" s="555"/>
      <c r="H42" s="555">
        <f>Inputs!N41</f>
        <v>0</v>
      </c>
      <c r="I42" s="554">
        <f t="shared" si="5"/>
        <v>0</v>
      </c>
      <c r="J42" s="554"/>
      <c r="K42" s="556"/>
      <c r="L42" s="554">
        <f t="shared" si="6"/>
        <v>0</v>
      </c>
      <c r="M42" s="428"/>
      <c r="N42" s="600"/>
      <c r="O42" s="604"/>
    </row>
    <row r="43" spans="1:16" ht="15.95" customHeight="1" thickBot="1" x14ac:dyDescent="0.25">
      <c r="A43" s="419">
        <f t="shared" si="0"/>
        <v>37</v>
      </c>
      <c r="B43" s="558" t="str">
        <f>+Inputs!I42</f>
        <v>Miscellaneous</v>
      </c>
      <c r="C43" s="559">
        <f>Inputs!J42</f>
        <v>191796.5</v>
      </c>
      <c r="D43" s="559"/>
      <c r="E43" s="551">
        <f>Inputs!K42</f>
        <v>0</v>
      </c>
      <c r="F43" s="559">
        <f t="shared" si="4"/>
        <v>191796.5</v>
      </c>
      <c r="G43" s="560"/>
      <c r="H43" s="560">
        <f>Inputs!N42</f>
        <v>-17634.961753246782</v>
      </c>
      <c r="I43" s="559">
        <f t="shared" si="5"/>
        <v>174161.53824675322</v>
      </c>
      <c r="J43" s="559"/>
      <c r="K43" s="561"/>
      <c r="L43" s="559">
        <f t="shared" si="6"/>
        <v>174161.53824675322</v>
      </c>
      <c r="M43" s="428"/>
      <c r="N43" s="600"/>
      <c r="O43" s="432"/>
    </row>
    <row r="44" spans="1:16" ht="15.95" customHeight="1" thickTop="1" x14ac:dyDescent="0.2">
      <c r="A44" s="419">
        <f t="shared" si="0"/>
        <v>38</v>
      </c>
      <c r="B44" s="245" t="s">
        <v>27</v>
      </c>
      <c r="C44" s="562">
        <f>SUM(C18:C43)</f>
        <v>606038.89</v>
      </c>
      <c r="D44" s="563"/>
      <c r="E44" s="564">
        <f>SUM(E18:E43)</f>
        <v>-18122.481550361263</v>
      </c>
      <c r="F44" s="562">
        <f>SUM(F18:F43)</f>
        <v>587916.40844963875</v>
      </c>
      <c r="G44" s="565"/>
      <c r="H44" s="564">
        <f>SUM(H18:H43)</f>
        <v>5829.1479711615539</v>
      </c>
      <c r="I44" s="562">
        <f>SUM(I18:I43)</f>
        <v>593745.55642080028</v>
      </c>
      <c r="J44" s="563"/>
      <c r="K44" s="566">
        <f>SUM(K18:K43)</f>
        <v>35734.277325079529</v>
      </c>
      <c r="L44" s="562">
        <f>SUM(L18:L43)</f>
        <v>629479.83374587982</v>
      </c>
      <c r="M44" s="429"/>
      <c r="N44" s="432"/>
      <c r="O44" s="432"/>
    </row>
    <row r="45" spans="1:16" ht="15.95" customHeight="1" x14ac:dyDescent="0.2">
      <c r="A45" s="419">
        <f t="shared" si="0"/>
        <v>39</v>
      </c>
      <c r="B45" s="245"/>
      <c r="C45" s="245"/>
      <c r="D45" s="243"/>
      <c r="E45" s="239"/>
      <c r="F45" s="243"/>
      <c r="G45" s="567"/>
      <c r="H45" s="567"/>
      <c r="I45" s="243"/>
      <c r="J45" s="243"/>
      <c r="K45" s="568"/>
      <c r="L45" s="243"/>
      <c r="M45" s="427"/>
      <c r="N45" s="432"/>
      <c r="O45" s="432"/>
    </row>
    <row r="46" spans="1:16" ht="15.95" customHeight="1" x14ac:dyDescent="0.2">
      <c r="A46" s="419">
        <f t="shared" si="0"/>
        <v>40</v>
      </c>
      <c r="B46" s="524" t="s">
        <v>374</v>
      </c>
      <c r="C46" s="550">
        <f>C15-C44</f>
        <v>-305853.59999999998</v>
      </c>
      <c r="D46" s="550"/>
      <c r="E46" s="551">
        <f>E15-E44</f>
        <v>11121.61905036124</v>
      </c>
      <c r="F46" s="550">
        <f>F15-F44</f>
        <v>-294731.98094963876</v>
      </c>
      <c r="G46" s="551"/>
      <c r="H46" s="551">
        <f>H15-H44</f>
        <v>-5829.1479711615539</v>
      </c>
      <c r="I46" s="569">
        <f>I15-I44</f>
        <v>-300561.12892080029</v>
      </c>
      <c r="J46" s="550"/>
      <c r="K46" s="552"/>
      <c r="L46" s="550">
        <f>L15-L44</f>
        <v>285961.57687505952</v>
      </c>
      <c r="M46" s="428"/>
      <c r="N46" s="432"/>
      <c r="O46" s="432"/>
    </row>
    <row r="47" spans="1:16" ht="15.95" customHeight="1" x14ac:dyDescent="0.2">
      <c r="A47" s="419">
        <f t="shared" si="0"/>
        <v>41</v>
      </c>
      <c r="B47" s="529" t="s">
        <v>28</v>
      </c>
      <c r="C47" s="554">
        <f>Inputs!J46</f>
        <v>0</v>
      </c>
      <c r="D47" s="554"/>
      <c r="E47" s="551">
        <f>Inputs!K46</f>
        <v>0</v>
      </c>
      <c r="F47" s="554">
        <f>+E47+C47</f>
        <v>0</v>
      </c>
      <c r="G47" s="557"/>
      <c r="H47" s="555">
        <f>IF(Inputs!N46&lt;&gt;"",Inputs!N46,Prof_Int_Exp_Adj)</f>
        <v>69751.266656795488</v>
      </c>
      <c r="I47" s="554">
        <f>F47+H47</f>
        <v>69751.266656795488</v>
      </c>
      <c r="J47" s="557"/>
      <c r="K47" s="556"/>
      <c r="L47" s="554">
        <f>I47+K47</f>
        <v>69751.266656795488</v>
      </c>
      <c r="M47" s="428"/>
      <c r="N47" s="605">
        <f>Proforma_Interest_Expense</f>
        <v>69751.266656795488</v>
      </c>
      <c r="O47" s="432" t="s">
        <v>91</v>
      </c>
    </row>
    <row r="48" spans="1:16" ht="15.95" customHeight="1" x14ac:dyDescent="0.2">
      <c r="A48" s="419">
        <f t="shared" si="0"/>
        <v>42</v>
      </c>
      <c r="B48" s="529" t="s">
        <v>410</v>
      </c>
      <c r="C48" s="554">
        <f>Inputs!J47</f>
        <v>-115643.17</v>
      </c>
      <c r="D48" s="554"/>
      <c r="E48" s="555">
        <f>Inputs!K47</f>
        <v>0</v>
      </c>
      <c r="F48" s="554">
        <f>+E48+C48</f>
        <v>-115643.17</v>
      </c>
      <c r="G48" s="557"/>
      <c r="H48" s="555">
        <f>IF(PFIS!I46-PFIS!I47&gt;0,FIT_Rate,0)*(PFIS!I46-Proforma_Interest_Expense)-PFIS!F48</f>
        <v>115643.17</v>
      </c>
      <c r="I48" s="554">
        <f>F48+H48</f>
        <v>0</v>
      </c>
      <c r="J48" s="557"/>
      <c r="K48" s="556">
        <f>'Int Sync, NTG, Rev Req'!I50-I48</f>
        <v>45069.653419043294</v>
      </c>
      <c r="L48" s="554">
        <f>I48+K48</f>
        <v>45069.653419043294</v>
      </c>
      <c r="M48" s="428"/>
      <c r="N48" s="606">
        <f>'Int Sync, NTG, Rev Req'!I50</f>
        <v>45069.653419043294</v>
      </c>
      <c r="O48" s="432" t="s">
        <v>91</v>
      </c>
      <c r="P48" s="465"/>
    </row>
    <row r="49" spans="1:15" ht="15.95" customHeight="1" thickBot="1" x14ac:dyDescent="0.25">
      <c r="A49" s="419">
        <f t="shared" si="0"/>
        <v>43</v>
      </c>
      <c r="B49" s="535" t="s">
        <v>258</v>
      </c>
      <c r="C49" s="559">
        <f>+C44+C47+C48</f>
        <v>490395.72000000003</v>
      </c>
      <c r="D49" s="559"/>
      <c r="E49" s="560"/>
      <c r="F49" s="559">
        <f>+F44+F47+F48</f>
        <v>472273.23844963877</v>
      </c>
      <c r="G49" s="560"/>
      <c r="H49" s="560"/>
      <c r="I49" s="559">
        <f>+I44+I47+I48</f>
        <v>663496.82307759579</v>
      </c>
      <c r="J49" s="559"/>
      <c r="K49" s="561"/>
      <c r="L49" s="570">
        <f>+L44+L47+L48</f>
        <v>744300.75382171862</v>
      </c>
      <c r="M49" s="433"/>
      <c r="N49" s="432"/>
      <c r="O49" s="432"/>
    </row>
    <row r="50" spans="1:15" ht="15.95" customHeight="1" thickTop="1" thickBot="1" x14ac:dyDescent="0.25">
      <c r="A50" s="419">
        <f t="shared" si="0"/>
        <v>44</v>
      </c>
      <c r="B50" s="571" t="s">
        <v>261</v>
      </c>
      <c r="C50" s="572">
        <f>+C15-C49</f>
        <v>-190210.43</v>
      </c>
      <c r="D50" s="573"/>
      <c r="E50" s="574">
        <f>SUM(E45:E49)</f>
        <v>11121.61905036124</v>
      </c>
      <c r="F50" s="572">
        <f>+F15-F49</f>
        <v>-179088.81094963878</v>
      </c>
      <c r="G50" s="575"/>
      <c r="H50" s="574">
        <f>SUM(H45:H49)</f>
        <v>179565.28868563392</v>
      </c>
      <c r="I50" s="572">
        <f>+I15-I49</f>
        <v>-370312.3955775958</v>
      </c>
      <c r="J50" s="573"/>
      <c r="K50" s="576">
        <f>SUM(K45:K49)</f>
        <v>45069.653419043294</v>
      </c>
      <c r="L50" s="572">
        <f>+L15-L49</f>
        <v>171140.65679922071</v>
      </c>
      <c r="M50" s="434"/>
      <c r="N50" s="432"/>
      <c r="O50" s="432"/>
    </row>
    <row r="51" spans="1:15" ht="15.95" customHeight="1" thickBot="1" x14ac:dyDescent="0.25">
      <c r="A51" s="410">
        <f t="shared" si="0"/>
        <v>45</v>
      </c>
      <c r="B51" s="577" t="s">
        <v>257</v>
      </c>
      <c r="C51" s="578">
        <f>+C46-C48</f>
        <v>-190210.43</v>
      </c>
      <c r="D51" s="578"/>
      <c r="E51" s="579"/>
      <c r="F51" s="578">
        <f>+F46-F48</f>
        <v>-179088.81094963878</v>
      </c>
      <c r="G51" s="579"/>
      <c r="H51" s="579"/>
      <c r="I51" s="578">
        <f>+I46-I48</f>
        <v>-300561.12892080029</v>
      </c>
      <c r="J51" s="578"/>
      <c r="K51" s="579"/>
      <c r="L51" s="580">
        <f>+L46-L48</f>
        <v>240891.92345601623</v>
      </c>
      <c r="M51" s="435"/>
      <c r="N51" s="607">
        <f>'Int Sync, NTG, Rev Req'!D29</f>
        <v>240891.92345601626</v>
      </c>
      <c r="O51" s="608" t="s">
        <v>91</v>
      </c>
    </row>
    <row r="52" spans="1:15" ht="15.95" customHeight="1" x14ac:dyDescent="0.2">
      <c r="A52" s="419">
        <f t="shared" si="0"/>
        <v>46</v>
      </c>
      <c r="C52" s="427"/>
      <c r="D52" s="427"/>
      <c r="E52" s="410"/>
      <c r="F52" s="427"/>
      <c r="G52" s="544"/>
      <c r="H52" s="544"/>
      <c r="I52" s="427"/>
      <c r="J52" s="427"/>
      <c r="K52" s="544"/>
      <c r="L52" s="427"/>
      <c r="M52" s="427"/>
      <c r="N52" s="609"/>
      <c r="O52" s="432"/>
    </row>
    <row r="53" spans="1:15" ht="15.95" customHeight="1" x14ac:dyDescent="0.2">
      <c r="A53" s="419">
        <f t="shared" si="0"/>
        <v>47</v>
      </c>
      <c r="B53" s="547" t="s">
        <v>29</v>
      </c>
      <c r="C53" s="427"/>
      <c r="D53" s="427"/>
      <c r="E53" s="356"/>
      <c r="H53" s="544"/>
      <c r="K53" s="356"/>
      <c r="N53" s="432"/>
      <c r="O53" s="432"/>
    </row>
    <row r="54" spans="1:15" ht="15.95" customHeight="1" x14ac:dyDescent="0.2">
      <c r="A54" s="419">
        <f t="shared" si="0"/>
        <v>48</v>
      </c>
      <c r="B54" s="524" t="s">
        <v>92</v>
      </c>
      <c r="C54" s="525">
        <f>Inputs!J53</f>
        <v>5409495.1600000001</v>
      </c>
      <c r="D54" s="525"/>
      <c r="E54" s="527">
        <f>+F54-C54</f>
        <v>-7002.9800000041723</v>
      </c>
      <c r="F54" s="525">
        <f>+Inputs!Y6</f>
        <v>5402492.179999996</v>
      </c>
      <c r="G54" s="525"/>
      <c r="H54" s="581">
        <f>I54-F54</f>
        <v>0</v>
      </c>
      <c r="I54" s="525">
        <f>SUM(Inputs!Y8:Y1008)</f>
        <v>5402492.179999996</v>
      </c>
      <c r="J54" s="525"/>
      <c r="K54" s="527"/>
      <c r="L54" s="525">
        <f>+K54+I54</f>
        <v>5402492.179999996</v>
      </c>
      <c r="M54" s="428"/>
      <c r="N54" s="432"/>
      <c r="O54" s="432"/>
    </row>
    <row r="55" spans="1:15" s="428" customFormat="1" ht="15.95" customHeight="1" x14ac:dyDescent="0.2">
      <c r="A55" s="419">
        <f t="shared" si="0"/>
        <v>49</v>
      </c>
      <c r="B55" s="582" t="s">
        <v>30</v>
      </c>
      <c r="C55" s="530">
        <f>Inputs!J54</f>
        <v>-1848093.37</v>
      </c>
      <c r="D55" s="530"/>
      <c r="E55" s="532">
        <f>F55-C55</f>
        <v>185.35000000009313</v>
      </c>
      <c r="F55" s="530">
        <f>-Inputs!AE6</f>
        <v>-1847908.02</v>
      </c>
      <c r="G55" s="530"/>
      <c r="H55" s="583">
        <f>I55-F55</f>
        <v>0</v>
      </c>
      <c r="I55" s="530">
        <f>-SUM(Inputs!AE8:AE2008)</f>
        <v>-1847908.02</v>
      </c>
      <c r="J55" s="530"/>
      <c r="K55" s="532"/>
      <c r="L55" s="530">
        <f>+K55+I55</f>
        <v>-1847908.02</v>
      </c>
      <c r="N55" s="604"/>
      <c r="O55" s="604"/>
    </row>
    <row r="56" spans="1:15" s="428" customFormat="1" ht="15.95" customHeight="1" x14ac:dyDescent="0.2">
      <c r="A56" s="419">
        <f t="shared" si="0"/>
        <v>50</v>
      </c>
      <c r="B56" s="584" t="s">
        <v>615</v>
      </c>
      <c r="C56" s="530">
        <v>0</v>
      </c>
      <c r="D56" s="530"/>
      <c r="E56" s="532"/>
      <c r="F56" s="530">
        <f>'[1]RA4 - GO Plant'!$E$14</f>
        <v>39493.013882000036</v>
      </c>
      <c r="G56" s="530"/>
      <c r="H56" s="583"/>
      <c r="I56" s="530">
        <f>F56</f>
        <v>39493.013882000036</v>
      </c>
      <c r="J56" s="530"/>
      <c r="K56" s="532"/>
      <c r="L56" s="530">
        <f>I56</f>
        <v>39493.013882000036</v>
      </c>
      <c r="N56" s="604"/>
      <c r="O56" s="604"/>
    </row>
    <row r="57" spans="1:15" s="428" customFormat="1" ht="15.95" customHeight="1" x14ac:dyDescent="0.2">
      <c r="A57" s="419">
        <f t="shared" si="0"/>
        <v>51</v>
      </c>
      <c r="B57" s="582" t="s">
        <v>71</v>
      </c>
      <c r="C57" s="530">
        <f>Inputs!J55</f>
        <v>0</v>
      </c>
      <c r="D57" s="530"/>
      <c r="E57" s="532"/>
      <c r="F57" s="530">
        <f>C57</f>
        <v>0</v>
      </c>
      <c r="G57" s="530"/>
      <c r="H57" s="583"/>
      <c r="I57" s="530">
        <f>F57</f>
        <v>0</v>
      </c>
      <c r="J57" s="530"/>
      <c r="K57" s="532"/>
      <c r="L57" s="530">
        <f>I57</f>
        <v>0</v>
      </c>
      <c r="N57" s="604"/>
      <c r="O57" s="604"/>
    </row>
    <row r="58" spans="1:15" ht="15.95" customHeight="1" x14ac:dyDescent="0.2">
      <c r="A58" s="419">
        <f t="shared" si="0"/>
        <v>52</v>
      </c>
      <c r="B58" s="529" t="s">
        <v>260</v>
      </c>
      <c r="C58" s="530">
        <f>Inputs!J56</f>
        <v>-1780657.14</v>
      </c>
      <c r="D58" s="530"/>
      <c r="E58" s="532">
        <f>F58-C58</f>
        <v>0</v>
      </c>
      <c r="F58" s="530">
        <f>-Inputs!AK6</f>
        <v>-1780657.14</v>
      </c>
      <c r="G58" s="530"/>
      <c r="H58" s="583">
        <f>I58-F58</f>
        <v>0</v>
      </c>
      <c r="I58" s="530">
        <f>-SUM(Inputs!AK8:AK1008)</f>
        <v>-1780657.14</v>
      </c>
      <c r="J58" s="530"/>
      <c r="K58" s="532"/>
      <c r="L58" s="530">
        <f>+K58+I58</f>
        <v>-1780657.14</v>
      </c>
      <c r="M58" s="428"/>
      <c r="N58" s="432"/>
      <c r="O58" s="432"/>
    </row>
    <row r="59" spans="1:15" ht="15.95" customHeight="1" x14ac:dyDescent="0.2">
      <c r="A59" s="419">
        <f t="shared" si="0"/>
        <v>53</v>
      </c>
      <c r="B59" s="585" t="s">
        <v>31</v>
      </c>
      <c r="C59" s="536">
        <f>Inputs!J57</f>
        <v>983136.68</v>
      </c>
      <c r="D59" s="536"/>
      <c r="E59" s="537">
        <f>F59-C59</f>
        <v>0</v>
      </c>
      <c r="F59" s="536">
        <f>Inputs!AQ6</f>
        <v>983136.67999999982</v>
      </c>
      <c r="G59" s="536"/>
      <c r="H59" s="586">
        <f>I59-F59</f>
        <v>0</v>
      </c>
      <c r="I59" s="536">
        <f>SUM(Inputs!AQ8:AQ2008)</f>
        <v>983136.67999999982</v>
      </c>
      <c r="J59" s="536"/>
      <c r="K59" s="537"/>
      <c r="L59" s="536">
        <f>+K59+I59</f>
        <v>983136.67999999982</v>
      </c>
      <c r="M59" s="428"/>
      <c r="N59" s="432"/>
      <c r="O59" s="432"/>
    </row>
    <row r="60" spans="1:15" ht="15.95" customHeight="1" thickBot="1" x14ac:dyDescent="0.25">
      <c r="A60" s="419" t="e">
        <f>1+#REF!</f>
        <v>#REF!</v>
      </c>
      <c r="B60" s="245" t="s">
        <v>519</v>
      </c>
      <c r="C60" s="468">
        <v>-5225.04</v>
      </c>
      <c r="D60" s="468"/>
      <c r="E60" s="587"/>
      <c r="F60" s="468">
        <f>C60</f>
        <v>-5225.04</v>
      </c>
      <c r="G60" s="468"/>
      <c r="H60" s="588"/>
      <c r="I60" s="468">
        <f>F60</f>
        <v>-5225.04</v>
      </c>
      <c r="J60" s="468"/>
      <c r="K60" s="587"/>
      <c r="L60" s="468">
        <f>I60</f>
        <v>-5225.04</v>
      </c>
      <c r="M60" s="428"/>
      <c r="N60" s="432"/>
      <c r="O60" s="432"/>
    </row>
    <row r="61" spans="1:15" ht="15.95" customHeight="1" thickTop="1" x14ac:dyDescent="0.2">
      <c r="A61" s="419" t="e">
        <f t="shared" si="0"/>
        <v>#REF!</v>
      </c>
      <c r="B61" s="245" t="s">
        <v>255</v>
      </c>
      <c r="C61" s="539">
        <f>SUM(C54:C60)</f>
        <v>2758656.29</v>
      </c>
      <c r="D61" s="539"/>
      <c r="E61" s="539">
        <f>SUM(E54:E60)</f>
        <v>-6817.6300000040792</v>
      </c>
      <c r="F61" s="539">
        <f>SUM(F54:F60)</f>
        <v>2791331.673881996</v>
      </c>
      <c r="G61" s="539"/>
      <c r="H61" s="539">
        <f>SUM(H54:H59)</f>
        <v>0</v>
      </c>
      <c r="I61" s="539">
        <f>SUM(I54:I60)</f>
        <v>2791331.673881996</v>
      </c>
      <c r="J61" s="540"/>
      <c r="K61" s="541">
        <f>SUM(K54:K59)</f>
        <v>0</v>
      </c>
      <c r="L61" s="539">
        <f>SUM(L54:L60)</f>
        <v>2791331.673881996</v>
      </c>
      <c r="M61" s="429"/>
      <c r="N61" s="599">
        <f>Inputs!AF6-Inputs!AR6+Inputs!J55</f>
        <v>2757063.700000002</v>
      </c>
      <c r="O61" s="432" t="s">
        <v>91</v>
      </c>
    </row>
    <row r="62" spans="1:15" ht="15.95" customHeight="1" x14ac:dyDescent="0.2">
      <c r="A62" s="419" t="e">
        <f t="shared" si="0"/>
        <v>#REF!</v>
      </c>
      <c r="D62" s="427"/>
      <c r="E62" s="544"/>
      <c r="F62" s="427"/>
      <c r="G62" s="544"/>
      <c r="H62" s="544"/>
      <c r="I62" s="436"/>
      <c r="J62" s="427"/>
      <c r="K62" s="544"/>
      <c r="N62" s="432"/>
      <c r="O62" s="432"/>
    </row>
    <row r="63" spans="1:15" ht="15.95" customHeight="1" x14ac:dyDescent="0.2">
      <c r="A63" s="419" t="e">
        <f t="shared" si="0"/>
        <v>#REF!</v>
      </c>
      <c r="B63" s="524" t="s">
        <v>259</v>
      </c>
      <c r="C63" s="589">
        <f>C51/C61</f>
        <v>-6.8950391061584543E-2</v>
      </c>
      <c r="D63" s="590"/>
      <c r="E63" s="591"/>
      <c r="F63" s="589">
        <f>F51/F61</f>
        <v>-6.4158914766504302E-2</v>
      </c>
      <c r="G63" s="591"/>
      <c r="H63" s="592"/>
      <c r="I63" s="589">
        <f>I51/I61</f>
        <v>-0.10767660888639584</v>
      </c>
      <c r="J63" s="589"/>
      <c r="K63" s="591"/>
      <c r="L63" s="593">
        <f>IF(L61&lt;0, 0%, L51/L61)</f>
        <v>8.6299999999999988E-2</v>
      </c>
      <c r="M63" s="437"/>
      <c r="N63" s="610">
        <f>+'Capital Structure'!I53</f>
        <v>8.6300000000000002E-2</v>
      </c>
      <c r="O63" s="432" t="s">
        <v>91</v>
      </c>
    </row>
    <row r="64" spans="1:15" ht="15.95" customHeight="1" x14ac:dyDescent="0.2">
      <c r="A64" s="419" t="e">
        <f t="shared" si="0"/>
        <v>#REF!</v>
      </c>
      <c r="B64" s="594" t="s">
        <v>32</v>
      </c>
      <c r="C64" s="595">
        <f>Inputs!B13+Inputs!B12+Inputs!B11</f>
        <v>834</v>
      </c>
      <c r="D64" s="596"/>
      <c r="E64" s="597">
        <v>0</v>
      </c>
      <c r="F64" s="596">
        <f>C64</f>
        <v>834</v>
      </c>
      <c r="G64" s="596"/>
      <c r="H64" s="597"/>
      <c r="I64" s="596">
        <f>+F64+H64</f>
        <v>834</v>
      </c>
      <c r="J64" s="596"/>
      <c r="K64" s="597"/>
      <c r="L64" s="596">
        <f>+K64+I64</f>
        <v>834</v>
      </c>
      <c r="M64" s="427"/>
      <c r="O64" s="432"/>
    </row>
    <row r="66" spans="2:13" ht="18" x14ac:dyDescent="0.2">
      <c r="B66" s="438" t="s">
        <v>368</v>
      </c>
      <c r="C66" s="439">
        <f>SUM(C54:C55,C56)</f>
        <v>3561401.79</v>
      </c>
      <c r="D66" s="440"/>
      <c r="E66" s="440"/>
      <c r="F66" s="439">
        <f>SUM(F54:F55,F56)</f>
        <v>3594077.173881996</v>
      </c>
      <c r="G66" s="441"/>
      <c r="H66" s="440"/>
      <c r="I66" s="439">
        <f>SUM(I54:I55,I56)</f>
        <v>3594077.173881996</v>
      </c>
      <c r="J66" s="440"/>
      <c r="K66" s="440"/>
      <c r="L66" s="439">
        <f>SUM(L54:L55,L56)</f>
        <v>3594077.173881996</v>
      </c>
      <c r="M66" s="442"/>
    </row>
    <row r="67" spans="2:13" ht="15" customHeight="1" x14ac:dyDescent="0.2">
      <c r="B67" s="438" t="s">
        <v>369</v>
      </c>
      <c r="C67" s="439">
        <f>SUM(C58:C59)</f>
        <v>-797520.45999999985</v>
      </c>
      <c r="D67" s="440"/>
      <c r="E67" s="440"/>
      <c r="F67" s="439">
        <f>SUM(F58:F59)</f>
        <v>-797520.46000000008</v>
      </c>
      <c r="G67" s="441"/>
      <c r="H67" s="440"/>
      <c r="I67" s="439">
        <f>SUM(I58:I59)</f>
        <v>-797520.46000000008</v>
      </c>
      <c r="J67" s="440"/>
      <c r="K67" s="440"/>
      <c r="L67" s="439">
        <f>SUM(L58:L59)</f>
        <v>-797520.46000000008</v>
      </c>
    </row>
    <row r="68" spans="2:13" ht="15" customHeight="1" x14ac:dyDescent="0.2">
      <c r="B68" s="438" t="s">
        <v>761</v>
      </c>
      <c r="C68" s="439">
        <f>C60</f>
        <v>-5225.04</v>
      </c>
      <c r="D68" s="440"/>
      <c r="E68" s="440"/>
      <c r="F68" s="439">
        <f>F60</f>
        <v>-5225.04</v>
      </c>
      <c r="G68" s="441"/>
      <c r="H68" s="440"/>
      <c r="I68" s="439">
        <f>I60</f>
        <v>-5225.04</v>
      </c>
      <c r="J68" s="440"/>
      <c r="K68" s="440"/>
      <c r="L68" s="439">
        <f>L60</f>
        <v>-5225.04</v>
      </c>
    </row>
    <row r="69" spans="2:13" ht="18.75" thickBot="1" x14ac:dyDescent="0.25">
      <c r="B69" s="438" t="s">
        <v>370</v>
      </c>
      <c r="C69" s="443">
        <f>SUM(C66:C68)</f>
        <v>2758656.29</v>
      </c>
      <c r="D69" s="440"/>
      <c r="E69" s="440"/>
      <c r="F69" s="443">
        <f>SUM(F66:F68)</f>
        <v>2791331.673881996</v>
      </c>
      <c r="G69" s="441"/>
      <c r="H69" s="440"/>
      <c r="I69" s="443">
        <f>SUM(I66:I68)</f>
        <v>2791331.673881996</v>
      </c>
      <c r="J69" s="440"/>
      <c r="K69" s="440"/>
      <c r="L69" s="443">
        <f>SUM(L66:L68)</f>
        <v>2791331.673881996</v>
      </c>
    </row>
    <row r="71" spans="2:13" x14ac:dyDescent="0.2">
      <c r="E71" s="428"/>
      <c r="G71" s="411"/>
      <c r="H71" s="428"/>
      <c r="I71" s="428"/>
    </row>
    <row r="72" spans="2:13" x14ac:dyDescent="0.2">
      <c r="E72" s="428"/>
      <c r="G72" s="411"/>
      <c r="H72" s="428"/>
      <c r="I72" s="428"/>
    </row>
    <row r="73" spans="2:13" x14ac:dyDescent="0.2">
      <c r="E73" s="428"/>
      <c r="G73" s="411"/>
      <c r="H73" s="428"/>
      <c r="I73" s="428"/>
    </row>
    <row r="74" spans="2:13" x14ac:dyDescent="0.2">
      <c r="F74" s="411">
        <f>BO_Tax_Rate</f>
        <v>5.0290000000000015E-2</v>
      </c>
      <c r="H74" s="428"/>
      <c r="I74" s="428"/>
    </row>
    <row r="75" spans="2:13" x14ac:dyDescent="0.2">
      <c r="E75" s="428"/>
    </row>
    <row r="76" spans="2:13" x14ac:dyDescent="0.2">
      <c r="H76" s="428"/>
      <c r="I76" s="428"/>
    </row>
    <row r="77" spans="2:13" x14ac:dyDescent="0.2">
      <c r="I77" s="428">
        <f>I76-I74</f>
        <v>0</v>
      </c>
    </row>
  </sheetData>
  <phoneticPr fontId="0" type="noConversion"/>
  <printOptions horizontalCentered="1"/>
  <pageMargins left="0.25" right="0.25" top="0.25" bottom="0.25" header="0" footer="0"/>
  <pageSetup scale="55" orientation="landscape" r:id="rId1"/>
  <headerFooter alignWithMargins="0">
    <oddFooter>&amp;C&amp;F&amp;R&amp;D</oddFooter>
  </headerFooter>
  <cellWatches>
    <cellWatch r="L63"/>
    <cellWatch r="N63"/>
  </cellWatches>
  <ignoredErrors>
    <ignoredError sqref="F25" emptyCellReference="1"/>
    <ignoredError sqref="N9:N14 O16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2:EW72"/>
  <sheetViews>
    <sheetView showGridLines="0" showZeros="0" zoomScale="80" zoomScaleNormal="80" zoomScaleSheetLayoutView="90" zoomScalePageLayoutView="85" workbookViewId="0">
      <selection activeCell="N40" sqref="N40:Q45"/>
    </sheetView>
  </sheetViews>
  <sheetFormatPr defaultColWidth="8.88671875" defaultRowHeight="15.75" x14ac:dyDescent="0.25"/>
  <cols>
    <col min="1" max="1" width="4.109375" style="6" bestFit="1" customWidth="1"/>
    <col min="2" max="2" width="4.88671875" style="3" bestFit="1" customWidth="1"/>
    <col min="3" max="3" width="31.21875" style="3" bestFit="1" customWidth="1"/>
    <col min="4" max="4" width="13.21875" style="3" customWidth="1"/>
    <col min="5" max="5" width="10.21875" style="3" bestFit="1" customWidth="1"/>
    <col min="6" max="6" width="12.21875" style="3" customWidth="1"/>
    <col min="7" max="7" width="15.21875" style="3" bestFit="1" customWidth="1"/>
    <col min="8" max="8" width="10.33203125" style="3" customWidth="1"/>
    <col min="9" max="9" width="12.21875" style="3" customWidth="1"/>
    <col min="10" max="10" width="0.88671875" style="3" customWidth="1"/>
    <col min="11" max="11" width="9.21875" style="3" bestFit="1" customWidth="1"/>
    <col min="12" max="12" width="9.6640625" style="3" customWidth="1"/>
    <col min="13" max="13" width="10.21875" style="3" bestFit="1" customWidth="1"/>
    <col min="14" max="14" width="9.21875" style="3" customWidth="1"/>
    <col min="15" max="61" width="5" style="3" customWidth="1"/>
    <col min="62" max="62" width="7.6640625" style="3" customWidth="1"/>
    <col min="63" max="63" width="5" style="3" customWidth="1"/>
    <col min="64" max="64" width="8.21875" style="3" bestFit="1" customWidth="1"/>
    <col min="65" max="73" width="5" style="3" bestFit="1" customWidth="1"/>
    <col min="74" max="75" width="6" style="3" bestFit="1" customWidth="1"/>
    <col min="76" max="79" width="5" style="3" bestFit="1" customWidth="1"/>
    <col min="80" max="87" width="6" style="3" bestFit="1" customWidth="1"/>
    <col min="88" max="89" width="5" style="3" bestFit="1" customWidth="1"/>
    <col min="90" max="103" width="6" style="3" bestFit="1" customWidth="1"/>
    <col min="104" max="105" width="5" style="3" bestFit="1" customWidth="1"/>
    <col min="106" max="108" width="6" style="3" bestFit="1" customWidth="1"/>
    <col min="109" max="110" width="5" style="3" bestFit="1" customWidth="1"/>
    <col min="111" max="112" width="6" style="3" bestFit="1" customWidth="1"/>
    <col min="113" max="152" width="5" style="3" bestFit="1" customWidth="1"/>
    <col min="153" max="153" width="4.44140625" style="3" bestFit="1" customWidth="1"/>
    <col min="154" max="16384" width="8.88671875" style="3"/>
  </cols>
  <sheetData>
    <row r="2" spans="1:13" x14ac:dyDescent="0.25">
      <c r="B2" s="3" t="str">
        <f>Inputs!B6</f>
        <v>Washington Water Service Company</v>
      </c>
      <c r="F2" s="38"/>
      <c r="G2" s="42"/>
      <c r="H2" s="42"/>
      <c r="I2" s="42"/>
      <c r="J2" s="42"/>
      <c r="K2" s="42"/>
    </row>
    <row r="3" spans="1:13" x14ac:dyDescent="0.25">
      <c r="B3" s="3" t="str">
        <f>"UW-"&amp;Inputs!B7</f>
        <v>UW-</v>
      </c>
      <c r="F3" s="38"/>
      <c r="J3" s="43"/>
      <c r="K3" s="43" t="s">
        <v>34</v>
      </c>
    </row>
    <row r="4" spans="1:13" x14ac:dyDescent="0.25">
      <c r="B4" s="3" t="str">
        <f>PFIS!B3</f>
        <v>For Test Year Ended December 31, 2024</v>
      </c>
      <c r="F4" s="38"/>
      <c r="G4" s="42"/>
      <c r="H4" s="42"/>
      <c r="I4" s="42"/>
      <c r="J4" s="42"/>
      <c r="K4" s="42"/>
    </row>
    <row r="5" spans="1:13" x14ac:dyDescent="0.25">
      <c r="B5" s="51" t="s">
        <v>0</v>
      </c>
      <c r="C5" s="51"/>
      <c r="D5" s="51"/>
      <c r="E5" s="51"/>
      <c r="F5" s="303"/>
      <c r="G5" s="53"/>
      <c r="H5" s="53"/>
      <c r="I5" s="51"/>
    </row>
    <row r="6" spans="1:13" s="6" customFormat="1" x14ac:dyDescent="0.25">
      <c r="B6" s="6" t="s">
        <v>2</v>
      </c>
      <c r="C6" s="6" t="s">
        <v>3</v>
      </c>
      <c r="D6" s="6" t="s">
        <v>151</v>
      </c>
      <c r="E6" s="6" t="s">
        <v>4</v>
      </c>
      <c r="F6" s="6" t="s">
        <v>5</v>
      </c>
      <c r="G6" s="6" t="s">
        <v>6</v>
      </c>
      <c r="H6" s="96" t="s">
        <v>7</v>
      </c>
      <c r="I6" s="96" t="s">
        <v>8</v>
      </c>
      <c r="K6" s="96" t="s">
        <v>67</v>
      </c>
      <c r="L6" s="96" t="s">
        <v>68</v>
      </c>
      <c r="M6" s="96" t="s">
        <v>78</v>
      </c>
    </row>
    <row r="7" spans="1:13" ht="47.25" customHeight="1" x14ac:dyDescent="0.25">
      <c r="A7" s="712" t="s">
        <v>9</v>
      </c>
      <c r="B7" s="716" t="s">
        <v>97</v>
      </c>
      <c r="C7" s="716" t="s">
        <v>10</v>
      </c>
      <c r="D7" s="718" t="s">
        <v>182</v>
      </c>
      <c r="E7" s="714" t="s">
        <v>183</v>
      </c>
      <c r="F7" s="718" t="s">
        <v>184</v>
      </c>
      <c r="G7" s="714" t="s">
        <v>185</v>
      </c>
      <c r="H7" s="714" t="s">
        <v>186</v>
      </c>
      <c r="I7" s="714" t="s">
        <v>187</v>
      </c>
      <c r="J7" s="96"/>
      <c r="K7" s="655" t="s">
        <v>190</v>
      </c>
      <c r="L7" s="714" t="s">
        <v>186</v>
      </c>
      <c r="M7" s="656" t="s">
        <v>174</v>
      </c>
    </row>
    <row r="8" spans="1:13" s="45" customFormat="1" ht="15.75" customHeight="1" x14ac:dyDescent="0.25">
      <c r="A8" s="712"/>
      <c r="B8" s="717"/>
      <c r="C8" s="717"/>
      <c r="D8" s="719"/>
      <c r="E8" s="715"/>
      <c r="F8" s="719"/>
      <c r="G8" s="715"/>
      <c r="H8" s="715"/>
      <c r="I8" s="715"/>
      <c r="J8" s="624"/>
      <c r="K8" s="657">
        <v>2024</v>
      </c>
      <c r="L8" s="715"/>
      <c r="M8" s="658" t="s">
        <v>405</v>
      </c>
    </row>
    <row r="9" spans="1:13" s="45" customFormat="1" x14ac:dyDescent="0.25">
      <c r="A9" s="68">
        <v>1</v>
      </c>
      <c r="B9" s="107" t="s">
        <v>42</v>
      </c>
      <c r="C9" s="19"/>
      <c r="D9" s="46"/>
      <c r="E9" s="46"/>
      <c r="F9" s="46"/>
      <c r="G9" s="659"/>
      <c r="H9" s="659"/>
      <c r="I9" s="659"/>
      <c r="J9" s="624"/>
      <c r="K9" s="660">
        <f>HLOOKUP((ABS(K8)),O53:EV70,16,FALSE)/100</f>
        <v>0.10313333333333334</v>
      </c>
      <c r="L9" s="659"/>
      <c r="M9" s="659"/>
    </row>
    <row r="10" spans="1:13" x14ac:dyDescent="0.25">
      <c r="A10" s="68">
        <f>1+A9</f>
        <v>2</v>
      </c>
      <c r="B10" s="661">
        <f>Inputs!P8</f>
        <v>2010</v>
      </c>
      <c r="C10" s="662" t="str">
        <f>Inputs!R8</f>
        <v>Loan - DWSRF</v>
      </c>
      <c r="D10" s="663">
        <f>Inputs!S8</f>
        <v>117569</v>
      </c>
      <c r="E10" s="664">
        <f>Inputs!T8</f>
        <v>1.4999999999999999E-2</v>
      </c>
      <c r="F10" s="663">
        <f>IF(B10&gt;0, +D10, 0)</f>
        <v>117569</v>
      </c>
      <c r="G10" s="391">
        <f>IF(F$31&lt;=0,0,(+F10/F$31))</f>
        <v>2.6846183464135664E-3</v>
      </c>
      <c r="H10" s="391">
        <f>IF(AND($B10&gt;0, OR(C10="Loan - Owner", C10="Loan - Other")), (IF(HLOOKUP(B10,$O$53:$EV$70,16,FALSE)/100&gt;=E10,E10,(HLOOKUP(B10,$O$53:$EV$70,16,FALSE)/100))), E10)</f>
        <v>1.4999999999999999E-2</v>
      </c>
      <c r="I10" s="391">
        <f>(+G10*H10)</f>
        <v>4.0269275196203496E-5</v>
      </c>
      <c r="J10" s="47"/>
      <c r="K10" s="47"/>
    </row>
    <row r="11" spans="1:13" x14ac:dyDescent="0.25">
      <c r="A11" s="68">
        <f t="shared" ref="A11:A55" si="0">1+A10</f>
        <v>3</v>
      </c>
      <c r="B11" s="665">
        <f>Inputs!P9</f>
        <v>2016</v>
      </c>
      <c r="C11" s="666" t="str">
        <f>Inputs!R9</f>
        <v>Loan - Owner</v>
      </c>
      <c r="D11" s="395">
        <f>Inputs!S9</f>
        <v>0</v>
      </c>
      <c r="E11" s="667">
        <f>Inputs!T9</f>
        <v>5.57E-2</v>
      </c>
      <c r="F11" s="395">
        <f>IF(B11&gt;0, +D11, 0)</f>
        <v>0</v>
      </c>
      <c r="G11" s="393">
        <f>IF(F$31&lt;=0,0,(+F11/F$31))</f>
        <v>0</v>
      </c>
      <c r="H11" s="393">
        <f>IF(AND($B11&gt;0, OR(C11="Loan - Owner", C11="Loan - Other")), (IF(HLOOKUP(B11,$O$53:$EV$70,16,FALSE)/100&gt;=E11,E11,(HLOOKUP(B11,$O$53:$EV$70,16,FALSE)/100))), E11)</f>
        <v>5.5E-2</v>
      </c>
      <c r="I11" s="393">
        <f>(+G11*H11)</f>
        <v>0</v>
      </c>
      <c r="J11" s="47"/>
      <c r="K11" s="47"/>
    </row>
    <row r="12" spans="1:13" x14ac:dyDescent="0.25">
      <c r="A12" s="68">
        <f t="shared" si="0"/>
        <v>4</v>
      </c>
      <c r="B12" s="665">
        <f>Inputs!P10</f>
        <v>2016</v>
      </c>
      <c r="C12" s="666" t="str">
        <f>Inputs!R10</f>
        <v>Loan - Owner</v>
      </c>
      <c r="D12" s="395">
        <f>Inputs!S10</f>
        <v>250832</v>
      </c>
      <c r="E12" s="667">
        <f>Inputs!T10</f>
        <v>5.2999999999999999E-2</v>
      </c>
      <c r="F12" s="395">
        <f>IF(B12&gt;0, +D12, 0)</f>
        <v>250832</v>
      </c>
      <c r="G12" s="393">
        <f>IF(F$31&lt;=0,0,(+F12/F$31))</f>
        <v>5.7275998695881375E-3</v>
      </c>
      <c r="H12" s="393">
        <f>IF(AND($B12&gt;0, OR(C12="Loan - Owner", C12="Loan - Other")), (IF(HLOOKUP(B12,$O$53:$EV$70,16,FALSE)/100&gt;=E12,E12,(HLOOKUP(B12,$O$53:$EV$70,16,FALSE)/100))), E12)</f>
        <v>5.2999999999999999E-2</v>
      </c>
      <c r="I12" s="393">
        <f>(+G12*H12)</f>
        <v>3.0356279308817126E-4</v>
      </c>
      <c r="J12" s="47"/>
      <c r="K12" s="47"/>
    </row>
    <row r="13" spans="1:13" x14ac:dyDescent="0.25">
      <c r="A13" s="68">
        <f t="shared" si="0"/>
        <v>5</v>
      </c>
      <c r="B13" s="665">
        <f>Inputs!P11</f>
        <v>2017</v>
      </c>
      <c r="C13" s="666" t="str">
        <f>Inputs!R11</f>
        <v>Loan - Owner</v>
      </c>
      <c r="D13" s="395">
        <f>Inputs!S11</f>
        <v>564500</v>
      </c>
      <c r="E13" s="667">
        <f>Inputs!T11</f>
        <v>5.2999999999999999E-2</v>
      </c>
      <c r="F13" s="395">
        <f t="shared" ref="F13:F30" si="1">IF(B13&gt;0, +D13, 0)</f>
        <v>564500</v>
      </c>
      <c r="G13" s="393">
        <f t="shared" ref="G13:G30" si="2">IF(F$31&lt;=0,0,(+F13/F$31))</f>
        <v>1.2890022510614689E-2</v>
      </c>
      <c r="H13" s="393">
        <f t="shared" ref="H13:H30" si="3">IF(AND($B13&gt;0, OR(C13="Loan - Owner", C13="Loan - Other")), (IF(HLOOKUP(B13,$O$53:$EV$70,16,FALSE)/100&gt;=E13,E13,(HLOOKUP(B13,$O$53:$EV$70,16,FALSE)/100))), E13)</f>
        <v>5.2999999999999999E-2</v>
      </c>
      <c r="I13" s="393">
        <f t="shared" ref="I13:I30" si="4">(+G13*H13)</f>
        <v>6.8317119306257851E-4</v>
      </c>
      <c r="J13" s="47"/>
      <c r="K13" s="47"/>
    </row>
    <row r="14" spans="1:13" x14ac:dyDescent="0.25">
      <c r="A14" s="68">
        <f t="shared" si="0"/>
        <v>6</v>
      </c>
      <c r="B14" s="665">
        <f>Inputs!P12</f>
        <v>2018</v>
      </c>
      <c r="C14" s="666" t="str">
        <f>Inputs!R12</f>
        <v>Loan - Owner</v>
      </c>
      <c r="D14" s="395">
        <f>Inputs!S12</f>
        <v>1204015</v>
      </c>
      <c r="E14" s="667">
        <f>Inputs!T12</f>
        <v>5.5E-2</v>
      </c>
      <c r="F14" s="395">
        <f t="shared" si="1"/>
        <v>1204015</v>
      </c>
      <c r="G14" s="393">
        <f t="shared" si="2"/>
        <v>2.7492968030323726E-2</v>
      </c>
      <c r="H14" s="393">
        <f t="shared" si="3"/>
        <v>5.5E-2</v>
      </c>
      <c r="I14" s="393">
        <f t="shared" si="4"/>
        <v>1.512113241667805E-3</v>
      </c>
      <c r="J14" s="47"/>
      <c r="K14" s="47"/>
    </row>
    <row r="15" spans="1:13" x14ac:dyDescent="0.25">
      <c r="A15" s="68">
        <f t="shared" si="0"/>
        <v>7</v>
      </c>
      <c r="B15" s="665">
        <f>Inputs!P13</f>
        <v>2019</v>
      </c>
      <c r="C15" s="666" t="str">
        <f>Inputs!R13</f>
        <v>Loan - Owner</v>
      </c>
      <c r="D15" s="395">
        <f>Inputs!S13</f>
        <v>1926563</v>
      </c>
      <c r="E15" s="667">
        <f>Inputs!T13</f>
        <v>3.9699999999999999E-2</v>
      </c>
      <c r="F15" s="395">
        <f t="shared" si="1"/>
        <v>1926563</v>
      </c>
      <c r="G15" s="393">
        <f t="shared" si="2"/>
        <v>4.3991922831031649E-2</v>
      </c>
      <c r="H15" s="393">
        <f t="shared" si="3"/>
        <v>3.9699999999999999E-2</v>
      </c>
      <c r="I15" s="393">
        <f t="shared" si="4"/>
        <v>1.7464793363919564E-3</v>
      </c>
      <c r="J15" s="47"/>
      <c r="K15" s="47"/>
    </row>
    <row r="16" spans="1:13" x14ac:dyDescent="0.25">
      <c r="A16" s="68">
        <f t="shared" si="0"/>
        <v>8</v>
      </c>
      <c r="B16" s="665">
        <f>Inputs!P14</f>
        <v>2020</v>
      </c>
      <c r="C16" s="666" t="str">
        <f>Inputs!R14</f>
        <v>Loan - Owner</v>
      </c>
      <c r="D16" s="395">
        <f>Inputs!S14</f>
        <v>4075673</v>
      </c>
      <c r="E16" s="667">
        <f>Inputs!T14</f>
        <v>4.3099999999999999E-2</v>
      </c>
      <c r="F16" s="395">
        <f t="shared" si="1"/>
        <v>4075673</v>
      </c>
      <c r="G16" s="393">
        <f t="shared" si="2"/>
        <v>9.3065574341726298E-2</v>
      </c>
      <c r="H16" s="393">
        <f t="shared" si="3"/>
        <v>4.3099999999999999E-2</v>
      </c>
      <c r="I16" s="393">
        <f t="shared" si="4"/>
        <v>4.0111262541284035E-3</v>
      </c>
      <c r="J16" s="47"/>
      <c r="K16" s="47"/>
    </row>
    <row r="17" spans="1:11" x14ac:dyDescent="0.25">
      <c r="A17" s="68">
        <f t="shared" si="0"/>
        <v>9</v>
      </c>
      <c r="B17" s="665">
        <f>Inputs!P15</f>
        <v>2020</v>
      </c>
      <c r="C17" s="666" t="str">
        <f>Inputs!R15</f>
        <v>Loan - Owner</v>
      </c>
      <c r="D17" s="395">
        <f>Inputs!S15</f>
        <v>4703116</v>
      </c>
      <c r="E17" s="667">
        <f>Inputs!T15</f>
        <v>4.3099999999999999E-2</v>
      </c>
      <c r="F17" s="395">
        <f t="shared" si="1"/>
        <v>4703116</v>
      </c>
      <c r="G17" s="393">
        <f t="shared" si="2"/>
        <v>0.10739286290528274</v>
      </c>
      <c r="H17" s="393">
        <f t="shared" si="3"/>
        <v>4.3099999999999999E-2</v>
      </c>
      <c r="I17" s="393">
        <f t="shared" si="4"/>
        <v>4.6286323912176864E-3</v>
      </c>
      <c r="J17" s="47"/>
      <c r="K17" s="47"/>
    </row>
    <row r="18" spans="1:11" x14ac:dyDescent="0.25">
      <c r="A18" s="68">
        <f t="shared" si="0"/>
        <v>10</v>
      </c>
      <c r="B18" s="665">
        <f>Inputs!P16</f>
        <v>2021</v>
      </c>
      <c r="C18" s="666" t="str">
        <f>Inputs!R16</f>
        <v>Loan - Owner</v>
      </c>
      <c r="D18" s="395">
        <f>Inputs!S16</f>
        <v>7500000</v>
      </c>
      <c r="E18" s="667">
        <f>Inputs!T16</f>
        <v>3.7199999999999997E-2</v>
      </c>
      <c r="F18" s="395">
        <f t="shared" si="1"/>
        <v>7500000</v>
      </c>
      <c r="G18" s="393">
        <f t="shared" si="2"/>
        <v>0.17125804929957514</v>
      </c>
      <c r="H18" s="393">
        <f>IF(AND($B18&gt;0, OR(C18="Loan - Owner", C18="Loan - Other")), (IF(HLOOKUP(B18,$O$53:$EV$70,16,FALSE)/100&gt;=E18,E18,(HLOOKUP(B18,$O$53:$EV$70,16,FALSE)/100))), E18)</f>
        <v>3.7199999999999997E-2</v>
      </c>
      <c r="I18" s="393">
        <f t="shared" si="4"/>
        <v>6.3707994339441947E-3</v>
      </c>
      <c r="J18" s="47"/>
      <c r="K18" s="47"/>
    </row>
    <row r="19" spans="1:11" x14ac:dyDescent="0.25">
      <c r="A19" s="68">
        <f t="shared" si="0"/>
        <v>11</v>
      </c>
      <c r="B19" s="665">
        <f>Inputs!P17</f>
        <v>2022</v>
      </c>
      <c r="C19" s="666" t="str">
        <f>Inputs!R17</f>
        <v>Loan - Owner</v>
      </c>
      <c r="D19" s="395">
        <f>Inputs!S17</f>
        <v>4574878</v>
      </c>
      <c r="E19" s="667">
        <f>Inputs!T17</f>
        <v>6.3399999999999998E-2</v>
      </c>
      <c r="F19" s="395">
        <f t="shared" si="1"/>
        <v>4574878</v>
      </c>
      <c r="G19" s="393">
        <f t="shared" si="2"/>
        <v>0.10446462427513889</v>
      </c>
      <c r="H19" s="393">
        <f>E19</f>
        <v>6.3399999999999998E-2</v>
      </c>
      <c r="I19" s="393">
        <f t="shared" si="4"/>
        <v>6.6230571790438057E-3</v>
      </c>
      <c r="J19" s="47"/>
      <c r="K19" s="47"/>
    </row>
    <row r="20" spans="1:11" x14ac:dyDescent="0.25">
      <c r="A20" s="68">
        <f t="shared" si="0"/>
        <v>12</v>
      </c>
      <c r="B20" s="665">
        <f>Inputs!P18</f>
        <v>2023</v>
      </c>
      <c r="C20" s="666" t="str">
        <f>Inputs!R18</f>
        <v>Loan - Owner</v>
      </c>
      <c r="D20" s="395">
        <f>Inputs!S18</f>
        <v>8997848</v>
      </c>
      <c r="E20" s="667">
        <f>Inputs!T18</f>
        <v>5.5899999999999998E-2</v>
      </c>
      <c r="F20" s="395">
        <f t="shared" si="1"/>
        <v>8997848</v>
      </c>
      <c r="G20" s="393">
        <f t="shared" si="2"/>
        <v>0.20546051951654445</v>
      </c>
      <c r="H20" s="393">
        <f>E20</f>
        <v>5.5899999999999998E-2</v>
      </c>
      <c r="I20" s="393">
        <f t="shared" si="4"/>
        <v>1.1485243040974834E-2</v>
      </c>
      <c r="J20" s="47"/>
      <c r="K20" s="47"/>
    </row>
    <row r="21" spans="1:11" x14ac:dyDescent="0.25">
      <c r="A21" s="68">
        <f t="shared" si="0"/>
        <v>13</v>
      </c>
      <c r="B21" s="665">
        <f>Inputs!P19</f>
        <v>2024</v>
      </c>
      <c r="C21" s="666" t="str">
        <f>Inputs!R19</f>
        <v>Loan - Owner</v>
      </c>
      <c r="D21" s="395">
        <f>Inputs!S19</f>
        <v>9878568</v>
      </c>
      <c r="E21" s="667">
        <f>Inputs!T19</f>
        <v>6.0600000000000001E-2</v>
      </c>
      <c r="F21" s="395">
        <f t="shared" si="1"/>
        <v>9878568</v>
      </c>
      <c r="G21" s="393">
        <f t="shared" si="2"/>
        <v>0.2255712380737607</v>
      </c>
      <c r="H21" s="393">
        <f>E21</f>
        <v>6.0600000000000001E-2</v>
      </c>
      <c r="I21" s="393">
        <f t="shared" si="4"/>
        <v>1.3669617027269898E-2</v>
      </c>
      <c r="J21" s="47"/>
      <c r="K21" s="47"/>
    </row>
    <row r="22" spans="1:11" x14ac:dyDescent="0.25">
      <c r="A22" s="68">
        <f t="shared" si="0"/>
        <v>14</v>
      </c>
      <c r="B22" s="665">
        <f>Inputs!P20</f>
        <v>0</v>
      </c>
      <c r="C22" s="666">
        <f>Inputs!R20</f>
        <v>0</v>
      </c>
      <c r="D22" s="395">
        <f>Inputs!S20</f>
        <v>0</v>
      </c>
      <c r="E22" s="667">
        <f>Inputs!T20</f>
        <v>0</v>
      </c>
      <c r="F22" s="395">
        <f t="shared" si="1"/>
        <v>0</v>
      </c>
      <c r="G22" s="393">
        <f t="shared" si="2"/>
        <v>0</v>
      </c>
      <c r="H22" s="393">
        <f t="shared" si="3"/>
        <v>0</v>
      </c>
      <c r="I22" s="393">
        <f t="shared" si="4"/>
        <v>0</v>
      </c>
      <c r="J22" s="47"/>
      <c r="K22" s="47"/>
    </row>
    <row r="23" spans="1:11" x14ac:dyDescent="0.25">
      <c r="A23" s="68">
        <f t="shared" si="0"/>
        <v>15</v>
      </c>
      <c r="B23" s="665">
        <f>Inputs!P21</f>
        <v>0</v>
      </c>
      <c r="C23" s="666">
        <f>Inputs!R21</f>
        <v>0</v>
      </c>
      <c r="D23" s="395">
        <f>Inputs!S21</f>
        <v>0</v>
      </c>
      <c r="E23" s="667">
        <f>Inputs!T21</f>
        <v>0</v>
      </c>
      <c r="F23" s="395">
        <f t="shared" si="1"/>
        <v>0</v>
      </c>
      <c r="G23" s="393">
        <f t="shared" si="2"/>
        <v>0</v>
      </c>
      <c r="H23" s="393">
        <f t="shared" si="3"/>
        <v>0</v>
      </c>
      <c r="I23" s="393">
        <f t="shared" si="4"/>
        <v>0</v>
      </c>
      <c r="J23" s="47"/>
      <c r="K23" s="47"/>
    </row>
    <row r="24" spans="1:11" x14ac:dyDescent="0.25">
      <c r="A24" s="68">
        <f t="shared" si="0"/>
        <v>16</v>
      </c>
      <c r="B24" s="665">
        <f>Inputs!P22</f>
        <v>0</v>
      </c>
      <c r="C24" s="666">
        <f>Inputs!R22</f>
        <v>0</v>
      </c>
      <c r="D24" s="395">
        <f>Inputs!S22</f>
        <v>0</v>
      </c>
      <c r="E24" s="667">
        <f>Inputs!T22</f>
        <v>0</v>
      </c>
      <c r="F24" s="395">
        <f t="shared" si="1"/>
        <v>0</v>
      </c>
      <c r="G24" s="393">
        <f t="shared" si="2"/>
        <v>0</v>
      </c>
      <c r="H24" s="393">
        <f t="shared" si="3"/>
        <v>0</v>
      </c>
      <c r="I24" s="393">
        <f t="shared" si="4"/>
        <v>0</v>
      </c>
      <c r="J24" s="47"/>
      <c r="K24" s="47"/>
    </row>
    <row r="25" spans="1:11" x14ac:dyDescent="0.25">
      <c r="A25" s="68">
        <f t="shared" si="0"/>
        <v>17</v>
      </c>
      <c r="B25" s="665">
        <f>Inputs!P23</f>
        <v>0</v>
      </c>
      <c r="C25" s="666">
        <f>Inputs!R23</f>
        <v>0</v>
      </c>
      <c r="D25" s="395">
        <f>Inputs!S23</f>
        <v>0</v>
      </c>
      <c r="E25" s="667">
        <f>Inputs!T23</f>
        <v>0</v>
      </c>
      <c r="F25" s="395">
        <f t="shared" si="1"/>
        <v>0</v>
      </c>
      <c r="G25" s="393">
        <f t="shared" si="2"/>
        <v>0</v>
      </c>
      <c r="H25" s="393">
        <f t="shared" si="3"/>
        <v>0</v>
      </c>
      <c r="I25" s="393">
        <f t="shared" si="4"/>
        <v>0</v>
      </c>
      <c r="J25" s="47"/>
      <c r="K25" s="47"/>
    </row>
    <row r="26" spans="1:11" x14ac:dyDescent="0.25">
      <c r="A26" s="68">
        <f>1+A25</f>
        <v>18</v>
      </c>
      <c r="B26" s="665">
        <f>Inputs!P24</f>
        <v>0</v>
      </c>
      <c r="C26" s="666">
        <f>Inputs!R24</f>
        <v>0</v>
      </c>
      <c r="D26" s="395">
        <f>Inputs!S24</f>
        <v>0</v>
      </c>
      <c r="E26" s="667">
        <f>Inputs!T24</f>
        <v>0</v>
      </c>
      <c r="F26" s="395">
        <f t="shared" si="1"/>
        <v>0</v>
      </c>
      <c r="G26" s="393">
        <f t="shared" si="2"/>
        <v>0</v>
      </c>
      <c r="H26" s="393">
        <f t="shared" si="3"/>
        <v>0</v>
      </c>
      <c r="I26" s="393">
        <f t="shared" si="4"/>
        <v>0</v>
      </c>
      <c r="J26" s="47"/>
      <c r="K26" s="47"/>
    </row>
    <row r="27" spans="1:11" x14ac:dyDescent="0.25">
      <c r="A27" s="68">
        <f t="shared" si="0"/>
        <v>19</v>
      </c>
      <c r="B27" s="665">
        <f>Inputs!P25</f>
        <v>0</v>
      </c>
      <c r="C27" s="666">
        <f>Inputs!R25</f>
        <v>0</v>
      </c>
      <c r="D27" s="395">
        <f>Inputs!S25</f>
        <v>0</v>
      </c>
      <c r="E27" s="667">
        <f>Inputs!T25</f>
        <v>0</v>
      </c>
      <c r="F27" s="395">
        <f t="shared" si="1"/>
        <v>0</v>
      </c>
      <c r="G27" s="393">
        <f t="shared" si="2"/>
        <v>0</v>
      </c>
      <c r="H27" s="393">
        <f t="shared" si="3"/>
        <v>0</v>
      </c>
      <c r="I27" s="393">
        <f t="shared" si="4"/>
        <v>0</v>
      </c>
      <c r="J27" s="47"/>
      <c r="K27" s="47"/>
    </row>
    <row r="28" spans="1:11" x14ac:dyDescent="0.25">
      <c r="A28" s="68">
        <f t="shared" si="0"/>
        <v>20</v>
      </c>
      <c r="B28" s="665">
        <f>Inputs!P26</f>
        <v>0</v>
      </c>
      <c r="C28" s="666">
        <f>Inputs!R26</f>
        <v>0</v>
      </c>
      <c r="D28" s="395">
        <f>Inputs!S26</f>
        <v>0</v>
      </c>
      <c r="E28" s="667">
        <f>Inputs!T26</f>
        <v>0</v>
      </c>
      <c r="F28" s="395">
        <f t="shared" si="1"/>
        <v>0</v>
      </c>
      <c r="G28" s="393">
        <f t="shared" si="2"/>
        <v>0</v>
      </c>
      <c r="H28" s="393">
        <f t="shared" si="3"/>
        <v>0</v>
      </c>
      <c r="I28" s="393">
        <f t="shared" si="4"/>
        <v>0</v>
      </c>
      <c r="J28" s="47"/>
      <c r="K28" s="47"/>
    </row>
    <row r="29" spans="1:11" x14ac:dyDescent="0.25">
      <c r="A29" s="68">
        <f t="shared" si="0"/>
        <v>21</v>
      </c>
      <c r="B29" s="665">
        <f>Inputs!P27</f>
        <v>0</v>
      </c>
      <c r="C29" s="666">
        <f>Inputs!R27</f>
        <v>0</v>
      </c>
      <c r="D29" s="395">
        <f>Inputs!S27</f>
        <v>0</v>
      </c>
      <c r="E29" s="667">
        <f>Inputs!T27</f>
        <v>0</v>
      </c>
      <c r="F29" s="395">
        <f t="shared" si="1"/>
        <v>0</v>
      </c>
      <c r="G29" s="393">
        <f t="shared" si="2"/>
        <v>0</v>
      </c>
      <c r="H29" s="393">
        <f t="shared" si="3"/>
        <v>0</v>
      </c>
      <c r="I29" s="393">
        <f t="shared" si="4"/>
        <v>0</v>
      </c>
      <c r="J29" s="47"/>
      <c r="K29" s="47"/>
    </row>
    <row r="30" spans="1:11" ht="16.5" thickBot="1" x14ac:dyDescent="0.3">
      <c r="A30" s="68">
        <f t="shared" si="0"/>
        <v>22</v>
      </c>
      <c r="B30" s="668">
        <f>Inputs!P28</f>
        <v>0</v>
      </c>
      <c r="C30" s="669">
        <f>Inputs!R28</f>
        <v>0</v>
      </c>
      <c r="D30" s="397">
        <f>Inputs!S28</f>
        <v>0</v>
      </c>
      <c r="E30" s="670">
        <f>Inputs!T28</f>
        <v>0</v>
      </c>
      <c r="F30" s="397">
        <f t="shared" si="1"/>
        <v>0</v>
      </c>
      <c r="G30" s="394">
        <f t="shared" si="2"/>
        <v>0</v>
      </c>
      <c r="H30" s="394">
        <f t="shared" si="3"/>
        <v>0</v>
      </c>
      <c r="I30" s="394">
        <f t="shared" si="4"/>
        <v>0</v>
      </c>
      <c r="J30" s="47"/>
      <c r="K30" s="47"/>
    </row>
    <row r="31" spans="1:11" ht="16.5" thickTop="1" x14ac:dyDescent="0.25">
      <c r="A31" s="68">
        <f t="shared" si="0"/>
        <v>23</v>
      </c>
      <c r="C31" s="48" t="s">
        <v>49</v>
      </c>
      <c r="D31" s="38"/>
      <c r="E31" s="38"/>
      <c r="F31" s="671">
        <f>SUM(F10:F30)</f>
        <v>43793562</v>
      </c>
      <c r="G31" s="672">
        <f>SUM(G10:G30)</f>
        <v>0.99999999999999989</v>
      </c>
      <c r="H31" s="47"/>
      <c r="I31" s="49">
        <f>SUM(I10:I30)</f>
        <v>5.1074071165985536E-2</v>
      </c>
      <c r="J31" s="50"/>
      <c r="K31" s="50"/>
    </row>
    <row r="32" spans="1:11" x14ac:dyDescent="0.25">
      <c r="A32" s="68">
        <f t="shared" si="0"/>
        <v>24</v>
      </c>
      <c r="D32" s="38"/>
      <c r="E32" s="38"/>
      <c r="F32" s="38"/>
      <c r="H32" s="47"/>
      <c r="I32" s="47"/>
      <c r="J32" s="47"/>
      <c r="K32" s="47"/>
    </row>
    <row r="33" spans="1:62" x14ac:dyDescent="0.25">
      <c r="A33" s="68">
        <f t="shared" si="0"/>
        <v>25</v>
      </c>
      <c r="B33" s="51" t="s">
        <v>50</v>
      </c>
      <c r="C33" s="51"/>
      <c r="D33" s="52"/>
      <c r="E33" s="52"/>
      <c r="F33" s="52"/>
      <c r="G33" s="673"/>
      <c r="H33" s="673"/>
      <c r="I33" s="673"/>
      <c r="J33" s="47"/>
      <c r="K33" s="47"/>
      <c r="L33" s="38"/>
      <c r="M33" s="38"/>
      <c r="N33" s="38"/>
      <c r="O33" s="38"/>
      <c r="P33" s="38"/>
      <c r="Q33" s="38"/>
    </row>
    <row r="34" spans="1:62" x14ac:dyDescent="0.25">
      <c r="A34" s="68">
        <f t="shared" si="0"/>
        <v>26</v>
      </c>
      <c r="B34" s="674"/>
      <c r="C34" s="675" t="s">
        <v>152</v>
      </c>
      <c r="D34" s="663">
        <v>39732207</v>
      </c>
      <c r="E34" s="676"/>
      <c r="F34" s="663">
        <f t="shared" ref="F34:F39" si="5">+D34</f>
        <v>39732207</v>
      </c>
      <c r="G34" s="391">
        <f t="shared" ref="G34:G40" si="6">+F34/$F$41</f>
        <v>0.86910684743117916</v>
      </c>
      <c r="H34" s="391">
        <v>0.12</v>
      </c>
      <c r="I34" s="391">
        <f t="shared" ref="I34:I40" si="7">(+G34*H34)</f>
        <v>0.10429282169174149</v>
      </c>
      <c r="J34" s="47"/>
      <c r="K34" s="47"/>
      <c r="L34" s="38"/>
      <c r="M34" s="38"/>
      <c r="N34" s="38"/>
      <c r="O34" s="38"/>
      <c r="P34" s="38"/>
      <c r="Q34" s="38"/>
    </row>
    <row r="35" spans="1:62" x14ac:dyDescent="0.25">
      <c r="A35" s="68">
        <f t="shared" si="0"/>
        <v>27</v>
      </c>
      <c r="B35" s="677"/>
      <c r="C35" s="392" t="s">
        <v>293</v>
      </c>
      <c r="D35" s="395">
        <f>Inputs!G31</f>
        <v>0</v>
      </c>
      <c r="E35" s="392"/>
      <c r="F35" s="395">
        <f t="shared" si="5"/>
        <v>0</v>
      </c>
      <c r="G35" s="393">
        <f t="shared" si="6"/>
        <v>0</v>
      </c>
      <c r="H35" s="393">
        <v>0.12</v>
      </c>
      <c r="I35" s="393">
        <f t="shared" si="7"/>
        <v>0</v>
      </c>
      <c r="J35" s="47"/>
      <c r="K35" s="47"/>
      <c r="L35" s="38"/>
      <c r="M35" s="38"/>
      <c r="N35" s="38"/>
      <c r="O35" s="38"/>
      <c r="P35" s="38"/>
      <c r="Q35" s="38"/>
    </row>
    <row r="36" spans="1:62" x14ac:dyDescent="0.25">
      <c r="A36" s="68">
        <f t="shared" si="0"/>
        <v>28</v>
      </c>
      <c r="B36" s="677"/>
      <c r="C36" s="392" t="s">
        <v>294</v>
      </c>
      <c r="D36" s="395">
        <f>Inputs!G32</f>
        <v>0</v>
      </c>
      <c r="E36" s="392"/>
      <c r="F36" s="395">
        <f t="shared" si="5"/>
        <v>0</v>
      </c>
      <c r="G36" s="393">
        <f t="shared" si="6"/>
        <v>0</v>
      </c>
      <c r="H36" s="393">
        <v>0.12</v>
      </c>
      <c r="I36" s="393">
        <f t="shared" si="7"/>
        <v>0</v>
      </c>
      <c r="J36" s="47"/>
      <c r="K36" s="47"/>
      <c r="L36" s="38"/>
      <c r="M36" s="38"/>
      <c r="N36" s="38"/>
      <c r="O36" s="38"/>
      <c r="P36" s="38"/>
      <c r="Q36" s="38"/>
    </row>
    <row r="37" spans="1:62" x14ac:dyDescent="0.25">
      <c r="A37" s="68">
        <f t="shared" si="0"/>
        <v>29</v>
      </c>
      <c r="B37" s="677"/>
      <c r="C37" s="392" t="s">
        <v>283</v>
      </c>
      <c r="D37" s="395">
        <f>Inputs!G33</f>
        <v>0</v>
      </c>
      <c r="E37" s="392"/>
      <c r="F37" s="395">
        <f t="shared" si="5"/>
        <v>0</v>
      </c>
      <c r="G37" s="393">
        <f t="shared" si="6"/>
        <v>0</v>
      </c>
      <c r="H37" s="393">
        <v>0.12</v>
      </c>
      <c r="I37" s="393">
        <f t="shared" si="7"/>
        <v>0</v>
      </c>
      <c r="J37" s="47"/>
      <c r="K37" s="47"/>
      <c r="L37" s="38"/>
      <c r="M37" s="38"/>
      <c r="N37" s="38"/>
      <c r="O37" s="38"/>
      <c r="P37" s="38"/>
      <c r="Q37" s="38"/>
    </row>
    <row r="38" spans="1:62" x14ac:dyDescent="0.25">
      <c r="A38" s="68">
        <f t="shared" si="0"/>
        <v>30</v>
      </c>
      <c r="B38" s="678"/>
      <c r="C38" s="679" t="s">
        <v>51</v>
      </c>
      <c r="D38" s="395">
        <f>Inputs!G34</f>
        <v>0</v>
      </c>
      <c r="E38" s="392"/>
      <c r="F38" s="395">
        <f t="shared" si="5"/>
        <v>0</v>
      </c>
      <c r="G38" s="393">
        <f t="shared" si="6"/>
        <v>0</v>
      </c>
      <c r="H38" s="393">
        <v>0.12</v>
      </c>
      <c r="I38" s="393">
        <f t="shared" si="7"/>
        <v>0</v>
      </c>
      <c r="J38" s="47"/>
      <c r="K38" s="47"/>
      <c r="L38" s="38"/>
      <c r="M38" s="38"/>
      <c r="N38" s="38"/>
      <c r="O38" s="38"/>
      <c r="P38" s="38"/>
      <c r="Q38" s="38"/>
    </row>
    <row r="39" spans="1:62" x14ac:dyDescent="0.25">
      <c r="A39" s="68">
        <f t="shared" si="0"/>
        <v>31</v>
      </c>
      <c r="B39" s="677"/>
      <c r="C39" s="392" t="s">
        <v>52</v>
      </c>
      <c r="D39" s="395">
        <v>6163018</v>
      </c>
      <c r="E39" s="392"/>
      <c r="F39" s="395">
        <f t="shared" si="5"/>
        <v>6163018</v>
      </c>
      <c r="G39" s="393">
        <f t="shared" si="6"/>
        <v>0.13481056173500786</v>
      </c>
      <c r="H39" s="393">
        <v>0.12</v>
      </c>
      <c r="I39" s="393">
        <f t="shared" si="7"/>
        <v>1.617726740820094E-2</v>
      </c>
      <c r="J39" s="47"/>
      <c r="K39" s="47"/>
      <c r="L39" s="38"/>
      <c r="M39" s="38"/>
      <c r="N39" s="38"/>
      <c r="O39" s="38"/>
      <c r="P39" s="38"/>
      <c r="Q39" s="38"/>
    </row>
    <row r="40" spans="1:62" ht="16.5" thickBot="1" x14ac:dyDescent="0.3">
      <c r="A40" s="68">
        <f t="shared" si="0"/>
        <v>32</v>
      </c>
      <c r="B40" s="680"/>
      <c r="C40" s="681" t="s">
        <v>72</v>
      </c>
      <c r="D40" s="397">
        <f>PFIS!C50</f>
        <v>-190210.43</v>
      </c>
      <c r="E40" s="681"/>
      <c r="F40" s="397">
        <f>PFIS!F50</f>
        <v>-179088.81094963878</v>
      </c>
      <c r="G40" s="394">
        <f t="shared" si="6"/>
        <v>-3.9174091661869923E-3</v>
      </c>
      <c r="H40" s="394">
        <v>0.12</v>
      </c>
      <c r="I40" s="394">
        <f t="shared" si="7"/>
        <v>-4.7008909994243907E-4</v>
      </c>
      <c r="J40" s="47"/>
      <c r="K40" s="47"/>
      <c r="L40" s="38"/>
      <c r="M40" s="38"/>
      <c r="O40" s="38"/>
      <c r="P40" s="38"/>
      <c r="Q40" s="38"/>
    </row>
    <row r="41" spans="1:62" x14ac:dyDescent="0.25">
      <c r="A41" s="68">
        <f t="shared" si="0"/>
        <v>33</v>
      </c>
      <c r="C41" s="23" t="s">
        <v>53</v>
      </c>
      <c r="D41" s="682">
        <f>SUM(D34:D40)</f>
        <v>45705014.57</v>
      </c>
      <c r="F41" s="682">
        <f>SUM(F34:F40)</f>
        <v>45716136.189050362</v>
      </c>
      <c r="G41" s="672">
        <f>SUM(G34:G40)</f>
        <v>1</v>
      </c>
      <c r="H41" s="47"/>
      <c r="I41" s="683">
        <f>SUM(I34:I40)</f>
        <v>0.12</v>
      </c>
      <c r="J41" s="95"/>
      <c r="K41" s="95"/>
      <c r="L41" s="38"/>
      <c r="M41" s="38"/>
      <c r="O41" s="38"/>
      <c r="P41" s="38"/>
      <c r="Q41" s="38"/>
    </row>
    <row r="42" spans="1:62" x14ac:dyDescent="0.25">
      <c r="A42" s="68">
        <f t="shared" si="0"/>
        <v>34</v>
      </c>
      <c r="F42" s="38"/>
      <c r="H42" s="47"/>
      <c r="I42" s="95"/>
      <c r="J42" s="95"/>
      <c r="M42" s="656" t="s">
        <v>174</v>
      </c>
      <c r="O42" s="656"/>
      <c r="P42" s="38"/>
      <c r="Q42" s="38"/>
    </row>
    <row r="43" spans="1:62" ht="16.5" thickBot="1" x14ac:dyDescent="0.3">
      <c r="A43" s="68">
        <f t="shared" si="0"/>
        <v>35</v>
      </c>
      <c r="B43" s="51" t="s">
        <v>54</v>
      </c>
      <c r="C43" s="51"/>
      <c r="D43" s="51"/>
      <c r="E43" s="51"/>
      <c r="F43" s="303" t="s">
        <v>252</v>
      </c>
      <c r="G43" s="96" t="s">
        <v>403</v>
      </c>
      <c r="H43" s="96" t="s">
        <v>404</v>
      </c>
      <c r="I43" s="658" t="s">
        <v>254</v>
      </c>
      <c r="J43" s="95"/>
      <c r="K43" s="684" t="str">
        <f>+G43</f>
        <v>Percentage</v>
      </c>
      <c r="L43" s="684" t="str">
        <f>+H43</f>
        <v>Weight</v>
      </c>
      <c r="M43" s="658" t="s">
        <v>405</v>
      </c>
      <c r="O43" s="658"/>
      <c r="P43" s="38"/>
      <c r="Q43" s="38"/>
    </row>
    <row r="44" spans="1:62" x14ac:dyDescent="0.25">
      <c r="A44" s="68">
        <f t="shared" si="0"/>
        <v>36</v>
      </c>
      <c r="B44" s="685">
        <v>0.4</v>
      </c>
      <c r="E44" s="23" t="s">
        <v>42</v>
      </c>
      <c r="F44" s="686">
        <f>+F31</f>
        <v>43793562</v>
      </c>
      <c r="G44" s="687">
        <f>IF(F44&gt;F48,100%,+F44/F48)</f>
        <v>0.48926052579805512</v>
      </c>
      <c r="H44" s="687">
        <f>+I31</f>
        <v>5.1074071165985536E-2</v>
      </c>
      <c r="I44" s="688">
        <f>+G44*H44</f>
        <v>2.498852691331737E-2</v>
      </c>
      <c r="J44" s="95"/>
      <c r="K44" s="689">
        <v>0.4</v>
      </c>
      <c r="L44" s="690">
        <f>+H44</f>
        <v>5.1074071165985536E-2</v>
      </c>
      <c r="M44" s="688">
        <f>IF(G44&lt;40%, ((G44*I31)+((40%-G44)*K9)), +H44*40%)</f>
        <v>2.0429628466394217E-2</v>
      </c>
      <c r="BJ44" s="54"/>
    </row>
    <row r="45" spans="1:62" x14ac:dyDescent="0.25">
      <c r="A45" s="68">
        <f t="shared" si="0"/>
        <v>37</v>
      </c>
      <c r="B45" s="685"/>
      <c r="E45" s="23"/>
      <c r="F45" s="395"/>
      <c r="G45" s="393"/>
      <c r="H45" s="393"/>
      <c r="I45" s="396"/>
      <c r="J45" s="95"/>
      <c r="K45" s="691"/>
      <c r="L45" s="392"/>
      <c r="M45" s="396"/>
    </row>
    <row r="46" spans="1:62" x14ac:dyDescent="0.25">
      <c r="A46" s="68">
        <f t="shared" si="0"/>
        <v>38</v>
      </c>
      <c r="B46" s="685">
        <v>0.6</v>
      </c>
      <c r="E46" s="23" t="s">
        <v>50</v>
      </c>
      <c r="F46" s="395">
        <f>+F41</f>
        <v>45716136.189050362</v>
      </c>
      <c r="G46" s="393">
        <f>IF(G44=100%, 0%,+F46/F48)</f>
        <v>0.51073947420194488</v>
      </c>
      <c r="H46" s="393">
        <f>+I41</f>
        <v>0.12</v>
      </c>
      <c r="I46" s="396">
        <f>+G46*H46</f>
        <v>6.1288736904233386E-2</v>
      </c>
      <c r="J46" s="95"/>
      <c r="K46" s="623">
        <v>0.6</v>
      </c>
      <c r="L46" s="505">
        <f>+H46</f>
        <v>0.12</v>
      </c>
      <c r="M46" s="396">
        <f>IF(H46&gt;0, +H46*60%, 12%*60%)</f>
        <v>7.1999999999999995E-2</v>
      </c>
      <c r="BJ46" s="54"/>
    </row>
    <row r="47" spans="1:62" ht="16.5" thickBot="1" x14ac:dyDescent="0.3">
      <c r="A47" s="68">
        <f t="shared" si="0"/>
        <v>39</v>
      </c>
      <c r="F47" s="397"/>
      <c r="G47" s="394"/>
      <c r="H47" s="394"/>
      <c r="I47" s="394"/>
      <c r="J47" s="95"/>
      <c r="K47" s="392"/>
      <c r="L47" s="392"/>
      <c r="M47" s="393"/>
    </row>
    <row r="48" spans="1:62" x14ac:dyDescent="0.25">
      <c r="A48" s="68">
        <f t="shared" si="0"/>
        <v>40</v>
      </c>
      <c r="F48" s="682">
        <f>SUM(F44:F47)</f>
        <v>89509698.189050362</v>
      </c>
      <c r="G48" s="672">
        <f>SUM(G44:G47)</f>
        <v>1</v>
      </c>
      <c r="H48" s="47"/>
      <c r="I48" s="47"/>
      <c r="J48" s="95"/>
      <c r="K48" s="392"/>
      <c r="L48" s="392"/>
      <c r="M48" s="393"/>
    </row>
    <row r="49" spans="1:153" ht="16.5" thickBot="1" x14ac:dyDescent="0.3">
      <c r="A49" s="68">
        <f t="shared" si="0"/>
        <v>41</v>
      </c>
      <c r="F49" s="38"/>
      <c r="H49" s="47"/>
      <c r="I49" s="47"/>
      <c r="J49" s="95"/>
      <c r="K49" s="681"/>
      <c r="L49" s="681"/>
      <c r="M49" s="394"/>
      <c r="BL49" s="196"/>
    </row>
    <row r="50" spans="1:153" ht="18.75" x14ac:dyDescent="0.3">
      <c r="A50" s="68">
        <f t="shared" si="0"/>
        <v>42</v>
      </c>
      <c r="D50" s="55"/>
      <c r="E50" s="55"/>
      <c r="G50" s="96" t="s">
        <v>55</v>
      </c>
      <c r="H50" s="96"/>
      <c r="I50" s="692">
        <f>IF(ROUND(SUM(I44:I46),4)&lt;0, 0, ROUND(SUM(I44:I46),4))</f>
        <v>8.6300000000000002E-2</v>
      </c>
      <c r="J50" s="95"/>
      <c r="M50" s="692">
        <f>ROUND(SUM(M44:M46),4)</f>
        <v>9.2399999999999996E-2</v>
      </c>
      <c r="BJ50" s="302"/>
    </row>
    <row r="51" spans="1:153" x14ac:dyDescent="0.25">
      <c r="A51" s="68">
        <f>+A50+1</f>
        <v>43</v>
      </c>
      <c r="B51" s="108"/>
      <c r="C51" s="51"/>
      <c r="D51" s="51"/>
      <c r="E51" s="51"/>
      <c r="F51" s="51"/>
      <c r="G51" s="51"/>
      <c r="H51" s="51"/>
      <c r="I51" s="51"/>
      <c r="J51" s="51"/>
    </row>
    <row r="52" spans="1:153" ht="15" customHeight="1" thickBot="1" x14ac:dyDescent="0.3">
      <c r="A52" s="68">
        <f>1+A51</f>
        <v>44</v>
      </c>
      <c r="B52" s="3" t="s">
        <v>375</v>
      </c>
      <c r="N52" s="3" t="s">
        <v>513</v>
      </c>
    </row>
    <row r="53" spans="1:153" ht="18.75" x14ac:dyDescent="0.3">
      <c r="A53" s="68">
        <f t="shared" si="0"/>
        <v>45</v>
      </c>
      <c r="H53" s="23" t="s">
        <v>402</v>
      </c>
      <c r="I53" s="693">
        <f>IF(G46&gt;60%,M50,I50)</f>
        <v>8.6300000000000002E-2</v>
      </c>
      <c r="O53" s="97">
        <v>2066</v>
      </c>
      <c r="P53" s="97">
        <v>2065</v>
      </c>
      <c r="Q53" s="97">
        <v>2064</v>
      </c>
      <c r="R53" s="97">
        <v>2063</v>
      </c>
      <c r="S53" s="97">
        <v>2062</v>
      </c>
      <c r="T53" s="97">
        <v>2061</v>
      </c>
      <c r="U53" s="97">
        <v>2060</v>
      </c>
      <c r="V53" s="97">
        <v>2059</v>
      </c>
      <c r="W53" s="97">
        <v>2058</v>
      </c>
      <c r="X53" s="97">
        <v>2057</v>
      </c>
      <c r="Y53" s="97">
        <v>2056</v>
      </c>
      <c r="Z53" s="97">
        <v>2055</v>
      </c>
      <c r="AA53" s="97">
        <v>2054</v>
      </c>
      <c r="AB53" s="97">
        <v>2053</v>
      </c>
      <c r="AC53" s="97">
        <v>2052</v>
      </c>
      <c r="AD53" s="97">
        <v>2051</v>
      </c>
      <c r="AE53" s="97">
        <v>2050</v>
      </c>
      <c r="AF53" s="97">
        <v>2049</v>
      </c>
      <c r="AG53" s="97">
        <v>2048</v>
      </c>
      <c r="AH53" s="97">
        <v>2047</v>
      </c>
      <c r="AI53" s="97">
        <v>2046</v>
      </c>
      <c r="AJ53" s="97">
        <v>2045</v>
      </c>
      <c r="AK53" s="97">
        <v>2044</v>
      </c>
      <c r="AL53" s="97">
        <v>2043</v>
      </c>
      <c r="AM53" s="97">
        <v>2042</v>
      </c>
      <c r="AN53" s="97">
        <v>2041</v>
      </c>
      <c r="AO53" s="97">
        <v>2040</v>
      </c>
      <c r="AP53" s="97">
        <v>2039</v>
      </c>
      <c r="AQ53" s="97">
        <v>2038</v>
      </c>
      <c r="AR53" s="97">
        <v>2037</v>
      </c>
      <c r="AS53" s="97">
        <v>2036</v>
      </c>
      <c r="AT53" s="97">
        <v>2035</v>
      </c>
      <c r="AU53" s="97">
        <v>2034</v>
      </c>
      <c r="AV53" s="97">
        <v>2033</v>
      </c>
      <c r="AW53" s="97">
        <v>2032</v>
      </c>
      <c r="AX53" s="97">
        <v>2031</v>
      </c>
      <c r="AY53" s="97">
        <v>2030</v>
      </c>
      <c r="AZ53" s="97">
        <v>2029</v>
      </c>
      <c r="BA53" s="97">
        <v>2028</v>
      </c>
      <c r="BB53" s="97">
        <v>2027</v>
      </c>
      <c r="BC53" s="97">
        <v>2026</v>
      </c>
      <c r="BD53" s="97">
        <v>2025</v>
      </c>
      <c r="BE53" s="97">
        <v>2024</v>
      </c>
      <c r="BF53" s="97">
        <v>2023</v>
      </c>
      <c r="BG53" s="97">
        <v>2022</v>
      </c>
      <c r="BH53" s="97">
        <v>2021</v>
      </c>
      <c r="BI53" s="97">
        <v>2020</v>
      </c>
      <c r="BJ53" s="97">
        <v>2019</v>
      </c>
      <c r="BK53" s="97">
        <v>2018</v>
      </c>
      <c r="BL53" s="97">
        <v>2017</v>
      </c>
      <c r="BM53" s="97">
        <v>2016</v>
      </c>
      <c r="BN53" s="97">
        <v>2015</v>
      </c>
      <c r="BO53" s="97">
        <v>2014</v>
      </c>
      <c r="BP53" s="97">
        <v>2013</v>
      </c>
      <c r="BQ53" s="97">
        <v>2012</v>
      </c>
      <c r="BR53" s="97">
        <v>2011</v>
      </c>
      <c r="BS53" s="97">
        <v>2010</v>
      </c>
      <c r="BT53" s="97">
        <v>2009</v>
      </c>
      <c r="BU53" s="97">
        <v>2008</v>
      </c>
      <c r="BV53" s="97">
        <v>2007</v>
      </c>
      <c r="BW53" s="97">
        <v>2006</v>
      </c>
      <c r="BX53" s="97">
        <v>2005</v>
      </c>
      <c r="BY53" s="97">
        <v>2004</v>
      </c>
      <c r="BZ53" s="97">
        <v>2003</v>
      </c>
      <c r="CA53" s="97">
        <v>2002</v>
      </c>
      <c r="CB53" s="97">
        <v>2001</v>
      </c>
      <c r="CC53" s="97">
        <v>2000</v>
      </c>
      <c r="CD53" s="97">
        <v>1999</v>
      </c>
      <c r="CE53" s="97">
        <v>1998</v>
      </c>
      <c r="CF53" s="97">
        <v>1997</v>
      </c>
      <c r="CG53" s="97">
        <v>1996</v>
      </c>
      <c r="CH53" s="97">
        <v>1995</v>
      </c>
      <c r="CI53" s="97">
        <v>1994</v>
      </c>
      <c r="CJ53" s="97">
        <v>1993</v>
      </c>
      <c r="CK53" s="97">
        <v>1992</v>
      </c>
      <c r="CL53" s="97">
        <v>1991</v>
      </c>
      <c r="CM53" s="97">
        <v>1990</v>
      </c>
      <c r="CN53" s="97">
        <v>1989</v>
      </c>
      <c r="CO53" s="97">
        <v>1988</v>
      </c>
      <c r="CP53" s="97">
        <v>1987</v>
      </c>
      <c r="CQ53" s="97">
        <v>1986</v>
      </c>
      <c r="CR53" s="97">
        <v>1985</v>
      </c>
      <c r="CS53" s="97">
        <v>1984</v>
      </c>
      <c r="CT53" s="97">
        <v>1983</v>
      </c>
      <c r="CU53" s="97">
        <v>1982</v>
      </c>
      <c r="CV53" s="97">
        <v>1981</v>
      </c>
      <c r="CW53" s="97">
        <v>1980</v>
      </c>
      <c r="CX53" s="97">
        <v>1979</v>
      </c>
      <c r="CY53" s="97">
        <v>1978</v>
      </c>
      <c r="CZ53" s="97">
        <v>1977</v>
      </c>
      <c r="DA53" s="97">
        <v>1976</v>
      </c>
      <c r="DB53" s="97">
        <v>1975</v>
      </c>
      <c r="DC53" s="97">
        <v>1974</v>
      </c>
      <c r="DD53" s="97">
        <v>1973</v>
      </c>
      <c r="DE53" s="97">
        <v>1972</v>
      </c>
      <c r="DF53" s="97">
        <v>1971</v>
      </c>
      <c r="DG53" s="97">
        <v>1970</v>
      </c>
      <c r="DH53" s="97">
        <v>1969</v>
      </c>
      <c r="DI53" s="97">
        <v>1968</v>
      </c>
      <c r="DJ53" s="97">
        <v>1967</v>
      </c>
      <c r="DK53" s="97">
        <v>1966</v>
      </c>
      <c r="DL53" s="97">
        <v>1965</v>
      </c>
      <c r="DM53" s="97">
        <v>1964</v>
      </c>
      <c r="DN53" s="97">
        <v>1963</v>
      </c>
      <c r="DO53" s="97">
        <v>1962</v>
      </c>
      <c r="DP53" s="97">
        <v>1961</v>
      </c>
      <c r="DQ53" s="97">
        <v>1960</v>
      </c>
      <c r="DR53" s="97">
        <v>1959</v>
      </c>
      <c r="DS53" s="97">
        <v>1958</v>
      </c>
      <c r="DT53" s="97">
        <v>1957</v>
      </c>
      <c r="DU53" s="97">
        <v>1956</v>
      </c>
      <c r="DV53" s="97">
        <v>1955</v>
      </c>
      <c r="DW53" s="97">
        <v>1954</v>
      </c>
      <c r="DX53" s="97">
        <v>1953</v>
      </c>
      <c r="DY53" s="97">
        <v>1952</v>
      </c>
      <c r="DZ53" s="97">
        <v>1951</v>
      </c>
      <c r="EA53" s="97">
        <v>1950</v>
      </c>
      <c r="EB53" s="97">
        <v>1949</v>
      </c>
      <c r="EC53" s="97">
        <v>1948</v>
      </c>
      <c r="ED53" s="97">
        <v>1947</v>
      </c>
      <c r="EE53" s="97">
        <v>1946</v>
      </c>
      <c r="EF53" s="97">
        <v>1945</v>
      </c>
      <c r="EG53" s="97">
        <v>1944</v>
      </c>
      <c r="EH53" s="97">
        <v>1943</v>
      </c>
      <c r="EI53" s="97">
        <v>1942</v>
      </c>
      <c r="EJ53" s="97">
        <v>1941</v>
      </c>
      <c r="EK53" s="97">
        <v>1940</v>
      </c>
      <c r="EL53" s="97">
        <v>1939</v>
      </c>
      <c r="EM53" s="97">
        <v>1938</v>
      </c>
      <c r="EN53" s="97">
        <v>1937</v>
      </c>
      <c r="EO53" s="97">
        <v>1936</v>
      </c>
      <c r="EP53" s="97">
        <v>1935</v>
      </c>
      <c r="EQ53" s="97">
        <v>1934</v>
      </c>
      <c r="ER53" s="97">
        <v>1933</v>
      </c>
      <c r="ES53" s="97">
        <v>1932</v>
      </c>
      <c r="ET53" s="97">
        <v>1931</v>
      </c>
      <c r="EU53" s="97">
        <v>1930</v>
      </c>
      <c r="EV53" s="97">
        <v>1929</v>
      </c>
    </row>
    <row r="54" spans="1:153" ht="18.75" x14ac:dyDescent="0.3">
      <c r="A54" s="68">
        <f t="shared" si="0"/>
        <v>46</v>
      </c>
      <c r="H54" s="23" t="s">
        <v>488</v>
      </c>
      <c r="I54" s="694">
        <f>IF(G46&gt;60%,M44,I44)</f>
        <v>2.498852691331737E-2</v>
      </c>
      <c r="N54" s="23" t="s">
        <v>35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0</v>
      </c>
      <c r="AU54" s="56">
        <v>0</v>
      </c>
      <c r="AV54" s="56">
        <v>0</v>
      </c>
      <c r="AW54" s="56">
        <v>0</v>
      </c>
      <c r="AX54" s="56">
        <v>0</v>
      </c>
      <c r="AY54" s="56">
        <v>0</v>
      </c>
      <c r="AZ54" s="56">
        <v>0</v>
      </c>
      <c r="BA54" s="56">
        <v>0</v>
      </c>
      <c r="BB54" s="56">
        <v>0</v>
      </c>
      <c r="BC54" s="56">
        <v>0</v>
      </c>
      <c r="BD54" s="56">
        <v>0</v>
      </c>
      <c r="BE54" s="446">
        <v>8.5</v>
      </c>
      <c r="BF54" s="447">
        <v>7.5</v>
      </c>
      <c r="BG54" s="447">
        <v>3.25</v>
      </c>
      <c r="BH54" s="446">
        <v>3.25</v>
      </c>
      <c r="BI54" s="56">
        <v>4.75</v>
      </c>
      <c r="BJ54" s="56">
        <v>5.5</v>
      </c>
      <c r="BK54" s="56">
        <v>4.5</v>
      </c>
      <c r="BL54" s="56">
        <v>3.75</v>
      </c>
      <c r="BM54" s="56">
        <v>3.5</v>
      </c>
      <c r="BN54" s="56">
        <v>3.25</v>
      </c>
      <c r="BO54" s="56">
        <v>3.25</v>
      </c>
      <c r="BP54" s="56">
        <v>3.25</v>
      </c>
      <c r="BQ54" s="56">
        <v>3.25</v>
      </c>
      <c r="BR54" s="56">
        <v>3.25</v>
      </c>
      <c r="BS54" s="56">
        <v>3.25</v>
      </c>
      <c r="BT54" s="56">
        <v>3.25</v>
      </c>
      <c r="BU54" s="56">
        <v>7.25</v>
      </c>
      <c r="BV54" s="56">
        <v>8.25</v>
      </c>
      <c r="BW54" s="56">
        <v>7.25</v>
      </c>
      <c r="BX54" s="56">
        <v>5.25</v>
      </c>
      <c r="BY54" s="56">
        <v>4</v>
      </c>
      <c r="BZ54" s="56">
        <v>4.25</v>
      </c>
      <c r="CA54" s="56">
        <v>4.75</v>
      </c>
      <c r="CB54" s="56">
        <v>9.5</v>
      </c>
      <c r="CC54" s="56">
        <v>8.5</v>
      </c>
      <c r="CD54" s="56">
        <v>7.75</v>
      </c>
      <c r="CE54" s="56">
        <v>8.5</v>
      </c>
      <c r="CF54" s="56">
        <v>8.25</v>
      </c>
      <c r="CG54" s="56">
        <v>8.5</v>
      </c>
      <c r="CH54" s="56">
        <v>8.5</v>
      </c>
      <c r="CI54" s="56">
        <v>6</v>
      </c>
      <c r="CJ54" s="56">
        <v>6</v>
      </c>
      <c r="CK54" s="56">
        <v>6.5</v>
      </c>
      <c r="CL54" s="56">
        <v>9.5</v>
      </c>
      <c r="CM54" s="56">
        <v>10</v>
      </c>
      <c r="CN54" s="56">
        <v>10.5</v>
      </c>
      <c r="CO54" s="56">
        <v>8.75</v>
      </c>
      <c r="CP54" s="56">
        <v>7.5</v>
      </c>
      <c r="CQ54" s="56">
        <v>9.5</v>
      </c>
      <c r="CR54" s="56">
        <v>10.5</v>
      </c>
      <c r="CS54" s="56">
        <v>11</v>
      </c>
      <c r="CT54" s="56">
        <v>11</v>
      </c>
      <c r="CU54" s="56">
        <v>15.75</v>
      </c>
      <c r="CV54" s="56">
        <v>20</v>
      </c>
      <c r="CW54" s="56">
        <v>15.25</v>
      </c>
      <c r="CX54" s="56">
        <v>11.75</v>
      </c>
      <c r="CY54" s="56">
        <v>8</v>
      </c>
      <c r="CZ54" s="56">
        <v>6.25</v>
      </c>
      <c r="DA54" s="56">
        <v>6.75</v>
      </c>
      <c r="DB54" s="56">
        <v>9.5</v>
      </c>
      <c r="DC54" s="56">
        <v>9.5</v>
      </c>
      <c r="DD54" s="56">
        <v>6</v>
      </c>
      <c r="DE54" s="56">
        <v>4.75</v>
      </c>
      <c r="DF54" s="56">
        <v>6</v>
      </c>
      <c r="DG54" s="56">
        <v>8.5</v>
      </c>
      <c r="DH54" s="56">
        <v>7</v>
      </c>
      <c r="DI54" s="56">
        <v>6</v>
      </c>
      <c r="DJ54" s="56">
        <v>5.75</v>
      </c>
      <c r="DK54" s="56">
        <v>5</v>
      </c>
      <c r="DL54" s="56">
        <v>4.5</v>
      </c>
      <c r="DM54" s="56">
        <v>4.5</v>
      </c>
      <c r="DN54" s="56">
        <v>4.5</v>
      </c>
      <c r="DO54" s="56">
        <v>4.5</v>
      </c>
      <c r="DP54" s="56">
        <v>4.5</v>
      </c>
      <c r="DQ54" s="56">
        <v>5</v>
      </c>
      <c r="DR54" s="56">
        <v>4</v>
      </c>
      <c r="DS54" s="56">
        <v>4</v>
      </c>
      <c r="DT54" s="56">
        <v>4</v>
      </c>
      <c r="DU54" s="56">
        <v>3.5</v>
      </c>
      <c r="DV54" s="56">
        <v>3</v>
      </c>
      <c r="DW54" s="56">
        <v>3.25</v>
      </c>
      <c r="DX54" s="56">
        <v>3</v>
      </c>
      <c r="DY54" s="56">
        <v>3</v>
      </c>
      <c r="DZ54" s="56">
        <v>2.5</v>
      </c>
      <c r="EA54" s="56">
        <v>2</v>
      </c>
      <c r="EB54" s="56">
        <v>2</v>
      </c>
      <c r="EC54" s="56">
        <v>1.75</v>
      </c>
      <c r="ED54" s="56">
        <v>1.5</v>
      </c>
      <c r="EE54" s="56">
        <v>1.5</v>
      </c>
      <c r="EF54" s="56">
        <v>1.5</v>
      </c>
      <c r="EG54" s="56">
        <v>1.5</v>
      </c>
      <c r="EH54" s="56">
        <v>1.5</v>
      </c>
      <c r="EI54" s="56">
        <v>1.5</v>
      </c>
      <c r="EJ54" s="56">
        <v>1.5</v>
      </c>
      <c r="EK54" s="56">
        <v>1.5</v>
      </c>
      <c r="EL54" s="56">
        <v>1.5</v>
      </c>
      <c r="EM54" s="56">
        <v>1.5</v>
      </c>
      <c r="EN54" s="56">
        <v>1.5</v>
      </c>
      <c r="EO54" s="56">
        <v>1.5</v>
      </c>
      <c r="EP54" s="56">
        <v>1.5</v>
      </c>
      <c r="EQ54" s="56">
        <v>1.5</v>
      </c>
      <c r="ER54" s="56">
        <v>4</v>
      </c>
      <c r="ES54" s="56">
        <v>3.25</v>
      </c>
      <c r="ET54" s="56">
        <v>2.75</v>
      </c>
      <c r="EU54" s="56">
        <v>6</v>
      </c>
      <c r="EV54" s="56">
        <v>5.5</v>
      </c>
      <c r="EW54" s="48" t="s">
        <v>35</v>
      </c>
    </row>
    <row r="55" spans="1:153" x14ac:dyDescent="0.25">
      <c r="A55" s="68">
        <f t="shared" si="0"/>
        <v>47</v>
      </c>
      <c r="I55" s="96"/>
      <c r="L55" s="6"/>
      <c r="M55" s="6"/>
      <c r="N55" s="23" t="s">
        <v>36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6">
        <v>0</v>
      </c>
      <c r="AB55" s="56">
        <v>0</v>
      </c>
      <c r="AC55" s="56">
        <v>0</v>
      </c>
      <c r="AD55" s="56">
        <v>0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6">
        <v>0</v>
      </c>
      <c r="AV55" s="56">
        <v>0</v>
      </c>
      <c r="AW55" s="56">
        <v>0</v>
      </c>
      <c r="AX55" s="56">
        <v>0</v>
      </c>
      <c r="AY55" s="56">
        <v>0</v>
      </c>
      <c r="AZ55" s="56">
        <v>0</v>
      </c>
      <c r="BA55" s="56">
        <v>0</v>
      </c>
      <c r="BB55" s="56">
        <v>0</v>
      </c>
      <c r="BC55" s="56">
        <v>0</v>
      </c>
      <c r="BD55" s="56">
        <v>0</v>
      </c>
      <c r="BE55" s="446">
        <v>8.5</v>
      </c>
      <c r="BF55" s="447">
        <v>7.74</v>
      </c>
      <c r="BG55" s="447">
        <v>3.25</v>
      </c>
      <c r="BH55" s="446">
        <v>3.25</v>
      </c>
      <c r="BI55" s="56">
        <v>4.75</v>
      </c>
      <c r="BJ55" s="56">
        <v>5.5</v>
      </c>
      <c r="BK55" s="56">
        <v>4.5</v>
      </c>
      <c r="BL55" s="56">
        <v>3.75</v>
      </c>
      <c r="BM55" s="56">
        <v>3.5</v>
      </c>
      <c r="BN55" s="56">
        <v>3.25</v>
      </c>
      <c r="BO55" s="56">
        <v>3.25</v>
      </c>
      <c r="BP55" s="56">
        <v>3.25</v>
      </c>
      <c r="BQ55" s="56">
        <v>3.25</v>
      </c>
      <c r="BR55" s="56">
        <v>3.25</v>
      </c>
      <c r="BS55" s="56">
        <v>3.25</v>
      </c>
      <c r="BT55" s="56">
        <v>3.25</v>
      </c>
      <c r="BU55" s="56">
        <v>6</v>
      </c>
      <c r="BV55" s="56">
        <v>8.25</v>
      </c>
      <c r="BW55" s="56">
        <v>7.5</v>
      </c>
      <c r="BX55" s="56">
        <v>5.25</v>
      </c>
      <c r="BY55" s="56">
        <v>4</v>
      </c>
      <c r="BZ55" s="56">
        <v>4.25</v>
      </c>
      <c r="CA55" s="56">
        <v>4.75</v>
      </c>
      <c r="CB55" s="56">
        <v>8.5</v>
      </c>
      <c r="CC55" s="56">
        <v>8.5</v>
      </c>
      <c r="CD55" s="56">
        <v>7.75</v>
      </c>
      <c r="CE55" s="56">
        <v>8.5</v>
      </c>
      <c r="CF55" s="56">
        <v>8.25</v>
      </c>
      <c r="CG55" s="56">
        <v>8.25</v>
      </c>
      <c r="CH55" s="56">
        <v>9</v>
      </c>
      <c r="CI55" s="56">
        <v>6</v>
      </c>
      <c r="CJ55" s="56">
        <v>6</v>
      </c>
      <c r="CK55" s="56">
        <v>6.5</v>
      </c>
      <c r="CL55" s="56">
        <v>9</v>
      </c>
      <c r="CM55" s="56">
        <v>10</v>
      </c>
      <c r="CN55" s="56">
        <v>11.5</v>
      </c>
      <c r="CO55" s="56">
        <v>8.5</v>
      </c>
      <c r="CP55" s="56">
        <v>7.5</v>
      </c>
      <c r="CQ55" s="56">
        <v>9.5</v>
      </c>
      <c r="CR55" s="56">
        <v>10.5</v>
      </c>
      <c r="CS55" s="56">
        <v>11</v>
      </c>
      <c r="CT55" s="56">
        <v>10.5</v>
      </c>
      <c r="CU55" s="56">
        <v>16.5</v>
      </c>
      <c r="CV55" s="56">
        <v>19</v>
      </c>
      <c r="CW55" s="56">
        <v>16.75</v>
      </c>
      <c r="CX55" s="56">
        <v>11.75</v>
      </c>
      <c r="CY55" s="56">
        <v>8</v>
      </c>
      <c r="CZ55" s="56">
        <v>6.25</v>
      </c>
      <c r="DA55" s="56">
        <v>6.75</v>
      </c>
      <c r="DB55" s="56">
        <v>8.5</v>
      </c>
      <c r="DC55" s="56">
        <v>8.75</v>
      </c>
      <c r="DD55" s="56">
        <v>6.25</v>
      </c>
      <c r="DE55" s="56">
        <v>4.75</v>
      </c>
      <c r="DF55" s="56">
        <v>5.75</v>
      </c>
      <c r="DG55" s="56">
        <v>8.5</v>
      </c>
      <c r="DH55" s="56">
        <v>7</v>
      </c>
      <c r="DI55" s="56">
        <v>6</v>
      </c>
      <c r="DJ55" s="56">
        <v>5.75</v>
      </c>
      <c r="DK55" s="56">
        <v>5</v>
      </c>
      <c r="DL55" s="56">
        <v>4.5</v>
      </c>
      <c r="DM55" s="56">
        <v>4.5</v>
      </c>
      <c r="DN55" s="56">
        <v>4.5</v>
      </c>
      <c r="DO55" s="56">
        <v>4.5</v>
      </c>
      <c r="DP55" s="56">
        <v>4.5</v>
      </c>
      <c r="DQ55" s="56">
        <v>5</v>
      </c>
      <c r="DR55" s="56">
        <v>4</v>
      </c>
      <c r="DS55" s="56">
        <v>4</v>
      </c>
      <c r="DT55" s="56">
        <v>4</v>
      </c>
      <c r="DU55" s="56">
        <v>3.5</v>
      </c>
      <c r="DV55" s="56">
        <v>3</v>
      </c>
      <c r="DW55" s="56">
        <v>3.25</v>
      </c>
      <c r="DX55" s="56">
        <v>3</v>
      </c>
      <c r="DY55" s="56">
        <v>3</v>
      </c>
      <c r="DZ55" s="56">
        <v>2.5</v>
      </c>
      <c r="EA55" s="56">
        <v>2</v>
      </c>
      <c r="EB55" s="56">
        <v>2</v>
      </c>
      <c r="EC55" s="56">
        <v>1.75</v>
      </c>
      <c r="ED55" s="56">
        <v>1.5</v>
      </c>
      <c r="EE55" s="56">
        <v>1.5</v>
      </c>
      <c r="EF55" s="56">
        <v>1.5</v>
      </c>
      <c r="EG55" s="56">
        <v>1.5</v>
      </c>
      <c r="EH55" s="56">
        <v>1.5</v>
      </c>
      <c r="EI55" s="56">
        <v>1.5</v>
      </c>
      <c r="EJ55" s="56">
        <v>1.5</v>
      </c>
      <c r="EK55" s="56">
        <v>1.5</v>
      </c>
      <c r="EL55" s="56">
        <v>1.5</v>
      </c>
      <c r="EM55" s="56">
        <v>1.5</v>
      </c>
      <c r="EN55" s="56">
        <v>1.5</v>
      </c>
      <c r="EO55" s="56">
        <v>1.5</v>
      </c>
      <c r="EP55" s="56">
        <v>1.5</v>
      </c>
      <c r="EQ55" s="56">
        <v>1.5</v>
      </c>
      <c r="ER55" s="56">
        <v>4</v>
      </c>
      <c r="ES55" s="56">
        <v>3.5</v>
      </c>
      <c r="ET55" s="56">
        <v>2.75</v>
      </c>
      <c r="EU55" s="56">
        <v>4</v>
      </c>
      <c r="EV55" s="56">
        <v>5.5</v>
      </c>
      <c r="EW55" s="48" t="s">
        <v>36</v>
      </c>
    </row>
    <row r="56" spans="1:153" x14ac:dyDescent="0.25">
      <c r="A56" s="3"/>
      <c r="I56" s="44"/>
      <c r="N56" s="23" t="s">
        <v>37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0</v>
      </c>
      <c r="AQ56" s="56">
        <v>0</v>
      </c>
      <c r="AR56" s="56">
        <v>0</v>
      </c>
      <c r="AS56" s="56">
        <v>0</v>
      </c>
      <c r="AT56" s="56">
        <v>0</v>
      </c>
      <c r="AU56" s="56">
        <v>0</v>
      </c>
      <c r="AV56" s="56">
        <v>0</v>
      </c>
      <c r="AW56" s="56">
        <v>0</v>
      </c>
      <c r="AX56" s="56">
        <v>0</v>
      </c>
      <c r="AY56" s="56">
        <v>0</v>
      </c>
      <c r="AZ56" s="56">
        <v>0</v>
      </c>
      <c r="BA56" s="56">
        <v>0</v>
      </c>
      <c r="BB56" s="56">
        <v>0</v>
      </c>
      <c r="BC56" s="56">
        <v>0</v>
      </c>
      <c r="BD56" s="56">
        <v>0</v>
      </c>
      <c r="BE56" s="446">
        <v>8.5</v>
      </c>
      <c r="BF56" s="447">
        <v>7.85</v>
      </c>
      <c r="BG56" s="447">
        <v>3.37</v>
      </c>
      <c r="BH56" s="446">
        <v>3.25</v>
      </c>
      <c r="BI56" s="56">
        <v>4.75</v>
      </c>
      <c r="BJ56" s="56">
        <v>5.5</v>
      </c>
      <c r="BK56" s="56">
        <v>4.5</v>
      </c>
      <c r="BL56" s="56">
        <v>3.75</v>
      </c>
      <c r="BM56" s="56">
        <v>3.5</v>
      </c>
      <c r="BN56" s="56">
        <v>3.25</v>
      </c>
      <c r="BO56" s="56">
        <v>3.25</v>
      </c>
      <c r="BP56" s="56">
        <v>3.25</v>
      </c>
      <c r="BQ56" s="56">
        <v>3.25</v>
      </c>
      <c r="BR56" s="56">
        <v>3.25</v>
      </c>
      <c r="BS56" s="56">
        <v>3.25</v>
      </c>
      <c r="BT56" s="56">
        <v>3.25</v>
      </c>
      <c r="BU56" s="56">
        <v>6</v>
      </c>
      <c r="BV56" s="56">
        <v>8.25</v>
      </c>
      <c r="BW56" s="56">
        <v>7.5</v>
      </c>
      <c r="BX56" s="56">
        <v>5.5</v>
      </c>
      <c r="BY56" s="56">
        <v>4</v>
      </c>
      <c r="BZ56" s="56">
        <v>4.25</v>
      </c>
      <c r="CA56" s="56">
        <v>4.75</v>
      </c>
      <c r="CB56" s="56">
        <v>8.5</v>
      </c>
      <c r="CC56" s="56">
        <v>8.75</v>
      </c>
      <c r="CD56" s="56">
        <v>7.75</v>
      </c>
      <c r="CE56" s="56">
        <v>8.5</v>
      </c>
      <c r="CF56" s="56">
        <v>8.25</v>
      </c>
      <c r="CG56" s="56">
        <v>8.25</v>
      </c>
      <c r="CH56" s="56">
        <v>9</v>
      </c>
      <c r="CI56" s="56">
        <v>6.25</v>
      </c>
      <c r="CJ56" s="56">
        <v>6</v>
      </c>
      <c r="CK56" s="56">
        <v>6.5</v>
      </c>
      <c r="CL56" s="56">
        <v>9</v>
      </c>
      <c r="CM56" s="56">
        <v>10</v>
      </c>
      <c r="CN56" s="56">
        <v>11.5</v>
      </c>
      <c r="CO56" s="56">
        <v>8.5</v>
      </c>
      <c r="CP56" s="56">
        <v>7.5</v>
      </c>
      <c r="CQ56" s="56">
        <v>9</v>
      </c>
      <c r="CR56" s="56">
        <v>10.5</v>
      </c>
      <c r="CS56" s="56">
        <v>11.5</v>
      </c>
      <c r="CT56" s="56">
        <v>10.5</v>
      </c>
      <c r="CU56" s="56">
        <v>16.5</v>
      </c>
      <c r="CV56" s="56">
        <v>17.5</v>
      </c>
      <c r="CW56" s="56">
        <v>19.5</v>
      </c>
      <c r="CX56" s="56">
        <v>11.75</v>
      </c>
      <c r="CY56" s="56">
        <v>8</v>
      </c>
      <c r="CZ56" s="56">
        <v>6.25</v>
      </c>
      <c r="DA56" s="56">
        <v>6.75</v>
      </c>
      <c r="DB56" s="56">
        <v>8.5</v>
      </c>
      <c r="DC56" s="56">
        <v>9.25</v>
      </c>
      <c r="DD56" s="56">
        <v>6.5</v>
      </c>
      <c r="DE56" s="56">
        <v>4.75</v>
      </c>
      <c r="DF56" s="56">
        <v>5.25</v>
      </c>
      <c r="DG56" s="56">
        <v>8</v>
      </c>
      <c r="DH56" s="56">
        <v>7.5</v>
      </c>
      <c r="DI56" s="56">
        <v>6</v>
      </c>
      <c r="DJ56" s="56">
        <v>5.5</v>
      </c>
      <c r="DK56" s="56">
        <v>5.5</v>
      </c>
      <c r="DL56" s="56">
        <v>4.5</v>
      </c>
      <c r="DM56" s="56">
        <v>4.5</v>
      </c>
      <c r="DN56" s="56">
        <v>4.5</v>
      </c>
      <c r="DO56" s="56">
        <v>4.5</v>
      </c>
      <c r="DP56" s="56">
        <v>4.5</v>
      </c>
      <c r="DQ56" s="56">
        <v>5</v>
      </c>
      <c r="DR56" s="56">
        <v>4</v>
      </c>
      <c r="DS56" s="56">
        <v>4</v>
      </c>
      <c r="DT56" s="56">
        <v>4</v>
      </c>
      <c r="DU56" s="56">
        <v>3.5</v>
      </c>
      <c r="DV56" s="56">
        <v>3</v>
      </c>
      <c r="DW56" s="56">
        <v>3</v>
      </c>
      <c r="DX56" s="56">
        <v>3</v>
      </c>
      <c r="DY56" s="56">
        <v>3</v>
      </c>
      <c r="DZ56" s="56">
        <v>2.5</v>
      </c>
      <c r="EA56" s="56">
        <v>2</v>
      </c>
      <c r="EB56" s="56">
        <v>2</v>
      </c>
      <c r="EC56" s="56">
        <v>1.75</v>
      </c>
      <c r="ED56" s="56">
        <v>1.5</v>
      </c>
      <c r="EE56" s="56">
        <v>1.5</v>
      </c>
      <c r="EF56" s="56">
        <v>1.5</v>
      </c>
      <c r="EG56" s="56">
        <v>1.5</v>
      </c>
      <c r="EH56" s="56">
        <v>1.5</v>
      </c>
      <c r="EI56" s="56">
        <v>1.5</v>
      </c>
      <c r="EJ56" s="56">
        <v>1.5</v>
      </c>
      <c r="EK56" s="56">
        <v>1.5</v>
      </c>
      <c r="EL56" s="56">
        <v>1.5</v>
      </c>
      <c r="EM56" s="56">
        <v>1.5</v>
      </c>
      <c r="EN56" s="56">
        <v>1.5</v>
      </c>
      <c r="EO56" s="56">
        <v>1.5</v>
      </c>
      <c r="EP56" s="56">
        <v>1.5</v>
      </c>
      <c r="EQ56" s="56">
        <v>1.5</v>
      </c>
      <c r="ER56" s="56">
        <v>4</v>
      </c>
      <c r="ES56" s="56">
        <v>3.75</v>
      </c>
      <c r="ET56" s="56">
        <v>3</v>
      </c>
      <c r="EU56" s="56">
        <v>4</v>
      </c>
      <c r="EV56" s="56">
        <v>5.5</v>
      </c>
      <c r="EW56" s="48" t="s">
        <v>37</v>
      </c>
    </row>
    <row r="57" spans="1:153" x14ac:dyDescent="0.25">
      <c r="A57" s="3"/>
      <c r="I57" s="42"/>
      <c r="N57" s="23" t="s">
        <v>39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0</v>
      </c>
      <c r="AL57" s="56">
        <v>0</v>
      </c>
      <c r="AM57" s="56">
        <v>0</v>
      </c>
      <c r="AN57" s="56">
        <v>0</v>
      </c>
      <c r="AO57" s="56">
        <v>0</v>
      </c>
      <c r="AP57" s="56">
        <v>0</v>
      </c>
      <c r="AQ57" s="56">
        <v>0</v>
      </c>
      <c r="AR57" s="56">
        <v>0</v>
      </c>
      <c r="AS57" s="56">
        <v>0</v>
      </c>
      <c r="AT57" s="56">
        <v>0</v>
      </c>
      <c r="AU57" s="56">
        <v>0</v>
      </c>
      <c r="AV57" s="56">
        <v>0</v>
      </c>
      <c r="AW57" s="56">
        <v>0</v>
      </c>
      <c r="AX57" s="56">
        <v>0</v>
      </c>
      <c r="AY57" s="56">
        <v>0</v>
      </c>
      <c r="AZ57" s="56">
        <v>0</v>
      </c>
      <c r="BA57" s="56">
        <v>0</v>
      </c>
      <c r="BB57" s="56">
        <v>0</v>
      </c>
      <c r="BC57" s="56">
        <v>0</v>
      </c>
      <c r="BD57" s="56">
        <v>0</v>
      </c>
      <c r="BE57" s="446">
        <v>8.5</v>
      </c>
      <c r="BF57" s="447">
        <v>8</v>
      </c>
      <c r="BG57" s="447">
        <v>3.5</v>
      </c>
      <c r="BH57" s="447">
        <v>3.25</v>
      </c>
      <c r="BI57" s="56">
        <v>3.25</v>
      </c>
      <c r="BJ57" s="56">
        <f>+BJ56</f>
        <v>5.5</v>
      </c>
      <c r="BK57" s="56">
        <v>4.75</v>
      </c>
      <c r="BL57" s="56">
        <v>4</v>
      </c>
      <c r="BM57" s="56">
        <v>3.5</v>
      </c>
      <c r="BN57" s="56">
        <v>3.25</v>
      </c>
      <c r="BO57" s="56">
        <v>3.25</v>
      </c>
      <c r="BP57" s="56">
        <v>3.25</v>
      </c>
      <c r="BQ57" s="56">
        <v>3.25</v>
      </c>
      <c r="BR57" s="56">
        <v>3.25</v>
      </c>
      <c r="BS57" s="56">
        <v>3.25</v>
      </c>
      <c r="BT57" s="56">
        <v>3.25</v>
      </c>
      <c r="BU57" s="56">
        <v>5.25</v>
      </c>
      <c r="BV57" s="56">
        <v>8.25</v>
      </c>
      <c r="BW57" s="56">
        <v>7.75</v>
      </c>
      <c r="BX57" s="56">
        <v>5.75</v>
      </c>
      <c r="BY57" s="56">
        <v>4</v>
      </c>
      <c r="BZ57" s="56">
        <v>4.25</v>
      </c>
      <c r="CA57" s="56">
        <v>4.75</v>
      </c>
      <c r="CB57" s="56">
        <v>8</v>
      </c>
      <c r="CC57" s="56">
        <v>9</v>
      </c>
      <c r="CD57" s="56">
        <v>7.75</v>
      </c>
      <c r="CE57" s="56">
        <v>8.5</v>
      </c>
      <c r="CF57" s="56">
        <v>8.5</v>
      </c>
      <c r="CG57" s="56">
        <v>8.5</v>
      </c>
      <c r="CH57" s="56">
        <v>9</v>
      </c>
      <c r="CI57" s="56">
        <v>6.75</v>
      </c>
      <c r="CJ57" s="56">
        <v>6</v>
      </c>
      <c r="CK57" s="56">
        <v>6.5</v>
      </c>
      <c r="CL57" s="56">
        <v>9</v>
      </c>
      <c r="CM57" s="56">
        <v>10</v>
      </c>
      <c r="CN57" s="56">
        <v>11.5</v>
      </c>
      <c r="CO57" s="56">
        <v>8.5</v>
      </c>
      <c r="CP57" s="56">
        <v>7.25</v>
      </c>
      <c r="CQ57" s="56">
        <v>8.5</v>
      </c>
      <c r="CR57" s="56">
        <v>10.5</v>
      </c>
      <c r="CS57" s="56">
        <v>12</v>
      </c>
      <c r="CT57" s="56">
        <v>10.5</v>
      </c>
      <c r="CU57" s="56">
        <v>16.5</v>
      </c>
      <c r="CV57" s="56">
        <v>18</v>
      </c>
      <c r="CW57" s="56">
        <v>19.5</v>
      </c>
      <c r="CX57" s="56">
        <v>11.75</v>
      </c>
      <c r="CY57" s="56">
        <v>8</v>
      </c>
      <c r="CZ57" s="56">
        <v>6.25</v>
      </c>
      <c r="DA57" s="56">
        <v>6.75</v>
      </c>
      <c r="DB57" s="56">
        <v>8.5</v>
      </c>
      <c r="DC57" s="56">
        <v>10.5</v>
      </c>
      <c r="DD57" s="56">
        <v>6.75</v>
      </c>
      <c r="DE57" s="56">
        <v>5</v>
      </c>
      <c r="DF57" s="56">
        <v>5.38</v>
      </c>
      <c r="DG57" s="56">
        <v>8</v>
      </c>
      <c r="DH57" s="56">
        <v>7.5</v>
      </c>
      <c r="DI57" s="56">
        <v>6.5</v>
      </c>
      <c r="DJ57" s="56">
        <v>5.5</v>
      </c>
      <c r="DK57" s="56">
        <v>5.5</v>
      </c>
      <c r="DL57" s="56">
        <v>4.5</v>
      </c>
      <c r="DM57" s="56">
        <v>4.5</v>
      </c>
      <c r="DN57" s="56">
        <v>4.5</v>
      </c>
      <c r="DO57" s="56">
        <v>4.5</v>
      </c>
      <c r="DP57" s="56">
        <v>4.5</v>
      </c>
      <c r="DQ57" s="56">
        <v>5</v>
      </c>
      <c r="DR57" s="56">
        <v>4</v>
      </c>
      <c r="DS57" s="56">
        <v>3.5</v>
      </c>
      <c r="DT57" s="56">
        <v>4</v>
      </c>
      <c r="DU57" s="56">
        <v>3.75</v>
      </c>
      <c r="DV57" s="56">
        <v>3</v>
      </c>
      <c r="DW57" s="56">
        <v>3</v>
      </c>
      <c r="DX57" s="56">
        <v>3.25</v>
      </c>
      <c r="DY57" s="56">
        <v>3</v>
      </c>
      <c r="DZ57" s="56">
        <v>2.5</v>
      </c>
      <c r="EA57" s="56">
        <v>2</v>
      </c>
      <c r="EB57" s="56">
        <v>2</v>
      </c>
      <c r="EC57" s="56">
        <v>1.75</v>
      </c>
      <c r="ED57" s="56">
        <v>1.5</v>
      </c>
      <c r="EE57" s="56">
        <v>1.5</v>
      </c>
      <c r="EF57" s="56">
        <v>1.5</v>
      </c>
      <c r="EG57" s="56">
        <v>1.5</v>
      </c>
      <c r="EH57" s="56">
        <v>1.5</v>
      </c>
      <c r="EI57" s="56">
        <v>1.5</v>
      </c>
      <c r="EJ57" s="56">
        <v>1.5</v>
      </c>
      <c r="EK57" s="56">
        <v>1.5</v>
      </c>
      <c r="EL57" s="56">
        <v>1.5</v>
      </c>
      <c r="EM57" s="56">
        <v>1.5</v>
      </c>
      <c r="EN57" s="56">
        <v>1.5</v>
      </c>
      <c r="EO57" s="56">
        <v>1.5</v>
      </c>
      <c r="EP57" s="56">
        <v>1.5</v>
      </c>
      <c r="EQ57" s="56">
        <v>1.5</v>
      </c>
      <c r="ER57" s="56">
        <v>3</v>
      </c>
      <c r="ES57" s="56">
        <v>3.75</v>
      </c>
      <c r="ET57" s="56">
        <v>4.25</v>
      </c>
      <c r="EU57" s="56">
        <v>4</v>
      </c>
      <c r="EV57" s="56">
        <v>5.5</v>
      </c>
      <c r="EW57" s="48" t="s">
        <v>39</v>
      </c>
    </row>
    <row r="58" spans="1:153" x14ac:dyDescent="0.25">
      <c r="A58" s="3"/>
      <c r="K58" s="55"/>
      <c r="L58" s="45"/>
      <c r="M58" s="45"/>
      <c r="N58" s="23" t="s">
        <v>40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6">
        <v>0</v>
      </c>
      <c r="AV58" s="56">
        <v>0</v>
      </c>
      <c r="AW58" s="56">
        <v>0</v>
      </c>
      <c r="AX58" s="56">
        <v>0</v>
      </c>
      <c r="AY58" s="56">
        <v>0</v>
      </c>
      <c r="AZ58" s="56">
        <v>0</v>
      </c>
      <c r="BA58" s="56">
        <v>0</v>
      </c>
      <c r="BB58" s="56">
        <v>0</v>
      </c>
      <c r="BC58" s="56">
        <v>0</v>
      </c>
      <c r="BD58" s="56">
        <v>0</v>
      </c>
      <c r="BE58" s="446">
        <v>8.5</v>
      </c>
      <c r="BF58" s="447">
        <v>8.23</v>
      </c>
      <c r="BG58" s="447">
        <v>3.94</v>
      </c>
      <c r="BH58" s="447">
        <v>3.25</v>
      </c>
      <c r="BI58" s="56">
        <v>3.25</v>
      </c>
      <c r="BJ58" s="56">
        <f>+BJ57</f>
        <v>5.5</v>
      </c>
      <c r="BK58" s="56">
        <f>+BK57</f>
        <v>4.75</v>
      </c>
      <c r="BL58" s="56">
        <v>4</v>
      </c>
      <c r="BM58" s="56">
        <v>3.5</v>
      </c>
      <c r="BN58" s="56">
        <v>3.25</v>
      </c>
      <c r="BO58" s="56">
        <v>3.25</v>
      </c>
      <c r="BP58" s="56">
        <v>3.25</v>
      </c>
      <c r="BQ58" s="56">
        <v>3.25</v>
      </c>
      <c r="BR58" s="56">
        <v>3.25</v>
      </c>
      <c r="BS58" s="56">
        <v>3.25</v>
      </c>
      <c r="BT58" s="56">
        <v>3.25</v>
      </c>
      <c r="BU58" s="56">
        <v>5</v>
      </c>
      <c r="BV58" s="56">
        <v>8.25</v>
      </c>
      <c r="BW58" s="56">
        <v>7.75</v>
      </c>
      <c r="BX58" s="56">
        <v>5.75</v>
      </c>
      <c r="BY58" s="56">
        <v>4</v>
      </c>
      <c r="BZ58" s="56">
        <v>4.25</v>
      </c>
      <c r="CA58" s="56">
        <v>4.75</v>
      </c>
      <c r="CB58" s="56">
        <v>7.5</v>
      </c>
      <c r="CC58" s="56">
        <v>9</v>
      </c>
      <c r="CD58" s="56">
        <v>7.75</v>
      </c>
      <c r="CE58" s="56">
        <v>8.5</v>
      </c>
      <c r="CF58" s="56">
        <v>8.5</v>
      </c>
      <c r="CG58" s="56">
        <v>8.5</v>
      </c>
      <c r="CH58" s="56">
        <v>9</v>
      </c>
      <c r="CI58" s="56">
        <v>7.25</v>
      </c>
      <c r="CJ58" s="56">
        <v>6</v>
      </c>
      <c r="CK58" s="56">
        <v>6.5</v>
      </c>
      <c r="CL58" s="56">
        <v>8.5</v>
      </c>
      <c r="CM58" s="56">
        <v>10</v>
      </c>
      <c r="CN58" s="56">
        <v>11.5</v>
      </c>
      <c r="CO58" s="56">
        <v>9</v>
      </c>
      <c r="CP58" s="56">
        <v>8.25</v>
      </c>
      <c r="CQ58" s="56">
        <v>8.5</v>
      </c>
      <c r="CR58" s="56">
        <v>10</v>
      </c>
      <c r="CS58" s="56">
        <v>12.5</v>
      </c>
      <c r="CT58" s="56">
        <v>10.5</v>
      </c>
      <c r="CU58" s="56">
        <v>16.5</v>
      </c>
      <c r="CV58" s="56">
        <v>20.5</v>
      </c>
      <c r="CW58" s="56">
        <v>14</v>
      </c>
      <c r="CX58" s="56">
        <v>11.75</v>
      </c>
      <c r="CY58" s="56">
        <v>8.5</v>
      </c>
      <c r="CZ58" s="56">
        <v>6.75</v>
      </c>
      <c r="DA58" s="56">
        <v>6.75</v>
      </c>
      <c r="DB58" s="56">
        <v>7.25</v>
      </c>
      <c r="DC58" s="56">
        <v>11.5</v>
      </c>
      <c r="DD58" s="56">
        <v>7.25</v>
      </c>
      <c r="DE58" s="56">
        <v>5</v>
      </c>
      <c r="DF58" s="56">
        <v>5.5</v>
      </c>
      <c r="DG58" s="56">
        <v>8</v>
      </c>
      <c r="DH58" s="56">
        <v>7.5</v>
      </c>
      <c r="DI58" s="56">
        <v>6.5</v>
      </c>
      <c r="DJ58" s="56">
        <v>5.5</v>
      </c>
      <c r="DK58" s="56">
        <v>5.5</v>
      </c>
      <c r="DL58" s="56">
        <v>4.5</v>
      </c>
      <c r="DM58" s="56">
        <v>4.5</v>
      </c>
      <c r="DN58" s="56">
        <v>4.5</v>
      </c>
      <c r="DO58" s="56">
        <v>4.5</v>
      </c>
      <c r="DP58" s="56">
        <v>4.5</v>
      </c>
      <c r="DQ58" s="56">
        <v>5</v>
      </c>
      <c r="DR58" s="56">
        <v>4.5</v>
      </c>
      <c r="DS58" s="56">
        <v>3.5</v>
      </c>
      <c r="DT58" s="56">
        <v>4</v>
      </c>
      <c r="DU58" s="56">
        <v>3.75</v>
      </c>
      <c r="DV58" s="56">
        <v>3</v>
      </c>
      <c r="DW58" s="56">
        <v>3</v>
      </c>
      <c r="DX58" s="56">
        <v>3.25</v>
      </c>
      <c r="DY58" s="56">
        <v>3</v>
      </c>
      <c r="DZ58" s="56">
        <v>2.5</v>
      </c>
      <c r="EA58" s="56">
        <v>2</v>
      </c>
      <c r="EB58" s="56">
        <v>2</v>
      </c>
      <c r="EC58" s="56">
        <v>1.75</v>
      </c>
      <c r="ED58" s="56">
        <v>1.5</v>
      </c>
      <c r="EE58" s="56">
        <v>1.5</v>
      </c>
      <c r="EF58" s="56">
        <v>1.5</v>
      </c>
      <c r="EG58" s="56">
        <v>1.5</v>
      </c>
      <c r="EH58" s="56">
        <v>1.5</v>
      </c>
      <c r="EI58" s="56">
        <v>1.5</v>
      </c>
      <c r="EJ58" s="56">
        <v>1.5</v>
      </c>
      <c r="EK58" s="56">
        <v>1.5</v>
      </c>
      <c r="EL58" s="56">
        <v>1.5</v>
      </c>
      <c r="EM58" s="56">
        <v>1.5</v>
      </c>
      <c r="EN58" s="56">
        <v>1.5</v>
      </c>
      <c r="EO58" s="56">
        <v>1.5</v>
      </c>
      <c r="EP58" s="56">
        <v>1.5</v>
      </c>
      <c r="EQ58" s="56">
        <v>1.5</v>
      </c>
      <c r="ER58" s="56">
        <v>3</v>
      </c>
      <c r="ES58" s="56">
        <v>3.75</v>
      </c>
      <c r="ET58" s="56">
        <v>5</v>
      </c>
      <c r="EU58" s="56">
        <v>4</v>
      </c>
      <c r="EV58" s="56">
        <v>5.5</v>
      </c>
      <c r="EW58" s="48" t="s">
        <v>40</v>
      </c>
    </row>
    <row r="59" spans="1:153" x14ac:dyDescent="0.25">
      <c r="A59" s="3"/>
      <c r="I59" s="42"/>
      <c r="L59" s="45"/>
      <c r="M59" s="45"/>
      <c r="N59" s="23" t="s">
        <v>41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6">
        <v>0</v>
      </c>
      <c r="AV59" s="56">
        <v>0</v>
      </c>
      <c r="AW59" s="56">
        <v>0</v>
      </c>
      <c r="AX59" s="56">
        <v>0</v>
      </c>
      <c r="AY59" s="56">
        <v>0</v>
      </c>
      <c r="AZ59" s="56">
        <v>0</v>
      </c>
      <c r="BA59" s="56">
        <v>0</v>
      </c>
      <c r="BB59" s="56">
        <v>0</v>
      </c>
      <c r="BC59" s="56">
        <v>0</v>
      </c>
      <c r="BD59" s="56">
        <v>0</v>
      </c>
      <c r="BE59" s="446">
        <v>8.5</v>
      </c>
      <c r="BF59" s="447">
        <v>8.25</v>
      </c>
      <c r="BG59" s="447">
        <v>4.38</v>
      </c>
      <c r="BH59" s="447">
        <v>3.25</v>
      </c>
      <c r="BI59" s="56">
        <v>3.25</v>
      </c>
      <c r="BJ59" s="56">
        <f>+BJ58</f>
        <v>5.5</v>
      </c>
      <c r="BK59" s="56">
        <f>+BK58</f>
        <v>4.75</v>
      </c>
      <c r="BL59" s="56">
        <v>4</v>
      </c>
      <c r="BM59" s="56">
        <v>3.5</v>
      </c>
      <c r="BN59" s="56">
        <v>3.25</v>
      </c>
      <c r="BO59" s="56">
        <v>3.25</v>
      </c>
      <c r="BP59" s="56">
        <v>3.25</v>
      </c>
      <c r="BQ59" s="56">
        <v>3.25</v>
      </c>
      <c r="BR59" s="56">
        <v>3.25</v>
      </c>
      <c r="BS59" s="56">
        <v>3.25</v>
      </c>
      <c r="BT59" s="56">
        <v>3.25</v>
      </c>
      <c r="BU59" s="56">
        <v>5</v>
      </c>
      <c r="BV59" s="56">
        <v>8.25</v>
      </c>
      <c r="BW59" s="56">
        <v>8</v>
      </c>
      <c r="BX59" s="56">
        <v>6</v>
      </c>
      <c r="BY59" s="56">
        <v>4</v>
      </c>
      <c r="BZ59" s="56">
        <v>4.25</v>
      </c>
      <c r="CA59" s="56">
        <v>4.75</v>
      </c>
      <c r="CB59" s="56">
        <v>7</v>
      </c>
      <c r="CC59" s="56">
        <v>9.5</v>
      </c>
      <c r="CD59" s="56">
        <v>7.75</v>
      </c>
      <c r="CE59" s="56">
        <v>8.5</v>
      </c>
      <c r="CF59" s="56">
        <v>8.5</v>
      </c>
      <c r="CG59" s="56">
        <v>8.5</v>
      </c>
      <c r="CH59" s="56">
        <v>9</v>
      </c>
      <c r="CI59" s="56">
        <v>7.25</v>
      </c>
      <c r="CJ59" s="56">
        <v>6</v>
      </c>
      <c r="CK59" s="56">
        <v>6.5</v>
      </c>
      <c r="CL59" s="56">
        <v>8.5</v>
      </c>
      <c r="CM59" s="56">
        <v>10</v>
      </c>
      <c r="CN59" s="56">
        <v>11</v>
      </c>
      <c r="CO59" s="56">
        <v>9</v>
      </c>
      <c r="CP59" s="56">
        <v>8.25</v>
      </c>
      <c r="CQ59" s="56">
        <v>8.5</v>
      </c>
      <c r="CR59" s="56">
        <v>9.5</v>
      </c>
      <c r="CS59" s="56">
        <v>13</v>
      </c>
      <c r="CT59" s="56">
        <v>10.5</v>
      </c>
      <c r="CU59" s="56">
        <v>16.5</v>
      </c>
      <c r="CV59" s="56">
        <v>20</v>
      </c>
      <c r="CW59" s="56">
        <v>12</v>
      </c>
      <c r="CX59" s="56">
        <v>11.5</v>
      </c>
      <c r="CY59" s="56">
        <v>9</v>
      </c>
      <c r="CZ59" s="56">
        <v>6.75</v>
      </c>
      <c r="DA59" s="56">
        <v>7.25</v>
      </c>
      <c r="DB59" s="56">
        <v>7</v>
      </c>
      <c r="DC59" s="56">
        <v>11.75</v>
      </c>
      <c r="DD59" s="56">
        <v>7.75</v>
      </c>
      <c r="DE59" s="56">
        <v>5.25</v>
      </c>
      <c r="DF59" s="56">
        <v>5.5</v>
      </c>
      <c r="DG59" s="56">
        <v>8</v>
      </c>
      <c r="DH59" s="56">
        <v>8.5</v>
      </c>
      <c r="DI59" s="56">
        <v>6.5</v>
      </c>
      <c r="DJ59" s="56">
        <v>5.5</v>
      </c>
      <c r="DK59" s="56">
        <v>5.75</v>
      </c>
      <c r="DL59" s="56">
        <v>4.5</v>
      </c>
      <c r="DM59" s="56">
        <v>4.5</v>
      </c>
      <c r="DN59" s="56">
        <v>4.5</v>
      </c>
      <c r="DO59" s="56">
        <v>4.5</v>
      </c>
      <c r="DP59" s="56">
        <v>4.5</v>
      </c>
      <c r="DQ59" s="56">
        <v>5</v>
      </c>
      <c r="DR59" s="56">
        <v>4.5</v>
      </c>
      <c r="DS59" s="56">
        <v>3.5</v>
      </c>
      <c r="DT59" s="56">
        <v>4</v>
      </c>
      <c r="DU59" s="56">
        <v>3.75</v>
      </c>
      <c r="DV59" s="56">
        <v>3</v>
      </c>
      <c r="DW59" s="56">
        <v>3</v>
      </c>
      <c r="DX59" s="56">
        <v>3.25</v>
      </c>
      <c r="DY59" s="56">
        <v>3</v>
      </c>
      <c r="DZ59" s="56">
        <v>2.5</v>
      </c>
      <c r="EA59" s="56">
        <v>2</v>
      </c>
      <c r="EB59" s="56">
        <v>2</v>
      </c>
      <c r="EC59" s="56">
        <v>1.75</v>
      </c>
      <c r="ED59" s="56">
        <v>1.5</v>
      </c>
      <c r="EE59" s="56">
        <v>1.5</v>
      </c>
      <c r="EF59" s="56">
        <v>1.5</v>
      </c>
      <c r="EG59" s="56">
        <v>1.5</v>
      </c>
      <c r="EH59" s="56">
        <v>1.5</v>
      </c>
      <c r="EI59" s="56">
        <v>1.5</v>
      </c>
      <c r="EJ59" s="56">
        <v>1.5</v>
      </c>
      <c r="EK59" s="56">
        <v>1.5</v>
      </c>
      <c r="EL59" s="56">
        <v>1.5</v>
      </c>
      <c r="EM59" s="56">
        <v>1.5</v>
      </c>
      <c r="EN59" s="56">
        <v>1.5</v>
      </c>
      <c r="EO59" s="56">
        <v>1.5</v>
      </c>
      <c r="EP59" s="56">
        <v>1.5</v>
      </c>
      <c r="EQ59" s="56">
        <v>1.5</v>
      </c>
      <c r="ER59" s="56">
        <v>3</v>
      </c>
      <c r="ES59" s="56">
        <v>3.75</v>
      </c>
      <c r="ET59" s="56">
        <v>5</v>
      </c>
      <c r="EU59" s="56">
        <v>4</v>
      </c>
      <c r="EV59" s="56">
        <v>5.5</v>
      </c>
      <c r="EW59" s="48" t="s">
        <v>41</v>
      </c>
    </row>
    <row r="60" spans="1:153" x14ac:dyDescent="0.25">
      <c r="N60" s="23" t="s">
        <v>43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6">
        <v>0</v>
      </c>
      <c r="AV60" s="56">
        <v>0</v>
      </c>
      <c r="AW60" s="56">
        <v>0</v>
      </c>
      <c r="AX60" s="56">
        <v>0</v>
      </c>
      <c r="AY60" s="56">
        <v>0</v>
      </c>
      <c r="AZ60" s="56">
        <v>0</v>
      </c>
      <c r="BA60" s="56">
        <v>0</v>
      </c>
      <c r="BB60" s="56">
        <v>0</v>
      </c>
      <c r="BC60" s="56">
        <v>0</v>
      </c>
      <c r="BD60" s="56">
        <v>0</v>
      </c>
      <c r="BE60" s="446">
        <v>8.5</v>
      </c>
      <c r="BF60" s="447">
        <v>8.2899999999999991</v>
      </c>
      <c r="BG60" s="447">
        <v>4.8499999999999996</v>
      </c>
      <c r="BH60" s="447">
        <v>3.25</v>
      </c>
      <c r="BI60" s="56">
        <v>3.25</v>
      </c>
      <c r="BJ60" s="56">
        <v>5.25</v>
      </c>
      <c r="BK60" s="56">
        <v>5</v>
      </c>
      <c r="BL60" s="56">
        <v>4.25</v>
      </c>
      <c r="BM60" s="56">
        <v>3.5</v>
      </c>
      <c r="BN60" s="56">
        <v>3.25</v>
      </c>
      <c r="BO60" s="56">
        <v>3.25</v>
      </c>
      <c r="BP60" s="56">
        <v>3.25</v>
      </c>
      <c r="BQ60" s="56">
        <v>3.25</v>
      </c>
      <c r="BR60" s="56">
        <v>3.25</v>
      </c>
      <c r="BS60" s="56">
        <v>3.25</v>
      </c>
      <c r="BT60" s="56">
        <v>3.25</v>
      </c>
      <c r="BU60" s="56">
        <v>5</v>
      </c>
      <c r="BV60" s="56">
        <v>8.25</v>
      </c>
      <c r="BW60" s="56">
        <v>8.25</v>
      </c>
      <c r="BX60" s="56">
        <v>6.25</v>
      </c>
      <c r="BY60" s="56">
        <v>4.25</v>
      </c>
      <c r="BZ60" s="56">
        <v>4</v>
      </c>
      <c r="CA60" s="56">
        <v>4.75</v>
      </c>
      <c r="CB60" s="56">
        <v>6.75</v>
      </c>
      <c r="CC60" s="56">
        <v>9.5</v>
      </c>
      <c r="CD60" s="56">
        <v>8</v>
      </c>
      <c r="CE60" s="56">
        <v>8.5</v>
      </c>
      <c r="CF60" s="56">
        <v>8.5</v>
      </c>
      <c r="CG60" s="56">
        <v>8.5</v>
      </c>
      <c r="CH60" s="56">
        <v>8.75</v>
      </c>
      <c r="CI60" s="56">
        <v>7.25</v>
      </c>
      <c r="CJ60" s="56">
        <v>6</v>
      </c>
      <c r="CK60" s="56">
        <v>6</v>
      </c>
      <c r="CL60" s="56">
        <v>8.5</v>
      </c>
      <c r="CM60" s="56">
        <v>10</v>
      </c>
      <c r="CN60" s="56">
        <v>10.5</v>
      </c>
      <c r="CO60" s="56">
        <v>9.5</v>
      </c>
      <c r="CP60" s="56">
        <v>8.25</v>
      </c>
      <c r="CQ60" s="56">
        <v>8</v>
      </c>
      <c r="CR60" s="56">
        <v>9.5</v>
      </c>
      <c r="CS60" s="56">
        <v>13</v>
      </c>
      <c r="CT60" s="56">
        <v>10.5</v>
      </c>
      <c r="CU60" s="56">
        <v>15.5</v>
      </c>
      <c r="CV60" s="56">
        <v>20.5</v>
      </c>
      <c r="CW60" s="56">
        <v>11</v>
      </c>
      <c r="CX60" s="56">
        <v>11.75</v>
      </c>
      <c r="CY60" s="56">
        <v>9</v>
      </c>
      <c r="CZ60" s="56">
        <v>6.75</v>
      </c>
      <c r="DA60" s="56">
        <v>7.25</v>
      </c>
      <c r="DB60" s="56">
        <v>7.5</v>
      </c>
      <c r="DC60" s="56">
        <v>12</v>
      </c>
      <c r="DD60" s="56">
        <v>8.75</v>
      </c>
      <c r="DE60" s="56">
        <v>5.25</v>
      </c>
      <c r="DF60" s="56">
        <v>6</v>
      </c>
      <c r="DG60" s="56">
        <v>8</v>
      </c>
      <c r="DH60" s="56">
        <v>8.5</v>
      </c>
      <c r="DI60" s="56">
        <v>6.5</v>
      </c>
      <c r="DJ60" s="56">
        <v>5.5</v>
      </c>
      <c r="DK60" s="56">
        <v>5.75</v>
      </c>
      <c r="DL60" s="56">
        <v>4.5</v>
      </c>
      <c r="DM60" s="56">
        <v>4.5</v>
      </c>
      <c r="DN60" s="56">
        <v>4.5</v>
      </c>
      <c r="DO60" s="56">
        <v>4.5</v>
      </c>
      <c r="DP60" s="56">
        <v>4.5</v>
      </c>
      <c r="DQ60" s="56">
        <v>5</v>
      </c>
      <c r="DR60" s="56">
        <v>4.5</v>
      </c>
      <c r="DS60" s="56">
        <v>3.5</v>
      </c>
      <c r="DT60" s="56">
        <v>4</v>
      </c>
      <c r="DU60" s="56">
        <v>3.75</v>
      </c>
      <c r="DV60" s="56">
        <v>3</v>
      </c>
      <c r="DW60" s="56">
        <v>3</v>
      </c>
      <c r="DX60" s="56">
        <v>3.25</v>
      </c>
      <c r="DY60" s="56">
        <v>3</v>
      </c>
      <c r="DZ60" s="56">
        <v>2.5</v>
      </c>
      <c r="EA60" s="56">
        <v>2</v>
      </c>
      <c r="EB60" s="56">
        <v>2</v>
      </c>
      <c r="EC60" s="56">
        <v>1.75</v>
      </c>
      <c r="ED60" s="56">
        <v>1.5</v>
      </c>
      <c r="EE60" s="56">
        <v>1.5</v>
      </c>
      <c r="EF60" s="56">
        <v>1.5</v>
      </c>
      <c r="EG60" s="56">
        <v>1.5</v>
      </c>
      <c r="EH60" s="56">
        <v>1.5</v>
      </c>
      <c r="EI60" s="56">
        <v>1.5</v>
      </c>
      <c r="EJ60" s="56">
        <v>1.5</v>
      </c>
      <c r="EK60" s="56">
        <v>1.5</v>
      </c>
      <c r="EL60" s="56">
        <v>1.5</v>
      </c>
      <c r="EM60" s="56">
        <v>1.5</v>
      </c>
      <c r="EN60" s="56">
        <v>1.5</v>
      </c>
      <c r="EO60" s="56">
        <v>1.5</v>
      </c>
      <c r="EP60" s="56">
        <v>1.5</v>
      </c>
      <c r="EQ60" s="56">
        <v>1.5</v>
      </c>
      <c r="ER60" s="56">
        <v>3</v>
      </c>
      <c r="ES60" s="56">
        <v>3.75</v>
      </c>
      <c r="ET60" s="56">
        <v>5</v>
      </c>
      <c r="EU60" s="56">
        <v>4</v>
      </c>
      <c r="EV60" s="56">
        <v>5.5</v>
      </c>
      <c r="EW60" s="48" t="s">
        <v>43</v>
      </c>
    </row>
    <row r="61" spans="1:153" x14ac:dyDescent="0.25">
      <c r="N61" s="23" t="s">
        <v>44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6">
        <v>0</v>
      </c>
      <c r="AV61" s="56">
        <v>0</v>
      </c>
      <c r="AW61" s="56">
        <v>0</v>
      </c>
      <c r="AX61" s="56">
        <v>0</v>
      </c>
      <c r="AY61" s="56">
        <v>0</v>
      </c>
      <c r="AZ61" s="56">
        <v>0</v>
      </c>
      <c r="BA61" s="56">
        <v>0</v>
      </c>
      <c r="BB61" s="56">
        <v>0</v>
      </c>
      <c r="BC61" s="56">
        <v>0</v>
      </c>
      <c r="BD61" s="56">
        <v>0</v>
      </c>
      <c r="BE61" s="446">
        <v>8.5</v>
      </c>
      <c r="BF61" s="447">
        <v>8.5</v>
      </c>
      <c r="BG61" s="447">
        <v>5.5</v>
      </c>
      <c r="BH61" s="447">
        <v>3.25</v>
      </c>
      <c r="BI61" s="56">
        <v>3.25</v>
      </c>
      <c r="BJ61" s="56">
        <v>5.25</v>
      </c>
      <c r="BK61" s="56">
        <v>5</v>
      </c>
      <c r="BL61" s="56">
        <v>4.25</v>
      </c>
      <c r="BM61" s="56">
        <v>3.5</v>
      </c>
      <c r="BN61" s="56">
        <v>3.25</v>
      </c>
      <c r="BO61" s="56">
        <v>3.25</v>
      </c>
      <c r="BP61" s="56">
        <v>3.25</v>
      </c>
      <c r="BQ61" s="56">
        <v>3.25</v>
      </c>
      <c r="BR61" s="56">
        <v>3.25</v>
      </c>
      <c r="BS61" s="56">
        <v>3.25</v>
      </c>
      <c r="BT61" s="56">
        <v>3.25</v>
      </c>
      <c r="BU61" s="56">
        <v>5</v>
      </c>
      <c r="BV61" s="56">
        <v>8.25</v>
      </c>
      <c r="BW61" s="56">
        <v>8.25</v>
      </c>
      <c r="BX61" s="56">
        <v>6.25</v>
      </c>
      <c r="BY61" s="56">
        <v>4.25</v>
      </c>
      <c r="BZ61" s="56">
        <v>4</v>
      </c>
      <c r="CA61" s="56">
        <v>4.75</v>
      </c>
      <c r="CB61" s="56">
        <v>6.75</v>
      </c>
      <c r="CC61" s="56">
        <v>9.5</v>
      </c>
      <c r="CD61" s="56">
        <v>8</v>
      </c>
      <c r="CE61" s="56">
        <v>8.5</v>
      </c>
      <c r="CF61" s="56">
        <v>8.5</v>
      </c>
      <c r="CG61" s="56">
        <v>8.5</v>
      </c>
      <c r="CH61" s="56">
        <v>8.75</v>
      </c>
      <c r="CI61" s="56">
        <v>7.75</v>
      </c>
      <c r="CJ61" s="56">
        <v>6</v>
      </c>
      <c r="CK61" s="56">
        <v>6</v>
      </c>
      <c r="CL61" s="56">
        <v>8.5</v>
      </c>
      <c r="CM61" s="56">
        <v>10</v>
      </c>
      <c r="CN61" s="56">
        <v>10.5</v>
      </c>
      <c r="CO61" s="56">
        <v>10</v>
      </c>
      <c r="CP61" s="56">
        <v>8.25</v>
      </c>
      <c r="CQ61" s="56">
        <v>7.5</v>
      </c>
      <c r="CR61" s="56">
        <v>9.5</v>
      </c>
      <c r="CS61" s="56">
        <v>13</v>
      </c>
      <c r="CT61" s="56">
        <v>11</v>
      </c>
      <c r="CU61" s="56">
        <v>14</v>
      </c>
      <c r="CV61" s="56">
        <v>20.5</v>
      </c>
      <c r="CW61" s="56">
        <v>11.5</v>
      </c>
      <c r="CX61" s="56">
        <v>12.25</v>
      </c>
      <c r="CY61" s="56">
        <v>9.25</v>
      </c>
      <c r="CZ61" s="56">
        <v>7</v>
      </c>
      <c r="DA61" s="56">
        <v>7</v>
      </c>
      <c r="DB61" s="56">
        <v>7.75</v>
      </c>
      <c r="DC61" s="56">
        <v>12</v>
      </c>
      <c r="DD61" s="56">
        <v>9.75</v>
      </c>
      <c r="DE61" s="56">
        <v>5.5</v>
      </c>
      <c r="DF61" s="56">
        <v>6</v>
      </c>
      <c r="DG61" s="56">
        <v>8</v>
      </c>
      <c r="DH61" s="56">
        <v>8.5</v>
      </c>
      <c r="DI61" s="56">
        <v>6.5</v>
      </c>
      <c r="DJ61" s="56">
        <v>5.5</v>
      </c>
      <c r="DK61" s="56">
        <v>6</v>
      </c>
      <c r="DL61" s="56">
        <v>4.5</v>
      </c>
      <c r="DM61" s="56">
        <v>4.5</v>
      </c>
      <c r="DN61" s="56">
        <v>4.5</v>
      </c>
      <c r="DO61" s="56">
        <v>4.5</v>
      </c>
      <c r="DP61" s="56">
        <v>4.5</v>
      </c>
      <c r="DQ61" s="56">
        <v>4.5</v>
      </c>
      <c r="DR61" s="56">
        <v>4.5</v>
      </c>
      <c r="DS61" s="56">
        <v>3.5</v>
      </c>
      <c r="DT61" s="56">
        <v>4.5</v>
      </c>
      <c r="DU61" s="56">
        <v>4</v>
      </c>
      <c r="DV61" s="56">
        <v>3.25</v>
      </c>
      <c r="DW61" s="56">
        <v>3</v>
      </c>
      <c r="DX61" s="56">
        <v>3.25</v>
      </c>
      <c r="DY61" s="56">
        <v>3</v>
      </c>
      <c r="DZ61" s="56">
        <v>2.5</v>
      </c>
      <c r="EA61" s="56">
        <v>2</v>
      </c>
      <c r="EB61" s="56">
        <v>2</v>
      </c>
      <c r="EC61" s="56">
        <v>2</v>
      </c>
      <c r="ED61" s="56">
        <v>1.5</v>
      </c>
      <c r="EE61" s="56">
        <v>1.5</v>
      </c>
      <c r="EF61" s="56">
        <v>1.5</v>
      </c>
      <c r="EG61" s="56">
        <v>1.5</v>
      </c>
      <c r="EH61" s="56">
        <v>1.5</v>
      </c>
      <c r="EI61" s="56">
        <v>1.5</v>
      </c>
      <c r="EJ61" s="56">
        <v>1.5</v>
      </c>
      <c r="EK61" s="56">
        <v>1.5</v>
      </c>
      <c r="EL61" s="56">
        <v>1.5</v>
      </c>
      <c r="EM61" s="56">
        <v>1.5</v>
      </c>
      <c r="EN61" s="56">
        <v>1.5</v>
      </c>
      <c r="EO61" s="56">
        <v>1.5</v>
      </c>
      <c r="EP61" s="56">
        <v>1.5</v>
      </c>
      <c r="EQ61" s="56">
        <v>1.5</v>
      </c>
      <c r="ER61" s="56">
        <v>1.5</v>
      </c>
      <c r="ES61" s="56">
        <v>4</v>
      </c>
      <c r="ET61" s="56">
        <v>5</v>
      </c>
      <c r="EU61" s="56">
        <v>4</v>
      </c>
      <c r="EV61" s="56">
        <v>5.5</v>
      </c>
      <c r="EW61" s="48" t="s">
        <v>44</v>
      </c>
    </row>
    <row r="62" spans="1:153" x14ac:dyDescent="0.25">
      <c r="N62" s="23" t="s">
        <v>45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56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v>0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0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6">
        <v>0</v>
      </c>
      <c r="AV62" s="56">
        <v>0</v>
      </c>
      <c r="AW62" s="56">
        <v>0</v>
      </c>
      <c r="AX62" s="56">
        <v>0</v>
      </c>
      <c r="AY62" s="56">
        <v>0</v>
      </c>
      <c r="AZ62" s="56">
        <v>0</v>
      </c>
      <c r="BA62" s="56">
        <v>0</v>
      </c>
      <c r="BB62" s="56">
        <v>0</v>
      </c>
      <c r="BC62" s="56">
        <v>0</v>
      </c>
      <c r="BD62" s="56">
        <v>0</v>
      </c>
      <c r="BE62" s="446">
        <v>8.3000000000000007</v>
      </c>
      <c r="BF62" s="447">
        <v>8.5</v>
      </c>
      <c r="BG62" s="447">
        <v>5.73</v>
      </c>
      <c r="BH62" s="447">
        <v>3.25</v>
      </c>
      <c r="BI62" s="56">
        <v>3.25</v>
      </c>
      <c r="BJ62" s="56">
        <v>5</v>
      </c>
      <c r="BK62" s="56">
        <v>5</v>
      </c>
      <c r="BL62" s="56">
        <v>4.25</v>
      </c>
      <c r="BM62" s="56">
        <v>3.5</v>
      </c>
      <c r="BN62" s="56">
        <v>3.25</v>
      </c>
      <c r="BO62" s="56">
        <v>3.25</v>
      </c>
      <c r="BP62" s="56">
        <v>3.25</v>
      </c>
      <c r="BQ62" s="56">
        <v>3.25</v>
      </c>
      <c r="BR62" s="56">
        <v>3.25</v>
      </c>
      <c r="BS62" s="56">
        <v>3.25</v>
      </c>
      <c r="BT62" s="56">
        <v>3.25</v>
      </c>
      <c r="BU62" s="56">
        <v>5</v>
      </c>
      <c r="BV62" s="56">
        <v>8.25</v>
      </c>
      <c r="BW62" s="56">
        <v>8.25</v>
      </c>
      <c r="BX62" s="56">
        <v>6.5</v>
      </c>
      <c r="BY62" s="56">
        <v>4.5</v>
      </c>
      <c r="BZ62" s="56">
        <v>4</v>
      </c>
      <c r="CA62" s="56">
        <v>4.75</v>
      </c>
      <c r="CB62" s="56">
        <v>6.5</v>
      </c>
      <c r="CC62" s="56">
        <v>9.5</v>
      </c>
      <c r="CD62" s="56">
        <v>8.25</v>
      </c>
      <c r="CE62" s="56">
        <v>8.5</v>
      </c>
      <c r="CF62" s="56">
        <v>8.5</v>
      </c>
      <c r="CG62" s="56">
        <v>8.5</v>
      </c>
      <c r="CH62" s="56">
        <v>8.75</v>
      </c>
      <c r="CI62" s="56">
        <v>7.75</v>
      </c>
      <c r="CJ62" s="56">
        <v>6</v>
      </c>
      <c r="CK62" s="56">
        <v>6</v>
      </c>
      <c r="CL62" s="56">
        <v>8</v>
      </c>
      <c r="CM62" s="56">
        <v>10</v>
      </c>
      <c r="CN62" s="56">
        <v>10.5</v>
      </c>
      <c r="CO62" s="56">
        <v>10</v>
      </c>
      <c r="CP62" s="56">
        <v>8.75</v>
      </c>
      <c r="CQ62" s="56">
        <v>7.5</v>
      </c>
      <c r="CR62" s="56">
        <v>9.5</v>
      </c>
      <c r="CS62" s="56">
        <v>12.75</v>
      </c>
      <c r="CT62" s="56">
        <v>11</v>
      </c>
      <c r="CU62" s="56">
        <v>13.5</v>
      </c>
      <c r="CV62" s="56">
        <v>19.5</v>
      </c>
      <c r="CW62" s="56">
        <v>13</v>
      </c>
      <c r="CX62" s="56">
        <v>13.5</v>
      </c>
      <c r="CY62" s="56">
        <v>9.75</v>
      </c>
      <c r="CZ62" s="56">
        <v>7.25</v>
      </c>
      <c r="DA62" s="56">
        <v>7</v>
      </c>
      <c r="DB62" s="56">
        <v>8</v>
      </c>
      <c r="DC62" s="56">
        <v>12</v>
      </c>
      <c r="DD62" s="56">
        <v>10</v>
      </c>
      <c r="DE62" s="56">
        <v>5.5</v>
      </c>
      <c r="DF62" s="56">
        <v>6</v>
      </c>
      <c r="DG62" s="56">
        <v>7.5</v>
      </c>
      <c r="DH62" s="56">
        <v>8.5</v>
      </c>
      <c r="DI62" s="56">
        <v>6.25</v>
      </c>
      <c r="DJ62" s="56">
        <v>5.5</v>
      </c>
      <c r="DK62" s="56">
        <v>6</v>
      </c>
      <c r="DL62" s="56">
        <v>4.5</v>
      </c>
      <c r="DM62" s="56">
        <v>4.5</v>
      </c>
      <c r="DN62" s="56">
        <v>4.5</v>
      </c>
      <c r="DO62" s="56">
        <v>4.5</v>
      </c>
      <c r="DP62" s="56">
        <v>4.5</v>
      </c>
      <c r="DQ62" s="56">
        <v>4.5</v>
      </c>
      <c r="DR62" s="56">
        <v>5</v>
      </c>
      <c r="DS62" s="56">
        <v>4</v>
      </c>
      <c r="DT62" s="56">
        <v>4.5</v>
      </c>
      <c r="DU62" s="56">
        <v>4</v>
      </c>
      <c r="DV62" s="56">
        <v>3.25</v>
      </c>
      <c r="DW62" s="56">
        <v>3</v>
      </c>
      <c r="DX62" s="56">
        <v>3.25</v>
      </c>
      <c r="DY62" s="56">
        <v>3</v>
      </c>
      <c r="DZ62" s="56">
        <v>2.5</v>
      </c>
      <c r="EA62" s="56">
        <v>2.25</v>
      </c>
      <c r="EB62" s="56">
        <v>2</v>
      </c>
      <c r="EC62" s="56">
        <v>2</v>
      </c>
      <c r="ED62" s="56">
        <v>1.5</v>
      </c>
      <c r="EE62" s="56">
        <v>1.5</v>
      </c>
      <c r="EF62" s="56">
        <v>1.5</v>
      </c>
      <c r="EG62" s="56">
        <v>1.5</v>
      </c>
      <c r="EH62" s="56">
        <v>1.5</v>
      </c>
      <c r="EI62" s="56">
        <v>1.5</v>
      </c>
      <c r="EJ62" s="56">
        <v>1.5</v>
      </c>
      <c r="EK62" s="56">
        <v>1.5</v>
      </c>
      <c r="EL62" s="56">
        <v>1.5</v>
      </c>
      <c r="EM62" s="56">
        <v>1.5</v>
      </c>
      <c r="EN62" s="56">
        <v>1.5</v>
      </c>
      <c r="EO62" s="56">
        <v>1.5</v>
      </c>
      <c r="EP62" s="56">
        <v>1.5</v>
      </c>
      <c r="EQ62" s="56">
        <v>1.5</v>
      </c>
      <c r="ER62" s="56">
        <v>1.5</v>
      </c>
      <c r="ES62" s="56">
        <v>4</v>
      </c>
      <c r="ET62" s="56">
        <v>5</v>
      </c>
      <c r="EU62" s="56">
        <v>4</v>
      </c>
      <c r="EV62" s="56">
        <v>5.5</v>
      </c>
      <c r="EW62" s="48" t="s">
        <v>45</v>
      </c>
    </row>
    <row r="63" spans="1:153" x14ac:dyDescent="0.25">
      <c r="N63" s="23" t="s">
        <v>46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6">
        <v>0</v>
      </c>
      <c r="AV63" s="56">
        <v>0</v>
      </c>
      <c r="AW63" s="56">
        <v>0</v>
      </c>
      <c r="AX63" s="56">
        <v>0</v>
      </c>
      <c r="AY63" s="56">
        <v>0</v>
      </c>
      <c r="AZ63" s="56">
        <v>0</v>
      </c>
      <c r="BA63" s="56">
        <v>0</v>
      </c>
      <c r="BB63" s="56">
        <v>0</v>
      </c>
      <c r="BC63" s="56">
        <v>0</v>
      </c>
      <c r="BD63" s="56">
        <v>0</v>
      </c>
      <c r="BE63" s="446">
        <v>8</v>
      </c>
      <c r="BF63" s="447">
        <v>8.5</v>
      </c>
      <c r="BG63" s="447">
        <v>6.25</v>
      </c>
      <c r="BH63" s="447">
        <v>3.25</v>
      </c>
      <c r="BI63" s="56">
        <v>3.25</v>
      </c>
      <c r="BJ63" s="56">
        <v>5</v>
      </c>
      <c r="BK63" s="56">
        <v>5.25</v>
      </c>
      <c r="BL63" s="56">
        <v>4.25</v>
      </c>
      <c r="BM63" s="56">
        <v>3.5</v>
      </c>
      <c r="BN63" s="56">
        <v>3.25</v>
      </c>
      <c r="BO63" s="56">
        <v>3.25</v>
      </c>
      <c r="BP63" s="56">
        <v>3.25</v>
      </c>
      <c r="BQ63" s="56">
        <v>3.25</v>
      </c>
      <c r="BR63" s="56">
        <v>3.25</v>
      </c>
      <c r="BS63" s="56">
        <v>3.25</v>
      </c>
      <c r="BT63" s="56">
        <v>3.25</v>
      </c>
      <c r="BU63" s="56">
        <v>5</v>
      </c>
      <c r="BV63" s="56">
        <v>7.75</v>
      </c>
      <c r="BW63" s="56">
        <v>8.25</v>
      </c>
      <c r="BX63" s="56">
        <v>6.75</v>
      </c>
      <c r="BY63" s="56">
        <v>4.75</v>
      </c>
      <c r="BZ63" s="56">
        <v>4</v>
      </c>
      <c r="CA63" s="56">
        <v>4.75</v>
      </c>
      <c r="CB63" s="56">
        <v>6</v>
      </c>
      <c r="CC63" s="56">
        <v>9.5</v>
      </c>
      <c r="CD63" s="56">
        <v>8.25</v>
      </c>
      <c r="CE63" s="56">
        <v>8.25</v>
      </c>
      <c r="CF63" s="56">
        <v>8.5</v>
      </c>
      <c r="CG63" s="56">
        <v>8.5</v>
      </c>
      <c r="CH63" s="56">
        <v>8.75</v>
      </c>
      <c r="CI63" s="56">
        <v>7.75</v>
      </c>
      <c r="CJ63" s="56">
        <v>6</v>
      </c>
      <c r="CK63" s="56">
        <v>6</v>
      </c>
      <c r="CL63" s="56">
        <v>8</v>
      </c>
      <c r="CM63" s="56">
        <v>10</v>
      </c>
      <c r="CN63" s="56">
        <v>10.5</v>
      </c>
      <c r="CO63" s="56">
        <v>10</v>
      </c>
      <c r="CP63" s="56">
        <v>9</v>
      </c>
      <c r="CQ63" s="56">
        <v>7.5</v>
      </c>
      <c r="CR63" s="56">
        <v>9.5</v>
      </c>
      <c r="CS63" s="56">
        <v>12</v>
      </c>
      <c r="CT63" s="56">
        <v>11</v>
      </c>
      <c r="CU63" s="56">
        <v>12</v>
      </c>
      <c r="CV63" s="56">
        <v>18</v>
      </c>
      <c r="CW63" s="56">
        <v>14.5</v>
      </c>
      <c r="CX63" s="56">
        <v>15</v>
      </c>
      <c r="CY63" s="56">
        <v>10.25</v>
      </c>
      <c r="CZ63" s="56">
        <v>7.75</v>
      </c>
      <c r="DA63" s="56">
        <v>6.75</v>
      </c>
      <c r="DB63" s="56">
        <v>7.75</v>
      </c>
      <c r="DC63" s="56">
        <v>11.25</v>
      </c>
      <c r="DD63" s="56">
        <v>9.75</v>
      </c>
      <c r="DE63" s="56">
        <v>5.75</v>
      </c>
      <c r="DF63" s="56">
        <v>5.75</v>
      </c>
      <c r="DG63" s="56">
        <v>7.5</v>
      </c>
      <c r="DH63" s="56">
        <v>8.5</v>
      </c>
      <c r="DI63" s="56">
        <v>6.25</v>
      </c>
      <c r="DJ63" s="56">
        <v>5.5</v>
      </c>
      <c r="DK63" s="56">
        <v>6</v>
      </c>
      <c r="DL63" s="56">
        <v>4.5</v>
      </c>
      <c r="DM63" s="56">
        <v>4.5</v>
      </c>
      <c r="DN63" s="56">
        <v>4.5</v>
      </c>
      <c r="DO63" s="56">
        <v>4.5</v>
      </c>
      <c r="DP63" s="56">
        <v>4.5</v>
      </c>
      <c r="DQ63" s="56">
        <v>4.5</v>
      </c>
      <c r="DR63" s="56">
        <v>5</v>
      </c>
      <c r="DS63" s="56">
        <v>4</v>
      </c>
      <c r="DT63" s="56">
        <v>4.5</v>
      </c>
      <c r="DU63" s="56">
        <v>4</v>
      </c>
      <c r="DV63" s="56">
        <v>3.5</v>
      </c>
      <c r="DW63" s="56">
        <v>3</v>
      </c>
      <c r="DX63" s="56">
        <v>3.25</v>
      </c>
      <c r="DY63" s="56">
        <v>3</v>
      </c>
      <c r="DZ63" s="56">
        <v>2.75</v>
      </c>
      <c r="EA63" s="56">
        <v>2.25</v>
      </c>
      <c r="EB63" s="56">
        <v>2</v>
      </c>
      <c r="EC63" s="56">
        <v>2</v>
      </c>
      <c r="ED63" s="56">
        <v>1.5</v>
      </c>
      <c r="EE63" s="56">
        <v>1.5</v>
      </c>
      <c r="EF63" s="56">
        <v>1.5</v>
      </c>
      <c r="EG63" s="56">
        <v>1.5</v>
      </c>
      <c r="EH63" s="56">
        <v>1.5</v>
      </c>
      <c r="EI63" s="56">
        <v>1.5</v>
      </c>
      <c r="EJ63" s="56">
        <v>1.5</v>
      </c>
      <c r="EK63" s="56">
        <v>1.5</v>
      </c>
      <c r="EL63" s="56">
        <v>1.5</v>
      </c>
      <c r="EM63" s="56">
        <v>1.5</v>
      </c>
      <c r="EN63" s="56">
        <v>1.5</v>
      </c>
      <c r="EO63" s="56">
        <v>1.5</v>
      </c>
      <c r="EP63" s="56">
        <v>1.5</v>
      </c>
      <c r="EQ63" s="56">
        <v>1.5</v>
      </c>
      <c r="ER63" s="56">
        <v>1.5</v>
      </c>
      <c r="ES63" s="56">
        <v>4</v>
      </c>
      <c r="ET63" s="56">
        <v>4</v>
      </c>
      <c r="EU63" s="56">
        <v>3.5</v>
      </c>
      <c r="EV63" s="56">
        <v>5.5</v>
      </c>
      <c r="EW63" s="48" t="s">
        <v>46</v>
      </c>
    </row>
    <row r="64" spans="1:153" x14ac:dyDescent="0.25">
      <c r="N64" s="23" t="s">
        <v>47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0</v>
      </c>
      <c r="AR64" s="56">
        <v>0</v>
      </c>
      <c r="AS64" s="56">
        <v>0</v>
      </c>
      <c r="AT64" s="56">
        <v>0</v>
      </c>
      <c r="AU64" s="56">
        <v>0</v>
      </c>
      <c r="AV64" s="56">
        <v>0</v>
      </c>
      <c r="AW64" s="56">
        <v>0</v>
      </c>
      <c r="AX64" s="56">
        <v>0</v>
      </c>
      <c r="AY64" s="56">
        <v>0</v>
      </c>
      <c r="AZ64" s="56">
        <v>0</v>
      </c>
      <c r="BA64" s="56">
        <v>0</v>
      </c>
      <c r="BB64" s="56">
        <v>0</v>
      </c>
      <c r="BC64" s="56">
        <v>0</v>
      </c>
      <c r="BD64" s="56">
        <v>0</v>
      </c>
      <c r="BE64" s="446">
        <v>7.81</v>
      </c>
      <c r="BF64" s="447">
        <v>8.5</v>
      </c>
      <c r="BG64" s="447">
        <v>6.95</v>
      </c>
      <c r="BH64" s="447">
        <v>3.25</v>
      </c>
      <c r="BI64" s="56">
        <v>3.25</v>
      </c>
      <c r="BJ64" s="56">
        <v>4.75</v>
      </c>
      <c r="BK64" s="56">
        <v>5.25</v>
      </c>
      <c r="BL64" s="56">
        <v>4.25</v>
      </c>
      <c r="BM64" s="56">
        <v>3.5</v>
      </c>
      <c r="BN64" s="56">
        <v>3.25</v>
      </c>
      <c r="BO64" s="56">
        <v>3.25</v>
      </c>
      <c r="BP64" s="56">
        <v>3.25</v>
      </c>
      <c r="BQ64" s="56">
        <v>3.25</v>
      </c>
      <c r="BR64" s="56">
        <v>3.25</v>
      </c>
      <c r="BS64" s="56">
        <v>3.25</v>
      </c>
      <c r="BT64" s="56">
        <v>3.25</v>
      </c>
      <c r="BU64" s="56">
        <v>4</v>
      </c>
      <c r="BV64" s="56">
        <v>7.5</v>
      </c>
      <c r="BW64" s="56">
        <v>8.25</v>
      </c>
      <c r="BX64" s="56">
        <v>7</v>
      </c>
      <c r="BY64" s="56">
        <v>4.75</v>
      </c>
      <c r="BZ64" s="56">
        <v>4</v>
      </c>
      <c r="CA64" s="56">
        <v>4.75</v>
      </c>
      <c r="CB64" s="56">
        <v>5.5</v>
      </c>
      <c r="CC64" s="56">
        <v>9.5</v>
      </c>
      <c r="CD64" s="56">
        <v>8.25</v>
      </c>
      <c r="CE64" s="56">
        <v>8</v>
      </c>
      <c r="CF64" s="56">
        <v>8.5</v>
      </c>
      <c r="CG64" s="56">
        <v>8.5</v>
      </c>
      <c r="CH64" s="56">
        <v>8.75</v>
      </c>
      <c r="CI64" s="56">
        <v>8.5</v>
      </c>
      <c r="CJ64" s="56">
        <v>6</v>
      </c>
      <c r="CK64" s="56">
        <v>6</v>
      </c>
      <c r="CL64" s="56">
        <v>7.5</v>
      </c>
      <c r="CM64" s="56">
        <v>10</v>
      </c>
      <c r="CN64" s="56">
        <v>10.5</v>
      </c>
      <c r="CO64" s="56">
        <v>10.5</v>
      </c>
      <c r="CP64" s="56">
        <v>8.75</v>
      </c>
      <c r="CQ64" s="56">
        <v>7.5</v>
      </c>
      <c r="CR64" s="56">
        <v>9.5</v>
      </c>
      <c r="CS64" s="56">
        <v>11.25</v>
      </c>
      <c r="CT64" s="56">
        <v>11</v>
      </c>
      <c r="CU64" s="56">
        <v>11.5</v>
      </c>
      <c r="CV64" s="56">
        <v>16</v>
      </c>
      <c r="CW64" s="56">
        <v>17.75</v>
      </c>
      <c r="CX64" s="56">
        <v>15.5</v>
      </c>
      <c r="CY64" s="56">
        <v>11.5</v>
      </c>
      <c r="CZ64" s="56">
        <v>7.75</v>
      </c>
      <c r="DA64" s="56">
        <v>6.5</v>
      </c>
      <c r="DB64" s="56">
        <v>7.5</v>
      </c>
      <c r="DC64" s="56">
        <v>10.5</v>
      </c>
      <c r="DD64" s="56">
        <v>9.75</v>
      </c>
      <c r="DE64" s="56">
        <v>5.75</v>
      </c>
      <c r="DF64" s="56">
        <v>5.5</v>
      </c>
      <c r="DG64" s="56">
        <v>7</v>
      </c>
      <c r="DH64" s="56">
        <v>8.5</v>
      </c>
      <c r="DI64" s="56">
        <v>6.25</v>
      </c>
      <c r="DJ64" s="56">
        <v>6</v>
      </c>
      <c r="DK64" s="56">
        <v>6</v>
      </c>
      <c r="DL64" s="56">
        <v>4.5</v>
      </c>
      <c r="DM64" s="56">
        <v>4.5</v>
      </c>
      <c r="DN64" s="56">
        <v>4.5</v>
      </c>
      <c r="DO64" s="56">
        <v>4.5</v>
      </c>
      <c r="DP64" s="56">
        <v>4.5</v>
      </c>
      <c r="DQ64" s="56">
        <v>4.5</v>
      </c>
      <c r="DR64" s="56">
        <v>5</v>
      </c>
      <c r="DS64" s="56">
        <v>4</v>
      </c>
      <c r="DT64" s="56">
        <v>4.5</v>
      </c>
      <c r="DU64" s="56">
        <v>4</v>
      </c>
      <c r="DV64" s="56">
        <v>3.5</v>
      </c>
      <c r="DW64" s="56">
        <v>3</v>
      </c>
      <c r="DX64" s="56">
        <v>3.25</v>
      </c>
      <c r="DY64" s="56">
        <v>3</v>
      </c>
      <c r="DZ64" s="56">
        <v>2.75</v>
      </c>
      <c r="EA64" s="56">
        <v>2.25</v>
      </c>
      <c r="EB64" s="56">
        <v>2</v>
      </c>
      <c r="EC64" s="56">
        <v>2</v>
      </c>
      <c r="ED64" s="56">
        <v>1.5</v>
      </c>
      <c r="EE64" s="56">
        <v>1.5</v>
      </c>
      <c r="EF64" s="56">
        <v>1.5</v>
      </c>
      <c r="EG64" s="56">
        <v>1.5</v>
      </c>
      <c r="EH64" s="56">
        <v>1.5</v>
      </c>
      <c r="EI64" s="56">
        <v>1.5</v>
      </c>
      <c r="EJ64" s="56">
        <v>1.5</v>
      </c>
      <c r="EK64" s="56">
        <v>1.5</v>
      </c>
      <c r="EL64" s="56">
        <v>1.5</v>
      </c>
      <c r="EM64" s="56">
        <v>1.5</v>
      </c>
      <c r="EN64" s="56">
        <v>1.5</v>
      </c>
      <c r="EO64" s="56">
        <v>1.5</v>
      </c>
      <c r="EP64" s="56">
        <v>1.5</v>
      </c>
      <c r="EQ64" s="56">
        <v>1.5</v>
      </c>
      <c r="ER64" s="56">
        <v>1.5</v>
      </c>
      <c r="ES64" s="56">
        <v>4</v>
      </c>
      <c r="ET64" s="56">
        <v>4</v>
      </c>
      <c r="EU64" s="56">
        <v>3.5</v>
      </c>
      <c r="EV64" s="56">
        <v>5.5</v>
      </c>
      <c r="EW64" s="48" t="s">
        <v>47</v>
      </c>
    </row>
    <row r="65" spans="14:153" ht="16.5" thickBot="1" x14ac:dyDescent="0.3">
      <c r="N65" s="23" t="s">
        <v>48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  <c r="AC65" s="56">
        <v>0</v>
      </c>
      <c r="AD65" s="56">
        <v>0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6">
        <v>0</v>
      </c>
      <c r="AV65" s="56">
        <v>0</v>
      </c>
      <c r="AW65" s="56">
        <v>0</v>
      </c>
      <c r="AX65" s="56">
        <v>0</v>
      </c>
      <c r="AY65" s="56">
        <v>0</v>
      </c>
      <c r="AZ65" s="56">
        <v>0</v>
      </c>
      <c r="BA65" s="56">
        <v>0</v>
      </c>
      <c r="BB65" s="56">
        <v>0</v>
      </c>
      <c r="BC65" s="56">
        <v>0</v>
      </c>
      <c r="BD65" s="56">
        <v>0</v>
      </c>
      <c r="BE65" s="446">
        <v>7.65</v>
      </c>
      <c r="BF65" s="447">
        <v>8.5</v>
      </c>
      <c r="BG65" s="447">
        <v>7.27</v>
      </c>
      <c r="BH65" s="447">
        <v>3.25</v>
      </c>
      <c r="BI65" s="56">
        <v>3.25</v>
      </c>
      <c r="BJ65" s="56">
        <v>4.75</v>
      </c>
      <c r="BK65" s="56">
        <v>5.25</v>
      </c>
      <c r="BL65" s="56">
        <v>4.25</v>
      </c>
      <c r="BM65" s="56">
        <v>3.5</v>
      </c>
      <c r="BN65" s="56">
        <v>3.25</v>
      </c>
      <c r="BO65" s="56">
        <v>3.25</v>
      </c>
      <c r="BP65" s="56">
        <v>3.25</v>
      </c>
      <c r="BQ65" s="56">
        <v>3.25</v>
      </c>
      <c r="BR65" s="56">
        <v>3.25</v>
      </c>
      <c r="BS65" s="56">
        <v>3.25</v>
      </c>
      <c r="BT65" s="56">
        <v>3.25</v>
      </c>
      <c r="BU65" s="56">
        <v>4</v>
      </c>
      <c r="BV65" s="56">
        <v>7.5</v>
      </c>
      <c r="BW65" s="56">
        <v>8.25</v>
      </c>
      <c r="BX65" s="56">
        <v>7</v>
      </c>
      <c r="BY65" s="56">
        <v>5</v>
      </c>
      <c r="BZ65" s="56">
        <v>4</v>
      </c>
      <c r="CA65" s="56">
        <v>4.25</v>
      </c>
      <c r="CB65" s="56">
        <v>5</v>
      </c>
      <c r="CC65" s="56">
        <v>9.5</v>
      </c>
      <c r="CD65" s="56">
        <v>8.5</v>
      </c>
      <c r="CE65" s="56">
        <v>7.75</v>
      </c>
      <c r="CF65" s="56">
        <v>8.5</v>
      </c>
      <c r="CG65" s="56">
        <v>8.5</v>
      </c>
      <c r="CH65" s="56">
        <v>8.5</v>
      </c>
      <c r="CI65" s="56">
        <v>8.5</v>
      </c>
      <c r="CJ65" s="56">
        <v>6</v>
      </c>
      <c r="CK65" s="56">
        <v>6</v>
      </c>
      <c r="CL65" s="56">
        <v>6.5</v>
      </c>
      <c r="CM65" s="56">
        <v>10</v>
      </c>
      <c r="CN65" s="56">
        <v>10.5</v>
      </c>
      <c r="CO65" s="56">
        <v>10.5</v>
      </c>
      <c r="CP65" s="56">
        <v>8.75</v>
      </c>
      <c r="CQ65" s="56">
        <v>7.5</v>
      </c>
      <c r="CR65" s="56">
        <v>9.5</v>
      </c>
      <c r="CS65" s="56">
        <v>10.75</v>
      </c>
      <c r="CT65" s="56">
        <v>11</v>
      </c>
      <c r="CU65" s="56">
        <v>11.5</v>
      </c>
      <c r="CV65" s="56">
        <v>15.75</v>
      </c>
      <c r="CW65" s="56">
        <v>21.5</v>
      </c>
      <c r="CX65" s="56">
        <v>15.25</v>
      </c>
      <c r="CY65" s="56">
        <v>11.75</v>
      </c>
      <c r="CZ65" s="56">
        <v>7.75</v>
      </c>
      <c r="DA65" s="56">
        <v>6.25</v>
      </c>
      <c r="DB65" s="56">
        <v>7.25</v>
      </c>
      <c r="DC65" s="56">
        <v>10.5</v>
      </c>
      <c r="DD65" s="56">
        <v>9.75</v>
      </c>
      <c r="DE65" s="56">
        <v>6</v>
      </c>
      <c r="DF65" s="56">
        <v>5.25</v>
      </c>
      <c r="DG65" s="56">
        <v>6.75</v>
      </c>
      <c r="DH65" s="56">
        <v>8.5</v>
      </c>
      <c r="DI65" s="56">
        <v>6.75</v>
      </c>
      <c r="DJ65" s="56">
        <v>6</v>
      </c>
      <c r="DK65" s="56">
        <v>6</v>
      </c>
      <c r="DL65" s="56">
        <v>5</v>
      </c>
      <c r="DM65" s="56">
        <v>4.5</v>
      </c>
      <c r="DN65" s="56">
        <v>4.5</v>
      </c>
      <c r="DO65" s="56">
        <v>4.5</v>
      </c>
      <c r="DP65" s="56">
        <v>4.5</v>
      </c>
      <c r="DQ65" s="56">
        <v>4.5</v>
      </c>
      <c r="DR65" s="56">
        <v>5</v>
      </c>
      <c r="DS65" s="56">
        <v>4</v>
      </c>
      <c r="DT65" s="56">
        <v>4.5</v>
      </c>
      <c r="DU65" s="56">
        <v>4</v>
      </c>
      <c r="DV65" s="56">
        <v>3.5</v>
      </c>
      <c r="DW65" s="56">
        <v>3</v>
      </c>
      <c r="DX65" s="56">
        <v>3.25</v>
      </c>
      <c r="DY65" s="56">
        <v>3</v>
      </c>
      <c r="DZ65" s="56">
        <v>3</v>
      </c>
      <c r="EA65" s="56">
        <v>2.25</v>
      </c>
      <c r="EB65" s="56">
        <v>2</v>
      </c>
      <c r="EC65" s="56">
        <v>2</v>
      </c>
      <c r="ED65" s="56">
        <v>1.75</v>
      </c>
      <c r="EE65" s="56">
        <v>1.5</v>
      </c>
      <c r="EF65" s="56">
        <v>1.5</v>
      </c>
      <c r="EG65" s="56">
        <v>1.5</v>
      </c>
      <c r="EH65" s="56">
        <v>1.5</v>
      </c>
      <c r="EI65" s="56">
        <v>1.5</v>
      </c>
      <c r="EJ65" s="56">
        <v>1.5</v>
      </c>
      <c r="EK65" s="56">
        <v>1.5</v>
      </c>
      <c r="EL65" s="56">
        <v>1.5</v>
      </c>
      <c r="EM65" s="56">
        <v>1.5</v>
      </c>
      <c r="EN65" s="56">
        <v>1.5</v>
      </c>
      <c r="EO65" s="56">
        <v>1.5</v>
      </c>
      <c r="EP65" s="56">
        <v>1.5</v>
      </c>
      <c r="EQ65" s="56">
        <v>1.5</v>
      </c>
      <c r="ER65" s="56">
        <v>1.5</v>
      </c>
      <c r="ES65" s="56">
        <v>4</v>
      </c>
      <c r="ET65" s="56">
        <v>4</v>
      </c>
      <c r="EU65" s="56">
        <v>3.5</v>
      </c>
      <c r="EV65" s="56">
        <v>6</v>
      </c>
      <c r="EW65" s="48" t="s">
        <v>48</v>
      </c>
    </row>
    <row r="66" spans="14:153" x14ac:dyDescent="0.25">
      <c r="N66" s="23" t="s">
        <v>38</v>
      </c>
      <c r="O66" s="98" t="str">
        <f t="shared" ref="O66:BK66" si="8">IFERROR(SUM(O54:O65)/COUNTIF(O54:O65,"&gt;0"),"")</f>
        <v/>
      </c>
      <c r="P66" s="98" t="str">
        <f t="shared" si="8"/>
        <v/>
      </c>
      <c r="Q66" s="98" t="str">
        <f t="shared" si="8"/>
        <v/>
      </c>
      <c r="R66" s="98" t="str">
        <f t="shared" si="8"/>
        <v/>
      </c>
      <c r="S66" s="98" t="str">
        <f t="shared" si="8"/>
        <v/>
      </c>
      <c r="T66" s="98" t="str">
        <f t="shared" si="8"/>
        <v/>
      </c>
      <c r="U66" s="98" t="str">
        <f t="shared" si="8"/>
        <v/>
      </c>
      <c r="V66" s="98" t="str">
        <f t="shared" si="8"/>
        <v/>
      </c>
      <c r="W66" s="98" t="str">
        <f t="shared" si="8"/>
        <v/>
      </c>
      <c r="X66" s="98" t="str">
        <f t="shared" si="8"/>
        <v/>
      </c>
      <c r="Y66" s="98" t="str">
        <f t="shared" si="8"/>
        <v/>
      </c>
      <c r="Z66" s="98" t="str">
        <f t="shared" si="8"/>
        <v/>
      </c>
      <c r="AA66" s="98" t="str">
        <f t="shared" si="8"/>
        <v/>
      </c>
      <c r="AB66" s="98" t="str">
        <f t="shared" si="8"/>
        <v/>
      </c>
      <c r="AC66" s="98" t="str">
        <f t="shared" si="8"/>
        <v/>
      </c>
      <c r="AD66" s="98" t="str">
        <f t="shared" si="8"/>
        <v/>
      </c>
      <c r="AE66" s="98" t="str">
        <f t="shared" si="8"/>
        <v/>
      </c>
      <c r="AF66" s="98" t="str">
        <f t="shared" si="8"/>
        <v/>
      </c>
      <c r="AG66" s="98" t="str">
        <f t="shared" si="8"/>
        <v/>
      </c>
      <c r="AH66" s="98" t="str">
        <f t="shared" si="8"/>
        <v/>
      </c>
      <c r="AI66" s="98" t="str">
        <f t="shared" si="8"/>
        <v/>
      </c>
      <c r="AJ66" s="98" t="str">
        <f t="shared" si="8"/>
        <v/>
      </c>
      <c r="AK66" s="98" t="str">
        <f t="shared" si="8"/>
        <v/>
      </c>
      <c r="AL66" s="98" t="str">
        <f t="shared" si="8"/>
        <v/>
      </c>
      <c r="AM66" s="98" t="str">
        <f t="shared" si="8"/>
        <v/>
      </c>
      <c r="AN66" s="98" t="str">
        <f t="shared" si="8"/>
        <v/>
      </c>
      <c r="AO66" s="98" t="str">
        <f t="shared" si="8"/>
        <v/>
      </c>
      <c r="AP66" s="98" t="str">
        <f t="shared" si="8"/>
        <v/>
      </c>
      <c r="AQ66" s="98" t="str">
        <f t="shared" si="8"/>
        <v/>
      </c>
      <c r="AR66" s="98" t="str">
        <f t="shared" si="8"/>
        <v/>
      </c>
      <c r="AS66" s="98" t="str">
        <f t="shared" si="8"/>
        <v/>
      </c>
      <c r="AT66" s="98" t="str">
        <f t="shared" si="8"/>
        <v/>
      </c>
      <c r="AU66" s="98" t="str">
        <f t="shared" si="8"/>
        <v/>
      </c>
      <c r="AV66" s="98" t="str">
        <f t="shared" si="8"/>
        <v/>
      </c>
      <c r="AW66" s="98" t="str">
        <f t="shared" si="8"/>
        <v/>
      </c>
      <c r="AX66" s="98" t="str">
        <f t="shared" si="8"/>
        <v/>
      </c>
      <c r="AY66" s="98" t="str">
        <f t="shared" si="8"/>
        <v/>
      </c>
      <c r="AZ66" s="98" t="str">
        <f t="shared" si="8"/>
        <v/>
      </c>
      <c r="BA66" s="98" t="str">
        <f t="shared" si="8"/>
        <v/>
      </c>
      <c r="BB66" s="98" t="str">
        <f t="shared" si="8"/>
        <v/>
      </c>
      <c r="BC66" s="98" t="str">
        <f t="shared" si="8"/>
        <v/>
      </c>
      <c r="BD66" s="98" t="str">
        <f t="shared" si="8"/>
        <v/>
      </c>
      <c r="BE66" s="98">
        <f t="shared" si="8"/>
        <v>8.3133333333333344</v>
      </c>
      <c r="BF66" s="98">
        <f t="shared" si="8"/>
        <v>8.1966666666666672</v>
      </c>
      <c r="BG66" s="98">
        <f t="shared" si="8"/>
        <v>4.8533333333333326</v>
      </c>
      <c r="BH66" s="98">
        <f t="shared" si="8"/>
        <v>3.25</v>
      </c>
      <c r="BI66" s="98">
        <f t="shared" si="8"/>
        <v>3.625</v>
      </c>
      <c r="BJ66" s="98">
        <f t="shared" si="8"/>
        <v>5.25</v>
      </c>
      <c r="BK66" s="98">
        <f t="shared" si="8"/>
        <v>4.875</v>
      </c>
      <c r="BL66" s="98">
        <f>IFERROR(SUM(BL54:BL65)/COUNTIF(BL54:BL65,"&gt;0"),"")</f>
        <v>4.0625</v>
      </c>
      <c r="BM66" s="98">
        <f t="shared" ref="BM66:DX66" si="9">IFERROR(SUM(BM54:BM65)/COUNTIF(BM54:BM65,"&gt;0"),"")</f>
        <v>3.5</v>
      </c>
      <c r="BN66" s="98">
        <f t="shared" si="9"/>
        <v>3.25</v>
      </c>
      <c r="BO66" s="98">
        <f t="shared" si="9"/>
        <v>3.25</v>
      </c>
      <c r="BP66" s="98">
        <f t="shared" si="9"/>
        <v>3.25</v>
      </c>
      <c r="BQ66" s="98">
        <f t="shared" si="9"/>
        <v>3.25</v>
      </c>
      <c r="BR66" s="98">
        <f t="shared" si="9"/>
        <v>3.25</v>
      </c>
      <c r="BS66" s="98">
        <f t="shared" si="9"/>
        <v>3.25</v>
      </c>
      <c r="BT66" s="98">
        <f t="shared" si="9"/>
        <v>3.25</v>
      </c>
      <c r="BU66" s="98">
        <f t="shared" si="9"/>
        <v>5.208333333333333</v>
      </c>
      <c r="BV66" s="98">
        <f t="shared" si="9"/>
        <v>8.0833333333333339</v>
      </c>
      <c r="BW66" s="98">
        <f t="shared" si="9"/>
        <v>7.9375</v>
      </c>
      <c r="BX66" s="98">
        <f t="shared" si="9"/>
        <v>6.104166666666667</v>
      </c>
      <c r="BY66" s="98">
        <f t="shared" si="9"/>
        <v>4.291666666666667</v>
      </c>
      <c r="BZ66" s="98">
        <f t="shared" si="9"/>
        <v>4.125</v>
      </c>
      <c r="CA66" s="98">
        <f t="shared" si="9"/>
        <v>4.708333333333333</v>
      </c>
      <c r="CB66" s="98">
        <f t="shared" si="9"/>
        <v>7.125</v>
      </c>
      <c r="CC66" s="98">
        <f t="shared" si="9"/>
        <v>9.1875</v>
      </c>
      <c r="CD66" s="98">
        <f t="shared" si="9"/>
        <v>7.979166666666667</v>
      </c>
      <c r="CE66" s="98">
        <f t="shared" si="9"/>
        <v>8.375</v>
      </c>
      <c r="CF66" s="98">
        <f t="shared" si="9"/>
        <v>8.4375</v>
      </c>
      <c r="CG66" s="98">
        <f t="shared" si="9"/>
        <v>8.4583333333333339</v>
      </c>
      <c r="CH66" s="98">
        <f t="shared" si="9"/>
        <v>8.8125</v>
      </c>
      <c r="CI66" s="98">
        <f t="shared" si="9"/>
        <v>7.25</v>
      </c>
      <c r="CJ66" s="98">
        <f t="shared" si="9"/>
        <v>6</v>
      </c>
      <c r="CK66" s="98">
        <f t="shared" si="9"/>
        <v>6.25</v>
      </c>
      <c r="CL66" s="98">
        <f t="shared" si="9"/>
        <v>8.375</v>
      </c>
      <c r="CM66" s="98">
        <f t="shared" si="9"/>
        <v>10</v>
      </c>
      <c r="CN66" s="98">
        <f t="shared" si="9"/>
        <v>10.875</v>
      </c>
      <c r="CO66" s="98">
        <f t="shared" si="9"/>
        <v>9.3958333333333339</v>
      </c>
      <c r="CP66" s="98">
        <f t="shared" si="9"/>
        <v>8.1666666666666661</v>
      </c>
      <c r="CQ66" s="98">
        <f t="shared" si="9"/>
        <v>8.25</v>
      </c>
      <c r="CR66" s="98">
        <f t="shared" si="9"/>
        <v>9.875</v>
      </c>
      <c r="CS66" s="98">
        <f t="shared" si="9"/>
        <v>11.979166666666666</v>
      </c>
      <c r="CT66" s="98">
        <f t="shared" si="9"/>
        <v>10.75</v>
      </c>
      <c r="CU66" s="98">
        <f t="shared" si="9"/>
        <v>14.6875</v>
      </c>
      <c r="CV66" s="98">
        <f t="shared" si="9"/>
        <v>18.770833333333332</v>
      </c>
      <c r="CW66" s="98">
        <f t="shared" si="9"/>
        <v>15.520833333333334</v>
      </c>
      <c r="CX66" s="98">
        <f t="shared" si="9"/>
        <v>12.791666666666666</v>
      </c>
      <c r="CY66" s="98">
        <f t="shared" si="9"/>
        <v>9.25</v>
      </c>
      <c r="CZ66" s="98">
        <f t="shared" si="9"/>
        <v>6.895833333333333</v>
      </c>
      <c r="DA66" s="98">
        <f t="shared" si="9"/>
        <v>6.8125</v>
      </c>
      <c r="DB66" s="98">
        <f t="shared" si="9"/>
        <v>7.916666666666667</v>
      </c>
      <c r="DC66" s="98">
        <f t="shared" si="9"/>
        <v>10.791666666666666</v>
      </c>
      <c r="DD66" s="98">
        <f t="shared" si="9"/>
        <v>8.1875</v>
      </c>
      <c r="DE66" s="98">
        <f t="shared" si="9"/>
        <v>5.270833333333333</v>
      </c>
      <c r="DF66" s="98">
        <f t="shared" si="9"/>
        <v>5.6566666666666663</v>
      </c>
      <c r="DG66" s="98">
        <f t="shared" si="9"/>
        <v>7.8125</v>
      </c>
      <c r="DH66" s="98">
        <f t="shared" si="9"/>
        <v>8</v>
      </c>
      <c r="DI66" s="98">
        <f t="shared" si="9"/>
        <v>6.333333333333333</v>
      </c>
      <c r="DJ66" s="98">
        <f t="shared" si="9"/>
        <v>5.625</v>
      </c>
      <c r="DK66" s="98">
        <f t="shared" si="9"/>
        <v>5.666666666666667</v>
      </c>
      <c r="DL66" s="98">
        <f t="shared" si="9"/>
        <v>4.541666666666667</v>
      </c>
      <c r="DM66" s="98">
        <f t="shared" si="9"/>
        <v>4.5</v>
      </c>
      <c r="DN66" s="98">
        <f t="shared" si="9"/>
        <v>4.5</v>
      </c>
      <c r="DO66" s="98">
        <f t="shared" si="9"/>
        <v>4.5</v>
      </c>
      <c r="DP66" s="98">
        <f t="shared" si="9"/>
        <v>4.5</v>
      </c>
      <c r="DQ66" s="98">
        <f t="shared" si="9"/>
        <v>4.791666666666667</v>
      </c>
      <c r="DR66" s="98">
        <f t="shared" si="9"/>
        <v>4.5</v>
      </c>
      <c r="DS66" s="98">
        <f t="shared" si="9"/>
        <v>3.7916666666666665</v>
      </c>
      <c r="DT66" s="98">
        <f t="shared" si="9"/>
        <v>4.208333333333333</v>
      </c>
      <c r="DU66" s="98">
        <f t="shared" si="9"/>
        <v>3.7916666666666665</v>
      </c>
      <c r="DV66" s="98">
        <f t="shared" si="9"/>
        <v>3.1666666666666665</v>
      </c>
      <c r="DW66" s="98">
        <f t="shared" si="9"/>
        <v>3.0416666666666665</v>
      </c>
      <c r="DX66" s="98">
        <f t="shared" si="9"/>
        <v>3.1875</v>
      </c>
      <c r="DY66" s="98">
        <f t="shared" ref="DY66:EV66" si="10">IFERROR(SUM(DY54:DY65)/COUNTIF(DY54:DY65,"&gt;0"),"")</f>
        <v>3</v>
      </c>
      <c r="DZ66" s="98">
        <f t="shared" si="10"/>
        <v>2.5833333333333335</v>
      </c>
      <c r="EA66" s="98">
        <f t="shared" si="10"/>
        <v>2.0833333333333335</v>
      </c>
      <c r="EB66" s="98">
        <f t="shared" si="10"/>
        <v>2</v>
      </c>
      <c r="EC66" s="98">
        <f t="shared" si="10"/>
        <v>1.8541666666666667</v>
      </c>
      <c r="ED66" s="98">
        <f t="shared" si="10"/>
        <v>1.5208333333333333</v>
      </c>
      <c r="EE66" s="98">
        <f t="shared" si="10"/>
        <v>1.5</v>
      </c>
      <c r="EF66" s="98">
        <f t="shared" si="10"/>
        <v>1.5</v>
      </c>
      <c r="EG66" s="98">
        <f t="shared" si="10"/>
        <v>1.5</v>
      </c>
      <c r="EH66" s="98">
        <f t="shared" si="10"/>
        <v>1.5</v>
      </c>
      <c r="EI66" s="98">
        <f t="shared" si="10"/>
        <v>1.5</v>
      </c>
      <c r="EJ66" s="98">
        <f t="shared" si="10"/>
        <v>1.5</v>
      </c>
      <c r="EK66" s="98">
        <f t="shared" si="10"/>
        <v>1.5</v>
      </c>
      <c r="EL66" s="98">
        <f t="shared" si="10"/>
        <v>1.5</v>
      </c>
      <c r="EM66" s="98">
        <f t="shared" si="10"/>
        <v>1.5</v>
      </c>
      <c r="EN66" s="98">
        <f t="shared" si="10"/>
        <v>1.5</v>
      </c>
      <c r="EO66" s="98">
        <f t="shared" si="10"/>
        <v>1.5</v>
      </c>
      <c r="EP66" s="98">
        <f t="shared" si="10"/>
        <v>1.5</v>
      </c>
      <c r="EQ66" s="98">
        <f t="shared" si="10"/>
        <v>1.5</v>
      </c>
      <c r="ER66" s="98">
        <f t="shared" si="10"/>
        <v>2.625</v>
      </c>
      <c r="ES66" s="98">
        <f t="shared" si="10"/>
        <v>3.7916666666666665</v>
      </c>
      <c r="ET66" s="98">
        <f t="shared" si="10"/>
        <v>4.145833333333333</v>
      </c>
      <c r="EU66" s="98">
        <f t="shared" si="10"/>
        <v>4.041666666666667</v>
      </c>
      <c r="EV66" s="98">
        <f t="shared" si="10"/>
        <v>5.541666666666667</v>
      </c>
    </row>
    <row r="67" spans="14:153" x14ac:dyDescent="0.25">
      <c r="N67" s="3">
        <v>1</v>
      </c>
      <c r="O67" s="57" t="str">
        <f t="shared" ref="O67:BK67" si="11">IFERROR(O$66+$N$67,"")</f>
        <v/>
      </c>
      <c r="P67" s="57" t="str">
        <f t="shared" si="11"/>
        <v/>
      </c>
      <c r="Q67" s="57" t="str">
        <f t="shared" si="11"/>
        <v/>
      </c>
      <c r="R67" s="57" t="str">
        <f t="shared" si="11"/>
        <v/>
      </c>
      <c r="S67" s="57" t="str">
        <f t="shared" si="11"/>
        <v/>
      </c>
      <c r="T67" s="57" t="str">
        <f t="shared" si="11"/>
        <v/>
      </c>
      <c r="U67" s="57" t="str">
        <f t="shared" si="11"/>
        <v/>
      </c>
      <c r="V67" s="57" t="str">
        <f t="shared" si="11"/>
        <v/>
      </c>
      <c r="W67" s="57" t="str">
        <f t="shared" si="11"/>
        <v/>
      </c>
      <c r="X67" s="57" t="str">
        <f t="shared" si="11"/>
        <v/>
      </c>
      <c r="Y67" s="57" t="str">
        <f t="shared" si="11"/>
        <v/>
      </c>
      <c r="Z67" s="57" t="str">
        <f t="shared" si="11"/>
        <v/>
      </c>
      <c r="AA67" s="57" t="str">
        <f t="shared" si="11"/>
        <v/>
      </c>
      <c r="AB67" s="57" t="str">
        <f t="shared" si="11"/>
        <v/>
      </c>
      <c r="AC67" s="57" t="str">
        <f t="shared" si="11"/>
        <v/>
      </c>
      <c r="AD67" s="57" t="str">
        <f t="shared" si="11"/>
        <v/>
      </c>
      <c r="AE67" s="57" t="str">
        <f t="shared" si="11"/>
        <v/>
      </c>
      <c r="AF67" s="57" t="str">
        <f t="shared" si="11"/>
        <v/>
      </c>
      <c r="AG67" s="57" t="str">
        <f t="shared" si="11"/>
        <v/>
      </c>
      <c r="AH67" s="57" t="str">
        <f t="shared" si="11"/>
        <v/>
      </c>
      <c r="AI67" s="57" t="str">
        <f t="shared" si="11"/>
        <v/>
      </c>
      <c r="AJ67" s="57" t="str">
        <f t="shared" si="11"/>
        <v/>
      </c>
      <c r="AK67" s="57" t="str">
        <f t="shared" si="11"/>
        <v/>
      </c>
      <c r="AL67" s="57" t="str">
        <f t="shared" si="11"/>
        <v/>
      </c>
      <c r="AM67" s="57" t="str">
        <f t="shared" si="11"/>
        <v/>
      </c>
      <c r="AN67" s="57" t="str">
        <f t="shared" si="11"/>
        <v/>
      </c>
      <c r="AO67" s="57" t="str">
        <f t="shared" si="11"/>
        <v/>
      </c>
      <c r="AP67" s="57" t="str">
        <f t="shared" si="11"/>
        <v/>
      </c>
      <c r="AQ67" s="57" t="str">
        <f t="shared" si="11"/>
        <v/>
      </c>
      <c r="AR67" s="57" t="str">
        <f t="shared" si="11"/>
        <v/>
      </c>
      <c r="AS67" s="57" t="str">
        <f t="shared" si="11"/>
        <v/>
      </c>
      <c r="AT67" s="57" t="str">
        <f t="shared" si="11"/>
        <v/>
      </c>
      <c r="AU67" s="57" t="str">
        <f t="shared" si="11"/>
        <v/>
      </c>
      <c r="AV67" s="57" t="str">
        <f t="shared" si="11"/>
        <v/>
      </c>
      <c r="AW67" s="57" t="str">
        <f t="shared" si="11"/>
        <v/>
      </c>
      <c r="AX67" s="57" t="str">
        <f t="shared" si="11"/>
        <v/>
      </c>
      <c r="AY67" s="57" t="str">
        <f t="shared" si="11"/>
        <v/>
      </c>
      <c r="AZ67" s="57" t="str">
        <f t="shared" si="11"/>
        <v/>
      </c>
      <c r="BA67" s="57" t="str">
        <f t="shared" si="11"/>
        <v/>
      </c>
      <c r="BB67" s="57" t="str">
        <f t="shared" si="11"/>
        <v/>
      </c>
      <c r="BC67" s="57" t="str">
        <f t="shared" si="11"/>
        <v/>
      </c>
      <c r="BD67" s="57" t="str">
        <f t="shared" si="11"/>
        <v/>
      </c>
      <c r="BE67" s="57">
        <f t="shared" si="11"/>
        <v>9.3133333333333344</v>
      </c>
      <c r="BF67" s="57">
        <f t="shared" si="11"/>
        <v>9.1966666666666672</v>
      </c>
      <c r="BG67" s="57">
        <f t="shared" si="11"/>
        <v>5.8533333333333326</v>
      </c>
      <c r="BH67" s="57">
        <f t="shared" si="11"/>
        <v>4.25</v>
      </c>
      <c r="BI67" s="57">
        <f t="shared" si="11"/>
        <v>4.625</v>
      </c>
      <c r="BJ67" s="57">
        <f t="shared" si="11"/>
        <v>6.25</v>
      </c>
      <c r="BK67" s="57">
        <f t="shared" si="11"/>
        <v>5.875</v>
      </c>
      <c r="BL67" s="57">
        <f>IFERROR(BL$66+$N$67,"")</f>
        <v>5.0625</v>
      </c>
      <c r="BM67" s="57">
        <f t="shared" ref="BM67:DX67" si="12">IFERROR(BM$66+$N$67,"")</f>
        <v>4.5</v>
      </c>
      <c r="BN67" s="57">
        <f t="shared" si="12"/>
        <v>4.25</v>
      </c>
      <c r="BO67" s="57">
        <f t="shared" si="12"/>
        <v>4.25</v>
      </c>
      <c r="BP67" s="57">
        <f t="shared" si="12"/>
        <v>4.25</v>
      </c>
      <c r="BQ67" s="57">
        <f t="shared" si="12"/>
        <v>4.25</v>
      </c>
      <c r="BR67" s="57">
        <f t="shared" si="12"/>
        <v>4.25</v>
      </c>
      <c r="BS67" s="57">
        <f t="shared" si="12"/>
        <v>4.25</v>
      </c>
      <c r="BT67" s="57">
        <f t="shared" si="12"/>
        <v>4.25</v>
      </c>
      <c r="BU67" s="57">
        <f t="shared" si="12"/>
        <v>6.208333333333333</v>
      </c>
      <c r="BV67" s="57">
        <f t="shared" si="12"/>
        <v>9.0833333333333339</v>
      </c>
      <c r="BW67" s="57">
        <f t="shared" si="12"/>
        <v>8.9375</v>
      </c>
      <c r="BX67" s="57">
        <f t="shared" si="12"/>
        <v>7.104166666666667</v>
      </c>
      <c r="BY67" s="57">
        <f t="shared" si="12"/>
        <v>5.291666666666667</v>
      </c>
      <c r="BZ67" s="57">
        <f t="shared" si="12"/>
        <v>5.125</v>
      </c>
      <c r="CA67" s="57">
        <f t="shared" si="12"/>
        <v>5.708333333333333</v>
      </c>
      <c r="CB67" s="57">
        <f t="shared" si="12"/>
        <v>8.125</v>
      </c>
      <c r="CC67" s="57">
        <f t="shared" si="12"/>
        <v>10.1875</v>
      </c>
      <c r="CD67" s="57">
        <f t="shared" si="12"/>
        <v>8.9791666666666679</v>
      </c>
      <c r="CE67" s="57">
        <f t="shared" si="12"/>
        <v>9.375</v>
      </c>
      <c r="CF67" s="57">
        <f t="shared" si="12"/>
        <v>9.4375</v>
      </c>
      <c r="CG67" s="57">
        <f t="shared" si="12"/>
        <v>9.4583333333333339</v>
      </c>
      <c r="CH67" s="57">
        <f t="shared" si="12"/>
        <v>9.8125</v>
      </c>
      <c r="CI67" s="57">
        <f t="shared" si="12"/>
        <v>8.25</v>
      </c>
      <c r="CJ67" s="57">
        <f t="shared" si="12"/>
        <v>7</v>
      </c>
      <c r="CK67" s="57">
        <f t="shared" si="12"/>
        <v>7.25</v>
      </c>
      <c r="CL67" s="57">
        <f t="shared" si="12"/>
        <v>9.375</v>
      </c>
      <c r="CM67" s="57">
        <f t="shared" si="12"/>
        <v>11</v>
      </c>
      <c r="CN67" s="57">
        <f t="shared" si="12"/>
        <v>11.875</v>
      </c>
      <c r="CO67" s="57">
        <f t="shared" si="12"/>
        <v>10.395833333333334</v>
      </c>
      <c r="CP67" s="57">
        <f t="shared" si="12"/>
        <v>9.1666666666666661</v>
      </c>
      <c r="CQ67" s="57">
        <f t="shared" si="12"/>
        <v>9.25</v>
      </c>
      <c r="CR67" s="57">
        <f t="shared" si="12"/>
        <v>10.875</v>
      </c>
      <c r="CS67" s="57">
        <f t="shared" si="12"/>
        <v>12.979166666666666</v>
      </c>
      <c r="CT67" s="57">
        <f t="shared" si="12"/>
        <v>11.75</v>
      </c>
      <c r="CU67" s="57">
        <f t="shared" si="12"/>
        <v>15.6875</v>
      </c>
      <c r="CV67" s="57">
        <f t="shared" si="12"/>
        <v>19.770833333333332</v>
      </c>
      <c r="CW67" s="57">
        <f t="shared" si="12"/>
        <v>16.520833333333336</v>
      </c>
      <c r="CX67" s="57">
        <f t="shared" si="12"/>
        <v>13.791666666666666</v>
      </c>
      <c r="CY67" s="57">
        <f t="shared" si="12"/>
        <v>10.25</v>
      </c>
      <c r="CZ67" s="57">
        <f t="shared" si="12"/>
        <v>7.895833333333333</v>
      </c>
      <c r="DA67" s="57">
        <f t="shared" si="12"/>
        <v>7.8125</v>
      </c>
      <c r="DB67" s="57">
        <f t="shared" si="12"/>
        <v>8.9166666666666679</v>
      </c>
      <c r="DC67" s="57">
        <f t="shared" si="12"/>
        <v>11.791666666666666</v>
      </c>
      <c r="DD67" s="57">
        <f t="shared" si="12"/>
        <v>9.1875</v>
      </c>
      <c r="DE67" s="57">
        <f t="shared" si="12"/>
        <v>6.270833333333333</v>
      </c>
      <c r="DF67" s="57">
        <f t="shared" si="12"/>
        <v>6.6566666666666663</v>
      </c>
      <c r="DG67" s="57">
        <f t="shared" si="12"/>
        <v>8.8125</v>
      </c>
      <c r="DH67" s="57">
        <f t="shared" si="12"/>
        <v>9</v>
      </c>
      <c r="DI67" s="57">
        <f t="shared" si="12"/>
        <v>7.333333333333333</v>
      </c>
      <c r="DJ67" s="57">
        <f t="shared" si="12"/>
        <v>6.625</v>
      </c>
      <c r="DK67" s="57">
        <f t="shared" si="12"/>
        <v>6.666666666666667</v>
      </c>
      <c r="DL67" s="57">
        <f t="shared" si="12"/>
        <v>5.541666666666667</v>
      </c>
      <c r="DM67" s="57">
        <f t="shared" si="12"/>
        <v>5.5</v>
      </c>
      <c r="DN67" s="57">
        <f t="shared" si="12"/>
        <v>5.5</v>
      </c>
      <c r="DO67" s="57">
        <f t="shared" si="12"/>
        <v>5.5</v>
      </c>
      <c r="DP67" s="57">
        <f t="shared" si="12"/>
        <v>5.5</v>
      </c>
      <c r="DQ67" s="57">
        <f t="shared" si="12"/>
        <v>5.791666666666667</v>
      </c>
      <c r="DR67" s="57">
        <f t="shared" si="12"/>
        <v>5.5</v>
      </c>
      <c r="DS67" s="57">
        <f t="shared" si="12"/>
        <v>4.7916666666666661</v>
      </c>
      <c r="DT67" s="57">
        <f t="shared" si="12"/>
        <v>5.208333333333333</v>
      </c>
      <c r="DU67" s="57">
        <f t="shared" si="12"/>
        <v>4.7916666666666661</v>
      </c>
      <c r="DV67" s="57">
        <f t="shared" si="12"/>
        <v>4.1666666666666661</v>
      </c>
      <c r="DW67" s="57">
        <f t="shared" si="12"/>
        <v>4.0416666666666661</v>
      </c>
      <c r="DX67" s="57">
        <f t="shared" si="12"/>
        <v>4.1875</v>
      </c>
      <c r="DY67" s="57">
        <f t="shared" ref="DY67:EV67" si="13">IFERROR(DY$66+$N$67,"")</f>
        <v>4</v>
      </c>
      <c r="DZ67" s="57">
        <f t="shared" si="13"/>
        <v>3.5833333333333335</v>
      </c>
      <c r="EA67" s="57">
        <f t="shared" si="13"/>
        <v>3.0833333333333335</v>
      </c>
      <c r="EB67" s="57">
        <f t="shared" si="13"/>
        <v>3</v>
      </c>
      <c r="EC67" s="57">
        <f t="shared" si="13"/>
        <v>2.854166666666667</v>
      </c>
      <c r="ED67" s="57">
        <f t="shared" si="13"/>
        <v>2.520833333333333</v>
      </c>
      <c r="EE67" s="57">
        <f t="shared" si="13"/>
        <v>2.5</v>
      </c>
      <c r="EF67" s="57">
        <f t="shared" si="13"/>
        <v>2.5</v>
      </c>
      <c r="EG67" s="57">
        <f t="shared" si="13"/>
        <v>2.5</v>
      </c>
      <c r="EH67" s="57">
        <f t="shared" si="13"/>
        <v>2.5</v>
      </c>
      <c r="EI67" s="57">
        <f t="shared" si="13"/>
        <v>2.5</v>
      </c>
      <c r="EJ67" s="57">
        <f t="shared" si="13"/>
        <v>2.5</v>
      </c>
      <c r="EK67" s="57">
        <f t="shared" si="13"/>
        <v>2.5</v>
      </c>
      <c r="EL67" s="57">
        <f t="shared" si="13"/>
        <v>2.5</v>
      </c>
      <c r="EM67" s="57">
        <f t="shared" si="13"/>
        <v>2.5</v>
      </c>
      <c r="EN67" s="57">
        <f t="shared" si="13"/>
        <v>2.5</v>
      </c>
      <c r="EO67" s="57">
        <f t="shared" si="13"/>
        <v>2.5</v>
      </c>
      <c r="EP67" s="57">
        <f t="shared" si="13"/>
        <v>2.5</v>
      </c>
      <c r="EQ67" s="57">
        <f t="shared" si="13"/>
        <v>2.5</v>
      </c>
      <c r="ER67" s="57">
        <f t="shared" si="13"/>
        <v>3.625</v>
      </c>
      <c r="ES67" s="57">
        <f t="shared" si="13"/>
        <v>4.7916666666666661</v>
      </c>
      <c r="ET67" s="57">
        <f t="shared" si="13"/>
        <v>5.145833333333333</v>
      </c>
      <c r="EU67" s="57">
        <f t="shared" si="13"/>
        <v>5.041666666666667</v>
      </c>
      <c r="EV67" s="57">
        <f t="shared" si="13"/>
        <v>6.541666666666667</v>
      </c>
    </row>
    <row r="68" spans="14:153" x14ac:dyDescent="0.25">
      <c r="N68" s="3">
        <v>2</v>
      </c>
      <c r="O68" s="58" t="str">
        <f t="shared" ref="O68:BK68" si="14">IFERROR(O$66+$N$68,"")</f>
        <v/>
      </c>
      <c r="P68" s="58" t="str">
        <f t="shared" si="14"/>
        <v/>
      </c>
      <c r="Q68" s="58" t="str">
        <f t="shared" si="14"/>
        <v/>
      </c>
      <c r="R68" s="58" t="str">
        <f t="shared" si="14"/>
        <v/>
      </c>
      <c r="S68" s="58" t="str">
        <f t="shared" si="14"/>
        <v/>
      </c>
      <c r="T68" s="58" t="str">
        <f t="shared" si="14"/>
        <v/>
      </c>
      <c r="U68" s="58" t="str">
        <f t="shared" si="14"/>
        <v/>
      </c>
      <c r="V68" s="58" t="str">
        <f t="shared" si="14"/>
        <v/>
      </c>
      <c r="W68" s="58" t="str">
        <f t="shared" si="14"/>
        <v/>
      </c>
      <c r="X68" s="58" t="str">
        <f t="shared" si="14"/>
        <v/>
      </c>
      <c r="Y68" s="58" t="str">
        <f t="shared" si="14"/>
        <v/>
      </c>
      <c r="Z68" s="58" t="str">
        <f t="shared" si="14"/>
        <v/>
      </c>
      <c r="AA68" s="58" t="str">
        <f t="shared" si="14"/>
        <v/>
      </c>
      <c r="AB68" s="58" t="str">
        <f t="shared" si="14"/>
        <v/>
      </c>
      <c r="AC68" s="58" t="str">
        <f t="shared" si="14"/>
        <v/>
      </c>
      <c r="AD68" s="58" t="str">
        <f t="shared" si="14"/>
        <v/>
      </c>
      <c r="AE68" s="58" t="str">
        <f t="shared" si="14"/>
        <v/>
      </c>
      <c r="AF68" s="58" t="str">
        <f t="shared" si="14"/>
        <v/>
      </c>
      <c r="AG68" s="58" t="str">
        <f t="shared" si="14"/>
        <v/>
      </c>
      <c r="AH68" s="58" t="str">
        <f t="shared" si="14"/>
        <v/>
      </c>
      <c r="AI68" s="58" t="str">
        <f t="shared" si="14"/>
        <v/>
      </c>
      <c r="AJ68" s="58" t="str">
        <f t="shared" si="14"/>
        <v/>
      </c>
      <c r="AK68" s="58" t="str">
        <f t="shared" si="14"/>
        <v/>
      </c>
      <c r="AL68" s="58" t="str">
        <f t="shared" si="14"/>
        <v/>
      </c>
      <c r="AM68" s="58" t="str">
        <f t="shared" si="14"/>
        <v/>
      </c>
      <c r="AN68" s="58" t="str">
        <f t="shared" si="14"/>
        <v/>
      </c>
      <c r="AO68" s="58" t="str">
        <f t="shared" si="14"/>
        <v/>
      </c>
      <c r="AP68" s="58" t="str">
        <f t="shared" si="14"/>
        <v/>
      </c>
      <c r="AQ68" s="58" t="str">
        <f t="shared" si="14"/>
        <v/>
      </c>
      <c r="AR68" s="58" t="str">
        <f t="shared" si="14"/>
        <v/>
      </c>
      <c r="AS68" s="58" t="str">
        <f t="shared" si="14"/>
        <v/>
      </c>
      <c r="AT68" s="58" t="str">
        <f t="shared" si="14"/>
        <v/>
      </c>
      <c r="AU68" s="58" t="str">
        <f t="shared" si="14"/>
        <v/>
      </c>
      <c r="AV68" s="58" t="str">
        <f t="shared" si="14"/>
        <v/>
      </c>
      <c r="AW68" s="58" t="str">
        <f t="shared" si="14"/>
        <v/>
      </c>
      <c r="AX68" s="58" t="str">
        <f t="shared" si="14"/>
        <v/>
      </c>
      <c r="AY68" s="58" t="str">
        <f t="shared" si="14"/>
        <v/>
      </c>
      <c r="AZ68" s="58" t="str">
        <f t="shared" si="14"/>
        <v/>
      </c>
      <c r="BA68" s="58" t="str">
        <f t="shared" si="14"/>
        <v/>
      </c>
      <c r="BB68" s="58" t="str">
        <f t="shared" si="14"/>
        <v/>
      </c>
      <c r="BC68" s="58" t="str">
        <f t="shared" si="14"/>
        <v/>
      </c>
      <c r="BD68" s="58" t="str">
        <f t="shared" si="14"/>
        <v/>
      </c>
      <c r="BE68" s="58">
        <f t="shared" si="14"/>
        <v>10.313333333333334</v>
      </c>
      <c r="BF68" s="58">
        <f t="shared" si="14"/>
        <v>10.196666666666667</v>
      </c>
      <c r="BG68" s="58">
        <f t="shared" si="14"/>
        <v>6.8533333333333326</v>
      </c>
      <c r="BH68" s="58">
        <f t="shared" si="14"/>
        <v>5.25</v>
      </c>
      <c r="BI68" s="58">
        <f t="shared" si="14"/>
        <v>5.625</v>
      </c>
      <c r="BJ68" s="58">
        <f t="shared" si="14"/>
        <v>7.25</v>
      </c>
      <c r="BK68" s="58">
        <f t="shared" si="14"/>
        <v>6.875</v>
      </c>
      <c r="BL68" s="58">
        <f>IFERROR(BL$66+$N$68,"")</f>
        <v>6.0625</v>
      </c>
      <c r="BM68" s="58">
        <f t="shared" ref="BM68:DX68" si="15">IFERROR(BM$66+$N$68,"")</f>
        <v>5.5</v>
      </c>
      <c r="BN68" s="58">
        <f t="shared" si="15"/>
        <v>5.25</v>
      </c>
      <c r="BO68" s="58">
        <f t="shared" si="15"/>
        <v>5.25</v>
      </c>
      <c r="BP68" s="58">
        <f t="shared" si="15"/>
        <v>5.25</v>
      </c>
      <c r="BQ68" s="58">
        <f t="shared" si="15"/>
        <v>5.25</v>
      </c>
      <c r="BR68" s="58">
        <f t="shared" si="15"/>
        <v>5.25</v>
      </c>
      <c r="BS68" s="58">
        <f t="shared" si="15"/>
        <v>5.25</v>
      </c>
      <c r="BT68" s="58">
        <f t="shared" si="15"/>
        <v>5.25</v>
      </c>
      <c r="BU68" s="58">
        <f t="shared" si="15"/>
        <v>7.208333333333333</v>
      </c>
      <c r="BV68" s="58">
        <f t="shared" si="15"/>
        <v>10.083333333333334</v>
      </c>
      <c r="BW68" s="58">
        <f t="shared" si="15"/>
        <v>9.9375</v>
      </c>
      <c r="BX68" s="58">
        <f t="shared" si="15"/>
        <v>8.1041666666666679</v>
      </c>
      <c r="BY68" s="58">
        <f t="shared" si="15"/>
        <v>6.291666666666667</v>
      </c>
      <c r="BZ68" s="58">
        <f t="shared" si="15"/>
        <v>6.125</v>
      </c>
      <c r="CA68" s="58">
        <f t="shared" si="15"/>
        <v>6.708333333333333</v>
      </c>
      <c r="CB68" s="58">
        <f t="shared" si="15"/>
        <v>9.125</v>
      </c>
      <c r="CC68" s="58">
        <f t="shared" si="15"/>
        <v>11.1875</v>
      </c>
      <c r="CD68" s="58">
        <f t="shared" si="15"/>
        <v>9.9791666666666679</v>
      </c>
      <c r="CE68" s="58">
        <f t="shared" si="15"/>
        <v>10.375</v>
      </c>
      <c r="CF68" s="58">
        <f t="shared" si="15"/>
        <v>10.4375</v>
      </c>
      <c r="CG68" s="58">
        <f t="shared" si="15"/>
        <v>10.458333333333334</v>
      </c>
      <c r="CH68" s="58">
        <f t="shared" si="15"/>
        <v>10.8125</v>
      </c>
      <c r="CI68" s="58">
        <f t="shared" si="15"/>
        <v>9.25</v>
      </c>
      <c r="CJ68" s="58">
        <f t="shared" si="15"/>
        <v>8</v>
      </c>
      <c r="CK68" s="58">
        <f t="shared" si="15"/>
        <v>8.25</v>
      </c>
      <c r="CL68" s="58">
        <f t="shared" si="15"/>
        <v>10.375</v>
      </c>
      <c r="CM68" s="58">
        <f t="shared" si="15"/>
        <v>12</v>
      </c>
      <c r="CN68" s="58">
        <f t="shared" si="15"/>
        <v>12.875</v>
      </c>
      <c r="CO68" s="58">
        <f t="shared" si="15"/>
        <v>11.395833333333334</v>
      </c>
      <c r="CP68" s="58">
        <f t="shared" si="15"/>
        <v>10.166666666666666</v>
      </c>
      <c r="CQ68" s="58">
        <f t="shared" si="15"/>
        <v>10.25</v>
      </c>
      <c r="CR68" s="58">
        <f t="shared" si="15"/>
        <v>11.875</v>
      </c>
      <c r="CS68" s="58">
        <f t="shared" si="15"/>
        <v>13.979166666666666</v>
      </c>
      <c r="CT68" s="58">
        <f t="shared" si="15"/>
        <v>12.75</v>
      </c>
      <c r="CU68" s="58">
        <f t="shared" si="15"/>
        <v>16.6875</v>
      </c>
      <c r="CV68" s="58">
        <f t="shared" si="15"/>
        <v>20.770833333333332</v>
      </c>
      <c r="CW68" s="58">
        <f t="shared" si="15"/>
        <v>17.520833333333336</v>
      </c>
      <c r="CX68" s="58">
        <f t="shared" si="15"/>
        <v>14.791666666666666</v>
      </c>
      <c r="CY68" s="58">
        <f t="shared" si="15"/>
        <v>11.25</v>
      </c>
      <c r="CZ68" s="58">
        <f t="shared" si="15"/>
        <v>8.8958333333333321</v>
      </c>
      <c r="DA68" s="58">
        <f t="shared" si="15"/>
        <v>8.8125</v>
      </c>
      <c r="DB68" s="58">
        <f t="shared" si="15"/>
        <v>9.9166666666666679</v>
      </c>
      <c r="DC68" s="58">
        <f t="shared" si="15"/>
        <v>12.791666666666666</v>
      </c>
      <c r="DD68" s="58">
        <f t="shared" si="15"/>
        <v>10.1875</v>
      </c>
      <c r="DE68" s="58">
        <f t="shared" si="15"/>
        <v>7.270833333333333</v>
      </c>
      <c r="DF68" s="58">
        <f t="shared" si="15"/>
        <v>7.6566666666666663</v>
      </c>
      <c r="DG68" s="58">
        <f t="shared" si="15"/>
        <v>9.8125</v>
      </c>
      <c r="DH68" s="58">
        <f t="shared" si="15"/>
        <v>10</v>
      </c>
      <c r="DI68" s="58">
        <f t="shared" si="15"/>
        <v>8.3333333333333321</v>
      </c>
      <c r="DJ68" s="58">
        <f t="shared" si="15"/>
        <v>7.625</v>
      </c>
      <c r="DK68" s="58">
        <f t="shared" si="15"/>
        <v>7.666666666666667</v>
      </c>
      <c r="DL68" s="58">
        <f t="shared" si="15"/>
        <v>6.541666666666667</v>
      </c>
      <c r="DM68" s="58">
        <f t="shared" si="15"/>
        <v>6.5</v>
      </c>
      <c r="DN68" s="58">
        <f t="shared" si="15"/>
        <v>6.5</v>
      </c>
      <c r="DO68" s="58">
        <f t="shared" si="15"/>
        <v>6.5</v>
      </c>
      <c r="DP68" s="58">
        <f t="shared" si="15"/>
        <v>6.5</v>
      </c>
      <c r="DQ68" s="58">
        <f t="shared" si="15"/>
        <v>6.791666666666667</v>
      </c>
      <c r="DR68" s="58">
        <f t="shared" si="15"/>
        <v>6.5</v>
      </c>
      <c r="DS68" s="58">
        <f t="shared" si="15"/>
        <v>5.7916666666666661</v>
      </c>
      <c r="DT68" s="58">
        <f t="shared" si="15"/>
        <v>6.208333333333333</v>
      </c>
      <c r="DU68" s="58">
        <f t="shared" si="15"/>
        <v>5.7916666666666661</v>
      </c>
      <c r="DV68" s="58">
        <f t="shared" si="15"/>
        <v>5.1666666666666661</v>
      </c>
      <c r="DW68" s="58">
        <f t="shared" si="15"/>
        <v>5.0416666666666661</v>
      </c>
      <c r="DX68" s="58">
        <f t="shared" si="15"/>
        <v>5.1875</v>
      </c>
      <c r="DY68" s="58">
        <f t="shared" ref="DY68:EV68" si="16">IFERROR(DY$66+$N$68,"")</f>
        <v>5</v>
      </c>
      <c r="DZ68" s="58">
        <f t="shared" si="16"/>
        <v>4.5833333333333339</v>
      </c>
      <c r="EA68" s="58">
        <f t="shared" si="16"/>
        <v>4.0833333333333339</v>
      </c>
      <c r="EB68" s="58">
        <f t="shared" si="16"/>
        <v>4</v>
      </c>
      <c r="EC68" s="58">
        <f t="shared" si="16"/>
        <v>3.854166666666667</v>
      </c>
      <c r="ED68" s="58">
        <f t="shared" si="16"/>
        <v>3.520833333333333</v>
      </c>
      <c r="EE68" s="58">
        <f t="shared" si="16"/>
        <v>3.5</v>
      </c>
      <c r="EF68" s="58">
        <f t="shared" si="16"/>
        <v>3.5</v>
      </c>
      <c r="EG68" s="58">
        <f t="shared" si="16"/>
        <v>3.5</v>
      </c>
      <c r="EH68" s="58">
        <f t="shared" si="16"/>
        <v>3.5</v>
      </c>
      <c r="EI68" s="58">
        <f t="shared" si="16"/>
        <v>3.5</v>
      </c>
      <c r="EJ68" s="58">
        <f t="shared" si="16"/>
        <v>3.5</v>
      </c>
      <c r="EK68" s="58">
        <f t="shared" si="16"/>
        <v>3.5</v>
      </c>
      <c r="EL68" s="58">
        <f t="shared" si="16"/>
        <v>3.5</v>
      </c>
      <c r="EM68" s="58">
        <f t="shared" si="16"/>
        <v>3.5</v>
      </c>
      <c r="EN68" s="58">
        <f t="shared" si="16"/>
        <v>3.5</v>
      </c>
      <c r="EO68" s="58">
        <f t="shared" si="16"/>
        <v>3.5</v>
      </c>
      <c r="EP68" s="58">
        <f t="shared" si="16"/>
        <v>3.5</v>
      </c>
      <c r="EQ68" s="58">
        <f t="shared" si="16"/>
        <v>3.5</v>
      </c>
      <c r="ER68" s="58">
        <f t="shared" si="16"/>
        <v>4.625</v>
      </c>
      <c r="ES68" s="58">
        <f t="shared" si="16"/>
        <v>5.7916666666666661</v>
      </c>
      <c r="ET68" s="58">
        <f t="shared" si="16"/>
        <v>6.145833333333333</v>
      </c>
      <c r="EU68" s="58">
        <f t="shared" si="16"/>
        <v>6.041666666666667</v>
      </c>
      <c r="EV68" s="58">
        <f t="shared" si="16"/>
        <v>7.541666666666667</v>
      </c>
    </row>
    <row r="69" spans="14:153" x14ac:dyDescent="0.25">
      <c r="N69" s="3">
        <v>2.5</v>
      </c>
      <c r="O69" s="57" t="str">
        <f t="shared" ref="O69:BK69" si="17">IFERROR(O$66+$N$69,"")</f>
        <v/>
      </c>
      <c r="P69" s="57" t="str">
        <f t="shared" si="17"/>
        <v/>
      </c>
      <c r="Q69" s="57" t="str">
        <f t="shared" si="17"/>
        <v/>
      </c>
      <c r="R69" s="57" t="str">
        <f t="shared" si="17"/>
        <v/>
      </c>
      <c r="S69" s="57" t="str">
        <f t="shared" si="17"/>
        <v/>
      </c>
      <c r="T69" s="57" t="str">
        <f t="shared" si="17"/>
        <v/>
      </c>
      <c r="U69" s="57" t="str">
        <f t="shared" si="17"/>
        <v/>
      </c>
      <c r="V69" s="57" t="str">
        <f t="shared" si="17"/>
        <v/>
      </c>
      <c r="W69" s="57" t="str">
        <f t="shared" si="17"/>
        <v/>
      </c>
      <c r="X69" s="57" t="str">
        <f t="shared" si="17"/>
        <v/>
      </c>
      <c r="Y69" s="57" t="str">
        <f t="shared" si="17"/>
        <v/>
      </c>
      <c r="Z69" s="57" t="str">
        <f t="shared" si="17"/>
        <v/>
      </c>
      <c r="AA69" s="57" t="str">
        <f t="shared" si="17"/>
        <v/>
      </c>
      <c r="AB69" s="57" t="str">
        <f t="shared" si="17"/>
        <v/>
      </c>
      <c r="AC69" s="57" t="str">
        <f t="shared" si="17"/>
        <v/>
      </c>
      <c r="AD69" s="57" t="str">
        <f t="shared" si="17"/>
        <v/>
      </c>
      <c r="AE69" s="57" t="str">
        <f t="shared" si="17"/>
        <v/>
      </c>
      <c r="AF69" s="57" t="str">
        <f t="shared" si="17"/>
        <v/>
      </c>
      <c r="AG69" s="57" t="str">
        <f t="shared" si="17"/>
        <v/>
      </c>
      <c r="AH69" s="57" t="str">
        <f t="shared" si="17"/>
        <v/>
      </c>
      <c r="AI69" s="57" t="str">
        <f t="shared" si="17"/>
        <v/>
      </c>
      <c r="AJ69" s="57" t="str">
        <f t="shared" si="17"/>
        <v/>
      </c>
      <c r="AK69" s="57" t="str">
        <f t="shared" si="17"/>
        <v/>
      </c>
      <c r="AL69" s="57" t="str">
        <f t="shared" si="17"/>
        <v/>
      </c>
      <c r="AM69" s="57" t="str">
        <f t="shared" si="17"/>
        <v/>
      </c>
      <c r="AN69" s="57" t="str">
        <f t="shared" si="17"/>
        <v/>
      </c>
      <c r="AO69" s="57" t="str">
        <f t="shared" si="17"/>
        <v/>
      </c>
      <c r="AP69" s="57" t="str">
        <f t="shared" si="17"/>
        <v/>
      </c>
      <c r="AQ69" s="57" t="str">
        <f t="shared" si="17"/>
        <v/>
      </c>
      <c r="AR69" s="57" t="str">
        <f t="shared" si="17"/>
        <v/>
      </c>
      <c r="AS69" s="57" t="str">
        <f t="shared" si="17"/>
        <v/>
      </c>
      <c r="AT69" s="57" t="str">
        <f t="shared" si="17"/>
        <v/>
      </c>
      <c r="AU69" s="57" t="str">
        <f t="shared" si="17"/>
        <v/>
      </c>
      <c r="AV69" s="57" t="str">
        <f t="shared" si="17"/>
        <v/>
      </c>
      <c r="AW69" s="57" t="str">
        <f t="shared" si="17"/>
        <v/>
      </c>
      <c r="AX69" s="57" t="str">
        <f t="shared" si="17"/>
        <v/>
      </c>
      <c r="AY69" s="57" t="str">
        <f t="shared" si="17"/>
        <v/>
      </c>
      <c r="AZ69" s="57" t="str">
        <f t="shared" si="17"/>
        <v/>
      </c>
      <c r="BA69" s="57" t="str">
        <f t="shared" si="17"/>
        <v/>
      </c>
      <c r="BB69" s="57" t="str">
        <f t="shared" si="17"/>
        <v/>
      </c>
      <c r="BC69" s="57" t="str">
        <f t="shared" si="17"/>
        <v/>
      </c>
      <c r="BD69" s="57" t="str">
        <f t="shared" si="17"/>
        <v/>
      </c>
      <c r="BE69" s="57">
        <f t="shared" si="17"/>
        <v>10.813333333333334</v>
      </c>
      <c r="BF69" s="57">
        <f t="shared" si="17"/>
        <v>10.696666666666667</v>
      </c>
      <c r="BG69" s="57">
        <f t="shared" si="17"/>
        <v>7.3533333333333326</v>
      </c>
      <c r="BH69" s="57">
        <f t="shared" si="17"/>
        <v>5.75</v>
      </c>
      <c r="BI69" s="57">
        <f t="shared" si="17"/>
        <v>6.125</v>
      </c>
      <c r="BJ69" s="57">
        <f t="shared" si="17"/>
        <v>7.75</v>
      </c>
      <c r="BK69" s="57">
        <f t="shared" si="17"/>
        <v>7.375</v>
      </c>
      <c r="BL69" s="57">
        <f>IFERROR(BL$66+$N$69,"")</f>
        <v>6.5625</v>
      </c>
      <c r="BM69" s="57">
        <f t="shared" ref="BM69:DX69" si="18">IFERROR(BM$66+$N$69,"")</f>
        <v>6</v>
      </c>
      <c r="BN69" s="57">
        <f t="shared" si="18"/>
        <v>5.75</v>
      </c>
      <c r="BO69" s="57">
        <f t="shared" si="18"/>
        <v>5.75</v>
      </c>
      <c r="BP69" s="57">
        <f t="shared" si="18"/>
        <v>5.75</v>
      </c>
      <c r="BQ69" s="57">
        <f t="shared" si="18"/>
        <v>5.75</v>
      </c>
      <c r="BR69" s="57">
        <f t="shared" si="18"/>
        <v>5.75</v>
      </c>
      <c r="BS69" s="57">
        <f t="shared" si="18"/>
        <v>5.75</v>
      </c>
      <c r="BT69" s="57">
        <f t="shared" si="18"/>
        <v>5.75</v>
      </c>
      <c r="BU69" s="57">
        <f t="shared" si="18"/>
        <v>7.708333333333333</v>
      </c>
      <c r="BV69" s="57">
        <f t="shared" si="18"/>
        <v>10.583333333333334</v>
      </c>
      <c r="BW69" s="57">
        <f t="shared" si="18"/>
        <v>10.4375</v>
      </c>
      <c r="BX69" s="57">
        <f t="shared" si="18"/>
        <v>8.6041666666666679</v>
      </c>
      <c r="BY69" s="57">
        <f t="shared" si="18"/>
        <v>6.791666666666667</v>
      </c>
      <c r="BZ69" s="57">
        <f t="shared" si="18"/>
        <v>6.625</v>
      </c>
      <c r="CA69" s="57">
        <f t="shared" si="18"/>
        <v>7.208333333333333</v>
      </c>
      <c r="CB69" s="57">
        <f t="shared" si="18"/>
        <v>9.625</v>
      </c>
      <c r="CC69" s="57">
        <f t="shared" si="18"/>
        <v>11.6875</v>
      </c>
      <c r="CD69" s="57">
        <f t="shared" si="18"/>
        <v>10.479166666666668</v>
      </c>
      <c r="CE69" s="57">
        <f t="shared" si="18"/>
        <v>10.875</v>
      </c>
      <c r="CF69" s="57">
        <f t="shared" si="18"/>
        <v>10.9375</v>
      </c>
      <c r="CG69" s="57">
        <f t="shared" si="18"/>
        <v>10.958333333333334</v>
      </c>
      <c r="CH69" s="57">
        <f t="shared" si="18"/>
        <v>11.3125</v>
      </c>
      <c r="CI69" s="57">
        <f t="shared" si="18"/>
        <v>9.75</v>
      </c>
      <c r="CJ69" s="57">
        <f t="shared" si="18"/>
        <v>8.5</v>
      </c>
      <c r="CK69" s="57">
        <f t="shared" si="18"/>
        <v>8.75</v>
      </c>
      <c r="CL69" s="57">
        <f t="shared" si="18"/>
        <v>10.875</v>
      </c>
      <c r="CM69" s="57">
        <f t="shared" si="18"/>
        <v>12.5</v>
      </c>
      <c r="CN69" s="57">
        <f t="shared" si="18"/>
        <v>13.375</v>
      </c>
      <c r="CO69" s="57">
        <f t="shared" si="18"/>
        <v>11.895833333333334</v>
      </c>
      <c r="CP69" s="57">
        <f t="shared" si="18"/>
        <v>10.666666666666666</v>
      </c>
      <c r="CQ69" s="57">
        <f t="shared" si="18"/>
        <v>10.75</v>
      </c>
      <c r="CR69" s="57">
        <f t="shared" si="18"/>
        <v>12.375</v>
      </c>
      <c r="CS69" s="57">
        <f t="shared" si="18"/>
        <v>14.479166666666666</v>
      </c>
      <c r="CT69" s="57">
        <f t="shared" si="18"/>
        <v>13.25</v>
      </c>
      <c r="CU69" s="57">
        <f t="shared" si="18"/>
        <v>17.1875</v>
      </c>
      <c r="CV69" s="57">
        <f t="shared" si="18"/>
        <v>21.270833333333332</v>
      </c>
      <c r="CW69" s="57">
        <f t="shared" si="18"/>
        <v>18.020833333333336</v>
      </c>
      <c r="CX69" s="57">
        <f t="shared" si="18"/>
        <v>15.291666666666666</v>
      </c>
      <c r="CY69" s="57">
        <f t="shared" si="18"/>
        <v>11.75</v>
      </c>
      <c r="CZ69" s="57">
        <f t="shared" si="18"/>
        <v>9.3958333333333321</v>
      </c>
      <c r="DA69" s="57">
        <f t="shared" si="18"/>
        <v>9.3125</v>
      </c>
      <c r="DB69" s="57">
        <f t="shared" si="18"/>
        <v>10.416666666666668</v>
      </c>
      <c r="DC69" s="57">
        <f t="shared" si="18"/>
        <v>13.291666666666666</v>
      </c>
      <c r="DD69" s="57">
        <f t="shared" si="18"/>
        <v>10.6875</v>
      </c>
      <c r="DE69" s="57">
        <f t="shared" si="18"/>
        <v>7.770833333333333</v>
      </c>
      <c r="DF69" s="57">
        <f t="shared" si="18"/>
        <v>8.1566666666666663</v>
      </c>
      <c r="DG69" s="57">
        <f t="shared" si="18"/>
        <v>10.3125</v>
      </c>
      <c r="DH69" s="57">
        <f t="shared" si="18"/>
        <v>10.5</v>
      </c>
      <c r="DI69" s="57">
        <f t="shared" si="18"/>
        <v>8.8333333333333321</v>
      </c>
      <c r="DJ69" s="57">
        <f t="shared" si="18"/>
        <v>8.125</v>
      </c>
      <c r="DK69" s="57">
        <f t="shared" si="18"/>
        <v>8.1666666666666679</v>
      </c>
      <c r="DL69" s="57">
        <f t="shared" si="18"/>
        <v>7.041666666666667</v>
      </c>
      <c r="DM69" s="57">
        <f t="shared" si="18"/>
        <v>7</v>
      </c>
      <c r="DN69" s="57">
        <f t="shared" si="18"/>
        <v>7</v>
      </c>
      <c r="DO69" s="57">
        <f t="shared" si="18"/>
        <v>7</v>
      </c>
      <c r="DP69" s="57">
        <f t="shared" si="18"/>
        <v>7</v>
      </c>
      <c r="DQ69" s="57">
        <f t="shared" si="18"/>
        <v>7.291666666666667</v>
      </c>
      <c r="DR69" s="57">
        <f t="shared" si="18"/>
        <v>7</v>
      </c>
      <c r="DS69" s="57">
        <f t="shared" si="18"/>
        <v>6.2916666666666661</v>
      </c>
      <c r="DT69" s="57">
        <f t="shared" si="18"/>
        <v>6.708333333333333</v>
      </c>
      <c r="DU69" s="57">
        <f t="shared" si="18"/>
        <v>6.2916666666666661</v>
      </c>
      <c r="DV69" s="57">
        <f t="shared" si="18"/>
        <v>5.6666666666666661</v>
      </c>
      <c r="DW69" s="57">
        <f t="shared" si="18"/>
        <v>5.5416666666666661</v>
      </c>
      <c r="DX69" s="57">
        <f t="shared" si="18"/>
        <v>5.6875</v>
      </c>
      <c r="DY69" s="57">
        <f t="shared" ref="DY69:EV69" si="19">IFERROR(DY$66+$N$69,"")</f>
        <v>5.5</v>
      </c>
      <c r="DZ69" s="57">
        <f t="shared" si="19"/>
        <v>5.0833333333333339</v>
      </c>
      <c r="EA69" s="57">
        <f t="shared" si="19"/>
        <v>4.5833333333333339</v>
      </c>
      <c r="EB69" s="57">
        <f t="shared" si="19"/>
        <v>4.5</v>
      </c>
      <c r="EC69" s="57">
        <f t="shared" si="19"/>
        <v>4.354166666666667</v>
      </c>
      <c r="ED69" s="57">
        <f t="shared" si="19"/>
        <v>4.020833333333333</v>
      </c>
      <c r="EE69" s="57">
        <f t="shared" si="19"/>
        <v>4</v>
      </c>
      <c r="EF69" s="57">
        <f t="shared" si="19"/>
        <v>4</v>
      </c>
      <c r="EG69" s="57">
        <f t="shared" si="19"/>
        <v>4</v>
      </c>
      <c r="EH69" s="57">
        <f t="shared" si="19"/>
        <v>4</v>
      </c>
      <c r="EI69" s="57">
        <f t="shared" si="19"/>
        <v>4</v>
      </c>
      <c r="EJ69" s="57">
        <f t="shared" si="19"/>
        <v>4</v>
      </c>
      <c r="EK69" s="57">
        <f t="shared" si="19"/>
        <v>4</v>
      </c>
      <c r="EL69" s="57">
        <f t="shared" si="19"/>
        <v>4</v>
      </c>
      <c r="EM69" s="57">
        <f t="shared" si="19"/>
        <v>4</v>
      </c>
      <c r="EN69" s="57">
        <f t="shared" si="19"/>
        <v>4</v>
      </c>
      <c r="EO69" s="57">
        <f t="shared" si="19"/>
        <v>4</v>
      </c>
      <c r="EP69" s="57">
        <f t="shared" si="19"/>
        <v>4</v>
      </c>
      <c r="EQ69" s="57">
        <f t="shared" si="19"/>
        <v>4</v>
      </c>
      <c r="ER69" s="57">
        <f t="shared" si="19"/>
        <v>5.125</v>
      </c>
      <c r="ES69" s="57">
        <f t="shared" si="19"/>
        <v>6.2916666666666661</v>
      </c>
      <c r="ET69" s="57">
        <f t="shared" si="19"/>
        <v>6.645833333333333</v>
      </c>
      <c r="EU69" s="57">
        <f t="shared" si="19"/>
        <v>6.541666666666667</v>
      </c>
      <c r="EV69" s="57">
        <f t="shared" si="19"/>
        <v>8.0416666666666679</v>
      </c>
    </row>
    <row r="70" spans="14:153" x14ac:dyDescent="0.25">
      <c r="N70" s="3">
        <v>3</v>
      </c>
      <c r="O70" s="57" t="str">
        <f t="shared" ref="O70:BK70" si="20">IFERROR(O$66+$N$70,"")</f>
        <v/>
      </c>
      <c r="P70" s="57" t="str">
        <f t="shared" si="20"/>
        <v/>
      </c>
      <c r="Q70" s="57" t="str">
        <f t="shared" si="20"/>
        <v/>
      </c>
      <c r="R70" s="57" t="str">
        <f t="shared" si="20"/>
        <v/>
      </c>
      <c r="S70" s="57" t="str">
        <f t="shared" si="20"/>
        <v/>
      </c>
      <c r="T70" s="57" t="str">
        <f t="shared" si="20"/>
        <v/>
      </c>
      <c r="U70" s="57" t="str">
        <f t="shared" si="20"/>
        <v/>
      </c>
      <c r="V70" s="57" t="str">
        <f t="shared" si="20"/>
        <v/>
      </c>
      <c r="W70" s="57" t="str">
        <f t="shared" si="20"/>
        <v/>
      </c>
      <c r="X70" s="57" t="str">
        <f t="shared" si="20"/>
        <v/>
      </c>
      <c r="Y70" s="57" t="str">
        <f t="shared" si="20"/>
        <v/>
      </c>
      <c r="Z70" s="57" t="str">
        <f t="shared" si="20"/>
        <v/>
      </c>
      <c r="AA70" s="57" t="str">
        <f t="shared" si="20"/>
        <v/>
      </c>
      <c r="AB70" s="57" t="str">
        <f t="shared" si="20"/>
        <v/>
      </c>
      <c r="AC70" s="57" t="str">
        <f t="shared" si="20"/>
        <v/>
      </c>
      <c r="AD70" s="57" t="str">
        <f t="shared" si="20"/>
        <v/>
      </c>
      <c r="AE70" s="57" t="str">
        <f t="shared" si="20"/>
        <v/>
      </c>
      <c r="AF70" s="57" t="str">
        <f t="shared" si="20"/>
        <v/>
      </c>
      <c r="AG70" s="57" t="str">
        <f t="shared" si="20"/>
        <v/>
      </c>
      <c r="AH70" s="57" t="str">
        <f t="shared" si="20"/>
        <v/>
      </c>
      <c r="AI70" s="57" t="str">
        <f t="shared" si="20"/>
        <v/>
      </c>
      <c r="AJ70" s="57" t="str">
        <f t="shared" si="20"/>
        <v/>
      </c>
      <c r="AK70" s="57" t="str">
        <f t="shared" si="20"/>
        <v/>
      </c>
      <c r="AL70" s="57" t="str">
        <f t="shared" si="20"/>
        <v/>
      </c>
      <c r="AM70" s="57" t="str">
        <f t="shared" si="20"/>
        <v/>
      </c>
      <c r="AN70" s="57" t="str">
        <f t="shared" si="20"/>
        <v/>
      </c>
      <c r="AO70" s="57" t="str">
        <f t="shared" si="20"/>
        <v/>
      </c>
      <c r="AP70" s="57" t="str">
        <f t="shared" si="20"/>
        <v/>
      </c>
      <c r="AQ70" s="57" t="str">
        <f t="shared" si="20"/>
        <v/>
      </c>
      <c r="AR70" s="57" t="str">
        <f t="shared" si="20"/>
        <v/>
      </c>
      <c r="AS70" s="57" t="str">
        <f t="shared" si="20"/>
        <v/>
      </c>
      <c r="AT70" s="57" t="str">
        <f t="shared" si="20"/>
        <v/>
      </c>
      <c r="AU70" s="57" t="str">
        <f t="shared" si="20"/>
        <v/>
      </c>
      <c r="AV70" s="57" t="str">
        <f t="shared" si="20"/>
        <v/>
      </c>
      <c r="AW70" s="57" t="str">
        <f t="shared" si="20"/>
        <v/>
      </c>
      <c r="AX70" s="57" t="str">
        <f t="shared" si="20"/>
        <v/>
      </c>
      <c r="AY70" s="57" t="str">
        <f t="shared" si="20"/>
        <v/>
      </c>
      <c r="AZ70" s="57" t="str">
        <f t="shared" si="20"/>
        <v/>
      </c>
      <c r="BA70" s="57" t="str">
        <f t="shared" si="20"/>
        <v/>
      </c>
      <c r="BB70" s="57" t="str">
        <f t="shared" si="20"/>
        <v/>
      </c>
      <c r="BC70" s="57" t="str">
        <f t="shared" si="20"/>
        <v/>
      </c>
      <c r="BD70" s="57" t="str">
        <f t="shared" si="20"/>
        <v/>
      </c>
      <c r="BE70" s="57">
        <f t="shared" si="20"/>
        <v>11.313333333333334</v>
      </c>
      <c r="BF70" s="57">
        <f t="shared" si="20"/>
        <v>11.196666666666667</v>
      </c>
      <c r="BG70" s="57">
        <f t="shared" si="20"/>
        <v>7.8533333333333326</v>
      </c>
      <c r="BH70" s="57">
        <f t="shared" si="20"/>
        <v>6.25</v>
      </c>
      <c r="BI70" s="57">
        <f t="shared" si="20"/>
        <v>6.625</v>
      </c>
      <c r="BJ70" s="57">
        <f t="shared" si="20"/>
        <v>8.25</v>
      </c>
      <c r="BK70" s="57">
        <f t="shared" si="20"/>
        <v>7.875</v>
      </c>
      <c r="BL70" s="57">
        <f>IFERROR(BL$66+$N$70,"")</f>
        <v>7.0625</v>
      </c>
      <c r="BM70" s="57">
        <f t="shared" ref="BM70:DX70" si="21">IFERROR(BM$66+$N$70,"")</f>
        <v>6.5</v>
      </c>
      <c r="BN70" s="57">
        <f t="shared" si="21"/>
        <v>6.25</v>
      </c>
      <c r="BO70" s="57">
        <f t="shared" si="21"/>
        <v>6.25</v>
      </c>
      <c r="BP70" s="57">
        <f t="shared" si="21"/>
        <v>6.25</v>
      </c>
      <c r="BQ70" s="57">
        <f t="shared" si="21"/>
        <v>6.25</v>
      </c>
      <c r="BR70" s="57">
        <f t="shared" si="21"/>
        <v>6.25</v>
      </c>
      <c r="BS70" s="57">
        <f t="shared" si="21"/>
        <v>6.25</v>
      </c>
      <c r="BT70" s="57">
        <f t="shared" si="21"/>
        <v>6.25</v>
      </c>
      <c r="BU70" s="57">
        <f t="shared" si="21"/>
        <v>8.2083333333333321</v>
      </c>
      <c r="BV70" s="57">
        <f t="shared" si="21"/>
        <v>11.083333333333334</v>
      </c>
      <c r="BW70" s="57">
        <f t="shared" si="21"/>
        <v>10.9375</v>
      </c>
      <c r="BX70" s="57">
        <f t="shared" si="21"/>
        <v>9.1041666666666679</v>
      </c>
      <c r="BY70" s="57">
        <f t="shared" si="21"/>
        <v>7.291666666666667</v>
      </c>
      <c r="BZ70" s="57">
        <f t="shared" si="21"/>
        <v>7.125</v>
      </c>
      <c r="CA70" s="57">
        <f t="shared" si="21"/>
        <v>7.708333333333333</v>
      </c>
      <c r="CB70" s="57">
        <f t="shared" si="21"/>
        <v>10.125</v>
      </c>
      <c r="CC70" s="57">
        <f t="shared" si="21"/>
        <v>12.1875</v>
      </c>
      <c r="CD70" s="57">
        <f t="shared" si="21"/>
        <v>10.979166666666668</v>
      </c>
      <c r="CE70" s="57">
        <f t="shared" si="21"/>
        <v>11.375</v>
      </c>
      <c r="CF70" s="57">
        <f t="shared" si="21"/>
        <v>11.4375</v>
      </c>
      <c r="CG70" s="57">
        <f t="shared" si="21"/>
        <v>11.458333333333334</v>
      </c>
      <c r="CH70" s="57">
        <f t="shared" si="21"/>
        <v>11.8125</v>
      </c>
      <c r="CI70" s="57">
        <f t="shared" si="21"/>
        <v>10.25</v>
      </c>
      <c r="CJ70" s="57">
        <f t="shared" si="21"/>
        <v>9</v>
      </c>
      <c r="CK70" s="57">
        <f t="shared" si="21"/>
        <v>9.25</v>
      </c>
      <c r="CL70" s="57">
        <f t="shared" si="21"/>
        <v>11.375</v>
      </c>
      <c r="CM70" s="57">
        <f t="shared" si="21"/>
        <v>13</v>
      </c>
      <c r="CN70" s="57">
        <f t="shared" si="21"/>
        <v>13.875</v>
      </c>
      <c r="CO70" s="57">
        <f t="shared" si="21"/>
        <v>12.395833333333334</v>
      </c>
      <c r="CP70" s="57">
        <f t="shared" si="21"/>
        <v>11.166666666666666</v>
      </c>
      <c r="CQ70" s="57">
        <f t="shared" si="21"/>
        <v>11.25</v>
      </c>
      <c r="CR70" s="57">
        <f t="shared" si="21"/>
        <v>12.875</v>
      </c>
      <c r="CS70" s="57">
        <f t="shared" si="21"/>
        <v>14.979166666666666</v>
      </c>
      <c r="CT70" s="57">
        <f t="shared" si="21"/>
        <v>13.75</v>
      </c>
      <c r="CU70" s="57">
        <f t="shared" si="21"/>
        <v>17.6875</v>
      </c>
      <c r="CV70" s="57">
        <f t="shared" si="21"/>
        <v>21.770833333333332</v>
      </c>
      <c r="CW70" s="57">
        <f t="shared" si="21"/>
        <v>18.520833333333336</v>
      </c>
      <c r="CX70" s="57">
        <f t="shared" si="21"/>
        <v>15.791666666666666</v>
      </c>
      <c r="CY70" s="57">
        <f t="shared" si="21"/>
        <v>12.25</v>
      </c>
      <c r="CZ70" s="57">
        <f t="shared" si="21"/>
        <v>9.8958333333333321</v>
      </c>
      <c r="DA70" s="57">
        <f t="shared" si="21"/>
        <v>9.8125</v>
      </c>
      <c r="DB70" s="57">
        <f t="shared" si="21"/>
        <v>10.916666666666668</v>
      </c>
      <c r="DC70" s="57">
        <f t="shared" si="21"/>
        <v>13.791666666666666</v>
      </c>
      <c r="DD70" s="57">
        <f t="shared" si="21"/>
        <v>11.1875</v>
      </c>
      <c r="DE70" s="57">
        <f t="shared" si="21"/>
        <v>8.2708333333333321</v>
      </c>
      <c r="DF70" s="57">
        <f t="shared" si="21"/>
        <v>8.6566666666666663</v>
      </c>
      <c r="DG70" s="57">
        <f t="shared" si="21"/>
        <v>10.8125</v>
      </c>
      <c r="DH70" s="57">
        <f t="shared" si="21"/>
        <v>11</v>
      </c>
      <c r="DI70" s="57">
        <f t="shared" si="21"/>
        <v>9.3333333333333321</v>
      </c>
      <c r="DJ70" s="57">
        <f t="shared" si="21"/>
        <v>8.625</v>
      </c>
      <c r="DK70" s="57">
        <f t="shared" si="21"/>
        <v>8.6666666666666679</v>
      </c>
      <c r="DL70" s="57">
        <f t="shared" si="21"/>
        <v>7.541666666666667</v>
      </c>
      <c r="DM70" s="57">
        <f t="shared" si="21"/>
        <v>7.5</v>
      </c>
      <c r="DN70" s="57">
        <f t="shared" si="21"/>
        <v>7.5</v>
      </c>
      <c r="DO70" s="57">
        <f t="shared" si="21"/>
        <v>7.5</v>
      </c>
      <c r="DP70" s="57">
        <f t="shared" si="21"/>
        <v>7.5</v>
      </c>
      <c r="DQ70" s="57">
        <f t="shared" si="21"/>
        <v>7.791666666666667</v>
      </c>
      <c r="DR70" s="57">
        <f t="shared" si="21"/>
        <v>7.5</v>
      </c>
      <c r="DS70" s="57">
        <f t="shared" si="21"/>
        <v>6.7916666666666661</v>
      </c>
      <c r="DT70" s="57">
        <f t="shared" si="21"/>
        <v>7.208333333333333</v>
      </c>
      <c r="DU70" s="57">
        <f t="shared" si="21"/>
        <v>6.7916666666666661</v>
      </c>
      <c r="DV70" s="57">
        <f t="shared" si="21"/>
        <v>6.1666666666666661</v>
      </c>
      <c r="DW70" s="57">
        <f t="shared" si="21"/>
        <v>6.0416666666666661</v>
      </c>
      <c r="DX70" s="57">
        <f t="shared" si="21"/>
        <v>6.1875</v>
      </c>
      <c r="DY70" s="57">
        <f t="shared" ref="DY70:EV70" si="22">IFERROR(DY$66+$N$70,"")</f>
        <v>6</v>
      </c>
      <c r="DZ70" s="57">
        <f t="shared" si="22"/>
        <v>5.5833333333333339</v>
      </c>
      <c r="EA70" s="57">
        <f t="shared" si="22"/>
        <v>5.0833333333333339</v>
      </c>
      <c r="EB70" s="57">
        <f t="shared" si="22"/>
        <v>5</v>
      </c>
      <c r="EC70" s="57">
        <f t="shared" si="22"/>
        <v>4.854166666666667</v>
      </c>
      <c r="ED70" s="57">
        <f t="shared" si="22"/>
        <v>4.520833333333333</v>
      </c>
      <c r="EE70" s="57">
        <f t="shared" si="22"/>
        <v>4.5</v>
      </c>
      <c r="EF70" s="57">
        <f t="shared" si="22"/>
        <v>4.5</v>
      </c>
      <c r="EG70" s="57">
        <f t="shared" si="22"/>
        <v>4.5</v>
      </c>
      <c r="EH70" s="57">
        <f t="shared" si="22"/>
        <v>4.5</v>
      </c>
      <c r="EI70" s="57">
        <f t="shared" si="22"/>
        <v>4.5</v>
      </c>
      <c r="EJ70" s="57">
        <f t="shared" si="22"/>
        <v>4.5</v>
      </c>
      <c r="EK70" s="57">
        <f t="shared" si="22"/>
        <v>4.5</v>
      </c>
      <c r="EL70" s="57">
        <f t="shared" si="22"/>
        <v>4.5</v>
      </c>
      <c r="EM70" s="57">
        <f t="shared" si="22"/>
        <v>4.5</v>
      </c>
      <c r="EN70" s="57">
        <f t="shared" si="22"/>
        <v>4.5</v>
      </c>
      <c r="EO70" s="57">
        <f t="shared" si="22"/>
        <v>4.5</v>
      </c>
      <c r="EP70" s="57">
        <f t="shared" si="22"/>
        <v>4.5</v>
      </c>
      <c r="EQ70" s="57">
        <f t="shared" si="22"/>
        <v>4.5</v>
      </c>
      <c r="ER70" s="57">
        <f t="shared" si="22"/>
        <v>5.625</v>
      </c>
      <c r="ES70" s="57">
        <f t="shared" si="22"/>
        <v>6.7916666666666661</v>
      </c>
      <c r="ET70" s="57">
        <f t="shared" si="22"/>
        <v>7.145833333333333</v>
      </c>
      <c r="EU70" s="57">
        <f t="shared" si="22"/>
        <v>7.041666666666667</v>
      </c>
      <c r="EV70" s="57">
        <f t="shared" si="22"/>
        <v>8.5416666666666679</v>
      </c>
    </row>
    <row r="71" spans="14:153" x14ac:dyDescent="0.25">
      <c r="N71" s="3" t="s">
        <v>268</v>
      </c>
    </row>
    <row r="72" spans="14:153" x14ac:dyDescent="0.25">
      <c r="N72" s="3" t="s">
        <v>267</v>
      </c>
    </row>
  </sheetData>
  <protectedRanges>
    <protectedRange password="C6D0" sqref="D34:F40 B10:I30" name="Capital Structure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mergeCells count="10">
    <mergeCell ref="L7:L8"/>
    <mergeCell ref="I7:I8"/>
    <mergeCell ref="A7:A8"/>
    <mergeCell ref="B7:B8"/>
    <mergeCell ref="C7:C8"/>
    <mergeCell ref="D7:D8"/>
    <mergeCell ref="E7:E8"/>
    <mergeCell ref="F7:F8"/>
    <mergeCell ref="G7:G8"/>
    <mergeCell ref="H7:H8"/>
  </mergeCells>
  <phoneticPr fontId="0" type="noConversion"/>
  <pageMargins left="0.25" right="0.25" top="0.25" bottom="0.25" header="0.25" footer="0.25"/>
  <pageSetup scale="72" orientation="landscape" r:id="rId1"/>
  <headerFooter alignWithMargins="0"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S119"/>
  <sheetViews>
    <sheetView showGridLines="0" zoomScaleNormal="100" zoomScaleSheetLayoutView="90" workbookViewId="0">
      <selection activeCell="I7" sqref="I7"/>
    </sheetView>
  </sheetViews>
  <sheetFormatPr defaultColWidth="3.44140625" defaultRowHeight="15.75" x14ac:dyDescent="0.25"/>
  <cols>
    <col min="1" max="1" width="3.6640625" style="3" customWidth="1"/>
    <col min="2" max="2" width="3.33203125" style="3" bestFit="1" customWidth="1"/>
    <col min="3" max="3" width="38" style="3" bestFit="1" customWidth="1"/>
    <col min="4" max="5" width="13.88671875" style="3" customWidth="1"/>
    <col min="6" max="6" width="2.21875" style="3" customWidth="1"/>
    <col min="7" max="7" width="22.21875" style="38" customWidth="1"/>
    <col min="8" max="8" width="2.21875" style="3" customWidth="1"/>
    <col min="9" max="9" width="26.77734375" style="6" bestFit="1" customWidth="1"/>
    <col min="10" max="10" width="2.21875" style="3" customWidth="1"/>
    <col min="11" max="11" width="22.33203125" style="239" bestFit="1" customWidth="1"/>
    <col min="12" max="12" width="26.44140625" style="239" bestFit="1" customWidth="1"/>
    <col min="13" max="13" width="2.21875" style="239" customWidth="1"/>
    <col min="14" max="15" width="10.21875" style="3" bestFit="1" customWidth="1"/>
    <col min="16" max="16" width="9.33203125" style="3" bestFit="1" customWidth="1"/>
    <col min="17" max="17" width="1.77734375" style="3" bestFit="1" customWidth="1"/>
    <col min="18" max="18" width="4" style="3" bestFit="1" customWidth="1"/>
    <col min="19" max="19" width="15.44140625" style="3" bestFit="1" customWidth="1"/>
    <col min="20" max="16384" width="3.44140625" style="3"/>
  </cols>
  <sheetData>
    <row r="1" spans="2:13" x14ac:dyDescent="0.25">
      <c r="K1" s="352"/>
    </row>
    <row r="2" spans="2:13" x14ac:dyDescent="0.25">
      <c r="B2" s="6"/>
      <c r="C2" s="3" t="str">
        <f>+Inputs!B6</f>
        <v>Washington Water Service Company</v>
      </c>
      <c r="D2" s="6"/>
    </row>
    <row r="3" spans="2:13" x14ac:dyDescent="0.25">
      <c r="B3" s="6"/>
      <c r="C3" s="306" t="str">
        <f>"UW-"&amp;+Inputs!B7</f>
        <v>UW-</v>
      </c>
      <c r="D3" s="6"/>
      <c r="E3" s="59"/>
      <c r="F3" s="59"/>
    </row>
    <row r="4" spans="2:13" x14ac:dyDescent="0.25">
      <c r="B4" s="48"/>
      <c r="C4" s="307" t="str">
        <f>PFIS!B3</f>
        <v>For Test Year Ended December 31, 2024</v>
      </c>
      <c r="D4" s="6"/>
    </row>
    <row r="5" spans="2:13" s="6" customFormat="1" x14ac:dyDescent="0.25">
      <c r="K5" s="239"/>
      <c r="L5" s="239"/>
      <c r="M5" s="239"/>
    </row>
    <row r="6" spans="2:13" s="6" customFormat="1" x14ac:dyDescent="0.25">
      <c r="B6" s="45"/>
      <c r="C6" s="325" t="s">
        <v>429</v>
      </c>
      <c r="D6" s="51"/>
      <c r="E6" s="51"/>
      <c r="F6" s="51"/>
      <c r="G6" s="52"/>
      <c r="H6" s="3"/>
      <c r="K6" s="239"/>
      <c r="L6" s="239"/>
      <c r="M6" s="239"/>
    </row>
    <row r="7" spans="2:13" s="6" customFormat="1" ht="32.25" thickBot="1" x14ac:dyDescent="0.3">
      <c r="B7" s="326" t="s">
        <v>9</v>
      </c>
      <c r="C7" s="328" t="s">
        <v>427</v>
      </c>
      <c r="D7" s="328" t="s">
        <v>438</v>
      </c>
      <c r="F7" s="3"/>
      <c r="G7" s="38"/>
      <c r="H7" s="332"/>
      <c r="I7" s="328" t="s">
        <v>431</v>
      </c>
      <c r="J7" s="333"/>
      <c r="K7" s="353" t="s">
        <v>428</v>
      </c>
      <c r="L7" s="353" t="s">
        <v>432</v>
      </c>
      <c r="M7" s="360"/>
    </row>
    <row r="8" spans="2:13" s="6" customFormat="1" ht="16.5" thickBot="1" x14ac:dyDescent="0.3">
      <c r="B8" s="68">
        <v>1</v>
      </c>
      <c r="C8" s="331" t="s">
        <v>429</v>
      </c>
      <c r="D8" s="327"/>
      <c r="E8" s="3"/>
      <c r="F8" s="3"/>
      <c r="G8" s="38"/>
      <c r="H8" s="332"/>
      <c r="J8" s="333"/>
      <c r="K8" s="357"/>
      <c r="L8" s="239"/>
      <c r="M8" s="361"/>
    </row>
    <row r="9" spans="2:13" s="6" customFormat="1" x14ac:dyDescent="0.25">
      <c r="B9" s="68">
        <f t="shared" ref="B9:B23" si="0">1+B8</f>
        <v>2</v>
      </c>
      <c r="C9" s="23" t="s">
        <v>439</v>
      </c>
      <c r="D9" s="495">
        <f>+PFIS!I61</f>
        <v>2791331.673881996</v>
      </c>
      <c r="E9" s="3" t="s">
        <v>419</v>
      </c>
      <c r="F9" s="3"/>
      <c r="G9" s="3"/>
      <c r="H9" s="332"/>
      <c r="J9" s="333"/>
      <c r="K9" s="239" t="s">
        <v>418</v>
      </c>
      <c r="L9" s="239"/>
      <c r="M9" s="361"/>
    </row>
    <row r="10" spans="2:13" s="6" customFormat="1" ht="16.5" thickBot="1" x14ac:dyDescent="0.3">
      <c r="B10" s="68">
        <f t="shared" si="0"/>
        <v>3</v>
      </c>
      <c r="C10" s="23" t="s">
        <v>49</v>
      </c>
      <c r="D10" s="55">
        <f>'Capital Structure'!I54</f>
        <v>2.498852691331737E-2</v>
      </c>
      <c r="E10" s="3"/>
      <c r="F10" s="3"/>
      <c r="G10" s="3"/>
      <c r="H10" s="332"/>
      <c r="J10" s="333"/>
      <c r="K10" s="239" t="s">
        <v>489</v>
      </c>
      <c r="M10" s="361"/>
    </row>
    <row r="11" spans="2:13" s="6" customFormat="1" x14ac:dyDescent="0.25">
      <c r="B11" s="68">
        <f t="shared" si="0"/>
        <v>4</v>
      </c>
      <c r="C11" s="23" t="s">
        <v>499</v>
      </c>
      <c r="D11" s="496">
        <f>+D10*D9</f>
        <v>69751.266656795488</v>
      </c>
      <c r="E11" s="3"/>
      <c r="F11" s="3"/>
      <c r="G11" s="3"/>
      <c r="H11" s="332"/>
      <c r="J11" s="333"/>
      <c r="K11" s="239" t="s">
        <v>462</v>
      </c>
      <c r="L11" s="239" t="s">
        <v>496</v>
      </c>
      <c r="M11" s="361"/>
    </row>
    <row r="12" spans="2:13" s="6" customFormat="1" ht="16.5" thickBot="1" x14ac:dyDescent="0.3">
      <c r="B12" s="68">
        <f t="shared" si="0"/>
        <v>5</v>
      </c>
      <c r="C12" s="23" t="s">
        <v>433</v>
      </c>
      <c r="D12" s="497">
        <f>+PFIS!F47</f>
        <v>0</v>
      </c>
      <c r="E12" s="3" t="s">
        <v>417</v>
      </c>
      <c r="F12" s="3"/>
      <c r="G12" s="3"/>
      <c r="H12" s="332"/>
      <c r="J12" s="333"/>
      <c r="K12" s="239" t="s">
        <v>468</v>
      </c>
      <c r="L12" s="239"/>
      <c r="M12" s="361"/>
    </row>
    <row r="13" spans="2:13" s="6" customFormat="1" ht="16.5" thickBot="1" x14ac:dyDescent="0.3">
      <c r="B13" s="68">
        <f t="shared" si="0"/>
        <v>6</v>
      </c>
      <c r="C13" s="23" t="s">
        <v>498</v>
      </c>
      <c r="D13" s="498">
        <f>D11-D12</f>
        <v>69751.266656795488</v>
      </c>
      <c r="E13" s="3" t="s">
        <v>497</v>
      </c>
      <c r="F13" s="3"/>
      <c r="G13" s="3"/>
      <c r="H13" s="332"/>
      <c r="J13" s="333"/>
      <c r="K13" s="239" t="s">
        <v>463</v>
      </c>
      <c r="L13" s="239" t="s">
        <v>447</v>
      </c>
      <c r="M13" s="361"/>
    </row>
    <row r="14" spans="2:13" s="6" customFormat="1" ht="17.25" thickTop="1" thickBot="1" x14ac:dyDescent="0.3">
      <c r="B14" s="68">
        <f t="shared" si="0"/>
        <v>7</v>
      </c>
      <c r="C14" s="329" t="s">
        <v>430</v>
      </c>
      <c r="D14" s="330"/>
      <c r="E14" s="3"/>
      <c r="F14" s="3"/>
      <c r="G14" s="55"/>
      <c r="H14" s="332"/>
      <c r="J14" s="333"/>
      <c r="K14" s="354"/>
      <c r="L14" s="239"/>
      <c r="M14" s="361"/>
    </row>
    <row r="15" spans="2:13" s="6" customFormat="1" x14ac:dyDescent="0.25">
      <c r="B15" s="68">
        <f t="shared" si="0"/>
        <v>8</v>
      </c>
      <c r="C15" s="23" t="s">
        <v>457</v>
      </c>
      <c r="D15" s="495">
        <f>+PFIS!I46</f>
        <v>-300561.12892080029</v>
      </c>
      <c r="E15" s="3"/>
      <c r="F15" s="3"/>
      <c r="G15" s="3"/>
      <c r="J15" s="333"/>
      <c r="K15" s="239" t="s">
        <v>191</v>
      </c>
      <c r="L15" s="239"/>
      <c r="M15" s="361"/>
    </row>
    <row r="16" spans="2:13" s="6" customFormat="1" ht="16.5" thickBot="1" x14ac:dyDescent="0.3">
      <c r="B16" s="68">
        <f t="shared" si="0"/>
        <v>9</v>
      </c>
      <c r="C16" s="23" t="s">
        <v>66</v>
      </c>
      <c r="D16" s="154">
        <f>D11</f>
        <v>69751.266656795488</v>
      </c>
      <c r="E16" s="3"/>
      <c r="F16" s="3"/>
      <c r="G16" s="3"/>
      <c r="J16" s="333"/>
      <c r="K16" s="239" t="s">
        <v>440</v>
      </c>
      <c r="L16" s="239"/>
      <c r="M16" s="361"/>
    </row>
    <row r="17" spans="2:13" s="6" customFormat="1" x14ac:dyDescent="0.25">
      <c r="B17" s="68">
        <f t="shared" si="0"/>
        <v>10</v>
      </c>
      <c r="C17" s="23" t="s">
        <v>481</v>
      </c>
      <c r="D17" s="496">
        <f>D15-D16</f>
        <v>-370312.3955775958</v>
      </c>
      <c r="E17" s="3"/>
      <c r="G17" s="3"/>
      <c r="J17" s="333"/>
      <c r="K17" s="239" t="s">
        <v>272</v>
      </c>
      <c r="L17" s="239" t="s">
        <v>480</v>
      </c>
      <c r="M17" s="361"/>
    </row>
    <row r="18" spans="2:13" s="6" customFormat="1" x14ac:dyDescent="0.25">
      <c r="B18" s="68">
        <f t="shared" si="0"/>
        <v>11</v>
      </c>
      <c r="C18" s="23" t="s">
        <v>451</v>
      </c>
      <c r="D18" s="351">
        <f>D50</f>
        <v>0.21</v>
      </c>
      <c r="E18" s="3"/>
      <c r="F18" s="3"/>
      <c r="G18" s="3"/>
      <c r="I18" s="6" t="s">
        <v>470</v>
      </c>
      <c r="J18" s="333"/>
      <c r="K18" s="239" t="s">
        <v>461</v>
      </c>
      <c r="L18" s="239"/>
      <c r="M18" s="361"/>
    </row>
    <row r="19" spans="2:13" s="6" customFormat="1" x14ac:dyDescent="0.25">
      <c r="B19" s="68">
        <f>1+B18</f>
        <v>12</v>
      </c>
      <c r="C19" s="23" t="s">
        <v>458</v>
      </c>
      <c r="D19" s="499">
        <f>IF(D17&gt;0,+D17*D18,0)</f>
        <v>0</v>
      </c>
      <c r="E19" s="3" t="s">
        <v>478</v>
      </c>
      <c r="I19" s="611">
        <f>IF(PFIS!I46-PFIS!I47&gt;0,Inputs!BO6,0)*(PFIS!I46+(PFIS!I61*-D10))-PFIS!F48</f>
        <v>115643.17</v>
      </c>
      <c r="J19" s="333"/>
      <c r="K19" s="239" t="s">
        <v>456</v>
      </c>
      <c r="L19" s="239"/>
      <c r="M19" s="361"/>
    </row>
    <row r="20" spans="2:13" s="6" customFormat="1" ht="16.5" thickBot="1" x14ac:dyDescent="0.3">
      <c r="B20" s="68">
        <f t="shared" si="0"/>
        <v>13</v>
      </c>
      <c r="C20" s="23" t="s">
        <v>454</v>
      </c>
      <c r="D20" s="497">
        <f>PFIS!F48</f>
        <v>-115643.17</v>
      </c>
      <c r="E20" s="3"/>
      <c r="I20" s="611"/>
      <c r="J20" s="333"/>
      <c r="K20" s="354" t="s">
        <v>452</v>
      </c>
      <c r="L20" s="239"/>
      <c r="M20" s="361"/>
    </row>
    <row r="21" spans="2:13" s="6" customFormat="1" x14ac:dyDescent="0.25">
      <c r="B21" s="68">
        <f t="shared" si="0"/>
        <v>14</v>
      </c>
      <c r="C21" s="23" t="s">
        <v>459</v>
      </c>
      <c r="D21" s="499">
        <f>D19-D20</f>
        <v>115643.17</v>
      </c>
      <c r="E21" s="3"/>
      <c r="I21" s="611"/>
      <c r="J21" s="333"/>
      <c r="K21" s="239" t="s">
        <v>460</v>
      </c>
      <c r="L21" s="239"/>
      <c r="M21" s="361"/>
    </row>
    <row r="22" spans="2:13" s="6" customFormat="1" ht="16.5" thickBot="1" x14ac:dyDescent="0.3">
      <c r="B22" s="68">
        <f t="shared" si="0"/>
        <v>15</v>
      </c>
      <c r="C22" s="23" t="s">
        <v>454</v>
      </c>
      <c r="D22" s="359">
        <f>PFIS!F48</f>
        <v>-115643.17</v>
      </c>
      <c r="E22" s="3"/>
      <c r="I22" s="6" t="s">
        <v>483</v>
      </c>
      <c r="J22" s="333"/>
      <c r="K22" s="354" t="s">
        <v>452</v>
      </c>
      <c r="L22" s="239"/>
      <c r="M22" s="361"/>
    </row>
    <row r="23" spans="2:13" s="6" customFormat="1" ht="16.5" thickBot="1" x14ac:dyDescent="0.3">
      <c r="B23" s="68">
        <f t="shared" si="0"/>
        <v>16</v>
      </c>
      <c r="C23" s="23" t="s">
        <v>228</v>
      </c>
      <c r="D23" s="498">
        <f>D17-D21-D22</f>
        <v>-370312.3955775958</v>
      </c>
      <c r="E23" s="3"/>
      <c r="I23" s="611">
        <f>PFIS!I50</f>
        <v>-370312.3955775958</v>
      </c>
      <c r="J23" s="333"/>
      <c r="K23" s="370" t="s">
        <v>455</v>
      </c>
      <c r="L23" s="239"/>
      <c r="M23" s="361"/>
    </row>
    <row r="24" spans="2:13" ht="16.5" thickTop="1" x14ac:dyDescent="0.25">
      <c r="B24" s="45"/>
      <c r="I24" s="612" t="s">
        <v>453</v>
      </c>
      <c r="J24" s="332"/>
      <c r="M24" s="361"/>
    </row>
    <row r="25" spans="2:13" x14ac:dyDescent="0.25">
      <c r="B25" s="45"/>
      <c r="C25" s="325" t="s">
        <v>218</v>
      </c>
      <c r="D25" s="51"/>
      <c r="E25" s="51"/>
      <c r="F25" s="51"/>
      <c r="G25" s="52"/>
      <c r="I25" s="613">
        <f>D23-I23</f>
        <v>0</v>
      </c>
      <c r="J25" s="332"/>
      <c r="K25" s="355"/>
      <c r="M25" s="361"/>
    </row>
    <row r="26" spans="2:13" s="6" customFormat="1" ht="32.25" thickBot="1" x14ac:dyDescent="0.3">
      <c r="B26" s="326" t="s">
        <v>9</v>
      </c>
      <c r="C26" s="328" t="s">
        <v>427</v>
      </c>
      <c r="D26" s="328" t="s">
        <v>434</v>
      </c>
      <c r="G26" s="472"/>
      <c r="J26" s="333"/>
      <c r="K26" s="353" t="s">
        <v>428</v>
      </c>
      <c r="L26" s="239"/>
      <c r="M26" s="361"/>
    </row>
    <row r="27" spans="2:13" x14ac:dyDescent="0.25">
      <c r="B27" s="60">
        <v>1</v>
      </c>
      <c r="C27" s="67" t="s">
        <v>61</v>
      </c>
      <c r="D27" s="358">
        <f>IF(+PFIS!I61&lt;=0, 0, +PFIS!I61)</f>
        <v>2791331.673881996</v>
      </c>
      <c r="E27" s="40"/>
      <c r="F27" s="40"/>
      <c r="G27" s="3"/>
      <c r="H27" s="40"/>
      <c r="I27" s="304"/>
      <c r="J27" s="334"/>
      <c r="K27" s="239" t="s">
        <v>408</v>
      </c>
      <c r="M27" s="361"/>
    </row>
    <row r="28" spans="2:13" x14ac:dyDescent="0.25">
      <c r="B28" s="60">
        <f t="shared" ref="B28:B36" si="1">1+B27</f>
        <v>2</v>
      </c>
      <c r="C28" s="67" t="s">
        <v>62</v>
      </c>
      <c r="D28" s="95">
        <f>+'Capital Structure'!I53</f>
        <v>8.6300000000000002E-2</v>
      </c>
      <c r="E28" s="40"/>
      <c r="F28" s="40"/>
      <c r="G28" s="3"/>
      <c r="H28" s="40"/>
      <c r="I28" s="304"/>
      <c r="J28" s="334"/>
      <c r="K28" s="371" t="s">
        <v>409</v>
      </c>
      <c r="M28" s="361"/>
    </row>
    <row r="29" spans="2:13" x14ac:dyDescent="0.25">
      <c r="B29" s="60">
        <f t="shared" si="1"/>
        <v>3</v>
      </c>
      <c r="C29" s="67" t="s">
        <v>448</v>
      </c>
      <c r="D29" s="500">
        <f>+D27*D28</f>
        <v>240891.92345601626</v>
      </c>
      <c r="E29" s="40"/>
      <c r="G29" s="40"/>
      <c r="H29" s="40"/>
      <c r="I29" s="304"/>
      <c r="J29" s="334"/>
      <c r="K29" s="239" t="s">
        <v>269</v>
      </c>
      <c r="L29" s="239" t="s">
        <v>446</v>
      </c>
      <c r="M29" s="361"/>
    </row>
    <row r="30" spans="2:13" x14ac:dyDescent="0.25">
      <c r="B30" s="60">
        <f t="shared" si="1"/>
        <v>4</v>
      </c>
      <c r="C30" s="67"/>
      <c r="D30" s="358"/>
      <c r="E30" s="40"/>
      <c r="G30" s="40"/>
      <c r="H30" s="40"/>
      <c r="I30" s="304"/>
      <c r="J30" s="334"/>
      <c r="K30" s="356"/>
      <c r="L30" s="356"/>
      <c r="M30" s="362"/>
    </row>
    <row r="31" spans="2:13" x14ac:dyDescent="0.25">
      <c r="B31" s="60">
        <f t="shared" si="1"/>
        <v>5</v>
      </c>
      <c r="C31" s="67" t="s">
        <v>63</v>
      </c>
      <c r="D31" s="359">
        <f>+PFIS!I51</f>
        <v>-300561.12892080029</v>
      </c>
      <c r="E31" s="614"/>
      <c r="G31" s="40"/>
      <c r="H31" s="40"/>
      <c r="I31" s="304"/>
      <c r="J31" s="334"/>
      <c r="K31" s="239" t="s">
        <v>407</v>
      </c>
      <c r="L31" s="356"/>
      <c r="M31" s="362"/>
    </row>
    <row r="32" spans="2:13" x14ac:dyDescent="0.25">
      <c r="B32" s="60">
        <f t="shared" si="1"/>
        <v>6</v>
      </c>
      <c r="C32" s="40"/>
      <c r="D32" s="359"/>
      <c r="E32" s="40"/>
      <c r="G32" s="40"/>
      <c r="H32" s="40"/>
      <c r="I32" s="6" t="s">
        <v>482</v>
      </c>
      <c r="J32" s="334"/>
      <c r="K32" s="356"/>
      <c r="L32" s="356"/>
      <c r="M32" s="362"/>
    </row>
    <row r="33" spans="2:19" x14ac:dyDescent="0.25">
      <c r="B33" s="60">
        <f t="shared" si="1"/>
        <v>7</v>
      </c>
      <c r="C33" s="67" t="s">
        <v>64</v>
      </c>
      <c r="D33" s="359">
        <f>+D29-D31</f>
        <v>541453.05237681651</v>
      </c>
      <c r="E33" s="614"/>
      <c r="G33" s="40"/>
      <c r="I33" s="615">
        <f>G56</f>
        <v>541453.05237681651</v>
      </c>
      <c r="J33" s="334"/>
      <c r="K33" s="239" t="s">
        <v>270</v>
      </c>
      <c r="L33" s="356"/>
      <c r="M33" s="362"/>
    </row>
    <row r="34" spans="2:19" x14ac:dyDescent="0.25">
      <c r="B34" s="60">
        <f t="shared" si="1"/>
        <v>8</v>
      </c>
      <c r="C34" s="67"/>
      <c r="D34" s="99"/>
      <c r="E34" s="40"/>
      <c r="G34" s="40"/>
      <c r="J34" s="334"/>
      <c r="K34" s="356"/>
      <c r="L34" s="356"/>
      <c r="M34" s="362"/>
    </row>
    <row r="35" spans="2:19" x14ac:dyDescent="0.25">
      <c r="B35" s="60">
        <f t="shared" si="1"/>
        <v>9</v>
      </c>
      <c r="C35" s="67" t="s">
        <v>60</v>
      </c>
      <c r="D35" s="95">
        <f>+'Int Sync, NTG, Rev Req'!E56</f>
        <v>0.88160785964851662</v>
      </c>
      <c r="E35" s="40"/>
      <c r="G35" s="40"/>
      <c r="I35" s="616"/>
      <c r="J35" s="334"/>
      <c r="K35" s="239" t="s">
        <v>479</v>
      </c>
      <c r="M35" s="361"/>
    </row>
    <row r="36" spans="2:19" ht="16.5" thickBot="1" x14ac:dyDescent="0.3">
      <c r="B36" s="60">
        <f t="shared" si="1"/>
        <v>10</v>
      </c>
      <c r="C36" s="67" t="s">
        <v>65</v>
      </c>
      <c r="D36" s="501">
        <f>+D33/D35</f>
        <v>614165.40976924298</v>
      </c>
      <c r="E36" s="614"/>
      <c r="G36" s="40"/>
      <c r="H36" s="40"/>
      <c r="J36" s="334"/>
      <c r="K36" s="369" t="s">
        <v>271</v>
      </c>
      <c r="L36" s="239" t="s">
        <v>445</v>
      </c>
      <c r="M36" s="361"/>
    </row>
    <row r="37" spans="2:19" ht="16.5" thickTop="1" x14ac:dyDescent="0.25">
      <c r="H37" s="40"/>
      <c r="J37" s="334"/>
      <c r="M37" s="361"/>
    </row>
    <row r="38" spans="2:19" x14ac:dyDescent="0.25">
      <c r="B38" s="45"/>
      <c r="C38" s="325" t="s">
        <v>1</v>
      </c>
      <c r="D38" s="51"/>
      <c r="E38" s="51"/>
      <c r="F38" s="51"/>
      <c r="G38" s="51"/>
      <c r="H38" s="40"/>
      <c r="J38" s="334"/>
      <c r="M38" s="361"/>
    </row>
    <row r="39" spans="2:19" s="6" customFormat="1" ht="32.25" thickBot="1" x14ac:dyDescent="0.3">
      <c r="B39" s="326" t="s">
        <v>9</v>
      </c>
      <c r="C39" s="328" t="s">
        <v>427</v>
      </c>
      <c r="D39" s="328" t="s">
        <v>435</v>
      </c>
      <c r="E39" s="328" t="s">
        <v>436</v>
      </c>
      <c r="F39" s="327"/>
      <c r="G39" s="617" t="s">
        <v>437</v>
      </c>
      <c r="J39" s="333"/>
      <c r="K39" s="353" t="s">
        <v>428</v>
      </c>
      <c r="L39" s="239"/>
      <c r="M39" s="361"/>
    </row>
    <row r="40" spans="2:19" x14ac:dyDescent="0.25">
      <c r="B40" s="60">
        <v>1</v>
      </c>
      <c r="C40" s="405" t="str">
        <f>C36</f>
        <v>Additional Revenue Requirement (Reduction)</v>
      </c>
      <c r="D40" s="502"/>
      <c r="E40" s="503">
        <v>1</v>
      </c>
      <c r="F40" s="503"/>
      <c r="G40" s="504">
        <f>D36</f>
        <v>614165.40976924298</v>
      </c>
      <c r="J40" s="332"/>
      <c r="K40" s="239" t="s">
        <v>466</v>
      </c>
      <c r="L40" s="239" t="s">
        <v>467</v>
      </c>
      <c r="M40" s="361"/>
    </row>
    <row r="41" spans="2:19" x14ac:dyDescent="0.25">
      <c r="B41" s="60">
        <f t="shared" ref="B41:B57" si="2">1+B40</f>
        <v>2</v>
      </c>
      <c r="C41" s="406" t="s">
        <v>510</v>
      </c>
      <c r="D41" s="55">
        <v>2E-3</v>
      </c>
      <c r="E41" s="505">
        <f>(D41/(1-D41))</f>
        <v>2.004008016032064E-3</v>
      </c>
      <c r="G41" s="506">
        <f>G40*E41</f>
        <v>1230.7924043471803</v>
      </c>
      <c r="I41" s="618"/>
      <c r="J41" s="332"/>
      <c r="K41" s="239" t="s">
        <v>501</v>
      </c>
      <c r="L41" s="239" t="s">
        <v>441</v>
      </c>
      <c r="M41" s="361"/>
    </row>
    <row r="42" spans="2:19" x14ac:dyDescent="0.25">
      <c r="B42" s="60">
        <f t="shared" si="2"/>
        <v>3</v>
      </c>
      <c r="C42" s="406" t="s">
        <v>86</v>
      </c>
      <c r="D42" s="619">
        <v>0</v>
      </c>
      <c r="E42" s="505">
        <f>(D42/(1-D42))</f>
        <v>0</v>
      </c>
      <c r="F42" s="507"/>
      <c r="G42" s="508">
        <f>+G$40*D42</f>
        <v>0</v>
      </c>
      <c r="I42" s="618"/>
      <c r="J42" s="332"/>
      <c r="K42" s="239" t="s">
        <v>502</v>
      </c>
      <c r="L42" s="239" t="s">
        <v>442</v>
      </c>
      <c r="M42" s="361"/>
    </row>
    <row r="43" spans="2:19" x14ac:dyDescent="0.25">
      <c r="B43" s="60">
        <f t="shared" si="2"/>
        <v>4</v>
      </c>
      <c r="C43" s="406" t="s">
        <v>56</v>
      </c>
      <c r="D43" s="619">
        <v>5.0000000000000001E-3</v>
      </c>
      <c r="E43" s="505">
        <f>(D43/(1-D43))</f>
        <v>5.0251256281407036E-3</v>
      </c>
      <c r="F43" s="507"/>
      <c r="G43" s="508">
        <f>+G$40*D43</f>
        <v>3070.8270488462149</v>
      </c>
      <c r="J43" s="332"/>
      <c r="K43" s="239" t="s">
        <v>503</v>
      </c>
      <c r="L43" s="239" t="s">
        <v>494</v>
      </c>
      <c r="M43" s="361"/>
      <c r="N43" s="3" t="s">
        <v>471</v>
      </c>
    </row>
    <row r="44" spans="2:19" ht="16.5" thickBot="1" x14ac:dyDescent="0.3">
      <c r="B44" s="60">
        <f t="shared" si="2"/>
        <v>5</v>
      </c>
      <c r="C44" s="407" t="s">
        <v>57</v>
      </c>
      <c r="D44" s="619">
        <v>5.0290000000000015E-2</v>
      </c>
      <c r="E44" s="509">
        <f>(D44/(1-D44))</f>
        <v>5.2953006707310672E-2</v>
      </c>
      <c r="F44" s="510"/>
      <c r="G44" s="511">
        <f>+G$40*D44</f>
        <v>30886.378457295239</v>
      </c>
      <c r="J44" s="332"/>
      <c r="K44" s="239" t="s">
        <v>504</v>
      </c>
      <c r="L44" s="239" t="s">
        <v>442</v>
      </c>
      <c r="M44" s="361"/>
      <c r="N44" s="3" t="s">
        <v>449</v>
      </c>
    </row>
    <row r="45" spans="2:19" ht="17.25" thickTop="1" thickBot="1" x14ac:dyDescent="0.3">
      <c r="B45" s="60">
        <f t="shared" si="2"/>
        <v>6</v>
      </c>
      <c r="C45" s="406" t="s">
        <v>58</v>
      </c>
      <c r="D45" s="620"/>
      <c r="E45" s="55">
        <f>SUM(E41:E44)</f>
        <v>5.9982140351483443E-2</v>
      </c>
      <c r="F45" s="512"/>
      <c r="G45" s="499">
        <f>SUM(G41:G44)</f>
        <v>35187.997910488637</v>
      </c>
      <c r="J45" s="332"/>
      <c r="K45" s="239" t="s">
        <v>495</v>
      </c>
      <c r="M45" s="361"/>
      <c r="N45" s="720" t="s">
        <v>367</v>
      </c>
      <c r="O45" s="721"/>
      <c r="P45" s="721"/>
      <c r="Q45" s="721"/>
      <c r="R45" s="721"/>
      <c r="S45" s="722"/>
    </row>
    <row r="46" spans="2:19" x14ac:dyDescent="0.25">
      <c r="B46" s="60">
        <f t="shared" si="2"/>
        <v>7</v>
      </c>
      <c r="C46" s="406"/>
      <c r="D46" s="620"/>
      <c r="E46" s="505"/>
      <c r="F46" s="507"/>
      <c r="G46" s="395"/>
      <c r="J46" s="332"/>
      <c r="M46" s="361"/>
      <c r="N46" s="723" t="s">
        <v>77</v>
      </c>
      <c r="O46" s="724"/>
      <c r="P46" s="724"/>
      <c r="Q46" s="724"/>
      <c r="R46" s="724"/>
      <c r="S46" s="725"/>
    </row>
    <row r="47" spans="2:19" x14ac:dyDescent="0.25">
      <c r="B47" s="60">
        <f t="shared" si="2"/>
        <v>8</v>
      </c>
      <c r="C47" s="408" t="s">
        <v>335</v>
      </c>
      <c r="D47" s="621"/>
      <c r="E47" s="513">
        <f>E40-E45</f>
        <v>0.94001785964851658</v>
      </c>
      <c r="F47" s="514"/>
      <c r="G47" s="515">
        <f>+G40-G45</f>
        <v>578977.41185875435</v>
      </c>
      <c r="I47" s="611"/>
      <c r="J47" s="332"/>
      <c r="K47" s="239" t="s">
        <v>505</v>
      </c>
      <c r="M47" s="361"/>
      <c r="N47" s="313" t="s">
        <v>73</v>
      </c>
      <c r="O47" s="6" t="s">
        <v>74</v>
      </c>
      <c r="P47" s="716" t="s">
        <v>75</v>
      </c>
      <c r="Q47" s="716"/>
      <c r="R47" s="716"/>
      <c r="S47" s="314" t="s">
        <v>76</v>
      </c>
    </row>
    <row r="48" spans="2:19" x14ac:dyDescent="0.25">
      <c r="B48" s="60">
        <f t="shared" si="2"/>
        <v>9</v>
      </c>
      <c r="C48" s="406" t="s">
        <v>481</v>
      </c>
      <c r="D48" s="620"/>
      <c r="E48" s="516"/>
      <c r="F48" s="517"/>
      <c r="G48" s="508">
        <f>D17</f>
        <v>-370312.3955775958</v>
      </c>
      <c r="J48" s="332"/>
      <c r="K48" s="239" t="s">
        <v>464</v>
      </c>
      <c r="M48" s="361"/>
      <c r="N48" s="315"/>
      <c r="O48" s="63"/>
      <c r="P48" s="64"/>
      <c r="Q48" s="65"/>
      <c r="R48" s="66"/>
      <c r="S48" s="316"/>
    </row>
    <row r="49" spans="2:19" x14ac:dyDescent="0.25">
      <c r="B49" s="60">
        <f t="shared" si="2"/>
        <v>10</v>
      </c>
      <c r="C49" s="406" t="s">
        <v>88</v>
      </c>
      <c r="D49" s="622"/>
      <c r="E49" s="518" t="s">
        <v>420</v>
      </c>
      <c r="F49" s="517"/>
      <c r="G49" s="508">
        <f>G47+G48</f>
        <v>208665.01628115855</v>
      </c>
      <c r="I49" s="6" t="s">
        <v>141</v>
      </c>
      <c r="J49" s="332"/>
      <c r="K49" s="239" t="s">
        <v>506</v>
      </c>
      <c r="M49" s="361"/>
      <c r="N49" s="317">
        <v>0</v>
      </c>
      <c r="O49" s="64">
        <v>50000</v>
      </c>
      <c r="P49" s="64">
        <v>0</v>
      </c>
      <c r="Q49" s="65" t="s">
        <v>140</v>
      </c>
      <c r="R49" s="66">
        <v>0.21</v>
      </c>
      <c r="S49" s="318">
        <v>0</v>
      </c>
    </row>
    <row r="50" spans="2:19" x14ac:dyDescent="0.25">
      <c r="B50" s="60">
        <f t="shared" si="2"/>
        <v>11</v>
      </c>
      <c r="C50" s="406" t="s">
        <v>230</v>
      </c>
      <c r="D50" s="623">
        <f>Inputs!BO6</f>
        <v>0.21</v>
      </c>
      <c r="E50" s="519">
        <f>Inputs!BR6</f>
        <v>5.8409999999999997E-2</v>
      </c>
      <c r="F50" s="392"/>
      <c r="G50" s="508">
        <f>G49*D50</f>
        <v>43819.653419043294</v>
      </c>
      <c r="I50" s="615">
        <f>IF(G49&gt;0,INDEX(P49:P56,MATCH(ABS(G49),N49:N56,1))+INDEX(R49:R56,MATCH(ABS(G49),N49:N56,1))*(ABS(G49)-INDEX(S49:S56,MATCH(ABS(G49),N49:N56,1))),0)</f>
        <v>45069.653419043294</v>
      </c>
      <c r="J50" s="332"/>
      <c r="K50" s="239" t="s">
        <v>465</v>
      </c>
      <c r="M50" s="361"/>
      <c r="N50" s="317">
        <v>50000.01</v>
      </c>
      <c r="O50" s="64">
        <v>75000</v>
      </c>
      <c r="P50" s="64">
        <v>7500</v>
      </c>
      <c r="Q50" s="65" t="s">
        <v>140</v>
      </c>
      <c r="R50" s="66">
        <f>+R49</f>
        <v>0.21</v>
      </c>
      <c r="S50" s="318">
        <v>50000</v>
      </c>
    </row>
    <row r="51" spans="2:19" x14ac:dyDescent="0.25">
      <c r="B51" s="60">
        <f t="shared" si="2"/>
        <v>12</v>
      </c>
      <c r="C51" s="406" t="s">
        <v>90</v>
      </c>
      <c r="D51" s="505"/>
      <c r="E51" s="513"/>
      <c r="F51" s="517"/>
      <c r="G51" s="508">
        <f>+PFIS!I48</f>
        <v>0</v>
      </c>
      <c r="I51" s="6" t="s">
        <v>142</v>
      </c>
      <c r="J51" s="332"/>
      <c r="K51" s="239" t="s">
        <v>469</v>
      </c>
      <c r="M51" s="361"/>
      <c r="N51" s="317">
        <v>75000.009999999995</v>
      </c>
      <c r="O51" s="64">
        <v>100000</v>
      </c>
      <c r="P51" s="64">
        <v>13750</v>
      </c>
      <c r="Q51" s="65" t="s">
        <v>140</v>
      </c>
      <c r="R51" s="66">
        <f t="shared" ref="R51:R56" si="3">+R50</f>
        <v>0.21</v>
      </c>
      <c r="S51" s="318">
        <v>75000</v>
      </c>
    </row>
    <row r="52" spans="2:19" x14ac:dyDescent="0.25">
      <c r="B52" s="60">
        <f t="shared" si="2"/>
        <v>13</v>
      </c>
      <c r="C52" s="406" t="s">
        <v>89</v>
      </c>
      <c r="D52" s="392"/>
      <c r="E52" s="392"/>
      <c r="F52" s="507"/>
      <c r="G52" s="508">
        <f>+G50-G51</f>
        <v>43819.653419043294</v>
      </c>
      <c r="I52" s="624">
        <f>+D50</f>
        <v>0.21</v>
      </c>
      <c r="J52" s="332"/>
      <c r="K52" s="239" t="s">
        <v>507</v>
      </c>
      <c r="L52" s="239" t="s">
        <v>443</v>
      </c>
      <c r="M52" s="361"/>
      <c r="N52" s="317">
        <v>100000.01</v>
      </c>
      <c r="O52" s="64">
        <v>335000</v>
      </c>
      <c r="P52" s="64">
        <v>22250</v>
      </c>
      <c r="Q52" s="65" t="s">
        <v>140</v>
      </c>
      <c r="R52" s="66">
        <f t="shared" si="3"/>
        <v>0.21</v>
      </c>
      <c r="S52" s="318">
        <v>100000</v>
      </c>
    </row>
    <row r="53" spans="2:19" x14ac:dyDescent="0.25">
      <c r="B53" s="60">
        <f t="shared" si="2"/>
        <v>14</v>
      </c>
      <c r="C53" s="407"/>
      <c r="D53" s="625"/>
      <c r="E53" s="516"/>
      <c r="F53" s="510"/>
      <c r="G53" s="397"/>
      <c r="I53" s="6" t="s">
        <v>229</v>
      </c>
      <c r="J53" s="332"/>
      <c r="M53" s="361"/>
      <c r="N53" s="317">
        <v>335000.01</v>
      </c>
      <c r="O53" s="64">
        <v>10000000</v>
      </c>
      <c r="P53" s="64">
        <v>113900</v>
      </c>
      <c r="Q53" s="65" t="s">
        <v>140</v>
      </c>
      <c r="R53" s="66">
        <f t="shared" si="3"/>
        <v>0.21</v>
      </c>
      <c r="S53" s="318">
        <v>335000</v>
      </c>
    </row>
    <row r="54" spans="2:19" ht="16.5" thickBot="1" x14ac:dyDescent="0.3">
      <c r="B54" s="60">
        <f t="shared" si="2"/>
        <v>15</v>
      </c>
      <c r="C54" s="23" t="s">
        <v>59</v>
      </c>
      <c r="D54" s="626"/>
      <c r="E54" s="520">
        <f>IF(OR(E50="", E50=0),E45+(E47*D50),E50+E45)</f>
        <v>0.11839214035148343</v>
      </c>
      <c r="F54" s="512"/>
      <c r="I54" s="627">
        <f>G52/G40</f>
        <v>7.1348292694483423E-2</v>
      </c>
      <c r="J54" s="332"/>
      <c r="K54" s="239" t="s">
        <v>508</v>
      </c>
      <c r="M54" s="361"/>
      <c r="N54" s="317">
        <v>10000000.01</v>
      </c>
      <c r="O54" s="64">
        <v>15000000</v>
      </c>
      <c r="P54" s="64">
        <v>3400000</v>
      </c>
      <c r="Q54" s="65" t="s">
        <v>140</v>
      </c>
      <c r="R54" s="66">
        <f t="shared" si="3"/>
        <v>0.21</v>
      </c>
      <c r="S54" s="318">
        <v>10000000</v>
      </c>
    </row>
    <row r="55" spans="2:19" ht="16.5" thickTop="1" x14ac:dyDescent="0.25">
      <c r="B55" s="60">
        <f t="shared" si="2"/>
        <v>16</v>
      </c>
      <c r="C55" s="23"/>
      <c r="D55" s="61"/>
      <c r="E55" s="55"/>
      <c r="F55" s="512"/>
      <c r="J55" s="332"/>
      <c r="M55" s="361"/>
      <c r="N55" s="317">
        <v>15000000.01</v>
      </c>
      <c r="O55" s="64">
        <v>18333333</v>
      </c>
      <c r="P55" s="64">
        <v>5150000</v>
      </c>
      <c r="Q55" s="65" t="s">
        <v>140</v>
      </c>
      <c r="R55" s="66">
        <f t="shared" si="3"/>
        <v>0.21</v>
      </c>
      <c r="S55" s="318">
        <v>15000000</v>
      </c>
    </row>
    <row r="56" spans="2:19" ht="16.5" thickBot="1" x14ac:dyDescent="0.3">
      <c r="B56" s="60">
        <f t="shared" si="2"/>
        <v>17</v>
      </c>
      <c r="C56" s="23" t="s">
        <v>60</v>
      </c>
      <c r="D56" s="61"/>
      <c r="E56" s="521">
        <f>IF(OR(E50="", E50=0), E47-(E47*D50), E47-E50)</f>
        <v>0.88160785964851662</v>
      </c>
      <c r="F56" s="512"/>
      <c r="G56" s="522">
        <f>+G$40*E56</f>
        <v>541453.05237681651</v>
      </c>
      <c r="I56" s="6" t="s">
        <v>500</v>
      </c>
      <c r="J56" s="332"/>
      <c r="K56" s="239" t="s">
        <v>509</v>
      </c>
      <c r="L56" s="239" t="s">
        <v>444</v>
      </c>
      <c r="M56" s="361"/>
      <c r="N56" s="319">
        <v>18333333.010000002</v>
      </c>
      <c r="O56" s="320"/>
      <c r="P56" s="321">
        <v>6416667</v>
      </c>
      <c r="Q56" s="322" t="s">
        <v>140</v>
      </c>
      <c r="R56" s="323">
        <f t="shared" si="3"/>
        <v>0.21</v>
      </c>
      <c r="S56" s="324">
        <v>18333333</v>
      </c>
    </row>
    <row r="57" spans="2:19" ht="16.5" thickTop="1" x14ac:dyDescent="0.25">
      <c r="B57" s="60">
        <f t="shared" si="2"/>
        <v>18</v>
      </c>
      <c r="C57" s="23"/>
      <c r="D57" s="61"/>
      <c r="E57" s="55"/>
      <c r="F57" s="62"/>
      <c r="H57" s="332"/>
      <c r="I57" s="444">
        <f>G40+G44+G49</f>
        <v>853716.80450769677</v>
      </c>
      <c r="J57" s="332"/>
      <c r="M57" s="361"/>
    </row>
    <row r="58" spans="2:19" s="6" customFormat="1" x14ac:dyDescent="0.25">
      <c r="D58" s="23"/>
      <c r="E58" s="38"/>
      <c r="F58" s="3"/>
      <c r="G58" s="3"/>
      <c r="H58" s="332"/>
      <c r="J58" s="333"/>
      <c r="K58" s="239"/>
      <c r="L58" s="239"/>
      <c r="M58" s="361"/>
    </row>
    <row r="95" spans="2:7" x14ac:dyDescent="0.25">
      <c r="B95" s="45"/>
    </row>
    <row r="96" spans="2:7" x14ac:dyDescent="0.25">
      <c r="B96" s="45"/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</sheetData>
  <protectedRanges>
    <protectedRange password="C6D0" sqref="D50:E50" name="NTG Factor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mergeCells count="3">
    <mergeCell ref="N45:S45"/>
    <mergeCell ref="P47:R47"/>
    <mergeCell ref="N46:S46"/>
  </mergeCells>
  <phoneticPr fontId="10" type="noConversion"/>
  <pageMargins left="0.75" right="0.5" top="1" bottom="0.75" header="0.5" footer="0.5"/>
  <pageSetup scale="78" orientation="landscape" r:id="rId1"/>
  <headerFooter alignWithMargins="0"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B1:S50"/>
  <sheetViews>
    <sheetView showGridLines="0" view="pageBreakPreview" topLeftCell="A6" zoomScale="80" zoomScaleNormal="90" zoomScaleSheetLayoutView="80" workbookViewId="0">
      <selection activeCell="D42" sqref="D42"/>
    </sheetView>
  </sheetViews>
  <sheetFormatPr defaultColWidth="8.88671875" defaultRowHeight="12.75" x14ac:dyDescent="0.2"/>
  <cols>
    <col min="1" max="1" width="2.109375" style="100" customWidth="1"/>
    <col min="2" max="2" width="11.77734375" style="100" bestFit="1" customWidth="1"/>
    <col min="3" max="3" width="13.88671875" style="100" customWidth="1"/>
    <col min="4" max="5" width="14.21875" style="100" customWidth="1"/>
    <col min="6" max="8" width="13.88671875" style="100" customWidth="1"/>
    <col min="9" max="10" width="14.21875" style="100" customWidth="1"/>
    <col min="11" max="12" width="13.88671875" style="100" customWidth="1"/>
    <col min="13" max="15" width="14.21875" style="100" customWidth="1"/>
    <col min="16" max="17" width="13.88671875" style="100" customWidth="1"/>
    <col min="18" max="16384" width="8.88671875" style="100"/>
  </cols>
  <sheetData>
    <row r="1" spans="2:15" ht="6.75" customHeight="1" x14ac:dyDescent="0.2"/>
    <row r="2" spans="2:15" s="1" customFormat="1" x14ac:dyDescent="0.2">
      <c r="B2" s="69" t="str">
        <f>Inputs!B6</f>
        <v>Washington Water Service Company</v>
      </c>
    </row>
    <row r="3" spans="2:15" s="1" customFormat="1" x14ac:dyDescent="0.2">
      <c r="B3" s="69" t="str">
        <f>"UW-"&amp;Inputs!B7</f>
        <v>UW-</v>
      </c>
    </row>
    <row r="4" spans="2:15" s="1" customFormat="1" x14ac:dyDescent="0.2">
      <c r="B4" s="69" t="str">
        <f>PFIS!B3</f>
        <v>For Test Year Ended December 31, 2024</v>
      </c>
    </row>
    <row r="5" spans="2:15" s="1" customFormat="1" x14ac:dyDescent="0.2">
      <c r="B5" s="69" t="s">
        <v>251</v>
      </c>
    </row>
    <row r="6" spans="2:15" s="1" customFormat="1" x14ac:dyDescent="0.2"/>
    <row r="7" spans="2:15" s="1" customFormat="1" ht="13.5" x14ac:dyDescent="0.25">
      <c r="B7" s="493" t="s">
        <v>647</v>
      </c>
    </row>
    <row r="8" spans="2:15" s="1" customFormat="1" x14ac:dyDescent="0.2">
      <c r="B8" s="492"/>
    </row>
    <row r="9" spans="2:15" s="1" customFormat="1" ht="16.5" customHeight="1" x14ac:dyDescent="0.3">
      <c r="B9" s="491" t="s">
        <v>621</v>
      </c>
      <c r="C9" s="467"/>
    </row>
    <row r="10" spans="2:15" x14ac:dyDescent="0.2">
      <c r="D10" s="479" t="s">
        <v>631</v>
      </c>
      <c r="H10" s="726" t="s">
        <v>621</v>
      </c>
      <c r="I10" s="726"/>
      <c r="J10" s="726"/>
      <c r="L10" s="726" t="s">
        <v>636</v>
      </c>
      <c r="M10" s="726"/>
      <c r="N10" s="726"/>
      <c r="O10" s="726"/>
    </row>
    <row r="11" spans="2:15" x14ac:dyDescent="0.2">
      <c r="B11" s="476" t="s">
        <v>176</v>
      </c>
      <c r="C11" s="478" t="s">
        <v>630</v>
      </c>
      <c r="D11" s="480" t="s">
        <v>632</v>
      </c>
      <c r="E11" s="478" t="s">
        <v>633</v>
      </c>
      <c r="F11" s="478" t="s">
        <v>649</v>
      </c>
      <c r="H11" s="485" t="s">
        <v>139</v>
      </c>
      <c r="I11" s="485" t="s">
        <v>635</v>
      </c>
      <c r="J11" s="485" t="s">
        <v>634</v>
      </c>
      <c r="L11" s="486" t="s">
        <v>139</v>
      </c>
      <c r="M11" s="486" t="s">
        <v>635</v>
      </c>
      <c r="N11" s="486" t="s">
        <v>644</v>
      </c>
      <c r="O11" s="487" t="s">
        <v>629</v>
      </c>
    </row>
    <row r="13" spans="2:15" x14ac:dyDescent="0.2">
      <c r="B13" s="477" t="s">
        <v>622</v>
      </c>
      <c r="C13" s="477">
        <v>1948</v>
      </c>
      <c r="D13" s="477">
        <v>6722.33</v>
      </c>
      <c r="E13" s="477">
        <v>11932.27</v>
      </c>
      <c r="F13" s="477">
        <f>D13+E13</f>
        <v>18654.599999999999</v>
      </c>
      <c r="H13" s="482">
        <v>17.75</v>
      </c>
      <c r="I13" s="482">
        <v>0</v>
      </c>
      <c r="J13" s="482">
        <v>0.65</v>
      </c>
      <c r="L13" s="488">
        <f>C13*H13</f>
        <v>34577</v>
      </c>
      <c r="M13" s="488">
        <f t="shared" ref="M13:M19" si="0">D13*I13</f>
        <v>0</v>
      </c>
      <c r="N13" s="488">
        <f t="shared" ref="N13:N19" si="1">E13*J13</f>
        <v>7755.9755000000005</v>
      </c>
      <c r="O13" s="488">
        <f>SUM(L13:N13)</f>
        <v>42332.9755</v>
      </c>
    </row>
    <row r="14" spans="2:15" x14ac:dyDescent="0.2">
      <c r="B14" s="477" t="s">
        <v>623</v>
      </c>
      <c r="C14" s="477">
        <v>6907</v>
      </c>
      <c r="D14" s="477">
        <v>26023.18</v>
      </c>
      <c r="E14" s="477">
        <v>44809.05000000001</v>
      </c>
      <c r="F14" s="477">
        <f t="shared" ref="F14:F19" si="2">D14+E14</f>
        <v>70832.23000000001</v>
      </c>
      <c r="H14" s="481">
        <v>17.75</v>
      </c>
      <c r="I14" s="481">
        <v>0</v>
      </c>
      <c r="J14" s="481">
        <v>0.65</v>
      </c>
      <c r="L14" s="477">
        <f t="shared" ref="L14:L19" si="3">C14*H14</f>
        <v>122599.25</v>
      </c>
      <c r="M14" s="477">
        <f t="shared" si="0"/>
        <v>0</v>
      </c>
      <c r="N14" s="477">
        <f t="shared" si="1"/>
        <v>29125.882500000007</v>
      </c>
      <c r="O14" s="477">
        <f t="shared" ref="O14:O19" si="4">SUM(L14:N14)</f>
        <v>151725.13250000001</v>
      </c>
    </row>
    <row r="15" spans="2:15" x14ac:dyDescent="0.2">
      <c r="B15" s="477" t="s">
        <v>624</v>
      </c>
      <c r="C15" s="477">
        <v>762</v>
      </c>
      <c r="D15" s="477">
        <v>4379.75</v>
      </c>
      <c r="E15" s="477">
        <v>13271.37</v>
      </c>
      <c r="F15" s="477">
        <f t="shared" si="2"/>
        <v>17651.120000000003</v>
      </c>
      <c r="H15" s="481">
        <v>27</v>
      </c>
      <c r="I15" s="481">
        <v>0</v>
      </c>
      <c r="J15" s="481">
        <v>0.65</v>
      </c>
      <c r="L15" s="477">
        <f t="shared" si="3"/>
        <v>20574</v>
      </c>
      <c r="M15" s="477">
        <f t="shared" si="0"/>
        <v>0</v>
      </c>
      <c r="N15" s="477">
        <f t="shared" si="1"/>
        <v>8626.3905000000013</v>
      </c>
      <c r="O15" s="477">
        <f t="shared" si="4"/>
        <v>29200.390500000001</v>
      </c>
    </row>
    <row r="16" spans="2:15" x14ac:dyDescent="0.2">
      <c r="B16" s="477" t="s">
        <v>625</v>
      </c>
      <c r="C16" s="477">
        <v>240</v>
      </c>
      <c r="D16" s="477">
        <v>3223.73</v>
      </c>
      <c r="E16" s="477">
        <v>14973.66</v>
      </c>
      <c r="F16" s="477">
        <f t="shared" si="2"/>
        <v>18197.39</v>
      </c>
      <c r="H16" s="481">
        <v>53.25</v>
      </c>
      <c r="I16" s="481">
        <v>0</v>
      </c>
      <c r="J16" s="481">
        <v>0.65</v>
      </c>
      <c r="L16" s="477">
        <f t="shared" si="3"/>
        <v>12780</v>
      </c>
      <c r="M16" s="477">
        <f t="shared" si="0"/>
        <v>0</v>
      </c>
      <c r="N16" s="477">
        <f t="shared" si="1"/>
        <v>9732.8790000000008</v>
      </c>
      <c r="O16" s="477">
        <f t="shared" si="4"/>
        <v>22512.879000000001</v>
      </c>
    </row>
    <row r="17" spans="2:18" x14ac:dyDescent="0.2">
      <c r="B17" s="477" t="s">
        <v>626</v>
      </c>
      <c r="C17" s="477">
        <v>181</v>
      </c>
      <c r="D17" s="477">
        <v>2783.33</v>
      </c>
      <c r="E17" s="477">
        <v>7694.24</v>
      </c>
      <c r="F17" s="477">
        <f t="shared" si="2"/>
        <v>10477.57</v>
      </c>
      <c r="H17" s="481">
        <v>93.19</v>
      </c>
      <c r="I17" s="481">
        <v>0</v>
      </c>
      <c r="J17" s="481">
        <v>0.65</v>
      </c>
      <c r="L17" s="477">
        <f t="shared" si="3"/>
        <v>16867.39</v>
      </c>
      <c r="M17" s="477">
        <f t="shared" si="0"/>
        <v>0</v>
      </c>
      <c r="N17" s="477">
        <f t="shared" si="1"/>
        <v>5001.2560000000003</v>
      </c>
      <c r="O17" s="477">
        <f t="shared" si="4"/>
        <v>21868.646000000001</v>
      </c>
    </row>
    <row r="18" spans="2:18" x14ac:dyDescent="0.2">
      <c r="B18" s="477" t="s">
        <v>627</v>
      </c>
      <c r="C18" s="477">
        <v>35</v>
      </c>
      <c r="D18" s="477">
        <v>1906.4</v>
      </c>
      <c r="E18" s="477">
        <v>9139.6</v>
      </c>
      <c r="F18" s="477">
        <f t="shared" si="2"/>
        <v>11046</v>
      </c>
      <c r="H18" s="481">
        <v>204.13</v>
      </c>
      <c r="I18" s="481">
        <v>0</v>
      </c>
      <c r="J18" s="481">
        <v>0.65</v>
      </c>
      <c r="L18" s="477">
        <f t="shared" si="3"/>
        <v>7144.55</v>
      </c>
      <c r="M18" s="477">
        <f t="shared" si="0"/>
        <v>0</v>
      </c>
      <c r="N18" s="477">
        <f t="shared" si="1"/>
        <v>5940.7400000000007</v>
      </c>
      <c r="O18" s="477">
        <f t="shared" si="4"/>
        <v>13085.29</v>
      </c>
    </row>
    <row r="19" spans="2:18" x14ac:dyDescent="0.2">
      <c r="B19" s="477" t="s">
        <v>628</v>
      </c>
      <c r="C19" s="477">
        <v>24</v>
      </c>
      <c r="D19" s="477">
        <v>2289.92</v>
      </c>
      <c r="E19" s="477">
        <v>4365.16</v>
      </c>
      <c r="F19" s="477">
        <f t="shared" si="2"/>
        <v>6655.08</v>
      </c>
      <c r="H19" s="481">
        <v>355</v>
      </c>
      <c r="I19" s="481">
        <v>0</v>
      </c>
      <c r="J19" s="481">
        <v>0.65</v>
      </c>
      <c r="L19" s="477">
        <f t="shared" si="3"/>
        <v>8520</v>
      </c>
      <c r="M19" s="477">
        <f t="shared" si="0"/>
        <v>0</v>
      </c>
      <c r="N19" s="477">
        <f t="shared" si="1"/>
        <v>2837.3539999999998</v>
      </c>
      <c r="O19" s="477">
        <f t="shared" si="4"/>
        <v>11357.353999999999</v>
      </c>
    </row>
    <row r="20" spans="2:18" ht="3.75" customHeight="1" x14ac:dyDescent="0.2">
      <c r="B20" s="477"/>
      <c r="C20" s="484"/>
      <c r="D20" s="484"/>
      <c r="E20" s="484"/>
      <c r="F20" s="484"/>
      <c r="L20" s="489"/>
      <c r="M20" s="489"/>
      <c r="N20" s="489"/>
      <c r="O20" s="489"/>
    </row>
    <row r="21" spans="2:18" s="475" customFormat="1" x14ac:dyDescent="0.2">
      <c r="B21" s="483" t="s">
        <v>629</v>
      </c>
      <c r="C21" s="483">
        <f>SUM(C13:C19)</f>
        <v>10097</v>
      </c>
      <c r="D21" s="483">
        <f>SUM(D13:D19)</f>
        <v>47328.640000000007</v>
      </c>
      <c r="E21" s="483">
        <f>SUM(E13:E19)</f>
        <v>106185.35000000002</v>
      </c>
      <c r="F21" s="483">
        <f>SUM(F13:F19)</f>
        <v>153513.99</v>
      </c>
      <c r="H21" s="483"/>
      <c r="I21" s="483"/>
      <c r="J21" s="483"/>
      <c r="L21" s="490">
        <f t="shared" ref="L21:O21" si="5">SUM(L13:L19)</f>
        <v>223062.19</v>
      </c>
      <c r="M21" s="490">
        <f t="shared" si="5"/>
        <v>0</v>
      </c>
      <c r="N21" s="490">
        <f t="shared" si="5"/>
        <v>69020.477500000023</v>
      </c>
      <c r="O21" s="490">
        <f t="shared" si="5"/>
        <v>292082.66749999998</v>
      </c>
    </row>
    <row r="24" spans="2:18" ht="20.25" x14ac:dyDescent="0.3">
      <c r="B24" s="491" t="s">
        <v>637</v>
      </c>
    </row>
    <row r="25" spans="2:18" x14ac:dyDescent="0.2">
      <c r="D25" s="479"/>
      <c r="I25" s="726" t="s">
        <v>640</v>
      </c>
      <c r="J25" s="726"/>
      <c r="K25" s="726"/>
      <c r="L25" s="726"/>
      <c r="N25" s="726" t="s">
        <v>643</v>
      </c>
      <c r="O25" s="726"/>
      <c r="P25" s="726"/>
      <c r="Q25" s="726"/>
      <c r="R25" s="726"/>
    </row>
    <row r="26" spans="2:18" x14ac:dyDescent="0.2">
      <c r="B26" s="476" t="s">
        <v>176</v>
      </c>
      <c r="C26" s="478" t="s">
        <v>630</v>
      </c>
      <c r="D26" s="478" t="s">
        <v>633</v>
      </c>
      <c r="E26" s="478" t="s">
        <v>638</v>
      </c>
      <c r="F26" s="478" t="s">
        <v>639</v>
      </c>
      <c r="G26" s="478" t="s">
        <v>649</v>
      </c>
      <c r="I26" s="485" t="s">
        <v>139</v>
      </c>
      <c r="J26" s="485" t="s">
        <v>634</v>
      </c>
      <c r="K26" s="485" t="s">
        <v>641</v>
      </c>
      <c r="L26" s="485" t="s">
        <v>642</v>
      </c>
      <c r="N26" s="485" t="s">
        <v>139</v>
      </c>
      <c r="O26" s="485" t="s">
        <v>644</v>
      </c>
      <c r="P26" s="485" t="s">
        <v>645</v>
      </c>
      <c r="Q26" s="485" t="s">
        <v>646</v>
      </c>
      <c r="R26" s="487" t="s">
        <v>629</v>
      </c>
    </row>
    <row r="28" spans="2:18" x14ac:dyDescent="0.2">
      <c r="B28" s="477" t="s">
        <v>622</v>
      </c>
      <c r="C28" s="477">
        <f>C13</f>
        <v>1948</v>
      </c>
      <c r="D28" s="477">
        <v>10774.86</v>
      </c>
      <c r="E28" s="477">
        <v>5786.95</v>
      </c>
      <c r="F28" s="477">
        <v>2092.79</v>
      </c>
      <c r="G28" s="477">
        <f>E28+F28+D28</f>
        <v>18654.599999999999</v>
      </c>
      <c r="I28" s="482">
        <v>20.538</v>
      </c>
      <c r="J28" s="482">
        <v>0.5</v>
      </c>
      <c r="K28" s="482">
        <v>1</v>
      </c>
      <c r="L28" s="482">
        <v>1.5</v>
      </c>
      <c r="N28" s="488">
        <f>C28*I28</f>
        <v>40008.023999999998</v>
      </c>
      <c r="O28" s="488">
        <f>D28*J28</f>
        <v>5387.43</v>
      </c>
      <c r="P28" s="488">
        <f t="shared" ref="P28:P34" si="6">E28*K28</f>
        <v>5786.95</v>
      </c>
      <c r="Q28" s="488">
        <f t="shared" ref="Q28:Q34" si="7">F28*L28</f>
        <v>3139.1849999999999</v>
      </c>
      <c r="R28" s="488">
        <f>SUM(N28:Q28)</f>
        <v>54321.588999999993</v>
      </c>
    </row>
    <row r="29" spans="2:18" x14ac:dyDescent="0.2">
      <c r="B29" s="477" t="s">
        <v>623</v>
      </c>
      <c r="C29" s="477">
        <f t="shared" ref="C29:C34" si="8">C14</f>
        <v>6907</v>
      </c>
      <c r="D29" s="477">
        <v>41759.370000000003</v>
      </c>
      <c r="E29" s="477">
        <v>21524.04</v>
      </c>
      <c r="F29" s="477">
        <v>7548.8199999999979</v>
      </c>
      <c r="G29" s="477">
        <f t="shared" ref="G29:G34" si="9">E29+F29+D29</f>
        <v>70832.23000000001</v>
      </c>
      <c r="I29" s="481">
        <v>20.538</v>
      </c>
      <c r="J29" s="481">
        <v>0.5</v>
      </c>
      <c r="K29" s="481">
        <v>1</v>
      </c>
      <c r="L29" s="481">
        <v>1.5</v>
      </c>
      <c r="N29" s="477">
        <f t="shared" ref="N29:N34" si="10">C29*I29</f>
        <v>141855.96600000001</v>
      </c>
      <c r="O29" s="477">
        <f t="shared" ref="O29:O34" si="11">D29*J29</f>
        <v>20879.685000000001</v>
      </c>
      <c r="P29" s="477">
        <f t="shared" si="6"/>
        <v>21524.04</v>
      </c>
      <c r="Q29" s="477">
        <f t="shared" si="7"/>
        <v>11323.229999999996</v>
      </c>
      <c r="R29" s="477">
        <f t="shared" ref="R29:R34" si="12">SUM(N29:Q29)</f>
        <v>195582.92100000003</v>
      </c>
    </row>
    <row r="30" spans="2:18" x14ac:dyDescent="0.2">
      <c r="B30" s="477" t="s">
        <v>624</v>
      </c>
      <c r="C30" s="477">
        <f t="shared" si="8"/>
        <v>762</v>
      </c>
      <c r="D30" s="477">
        <v>8879.4</v>
      </c>
      <c r="E30" s="477">
        <v>5640.89</v>
      </c>
      <c r="F30" s="477">
        <v>3130.83</v>
      </c>
      <c r="G30" s="477">
        <f t="shared" si="9"/>
        <v>17651.120000000003</v>
      </c>
      <c r="I30" s="481">
        <v>34.911276699029131</v>
      </c>
      <c r="J30" s="481">
        <v>0.5</v>
      </c>
      <c r="K30" s="481">
        <v>1</v>
      </c>
      <c r="L30" s="481">
        <v>1.5</v>
      </c>
      <c r="N30" s="477">
        <f t="shared" si="10"/>
        <v>26602.392844660197</v>
      </c>
      <c r="O30" s="477">
        <f t="shared" si="11"/>
        <v>4439.7</v>
      </c>
      <c r="P30" s="477">
        <f t="shared" si="6"/>
        <v>5640.89</v>
      </c>
      <c r="Q30" s="477">
        <f t="shared" si="7"/>
        <v>4696.2449999999999</v>
      </c>
      <c r="R30" s="477">
        <f t="shared" si="12"/>
        <v>41379.227844660199</v>
      </c>
    </row>
    <row r="31" spans="2:18" x14ac:dyDescent="0.2">
      <c r="B31" s="477" t="s">
        <v>625</v>
      </c>
      <c r="C31" s="477">
        <f t="shared" si="8"/>
        <v>240</v>
      </c>
      <c r="D31" s="477">
        <v>8702.08</v>
      </c>
      <c r="E31" s="477">
        <v>7663.26</v>
      </c>
      <c r="F31" s="477">
        <v>1832.05</v>
      </c>
      <c r="G31" s="477">
        <f t="shared" si="9"/>
        <v>18197.39</v>
      </c>
      <c r="I31" s="481">
        <v>67.778723300970867</v>
      </c>
      <c r="J31" s="481">
        <v>0.5</v>
      </c>
      <c r="K31" s="481">
        <v>1</v>
      </c>
      <c r="L31" s="481">
        <v>1.5</v>
      </c>
      <c r="N31" s="477">
        <f t="shared" si="10"/>
        <v>16266.893592233007</v>
      </c>
      <c r="O31" s="477">
        <f t="shared" si="11"/>
        <v>4351.04</v>
      </c>
      <c r="P31" s="477">
        <f t="shared" si="6"/>
        <v>7663.26</v>
      </c>
      <c r="Q31" s="477">
        <f t="shared" si="7"/>
        <v>2748.0749999999998</v>
      </c>
      <c r="R31" s="477">
        <f t="shared" si="12"/>
        <v>31029.268592233009</v>
      </c>
    </row>
    <row r="32" spans="2:18" x14ac:dyDescent="0.2">
      <c r="B32" s="477" t="s">
        <v>626</v>
      </c>
      <c r="C32" s="477">
        <f t="shared" si="8"/>
        <v>181</v>
      </c>
      <c r="D32" s="477">
        <v>5109.4799999999996</v>
      </c>
      <c r="E32" s="477">
        <v>4302.62</v>
      </c>
      <c r="F32" s="477">
        <v>1065.47</v>
      </c>
      <c r="G32" s="477">
        <f t="shared" si="9"/>
        <v>10477.57</v>
      </c>
      <c r="I32" s="481">
        <v>108.85472330097089</v>
      </c>
      <c r="J32" s="481">
        <v>0.5</v>
      </c>
      <c r="K32" s="481">
        <v>1</v>
      </c>
      <c r="L32" s="481">
        <v>1.5</v>
      </c>
      <c r="N32" s="477">
        <f t="shared" si="10"/>
        <v>19702.70491747573</v>
      </c>
      <c r="O32" s="477">
        <f t="shared" si="11"/>
        <v>2554.7399999999998</v>
      </c>
      <c r="P32" s="477">
        <f t="shared" si="6"/>
        <v>4302.62</v>
      </c>
      <c r="Q32" s="477">
        <f t="shared" si="7"/>
        <v>1598.2049999999999</v>
      </c>
      <c r="R32" s="477">
        <f t="shared" si="12"/>
        <v>28158.269917475729</v>
      </c>
    </row>
    <row r="33" spans="2:19" x14ac:dyDescent="0.2">
      <c r="B33" s="477" t="s">
        <v>627</v>
      </c>
      <c r="C33" s="477">
        <f t="shared" si="8"/>
        <v>35</v>
      </c>
      <c r="D33" s="477">
        <v>3772.8</v>
      </c>
      <c r="E33" s="477">
        <v>3745.24</v>
      </c>
      <c r="F33" s="477">
        <v>3527.96</v>
      </c>
      <c r="G33" s="477">
        <f t="shared" si="9"/>
        <v>11046</v>
      </c>
      <c r="I33" s="481">
        <v>205.38</v>
      </c>
      <c r="J33" s="481">
        <v>0.5</v>
      </c>
      <c r="K33" s="481">
        <v>1</v>
      </c>
      <c r="L33" s="481">
        <v>1.5</v>
      </c>
      <c r="N33" s="477">
        <f t="shared" si="10"/>
        <v>7188.3</v>
      </c>
      <c r="O33" s="477">
        <f t="shared" si="11"/>
        <v>1886.4</v>
      </c>
      <c r="P33" s="477">
        <f t="shared" si="6"/>
        <v>3745.24</v>
      </c>
      <c r="Q33" s="477">
        <f t="shared" si="7"/>
        <v>5291.9400000000005</v>
      </c>
      <c r="R33" s="477">
        <f t="shared" si="12"/>
        <v>18111.88</v>
      </c>
    </row>
    <row r="34" spans="2:19" x14ac:dyDescent="0.2">
      <c r="B34" s="477" t="s">
        <v>628</v>
      </c>
      <c r="C34" s="477">
        <f t="shared" si="8"/>
        <v>24</v>
      </c>
      <c r="D34" s="477">
        <v>4927.87</v>
      </c>
      <c r="E34" s="477">
        <v>1727.21</v>
      </c>
      <c r="F34" s="477">
        <v>0</v>
      </c>
      <c r="G34" s="477">
        <f t="shared" si="9"/>
        <v>6655.08</v>
      </c>
      <c r="I34" s="481">
        <v>342.98127669902914</v>
      </c>
      <c r="J34" s="481">
        <v>0.5</v>
      </c>
      <c r="K34" s="481">
        <v>1</v>
      </c>
      <c r="L34" s="481">
        <v>1.5</v>
      </c>
      <c r="N34" s="477">
        <f t="shared" si="10"/>
        <v>8231.5506407766989</v>
      </c>
      <c r="O34" s="477">
        <f t="shared" si="11"/>
        <v>2463.9349999999999</v>
      </c>
      <c r="P34" s="477">
        <f t="shared" si="6"/>
        <v>1727.21</v>
      </c>
      <c r="Q34" s="477">
        <f t="shared" si="7"/>
        <v>0</v>
      </c>
      <c r="R34" s="477">
        <f t="shared" si="12"/>
        <v>12422.695640776699</v>
      </c>
    </row>
    <row r="35" spans="2:19" ht="3.75" customHeight="1" x14ac:dyDescent="0.2">
      <c r="B35" s="477"/>
      <c r="C35" s="484"/>
      <c r="D35" s="484"/>
      <c r="E35" s="484"/>
      <c r="F35" s="484"/>
      <c r="G35" s="484"/>
      <c r="N35" s="489"/>
      <c r="O35" s="489"/>
      <c r="P35" s="489"/>
      <c r="Q35" s="489"/>
      <c r="R35" s="489"/>
    </row>
    <row r="36" spans="2:19" s="475" customFormat="1" x14ac:dyDescent="0.2">
      <c r="B36" s="483" t="s">
        <v>629</v>
      </c>
      <c r="C36" s="483">
        <f>SUM(C28:C34)</f>
        <v>10097</v>
      </c>
      <c r="D36" s="483">
        <f>SUM(D28:D34)</f>
        <v>83925.86</v>
      </c>
      <c r="E36" s="483">
        <f>SUM(E28:E34)</f>
        <v>50390.210000000006</v>
      </c>
      <c r="F36" s="483">
        <f>SUM(F28:F34)</f>
        <v>19197.919999999995</v>
      </c>
      <c r="G36" s="483">
        <f>SUM(G28:G34)</f>
        <v>153513.99</v>
      </c>
      <c r="N36" s="490">
        <f t="shared" ref="N36:R36" si="13">SUM(N28:N34)</f>
        <v>259855.83199514565</v>
      </c>
      <c r="O36" s="490">
        <f t="shared" si="13"/>
        <v>41962.93</v>
      </c>
      <c r="P36" s="490">
        <f t="shared" si="13"/>
        <v>50390.210000000006</v>
      </c>
      <c r="Q36" s="490">
        <f t="shared" si="13"/>
        <v>28796.879999999997</v>
      </c>
      <c r="R36" s="490">
        <f t="shared" si="13"/>
        <v>381005.85199514561</v>
      </c>
      <c r="S36" s="483"/>
    </row>
    <row r="38" spans="2:19" ht="20.25" x14ac:dyDescent="0.3">
      <c r="B38" s="491" t="s">
        <v>648</v>
      </c>
    </row>
    <row r="39" spans="2:19" x14ac:dyDescent="0.2">
      <c r="D39" s="479"/>
      <c r="I39" s="726" t="s">
        <v>640</v>
      </c>
      <c r="J39" s="726"/>
      <c r="K39" s="726"/>
      <c r="L39" s="726"/>
      <c r="N39" s="726" t="s">
        <v>643</v>
      </c>
      <c r="O39" s="726"/>
      <c r="P39" s="726"/>
      <c r="Q39" s="726"/>
      <c r="R39" s="726"/>
    </row>
    <row r="40" spans="2:19" x14ac:dyDescent="0.2">
      <c r="B40" s="476" t="s">
        <v>176</v>
      </c>
      <c r="C40" s="478" t="s">
        <v>630</v>
      </c>
      <c r="D40" s="478" t="s">
        <v>633</v>
      </c>
      <c r="E40" s="478" t="s">
        <v>638</v>
      </c>
      <c r="F40" s="478" t="s">
        <v>639</v>
      </c>
      <c r="G40" s="478" t="s">
        <v>649</v>
      </c>
      <c r="I40" s="485" t="s">
        <v>139</v>
      </c>
      <c r="J40" s="485" t="s">
        <v>634</v>
      </c>
      <c r="K40" s="485" t="s">
        <v>641</v>
      </c>
      <c r="L40" s="485" t="s">
        <v>642</v>
      </c>
      <c r="N40" s="485" t="s">
        <v>139</v>
      </c>
      <c r="O40" s="485" t="s">
        <v>644</v>
      </c>
      <c r="P40" s="485" t="s">
        <v>645</v>
      </c>
      <c r="Q40" s="485" t="s">
        <v>646</v>
      </c>
      <c r="R40" s="487" t="s">
        <v>629</v>
      </c>
    </row>
    <row r="42" spans="2:19" x14ac:dyDescent="0.2">
      <c r="B42" s="477" t="s">
        <v>622</v>
      </c>
      <c r="C42" s="477">
        <f>C28</f>
        <v>1948</v>
      </c>
      <c r="D42" s="477">
        <v>9445.65</v>
      </c>
      <c r="E42" s="477">
        <v>5929.41</v>
      </c>
      <c r="F42" s="477">
        <v>3279.54</v>
      </c>
      <c r="G42" s="477">
        <f>E42+F42+D42</f>
        <v>18654.599999999999</v>
      </c>
      <c r="I42" s="482">
        <v>23.883600000000001</v>
      </c>
      <c r="J42" s="482">
        <v>1</v>
      </c>
      <c r="K42" s="482">
        <v>1.5</v>
      </c>
      <c r="L42" s="482">
        <v>2</v>
      </c>
      <c r="N42" s="488">
        <f>C42*I42</f>
        <v>46525.252800000002</v>
      </c>
      <c r="O42" s="488">
        <f>D42*J42</f>
        <v>9445.65</v>
      </c>
      <c r="P42" s="488">
        <f t="shared" ref="P42:P48" si="14">E42*K42</f>
        <v>8894.1149999999998</v>
      </c>
      <c r="Q42" s="488">
        <f t="shared" ref="Q42:Q48" si="15">F42*L42</f>
        <v>6559.08</v>
      </c>
      <c r="R42" s="488">
        <f>SUM(N42:Q42)</f>
        <v>71424.097800000003</v>
      </c>
    </row>
    <row r="43" spans="2:19" x14ac:dyDescent="0.2">
      <c r="B43" s="477" t="s">
        <v>623</v>
      </c>
      <c r="C43" s="477">
        <f t="shared" ref="C43:C48" si="16">C29</f>
        <v>6907</v>
      </c>
      <c r="D43" s="477">
        <v>36546.39</v>
      </c>
      <c r="E43" s="477">
        <v>22871.06</v>
      </c>
      <c r="F43" s="477">
        <v>11414.780000000002</v>
      </c>
      <c r="G43" s="477">
        <f t="shared" ref="G43:G48" si="17">E43+F43+D43</f>
        <v>70832.23000000001</v>
      </c>
      <c r="I43" s="481">
        <v>23.883600000000001</v>
      </c>
      <c r="J43" s="481">
        <f>J42</f>
        <v>1</v>
      </c>
      <c r="K43" s="481">
        <f>K42</f>
        <v>1.5</v>
      </c>
      <c r="L43" s="481">
        <f>L42</f>
        <v>2</v>
      </c>
      <c r="N43" s="477">
        <f t="shared" ref="N43:N48" si="18">C43*I43</f>
        <v>164964.0252</v>
      </c>
      <c r="O43" s="477">
        <f t="shared" ref="O43:O48" si="19">D43*J43</f>
        <v>36546.39</v>
      </c>
      <c r="P43" s="477">
        <f t="shared" si="14"/>
        <v>34306.590000000004</v>
      </c>
      <c r="Q43" s="477">
        <f t="shared" si="15"/>
        <v>22829.560000000005</v>
      </c>
      <c r="R43" s="477">
        <f t="shared" ref="R43:R48" si="20">SUM(N43:Q43)</f>
        <v>258646.56519999998</v>
      </c>
    </row>
    <row r="44" spans="2:19" x14ac:dyDescent="0.2">
      <c r="B44" s="477" t="s">
        <v>624</v>
      </c>
      <c r="C44" s="477">
        <f t="shared" si="16"/>
        <v>762</v>
      </c>
      <c r="D44" s="477">
        <v>7594.19</v>
      </c>
      <c r="E44" s="477">
        <v>5924.8850000000002</v>
      </c>
      <c r="F44" s="477">
        <v>4132.0450000000001</v>
      </c>
      <c r="G44" s="477">
        <f t="shared" si="17"/>
        <v>17651.12</v>
      </c>
      <c r="I44" s="481">
        <v>34.911276699029131</v>
      </c>
      <c r="J44" s="481">
        <f t="shared" ref="J44:J48" si="21">J43</f>
        <v>1</v>
      </c>
      <c r="K44" s="481">
        <f t="shared" ref="K44:L48" si="22">K43</f>
        <v>1.5</v>
      </c>
      <c r="L44" s="481">
        <f t="shared" si="22"/>
        <v>2</v>
      </c>
      <c r="N44" s="477">
        <f t="shared" si="18"/>
        <v>26602.392844660197</v>
      </c>
      <c r="O44" s="477">
        <f t="shared" si="19"/>
        <v>7594.19</v>
      </c>
      <c r="P44" s="477">
        <f t="shared" si="14"/>
        <v>8887.3274999999994</v>
      </c>
      <c r="Q44" s="477">
        <f t="shared" si="15"/>
        <v>8264.09</v>
      </c>
      <c r="R44" s="477">
        <f t="shared" si="20"/>
        <v>51348.000344660191</v>
      </c>
    </row>
    <row r="45" spans="2:19" x14ac:dyDescent="0.2">
      <c r="B45" s="477" t="s">
        <v>625</v>
      </c>
      <c r="C45" s="477">
        <f t="shared" si="16"/>
        <v>240</v>
      </c>
      <c r="D45" s="477">
        <v>6867.3050000000003</v>
      </c>
      <c r="E45" s="477">
        <v>8315.19</v>
      </c>
      <c r="F45" s="477">
        <v>3014.895</v>
      </c>
      <c r="G45" s="477">
        <f t="shared" si="17"/>
        <v>18197.39</v>
      </c>
      <c r="I45" s="481">
        <v>67.778723300970867</v>
      </c>
      <c r="J45" s="481">
        <f t="shared" si="21"/>
        <v>1</v>
      </c>
      <c r="K45" s="481">
        <f t="shared" si="22"/>
        <v>1.5</v>
      </c>
      <c r="L45" s="481">
        <f t="shared" si="22"/>
        <v>2</v>
      </c>
      <c r="N45" s="477">
        <f t="shared" si="18"/>
        <v>16266.893592233007</v>
      </c>
      <c r="O45" s="477">
        <f t="shared" si="19"/>
        <v>6867.3050000000003</v>
      </c>
      <c r="P45" s="477">
        <f t="shared" si="14"/>
        <v>12472.785</v>
      </c>
      <c r="Q45" s="477">
        <f t="shared" si="15"/>
        <v>6029.79</v>
      </c>
      <c r="R45" s="477">
        <f t="shared" si="20"/>
        <v>41636.77359223301</v>
      </c>
    </row>
    <row r="46" spans="2:19" x14ac:dyDescent="0.2">
      <c r="B46" s="477" t="s">
        <v>626</v>
      </c>
      <c r="C46" s="477">
        <f t="shared" si="16"/>
        <v>181</v>
      </c>
      <c r="D46" s="477">
        <v>4486.88</v>
      </c>
      <c r="E46" s="477">
        <v>4080.0349999999999</v>
      </c>
      <c r="F46" s="477">
        <v>1910.655</v>
      </c>
      <c r="G46" s="477">
        <f t="shared" si="17"/>
        <v>10477.57</v>
      </c>
      <c r="I46" s="481">
        <v>108.85472330097089</v>
      </c>
      <c r="J46" s="481">
        <f t="shared" si="21"/>
        <v>1</v>
      </c>
      <c r="K46" s="481">
        <f t="shared" si="22"/>
        <v>1.5</v>
      </c>
      <c r="L46" s="481">
        <f t="shared" si="22"/>
        <v>2</v>
      </c>
      <c r="N46" s="477">
        <f t="shared" si="18"/>
        <v>19702.70491747573</v>
      </c>
      <c r="O46" s="477">
        <f t="shared" si="19"/>
        <v>4486.88</v>
      </c>
      <c r="P46" s="477">
        <f t="shared" si="14"/>
        <v>6120.0524999999998</v>
      </c>
      <c r="Q46" s="477">
        <f t="shared" si="15"/>
        <v>3821.31</v>
      </c>
      <c r="R46" s="477">
        <f t="shared" si="20"/>
        <v>34130.947417475727</v>
      </c>
    </row>
    <row r="47" spans="2:19" x14ac:dyDescent="0.2">
      <c r="B47" s="477" t="s">
        <v>627</v>
      </c>
      <c r="C47" s="477">
        <f t="shared" si="16"/>
        <v>35</v>
      </c>
      <c r="D47" s="477">
        <v>3002.25</v>
      </c>
      <c r="E47" s="477">
        <v>3715.09</v>
      </c>
      <c r="F47" s="477">
        <v>4328.66</v>
      </c>
      <c r="G47" s="477">
        <f t="shared" si="17"/>
        <v>11046</v>
      </c>
      <c r="I47" s="481">
        <v>205.38</v>
      </c>
      <c r="J47" s="481">
        <f t="shared" si="21"/>
        <v>1</v>
      </c>
      <c r="K47" s="481">
        <f t="shared" si="22"/>
        <v>1.5</v>
      </c>
      <c r="L47" s="481">
        <f t="shared" si="22"/>
        <v>2</v>
      </c>
      <c r="N47" s="477">
        <f t="shared" si="18"/>
        <v>7188.3</v>
      </c>
      <c r="O47" s="477">
        <f t="shared" si="19"/>
        <v>3002.25</v>
      </c>
      <c r="P47" s="477">
        <f t="shared" si="14"/>
        <v>5572.6350000000002</v>
      </c>
      <c r="Q47" s="477">
        <f t="shared" si="15"/>
        <v>8657.32</v>
      </c>
      <c r="R47" s="477">
        <f t="shared" si="20"/>
        <v>24420.504999999997</v>
      </c>
    </row>
    <row r="48" spans="2:19" x14ac:dyDescent="0.2">
      <c r="B48" s="477" t="s">
        <v>628</v>
      </c>
      <c r="C48" s="477">
        <f t="shared" si="16"/>
        <v>24</v>
      </c>
      <c r="D48" s="477">
        <v>3934.3249999999998</v>
      </c>
      <c r="E48" s="477">
        <v>2720.0050000000001</v>
      </c>
      <c r="F48" s="477">
        <v>0.75</v>
      </c>
      <c r="G48" s="477">
        <f t="shared" si="17"/>
        <v>6655.08</v>
      </c>
      <c r="I48" s="481">
        <v>342.98127669902914</v>
      </c>
      <c r="J48" s="481">
        <f t="shared" si="21"/>
        <v>1</v>
      </c>
      <c r="K48" s="481">
        <f t="shared" si="22"/>
        <v>1.5</v>
      </c>
      <c r="L48" s="481">
        <f t="shared" si="22"/>
        <v>2</v>
      </c>
      <c r="N48" s="477">
        <f t="shared" si="18"/>
        <v>8231.5506407766989</v>
      </c>
      <c r="O48" s="477">
        <f t="shared" si="19"/>
        <v>3934.3249999999998</v>
      </c>
      <c r="P48" s="477">
        <f t="shared" si="14"/>
        <v>4080.0075000000002</v>
      </c>
      <c r="Q48" s="477">
        <f t="shared" si="15"/>
        <v>1.5</v>
      </c>
      <c r="R48" s="477">
        <f t="shared" si="20"/>
        <v>16247.383140776699</v>
      </c>
    </row>
    <row r="49" spans="2:19" ht="3.75" customHeight="1" x14ac:dyDescent="0.2">
      <c r="B49" s="477"/>
      <c r="C49" s="484"/>
      <c r="D49" s="484"/>
      <c r="E49" s="484"/>
      <c r="F49" s="484"/>
      <c r="G49" s="484"/>
      <c r="N49" s="489"/>
      <c r="O49" s="489"/>
      <c r="P49" s="489"/>
      <c r="Q49" s="489"/>
      <c r="R49" s="489"/>
    </row>
    <row r="50" spans="2:19" s="475" customFormat="1" x14ac:dyDescent="0.2">
      <c r="B50" s="483" t="s">
        <v>629</v>
      </c>
      <c r="C50" s="483">
        <f>SUM(C42:C48)</f>
        <v>10097</v>
      </c>
      <c r="D50" s="483">
        <f>SUM(D42:D48)</f>
        <v>71876.990000000005</v>
      </c>
      <c r="E50" s="483">
        <f>SUM(E42:E48)</f>
        <v>53555.674999999996</v>
      </c>
      <c r="F50" s="483">
        <f>SUM(F42:F48)</f>
        <v>28081.325000000004</v>
      </c>
      <c r="G50" s="483">
        <f>SUM(G42:G48)</f>
        <v>153513.99</v>
      </c>
      <c r="N50" s="490">
        <f t="shared" ref="N50:R50" si="23">SUM(N42:N48)</f>
        <v>289481.11999514565</v>
      </c>
      <c r="O50" s="490">
        <f t="shared" si="23"/>
        <v>71876.990000000005</v>
      </c>
      <c r="P50" s="490">
        <f t="shared" si="23"/>
        <v>80333.512500000012</v>
      </c>
      <c r="Q50" s="490">
        <f t="shared" si="23"/>
        <v>56162.650000000009</v>
      </c>
      <c r="R50" s="490">
        <f t="shared" si="23"/>
        <v>497854.27249514568</v>
      </c>
      <c r="S50" s="483"/>
    </row>
  </sheetData>
  <mergeCells count="6">
    <mergeCell ref="I39:L39"/>
    <mergeCell ref="N39:R39"/>
    <mergeCell ref="H10:J10"/>
    <mergeCell ref="L10:O10"/>
    <mergeCell ref="N25:R25"/>
    <mergeCell ref="I25:L25"/>
  </mergeCells>
  <pageMargins left="0.2" right="0.2" top="0.2" bottom="0.2" header="0.25" footer="0.25"/>
  <pageSetup scale="48" orientation="landscape" r:id="rId1"/>
  <headerFoot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outlinePr applyStyles="1"/>
    <pageSetUpPr fitToPage="1"/>
  </sheetPr>
  <dimension ref="B1:J2011"/>
  <sheetViews>
    <sheetView showGridLines="0" showZeros="0" zoomScaleNormal="100" zoomScaleSheetLayoutView="85" workbookViewId="0">
      <selection activeCell="B7" sqref="B7"/>
    </sheetView>
  </sheetViews>
  <sheetFormatPr defaultColWidth="3.6640625" defaultRowHeight="15.75" x14ac:dyDescent="0.25"/>
  <cols>
    <col min="1" max="1" width="1.6640625" style="39" customWidth="1"/>
    <col min="2" max="2" width="13.33203125" style="39" customWidth="1"/>
    <col min="3" max="3" width="7" style="39" bestFit="1" customWidth="1"/>
    <col min="4" max="4" width="13" style="335" bestFit="1" customWidth="1"/>
    <col min="5" max="5" width="10.44140625" style="39" bestFit="1" customWidth="1"/>
    <col min="6" max="6" width="17.6640625" style="39" bestFit="1" customWidth="1"/>
    <col min="7" max="16384" width="3.6640625" style="39"/>
  </cols>
  <sheetData>
    <row r="1" spans="2:10" ht="7.5" customHeight="1" x14ac:dyDescent="0.25"/>
    <row r="2" spans="2:10" x14ac:dyDescent="0.25">
      <c r="B2" s="336" t="str">
        <f>Inputs!B6</f>
        <v>Washington Water Service Company</v>
      </c>
    </row>
    <row r="3" spans="2:10" x14ac:dyDescent="0.25">
      <c r="B3" s="336" t="str">
        <f>"UW-"&amp;Inputs!B7</f>
        <v>UW-</v>
      </c>
    </row>
    <row r="4" spans="2:10" x14ac:dyDescent="0.25">
      <c r="B4" s="336" t="str">
        <f>PFIS!B3</f>
        <v>For Test Year Ended December 31, 2024</v>
      </c>
    </row>
    <row r="5" spans="2:10" x14ac:dyDescent="0.25">
      <c r="B5" s="336" t="s">
        <v>450</v>
      </c>
    </row>
    <row r="7" spans="2:10" ht="15" customHeight="1" x14ac:dyDescent="0.25">
      <c r="B7" s="629" t="s">
        <v>762</v>
      </c>
      <c r="D7" s="337"/>
    </row>
    <row r="8" spans="2:10" s="338" customFormat="1" x14ac:dyDescent="0.25">
      <c r="D8" s="339"/>
      <c r="E8" s="340"/>
      <c r="F8" s="340"/>
    </row>
    <row r="9" spans="2:10" s="338" customFormat="1" x14ac:dyDescent="0.25">
      <c r="D9" s="339"/>
      <c r="E9" s="342"/>
      <c r="F9" s="343"/>
    </row>
    <row r="10" spans="2:10" s="338" customFormat="1" x14ac:dyDescent="0.25">
      <c r="D10" s="339"/>
      <c r="E10" s="341"/>
      <c r="F10" s="341"/>
    </row>
    <row r="11" spans="2:10" x14ac:dyDescent="0.25">
      <c r="B11" s="344"/>
      <c r="C11" s="344"/>
      <c r="D11" s="345"/>
      <c r="E11" s="346"/>
      <c r="F11" s="346"/>
      <c r="G11" s="347"/>
      <c r="H11" s="348"/>
    </row>
    <row r="12" spans="2:10" x14ac:dyDescent="0.25">
      <c r="B12" s="344"/>
      <c r="C12" s="344"/>
      <c r="D12" s="345"/>
      <c r="E12" s="346"/>
      <c r="F12" s="346"/>
      <c r="G12" s="347"/>
    </row>
    <row r="13" spans="2:10" x14ac:dyDescent="0.25">
      <c r="B13" s="344"/>
      <c r="C13" s="344"/>
      <c r="D13" s="345"/>
      <c r="E13" s="346"/>
      <c r="F13" s="346"/>
      <c r="G13" s="347"/>
      <c r="H13" s="349"/>
    </row>
    <row r="14" spans="2:10" x14ac:dyDescent="0.25">
      <c r="B14" s="344"/>
      <c r="C14" s="344"/>
      <c r="D14" s="345"/>
      <c r="E14" s="346"/>
      <c r="F14" s="346"/>
      <c r="G14" s="347"/>
      <c r="H14" s="349"/>
    </row>
    <row r="15" spans="2:10" x14ac:dyDescent="0.25">
      <c r="B15" s="344"/>
      <c r="C15" s="344"/>
      <c r="D15" s="345"/>
      <c r="E15" s="346"/>
      <c r="F15" s="346"/>
      <c r="G15" s="350"/>
      <c r="H15" s="350"/>
      <c r="I15" s="350"/>
      <c r="J15" s="350"/>
    </row>
    <row r="16" spans="2:10" x14ac:dyDescent="0.25">
      <c r="B16" s="344"/>
      <c r="C16" s="344"/>
      <c r="D16" s="345"/>
      <c r="E16" s="346"/>
      <c r="F16" s="346"/>
    </row>
    <row r="17" spans="2:10" x14ac:dyDescent="0.25">
      <c r="B17" s="344"/>
      <c r="C17" s="344"/>
      <c r="D17" s="345"/>
      <c r="E17" s="346"/>
      <c r="F17" s="346"/>
      <c r="G17" s="350"/>
      <c r="H17" s="350"/>
      <c r="I17" s="350"/>
      <c r="J17" s="350"/>
    </row>
    <row r="18" spans="2:10" x14ac:dyDescent="0.25">
      <c r="B18" s="344"/>
      <c r="C18" s="344"/>
      <c r="D18" s="345"/>
      <c r="E18" s="346"/>
      <c r="F18" s="346"/>
    </row>
    <row r="19" spans="2:10" x14ac:dyDescent="0.25">
      <c r="B19" s="344"/>
      <c r="C19" s="344"/>
      <c r="D19" s="345"/>
      <c r="E19" s="346"/>
      <c r="F19" s="346"/>
      <c r="G19" s="350"/>
      <c r="H19" s="350"/>
      <c r="I19" s="350"/>
      <c r="J19" s="350"/>
    </row>
    <row r="20" spans="2:10" x14ac:dyDescent="0.25">
      <c r="B20" s="344"/>
      <c r="C20" s="344"/>
      <c r="D20" s="345"/>
      <c r="E20" s="346"/>
      <c r="F20" s="346"/>
      <c r="G20" s="350"/>
      <c r="H20" s="350"/>
      <c r="I20" s="350"/>
      <c r="J20" s="350"/>
    </row>
    <row r="21" spans="2:10" x14ac:dyDescent="0.25">
      <c r="B21" s="344"/>
      <c r="C21" s="344"/>
      <c r="D21" s="345"/>
      <c r="E21" s="346"/>
      <c r="F21" s="346"/>
    </row>
    <row r="22" spans="2:10" x14ac:dyDescent="0.25">
      <c r="B22" s="344"/>
      <c r="C22" s="344"/>
      <c r="D22" s="345"/>
      <c r="E22" s="346"/>
      <c r="F22" s="346"/>
    </row>
    <row r="23" spans="2:10" x14ac:dyDescent="0.25">
      <c r="B23" s="344"/>
      <c r="C23" s="344"/>
      <c r="D23" s="345"/>
      <c r="E23" s="346"/>
      <c r="F23" s="346"/>
    </row>
    <row r="24" spans="2:10" x14ac:dyDescent="0.25">
      <c r="B24" s="344"/>
      <c r="C24" s="344"/>
      <c r="D24" s="345"/>
      <c r="E24" s="346"/>
      <c r="F24" s="346"/>
    </row>
    <row r="25" spans="2:10" x14ac:dyDescent="0.25">
      <c r="B25" s="344"/>
      <c r="C25" s="344"/>
      <c r="D25" s="345"/>
      <c r="E25" s="346"/>
      <c r="F25" s="346"/>
    </row>
    <row r="26" spans="2:10" x14ac:dyDescent="0.25">
      <c r="B26" s="344"/>
      <c r="C26" s="344"/>
      <c r="D26" s="345"/>
      <c r="E26" s="346"/>
      <c r="F26" s="346"/>
    </row>
    <row r="27" spans="2:10" x14ac:dyDescent="0.25">
      <c r="B27" s="344"/>
      <c r="C27" s="344"/>
      <c r="D27" s="345"/>
      <c r="E27" s="346"/>
      <c r="F27" s="346"/>
    </row>
    <row r="28" spans="2:10" x14ac:dyDescent="0.25">
      <c r="B28" s="344"/>
      <c r="C28" s="344"/>
      <c r="D28" s="345"/>
      <c r="E28" s="346"/>
      <c r="F28" s="346"/>
    </row>
    <row r="29" spans="2:10" x14ac:dyDescent="0.25">
      <c r="B29" s="344"/>
      <c r="C29" s="344"/>
      <c r="D29" s="345"/>
      <c r="E29" s="346"/>
      <c r="F29" s="346"/>
    </row>
    <row r="30" spans="2:10" x14ac:dyDescent="0.25">
      <c r="B30" s="344"/>
      <c r="C30" s="344"/>
      <c r="D30" s="345"/>
      <c r="E30" s="346"/>
      <c r="F30" s="346"/>
    </row>
    <row r="31" spans="2:10" x14ac:dyDescent="0.25">
      <c r="B31" s="344"/>
      <c r="C31" s="344"/>
      <c r="D31" s="345"/>
      <c r="E31" s="346"/>
      <c r="F31" s="346"/>
    </row>
    <row r="32" spans="2:10" x14ac:dyDescent="0.25">
      <c r="B32" s="344"/>
      <c r="C32" s="344"/>
      <c r="D32" s="345"/>
      <c r="E32" s="346"/>
      <c r="F32" s="346"/>
    </row>
    <row r="33" spans="2:10" x14ac:dyDescent="0.25">
      <c r="B33" s="344"/>
      <c r="C33" s="344"/>
      <c r="D33" s="345"/>
      <c r="E33" s="346"/>
      <c r="F33" s="346"/>
    </row>
    <row r="34" spans="2:10" x14ac:dyDescent="0.25">
      <c r="B34" s="344"/>
      <c r="C34" s="344"/>
      <c r="D34" s="345"/>
      <c r="E34" s="346"/>
      <c r="F34" s="346"/>
      <c r="G34" s="347"/>
    </row>
    <row r="35" spans="2:10" x14ac:dyDescent="0.25">
      <c r="B35" s="344"/>
      <c r="C35" s="344"/>
      <c r="D35" s="345"/>
      <c r="E35" s="346"/>
      <c r="F35" s="346"/>
      <c r="G35" s="347"/>
      <c r="H35" s="349"/>
    </row>
    <row r="36" spans="2:10" x14ac:dyDescent="0.25">
      <c r="B36" s="344"/>
      <c r="C36" s="344"/>
      <c r="D36" s="345"/>
      <c r="E36" s="346"/>
      <c r="F36" s="346"/>
      <c r="G36" s="347"/>
      <c r="H36" s="349"/>
    </row>
    <row r="37" spans="2:10" x14ac:dyDescent="0.25">
      <c r="B37" s="344"/>
      <c r="C37" s="344"/>
      <c r="D37" s="345"/>
      <c r="E37" s="346"/>
      <c r="F37" s="346"/>
      <c r="G37" s="350"/>
      <c r="H37" s="350"/>
      <c r="I37" s="350"/>
      <c r="J37" s="350"/>
    </row>
    <row r="38" spans="2:10" x14ac:dyDescent="0.25">
      <c r="B38" s="344"/>
      <c r="C38" s="344"/>
      <c r="D38" s="345"/>
      <c r="E38" s="346"/>
      <c r="F38" s="346"/>
    </row>
    <row r="39" spans="2:10" x14ac:dyDescent="0.25">
      <c r="B39" s="344"/>
      <c r="C39" s="344"/>
      <c r="D39" s="345"/>
      <c r="E39" s="346"/>
      <c r="F39" s="346"/>
      <c r="G39" s="350"/>
      <c r="H39" s="350"/>
      <c r="I39" s="350"/>
      <c r="J39" s="350"/>
    </row>
    <row r="40" spans="2:10" x14ac:dyDescent="0.25">
      <c r="B40" s="344"/>
      <c r="C40" s="344"/>
      <c r="D40" s="345"/>
      <c r="E40" s="346"/>
      <c r="F40" s="346"/>
    </row>
    <row r="41" spans="2:10" x14ac:dyDescent="0.25">
      <c r="B41" s="344"/>
      <c r="C41" s="344"/>
      <c r="D41" s="345"/>
      <c r="E41" s="346"/>
      <c r="F41" s="346"/>
      <c r="G41" s="350"/>
      <c r="H41" s="350"/>
      <c r="I41" s="350"/>
      <c r="J41" s="350"/>
    </row>
    <row r="42" spans="2:10" x14ac:dyDescent="0.25">
      <c r="B42" s="344"/>
      <c r="C42" s="344"/>
      <c r="D42" s="345"/>
      <c r="E42" s="346"/>
      <c r="F42" s="346"/>
      <c r="G42" s="350"/>
      <c r="H42" s="350"/>
      <c r="I42" s="350"/>
      <c r="J42" s="350"/>
    </row>
    <row r="43" spans="2:10" x14ac:dyDescent="0.25">
      <c r="B43" s="344"/>
      <c r="C43" s="344"/>
      <c r="D43" s="345"/>
      <c r="E43" s="346"/>
      <c r="F43" s="346"/>
    </row>
    <row r="44" spans="2:10" x14ac:dyDescent="0.25">
      <c r="B44" s="344"/>
      <c r="C44" s="344"/>
      <c r="D44" s="345"/>
      <c r="E44" s="346"/>
      <c r="F44" s="346"/>
    </row>
    <row r="45" spans="2:10" x14ac:dyDescent="0.25">
      <c r="B45" s="344"/>
      <c r="C45" s="344"/>
      <c r="D45" s="345"/>
      <c r="E45" s="346"/>
      <c r="F45" s="346"/>
    </row>
    <row r="46" spans="2:10" x14ac:dyDescent="0.25">
      <c r="B46" s="344"/>
      <c r="C46" s="344"/>
      <c r="D46" s="345"/>
      <c r="E46" s="346"/>
      <c r="F46" s="346"/>
    </row>
    <row r="47" spans="2:10" x14ac:dyDescent="0.25">
      <c r="B47" s="344"/>
      <c r="C47" s="344"/>
      <c r="D47" s="345"/>
      <c r="E47" s="346"/>
      <c r="F47" s="346"/>
    </row>
    <row r="48" spans="2:10" x14ac:dyDescent="0.25">
      <c r="B48" s="344"/>
      <c r="C48" s="344"/>
      <c r="D48" s="345"/>
      <c r="E48" s="346"/>
      <c r="F48" s="346"/>
    </row>
    <row r="49" spans="2:10" x14ac:dyDescent="0.25">
      <c r="B49" s="344"/>
      <c r="C49" s="344"/>
      <c r="D49" s="345"/>
      <c r="E49" s="346"/>
      <c r="F49" s="346"/>
    </row>
    <row r="50" spans="2:10" x14ac:dyDescent="0.25">
      <c r="B50" s="344"/>
      <c r="C50" s="344"/>
      <c r="D50" s="345"/>
      <c r="E50" s="346"/>
      <c r="F50" s="346"/>
    </row>
    <row r="51" spans="2:10" x14ac:dyDescent="0.25">
      <c r="B51" s="344"/>
      <c r="C51" s="344"/>
      <c r="D51" s="345"/>
      <c r="E51" s="346"/>
      <c r="F51" s="346"/>
    </row>
    <row r="52" spans="2:10" x14ac:dyDescent="0.25">
      <c r="B52" s="344"/>
      <c r="C52" s="344"/>
      <c r="D52" s="345"/>
      <c r="E52" s="346"/>
      <c r="F52" s="346"/>
    </row>
    <row r="53" spans="2:10" x14ac:dyDescent="0.25">
      <c r="B53" s="344"/>
      <c r="C53" s="344"/>
      <c r="D53" s="345"/>
      <c r="E53" s="346"/>
      <c r="F53" s="346"/>
    </row>
    <row r="54" spans="2:10" x14ac:dyDescent="0.25">
      <c r="B54" s="344"/>
      <c r="C54" s="344"/>
      <c r="D54" s="345"/>
      <c r="E54" s="346"/>
      <c r="F54" s="346"/>
    </row>
    <row r="55" spans="2:10" x14ac:dyDescent="0.25">
      <c r="B55" s="344"/>
      <c r="C55" s="344"/>
      <c r="D55" s="345"/>
      <c r="E55" s="346"/>
      <c r="F55" s="346"/>
    </row>
    <row r="56" spans="2:10" x14ac:dyDescent="0.25">
      <c r="B56" s="344"/>
      <c r="C56" s="344"/>
      <c r="D56" s="345"/>
      <c r="E56" s="346"/>
      <c r="F56" s="346"/>
      <c r="G56" s="347"/>
    </row>
    <row r="57" spans="2:10" x14ac:dyDescent="0.25">
      <c r="B57" s="344"/>
      <c r="C57" s="344"/>
      <c r="D57" s="345"/>
      <c r="E57" s="346"/>
      <c r="F57" s="346"/>
      <c r="G57" s="347"/>
      <c r="H57" s="349"/>
    </row>
    <row r="58" spans="2:10" x14ac:dyDescent="0.25">
      <c r="B58" s="344"/>
      <c r="C58" s="344"/>
      <c r="D58" s="345"/>
      <c r="E58" s="346"/>
      <c r="F58" s="346"/>
      <c r="G58" s="347"/>
      <c r="H58" s="349"/>
    </row>
    <row r="59" spans="2:10" x14ac:dyDescent="0.25">
      <c r="B59" s="344"/>
      <c r="C59" s="344"/>
      <c r="D59" s="345"/>
      <c r="E59" s="346"/>
      <c r="F59" s="346"/>
      <c r="G59" s="350"/>
      <c r="H59" s="350"/>
      <c r="I59" s="350"/>
      <c r="J59" s="350"/>
    </row>
    <row r="60" spans="2:10" x14ac:dyDescent="0.25">
      <c r="B60" s="344"/>
      <c r="C60" s="344"/>
      <c r="D60" s="345"/>
      <c r="E60" s="346"/>
      <c r="F60" s="346"/>
    </row>
    <row r="61" spans="2:10" x14ac:dyDescent="0.25">
      <c r="B61" s="344"/>
      <c r="C61" s="344"/>
      <c r="D61" s="345"/>
      <c r="E61" s="346"/>
      <c r="F61" s="346"/>
      <c r="G61" s="350"/>
      <c r="H61" s="350"/>
      <c r="I61" s="350"/>
      <c r="J61" s="350"/>
    </row>
    <row r="62" spans="2:10" x14ac:dyDescent="0.25">
      <c r="B62" s="344"/>
      <c r="C62" s="344"/>
      <c r="D62" s="345"/>
      <c r="E62" s="346"/>
      <c r="F62" s="346"/>
    </row>
    <row r="63" spans="2:10" x14ac:dyDescent="0.25">
      <c r="B63" s="344"/>
      <c r="C63" s="344"/>
      <c r="D63" s="345"/>
      <c r="E63" s="346"/>
      <c r="F63" s="346"/>
      <c r="G63" s="350"/>
      <c r="H63" s="350"/>
      <c r="I63" s="350"/>
      <c r="J63" s="350"/>
    </row>
    <row r="64" spans="2:10" x14ac:dyDescent="0.25">
      <c r="B64" s="344"/>
      <c r="C64" s="344"/>
      <c r="D64" s="345"/>
      <c r="E64" s="346"/>
      <c r="F64" s="346"/>
      <c r="G64" s="350"/>
      <c r="H64" s="350"/>
      <c r="I64" s="350"/>
      <c r="J64" s="350"/>
    </row>
    <row r="65" spans="2:6" x14ac:dyDescent="0.25">
      <c r="B65" s="344"/>
      <c r="C65" s="344"/>
      <c r="D65" s="345"/>
      <c r="E65" s="346"/>
      <c r="F65" s="346"/>
    </row>
    <row r="66" spans="2:6" x14ac:dyDescent="0.25">
      <c r="B66" s="344"/>
      <c r="C66" s="344"/>
      <c r="D66" s="345"/>
      <c r="E66" s="346"/>
      <c r="F66" s="346"/>
    </row>
    <row r="67" spans="2:6" x14ac:dyDescent="0.25">
      <c r="B67" s="344"/>
      <c r="C67" s="344"/>
      <c r="D67" s="345"/>
      <c r="E67" s="346"/>
      <c r="F67" s="346"/>
    </row>
    <row r="68" spans="2:6" x14ac:dyDescent="0.25">
      <c r="B68" s="344"/>
      <c r="C68" s="344"/>
      <c r="D68" s="345"/>
      <c r="E68" s="346"/>
      <c r="F68" s="346"/>
    </row>
    <row r="69" spans="2:6" x14ac:dyDescent="0.25">
      <c r="B69" s="344"/>
      <c r="C69" s="344"/>
      <c r="D69" s="345"/>
      <c r="E69" s="346"/>
      <c r="F69" s="346"/>
    </row>
    <row r="70" spans="2:6" x14ac:dyDescent="0.25">
      <c r="B70" s="344"/>
      <c r="C70" s="344"/>
      <c r="D70" s="345"/>
      <c r="E70" s="346"/>
      <c r="F70" s="346"/>
    </row>
    <row r="71" spans="2:6" x14ac:dyDescent="0.25">
      <c r="B71" s="344"/>
      <c r="C71" s="344"/>
      <c r="D71" s="345"/>
      <c r="E71" s="346"/>
      <c r="F71" s="346"/>
    </row>
    <row r="72" spans="2:6" x14ac:dyDescent="0.25">
      <c r="B72" s="344"/>
      <c r="C72" s="344"/>
      <c r="D72" s="345"/>
      <c r="E72" s="346"/>
      <c r="F72" s="346"/>
    </row>
    <row r="73" spans="2:6" x14ac:dyDescent="0.25">
      <c r="B73" s="344"/>
      <c r="C73" s="344"/>
      <c r="D73" s="345"/>
      <c r="E73" s="346"/>
      <c r="F73" s="346"/>
    </row>
    <row r="74" spans="2:6" x14ac:dyDescent="0.25">
      <c r="B74" s="344"/>
      <c r="C74" s="344"/>
      <c r="D74" s="345"/>
      <c r="E74" s="346"/>
      <c r="F74" s="346"/>
    </row>
    <row r="75" spans="2:6" x14ac:dyDescent="0.25">
      <c r="B75" s="344"/>
      <c r="C75" s="344"/>
      <c r="D75" s="345"/>
      <c r="E75" s="346"/>
      <c r="F75" s="346"/>
    </row>
    <row r="76" spans="2:6" x14ac:dyDescent="0.25">
      <c r="B76" s="344"/>
      <c r="C76" s="344"/>
      <c r="D76" s="345"/>
      <c r="E76" s="346"/>
      <c r="F76" s="346"/>
    </row>
    <row r="77" spans="2:6" x14ac:dyDescent="0.25">
      <c r="B77" s="344"/>
      <c r="C77" s="344"/>
      <c r="D77" s="345"/>
      <c r="E77" s="346"/>
      <c r="F77" s="346"/>
    </row>
    <row r="78" spans="2:6" x14ac:dyDescent="0.25">
      <c r="B78" s="344"/>
      <c r="C78" s="344"/>
      <c r="D78" s="345"/>
      <c r="E78" s="346"/>
      <c r="F78" s="346"/>
    </row>
    <row r="79" spans="2:6" x14ac:dyDescent="0.25">
      <c r="B79" s="344"/>
      <c r="C79" s="344"/>
      <c r="D79" s="345"/>
      <c r="E79" s="346"/>
      <c r="F79" s="346"/>
    </row>
    <row r="80" spans="2:6" x14ac:dyDescent="0.25">
      <c r="B80" s="344"/>
      <c r="C80" s="344"/>
      <c r="D80" s="345"/>
      <c r="E80" s="346"/>
      <c r="F80" s="346"/>
    </row>
    <row r="81" spans="2:6" x14ac:dyDescent="0.25">
      <c r="B81" s="344"/>
      <c r="C81" s="344"/>
      <c r="D81" s="345"/>
      <c r="E81" s="346"/>
      <c r="F81" s="346"/>
    </row>
    <row r="82" spans="2:6" x14ac:dyDescent="0.25">
      <c r="B82" s="344"/>
      <c r="C82" s="344"/>
      <c r="D82" s="345"/>
      <c r="E82" s="346"/>
      <c r="F82" s="346"/>
    </row>
    <row r="83" spans="2:6" x14ac:dyDescent="0.25">
      <c r="B83" s="344"/>
      <c r="C83" s="344"/>
      <c r="D83" s="345"/>
      <c r="E83" s="346"/>
      <c r="F83" s="346"/>
    </row>
    <row r="84" spans="2:6" x14ac:dyDescent="0.25">
      <c r="B84" s="344"/>
      <c r="C84" s="344"/>
      <c r="D84" s="345"/>
      <c r="E84" s="346"/>
      <c r="F84" s="346"/>
    </row>
    <row r="85" spans="2:6" x14ac:dyDescent="0.25">
      <c r="B85" s="344"/>
      <c r="C85" s="344"/>
      <c r="D85" s="345"/>
      <c r="E85" s="346"/>
      <c r="F85" s="346"/>
    </row>
    <row r="86" spans="2:6" x14ac:dyDescent="0.25">
      <c r="B86" s="344"/>
      <c r="C86" s="344"/>
      <c r="D86" s="345"/>
      <c r="E86" s="346"/>
      <c r="F86" s="346"/>
    </row>
    <row r="87" spans="2:6" x14ac:dyDescent="0.25">
      <c r="B87" s="344"/>
      <c r="C87" s="344"/>
      <c r="D87" s="345"/>
      <c r="E87" s="346"/>
      <c r="F87" s="346"/>
    </row>
    <row r="88" spans="2:6" x14ac:dyDescent="0.25">
      <c r="B88" s="344"/>
      <c r="C88" s="344"/>
      <c r="D88" s="345"/>
      <c r="E88" s="346"/>
      <c r="F88" s="346"/>
    </row>
    <row r="89" spans="2:6" x14ac:dyDescent="0.25">
      <c r="B89" s="344"/>
      <c r="C89" s="344"/>
      <c r="D89" s="345"/>
      <c r="E89" s="346"/>
      <c r="F89" s="346"/>
    </row>
    <row r="90" spans="2:6" x14ac:dyDescent="0.25">
      <c r="B90" s="344"/>
      <c r="C90" s="344"/>
      <c r="D90" s="345"/>
      <c r="E90" s="346"/>
      <c r="F90" s="346"/>
    </row>
    <row r="91" spans="2:6" x14ac:dyDescent="0.25">
      <c r="B91" s="344"/>
      <c r="C91" s="344"/>
      <c r="D91" s="345"/>
      <c r="E91" s="346"/>
      <c r="F91" s="346"/>
    </row>
    <row r="92" spans="2:6" x14ac:dyDescent="0.25">
      <c r="B92" s="344"/>
      <c r="C92" s="344"/>
      <c r="D92" s="345"/>
      <c r="E92" s="346"/>
      <c r="F92" s="346"/>
    </row>
    <row r="93" spans="2:6" x14ac:dyDescent="0.25">
      <c r="B93" s="344"/>
      <c r="C93" s="344"/>
      <c r="D93" s="345"/>
      <c r="E93" s="346"/>
      <c r="F93" s="346"/>
    </row>
    <row r="94" spans="2:6" x14ac:dyDescent="0.25">
      <c r="B94" s="344"/>
      <c r="C94" s="344"/>
      <c r="D94" s="345"/>
      <c r="E94" s="346"/>
      <c r="F94" s="346"/>
    </row>
    <row r="95" spans="2:6" x14ac:dyDescent="0.25">
      <c r="B95" s="344"/>
      <c r="C95" s="344"/>
      <c r="D95" s="345"/>
      <c r="E95" s="346"/>
      <c r="F95" s="346"/>
    </row>
    <row r="96" spans="2:6" x14ac:dyDescent="0.25">
      <c r="B96" s="344"/>
      <c r="C96" s="344"/>
      <c r="D96" s="345"/>
      <c r="E96" s="346"/>
      <c r="F96" s="346"/>
    </row>
    <row r="97" spans="2:6" x14ac:dyDescent="0.25">
      <c r="B97" s="344"/>
      <c r="C97" s="344"/>
      <c r="D97" s="345"/>
      <c r="E97" s="346"/>
      <c r="F97" s="346"/>
    </row>
    <row r="98" spans="2:6" x14ac:dyDescent="0.25">
      <c r="B98" s="344"/>
      <c r="C98" s="344"/>
      <c r="D98" s="345"/>
      <c r="E98" s="346"/>
      <c r="F98" s="346"/>
    </row>
    <row r="99" spans="2:6" x14ac:dyDescent="0.25">
      <c r="B99" s="344"/>
      <c r="C99" s="344"/>
      <c r="D99" s="345"/>
      <c r="E99" s="346"/>
      <c r="F99" s="346"/>
    </row>
    <row r="100" spans="2:6" x14ac:dyDescent="0.25">
      <c r="B100" s="344"/>
      <c r="C100" s="344"/>
      <c r="D100" s="345"/>
      <c r="E100" s="346"/>
      <c r="F100" s="346"/>
    </row>
    <row r="101" spans="2:6" x14ac:dyDescent="0.25">
      <c r="B101" s="344"/>
      <c r="C101" s="344"/>
      <c r="D101" s="345"/>
      <c r="E101" s="346"/>
      <c r="F101" s="346"/>
    </row>
    <row r="102" spans="2:6" x14ac:dyDescent="0.25">
      <c r="B102" s="344"/>
      <c r="C102" s="344"/>
      <c r="D102" s="345"/>
      <c r="E102" s="346"/>
      <c r="F102" s="346"/>
    </row>
    <row r="103" spans="2:6" x14ac:dyDescent="0.25">
      <c r="B103" s="344"/>
      <c r="C103" s="344"/>
      <c r="D103" s="345"/>
      <c r="E103" s="346"/>
      <c r="F103" s="346"/>
    </row>
    <row r="104" spans="2:6" x14ac:dyDescent="0.25">
      <c r="B104" s="344"/>
      <c r="C104" s="344"/>
      <c r="D104" s="345"/>
      <c r="E104" s="346"/>
      <c r="F104" s="346"/>
    </row>
    <row r="105" spans="2:6" x14ac:dyDescent="0.25">
      <c r="B105" s="344"/>
      <c r="C105" s="344"/>
      <c r="D105" s="345"/>
      <c r="E105" s="346"/>
      <c r="F105" s="346"/>
    </row>
    <row r="106" spans="2:6" x14ac:dyDescent="0.25">
      <c r="B106" s="344"/>
      <c r="C106" s="344"/>
      <c r="D106" s="345"/>
      <c r="E106" s="346"/>
      <c r="F106" s="346"/>
    </row>
    <row r="107" spans="2:6" x14ac:dyDescent="0.25">
      <c r="B107" s="344"/>
      <c r="C107" s="344"/>
      <c r="D107" s="345"/>
      <c r="E107" s="346"/>
      <c r="F107" s="346"/>
    </row>
    <row r="108" spans="2:6" x14ac:dyDescent="0.25">
      <c r="B108" s="344"/>
      <c r="C108" s="344"/>
      <c r="D108" s="345"/>
      <c r="E108" s="346"/>
      <c r="F108" s="346"/>
    </row>
    <row r="109" spans="2:6" x14ac:dyDescent="0.25">
      <c r="B109" s="344"/>
      <c r="C109" s="344"/>
      <c r="D109" s="345"/>
      <c r="E109" s="346"/>
      <c r="F109" s="346"/>
    </row>
    <row r="110" spans="2:6" x14ac:dyDescent="0.25">
      <c r="B110" s="344"/>
      <c r="C110" s="344"/>
      <c r="D110" s="345"/>
      <c r="E110" s="346"/>
      <c r="F110" s="346"/>
    </row>
    <row r="111" spans="2:6" x14ac:dyDescent="0.25">
      <c r="B111" s="344"/>
      <c r="C111" s="344"/>
      <c r="D111" s="345"/>
      <c r="E111" s="346"/>
      <c r="F111" s="346"/>
    </row>
    <row r="112" spans="2:6" x14ac:dyDescent="0.25">
      <c r="B112" s="344"/>
      <c r="C112" s="344"/>
      <c r="D112" s="345"/>
      <c r="E112" s="346"/>
      <c r="F112" s="346"/>
    </row>
    <row r="113" spans="2:6" x14ac:dyDescent="0.25">
      <c r="B113" s="344"/>
      <c r="C113" s="344"/>
      <c r="D113" s="345"/>
      <c r="E113" s="346"/>
      <c r="F113" s="346"/>
    </row>
    <row r="114" spans="2:6" x14ac:dyDescent="0.25">
      <c r="B114" s="344"/>
      <c r="C114" s="344"/>
      <c r="D114" s="345"/>
      <c r="E114" s="346"/>
      <c r="F114" s="346"/>
    </row>
    <row r="115" spans="2:6" x14ac:dyDescent="0.25">
      <c r="B115" s="344"/>
      <c r="C115" s="344"/>
      <c r="D115" s="345"/>
      <c r="E115" s="346"/>
      <c r="F115" s="346"/>
    </row>
    <row r="116" spans="2:6" x14ac:dyDescent="0.25">
      <c r="B116" s="344"/>
      <c r="C116" s="344"/>
      <c r="D116" s="345"/>
      <c r="E116" s="346"/>
      <c r="F116" s="346"/>
    </row>
    <row r="117" spans="2:6" x14ac:dyDescent="0.25">
      <c r="B117" s="344"/>
      <c r="C117" s="344"/>
      <c r="D117" s="345"/>
      <c r="E117" s="346"/>
      <c r="F117" s="346"/>
    </row>
    <row r="118" spans="2:6" x14ac:dyDescent="0.25">
      <c r="B118" s="344"/>
      <c r="C118" s="344"/>
      <c r="D118" s="345"/>
      <c r="E118" s="346"/>
      <c r="F118" s="346"/>
    </row>
    <row r="119" spans="2:6" x14ac:dyDescent="0.25">
      <c r="B119" s="344"/>
      <c r="C119" s="344"/>
      <c r="D119" s="345"/>
      <c r="E119" s="346"/>
      <c r="F119" s="346"/>
    </row>
    <row r="120" spans="2:6" x14ac:dyDescent="0.25">
      <c r="B120" s="344"/>
      <c r="C120" s="344"/>
      <c r="D120" s="345"/>
      <c r="E120" s="346"/>
      <c r="F120" s="346"/>
    </row>
    <row r="121" spans="2:6" x14ac:dyDescent="0.25">
      <c r="B121" s="344"/>
      <c r="C121" s="344"/>
      <c r="D121" s="345"/>
      <c r="E121" s="346"/>
      <c r="F121" s="346"/>
    </row>
    <row r="122" spans="2:6" x14ac:dyDescent="0.25">
      <c r="B122" s="344"/>
      <c r="C122" s="344"/>
      <c r="D122" s="345"/>
      <c r="E122" s="346"/>
      <c r="F122" s="346"/>
    </row>
    <row r="123" spans="2:6" x14ac:dyDescent="0.25">
      <c r="B123" s="344"/>
      <c r="C123" s="344"/>
      <c r="D123" s="345"/>
      <c r="E123" s="346"/>
      <c r="F123" s="346"/>
    </row>
    <row r="124" spans="2:6" x14ac:dyDescent="0.25">
      <c r="B124" s="344"/>
      <c r="C124" s="344"/>
      <c r="D124" s="345"/>
      <c r="E124" s="346"/>
      <c r="F124" s="346"/>
    </row>
    <row r="125" spans="2:6" x14ac:dyDescent="0.25">
      <c r="B125" s="344"/>
      <c r="C125" s="344"/>
      <c r="D125" s="345"/>
      <c r="E125" s="346"/>
      <c r="F125" s="346"/>
    </row>
    <row r="126" spans="2:6" x14ac:dyDescent="0.25">
      <c r="B126" s="344"/>
      <c r="C126" s="344"/>
      <c r="D126" s="345"/>
      <c r="E126" s="346"/>
      <c r="F126" s="346"/>
    </row>
    <row r="127" spans="2:6" x14ac:dyDescent="0.25">
      <c r="B127" s="344"/>
      <c r="C127" s="344"/>
      <c r="D127" s="345"/>
      <c r="E127" s="346"/>
      <c r="F127" s="346"/>
    </row>
    <row r="128" spans="2:6" x14ac:dyDescent="0.25">
      <c r="B128" s="344"/>
      <c r="C128" s="344"/>
      <c r="D128" s="345"/>
      <c r="E128" s="346"/>
      <c r="F128" s="346"/>
    </row>
    <row r="129" spans="2:6" x14ac:dyDescent="0.25">
      <c r="B129" s="344"/>
      <c r="C129" s="344"/>
      <c r="D129" s="345"/>
      <c r="E129" s="346"/>
      <c r="F129" s="346"/>
    </row>
    <row r="130" spans="2:6" x14ac:dyDescent="0.25">
      <c r="B130" s="344"/>
      <c r="C130" s="344"/>
      <c r="D130" s="345"/>
      <c r="E130" s="346"/>
      <c r="F130" s="346"/>
    </row>
    <row r="131" spans="2:6" x14ac:dyDescent="0.25">
      <c r="B131" s="344"/>
      <c r="C131" s="344"/>
      <c r="D131" s="345"/>
      <c r="E131" s="346"/>
      <c r="F131" s="346"/>
    </row>
    <row r="132" spans="2:6" x14ac:dyDescent="0.25">
      <c r="B132" s="344"/>
      <c r="C132" s="344"/>
      <c r="D132" s="345"/>
      <c r="E132" s="346"/>
      <c r="F132" s="346"/>
    </row>
    <row r="133" spans="2:6" x14ac:dyDescent="0.25">
      <c r="B133" s="344"/>
      <c r="C133" s="344"/>
      <c r="D133" s="345"/>
      <c r="E133" s="346"/>
      <c r="F133" s="346"/>
    </row>
    <row r="134" spans="2:6" x14ac:dyDescent="0.25">
      <c r="B134" s="344"/>
      <c r="C134" s="344"/>
      <c r="D134" s="345"/>
      <c r="E134" s="346"/>
      <c r="F134" s="346"/>
    </row>
    <row r="135" spans="2:6" x14ac:dyDescent="0.25">
      <c r="B135" s="344"/>
      <c r="C135" s="344"/>
      <c r="D135" s="345"/>
      <c r="E135" s="346"/>
      <c r="F135" s="346"/>
    </row>
    <row r="136" spans="2:6" x14ac:dyDescent="0.25">
      <c r="B136" s="344"/>
      <c r="C136" s="344"/>
      <c r="D136" s="345"/>
      <c r="E136" s="346"/>
      <c r="F136" s="346"/>
    </row>
    <row r="137" spans="2:6" x14ac:dyDescent="0.25">
      <c r="B137" s="344"/>
      <c r="C137" s="344"/>
      <c r="D137" s="345"/>
      <c r="E137" s="346"/>
      <c r="F137" s="346"/>
    </row>
    <row r="138" spans="2:6" x14ac:dyDescent="0.25">
      <c r="B138" s="344"/>
      <c r="C138" s="344"/>
      <c r="D138" s="345"/>
      <c r="E138" s="346"/>
      <c r="F138" s="346"/>
    </row>
    <row r="139" spans="2:6" x14ac:dyDescent="0.25">
      <c r="B139" s="344"/>
      <c r="C139" s="344"/>
      <c r="D139" s="345"/>
      <c r="E139" s="346"/>
      <c r="F139" s="346"/>
    </row>
    <row r="140" spans="2:6" x14ac:dyDescent="0.25">
      <c r="B140" s="344"/>
      <c r="C140" s="344"/>
      <c r="D140" s="345"/>
      <c r="E140" s="346"/>
      <c r="F140" s="346"/>
    </row>
    <row r="141" spans="2:6" x14ac:dyDescent="0.25">
      <c r="B141" s="344"/>
      <c r="C141" s="344"/>
      <c r="D141" s="345"/>
      <c r="E141" s="346"/>
      <c r="F141" s="346"/>
    </row>
    <row r="142" spans="2:6" x14ac:dyDescent="0.25">
      <c r="B142" s="344"/>
      <c r="C142" s="344"/>
      <c r="D142" s="345"/>
      <c r="E142" s="346"/>
      <c r="F142" s="346"/>
    </row>
    <row r="143" spans="2:6" x14ac:dyDescent="0.25">
      <c r="B143" s="344"/>
      <c r="C143" s="344"/>
      <c r="D143" s="345"/>
      <c r="E143" s="346"/>
      <c r="F143" s="346"/>
    </row>
    <row r="144" spans="2:6" x14ac:dyDescent="0.25">
      <c r="B144" s="344"/>
      <c r="C144" s="344"/>
      <c r="D144" s="345"/>
      <c r="E144" s="346"/>
      <c r="F144" s="346"/>
    </row>
    <row r="145" spans="2:6" x14ac:dyDescent="0.25">
      <c r="B145" s="344"/>
      <c r="C145" s="344"/>
      <c r="D145" s="345"/>
      <c r="E145" s="346"/>
      <c r="F145" s="346"/>
    </row>
    <row r="146" spans="2:6" x14ac:dyDescent="0.25">
      <c r="B146" s="344"/>
      <c r="C146" s="344"/>
      <c r="D146" s="345"/>
      <c r="E146" s="346"/>
      <c r="F146" s="346"/>
    </row>
    <row r="147" spans="2:6" x14ac:dyDescent="0.25">
      <c r="B147" s="344"/>
      <c r="C147" s="344"/>
      <c r="D147" s="345"/>
      <c r="E147" s="346"/>
      <c r="F147" s="346"/>
    </row>
    <row r="148" spans="2:6" x14ac:dyDescent="0.25">
      <c r="B148" s="344"/>
      <c r="C148" s="344"/>
      <c r="D148" s="345"/>
      <c r="E148" s="346"/>
      <c r="F148" s="346"/>
    </row>
    <row r="149" spans="2:6" x14ac:dyDescent="0.25">
      <c r="B149" s="344"/>
      <c r="C149" s="344"/>
      <c r="D149" s="345"/>
      <c r="E149" s="346"/>
      <c r="F149" s="346"/>
    </row>
    <row r="150" spans="2:6" x14ac:dyDescent="0.25">
      <c r="B150" s="344"/>
      <c r="C150" s="344"/>
      <c r="D150" s="345"/>
      <c r="E150" s="346"/>
      <c r="F150" s="346"/>
    </row>
    <row r="151" spans="2:6" x14ac:dyDescent="0.25">
      <c r="B151" s="344"/>
      <c r="C151" s="344"/>
      <c r="D151" s="345"/>
      <c r="E151" s="346"/>
      <c r="F151" s="346"/>
    </row>
    <row r="152" spans="2:6" x14ac:dyDescent="0.25">
      <c r="B152" s="344"/>
      <c r="C152" s="344"/>
      <c r="D152" s="345"/>
      <c r="E152" s="346"/>
      <c r="F152" s="346"/>
    </row>
    <row r="153" spans="2:6" x14ac:dyDescent="0.25">
      <c r="B153" s="344"/>
      <c r="C153" s="344"/>
      <c r="D153" s="345"/>
      <c r="E153" s="346"/>
      <c r="F153" s="346"/>
    </row>
    <row r="154" spans="2:6" x14ac:dyDescent="0.25">
      <c r="B154" s="344"/>
      <c r="C154" s="344"/>
      <c r="D154" s="345"/>
      <c r="E154" s="346"/>
      <c r="F154" s="346"/>
    </row>
    <row r="155" spans="2:6" x14ac:dyDescent="0.25">
      <c r="B155" s="344"/>
      <c r="C155" s="344"/>
      <c r="D155" s="345"/>
      <c r="E155" s="346"/>
      <c r="F155" s="346"/>
    </row>
    <row r="156" spans="2:6" x14ac:dyDescent="0.25">
      <c r="B156" s="344"/>
      <c r="C156" s="344"/>
      <c r="D156" s="345"/>
      <c r="E156" s="346"/>
      <c r="F156" s="346"/>
    </row>
    <row r="157" spans="2:6" x14ac:dyDescent="0.25">
      <c r="B157" s="344"/>
      <c r="C157" s="344"/>
      <c r="D157" s="345"/>
      <c r="E157" s="346"/>
      <c r="F157" s="346"/>
    </row>
    <row r="158" spans="2:6" x14ac:dyDescent="0.25">
      <c r="B158" s="344"/>
      <c r="C158" s="344"/>
      <c r="D158" s="345"/>
      <c r="E158" s="346"/>
      <c r="F158" s="346"/>
    </row>
    <row r="159" spans="2:6" x14ac:dyDescent="0.25">
      <c r="B159" s="344"/>
      <c r="C159" s="344"/>
      <c r="D159" s="345"/>
      <c r="E159" s="346"/>
      <c r="F159" s="346"/>
    </row>
    <row r="160" spans="2:6" x14ac:dyDescent="0.25">
      <c r="B160" s="344"/>
      <c r="C160" s="344"/>
      <c r="D160" s="345"/>
      <c r="E160" s="346"/>
      <c r="F160" s="346"/>
    </row>
    <row r="161" spans="2:6" x14ac:dyDescent="0.25">
      <c r="B161" s="344"/>
      <c r="C161" s="344"/>
      <c r="D161" s="345"/>
      <c r="E161" s="346"/>
      <c r="F161" s="346"/>
    </row>
    <row r="162" spans="2:6" x14ac:dyDescent="0.25">
      <c r="B162" s="344"/>
      <c r="C162" s="344"/>
      <c r="D162" s="345"/>
      <c r="E162" s="346"/>
      <c r="F162" s="346"/>
    </row>
    <row r="163" spans="2:6" x14ac:dyDescent="0.25">
      <c r="B163" s="344"/>
      <c r="C163" s="344"/>
      <c r="D163" s="345"/>
      <c r="E163" s="346"/>
      <c r="F163" s="346"/>
    </row>
    <row r="164" spans="2:6" x14ac:dyDescent="0.25">
      <c r="B164" s="344"/>
      <c r="C164" s="344"/>
      <c r="D164" s="345"/>
      <c r="E164" s="346"/>
      <c r="F164" s="346"/>
    </row>
    <row r="165" spans="2:6" x14ac:dyDescent="0.25">
      <c r="B165" s="344"/>
      <c r="C165" s="344"/>
      <c r="D165" s="345"/>
      <c r="E165" s="346"/>
      <c r="F165" s="346"/>
    </row>
    <row r="166" spans="2:6" x14ac:dyDescent="0.25">
      <c r="B166" s="344"/>
      <c r="C166" s="344"/>
      <c r="D166" s="345"/>
      <c r="E166" s="346"/>
      <c r="F166" s="346"/>
    </row>
    <row r="167" spans="2:6" x14ac:dyDescent="0.25">
      <c r="B167" s="344"/>
      <c r="C167" s="344"/>
      <c r="D167" s="345"/>
      <c r="E167" s="346"/>
      <c r="F167" s="346"/>
    </row>
    <row r="168" spans="2:6" x14ac:dyDescent="0.25">
      <c r="B168" s="344"/>
      <c r="C168" s="344"/>
      <c r="D168" s="345"/>
      <c r="E168" s="346"/>
      <c r="F168" s="346"/>
    </row>
    <row r="169" spans="2:6" x14ac:dyDescent="0.25">
      <c r="B169" s="344"/>
      <c r="C169" s="344"/>
      <c r="D169" s="345"/>
      <c r="E169" s="346"/>
      <c r="F169" s="346"/>
    </row>
    <row r="170" spans="2:6" x14ac:dyDescent="0.25">
      <c r="B170" s="344"/>
      <c r="C170" s="344"/>
      <c r="D170" s="345"/>
      <c r="E170" s="346"/>
      <c r="F170" s="346"/>
    </row>
    <row r="171" spans="2:6" x14ac:dyDescent="0.25">
      <c r="B171" s="344"/>
      <c r="C171" s="344"/>
      <c r="D171" s="345"/>
      <c r="E171" s="346"/>
      <c r="F171" s="346"/>
    </row>
    <row r="172" spans="2:6" x14ac:dyDescent="0.25">
      <c r="B172" s="344"/>
      <c r="C172" s="344"/>
      <c r="D172" s="345"/>
      <c r="E172" s="346"/>
      <c r="F172" s="346"/>
    </row>
    <row r="173" spans="2:6" x14ac:dyDescent="0.25">
      <c r="B173" s="344"/>
      <c r="C173" s="344"/>
      <c r="D173" s="345"/>
      <c r="E173" s="346"/>
      <c r="F173" s="346"/>
    </row>
    <row r="174" spans="2:6" x14ac:dyDescent="0.25">
      <c r="B174" s="344"/>
      <c r="C174" s="344"/>
      <c r="D174" s="345"/>
      <c r="E174" s="346"/>
      <c r="F174" s="346"/>
    </row>
    <row r="175" spans="2:6" x14ac:dyDescent="0.25">
      <c r="B175" s="344"/>
      <c r="C175" s="344"/>
      <c r="D175" s="345"/>
      <c r="E175" s="346"/>
      <c r="F175" s="346"/>
    </row>
    <row r="176" spans="2:6" x14ac:dyDescent="0.25">
      <c r="B176" s="344"/>
      <c r="C176" s="344"/>
      <c r="D176" s="345"/>
      <c r="E176" s="346"/>
      <c r="F176" s="346"/>
    </row>
    <row r="177" spans="2:6" x14ac:dyDescent="0.25">
      <c r="B177" s="344"/>
      <c r="C177" s="344"/>
      <c r="D177" s="345"/>
      <c r="E177" s="346"/>
      <c r="F177" s="346"/>
    </row>
    <row r="178" spans="2:6" x14ac:dyDescent="0.25">
      <c r="B178" s="344"/>
      <c r="C178" s="344"/>
      <c r="D178" s="345"/>
      <c r="E178" s="346"/>
      <c r="F178" s="346"/>
    </row>
    <row r="179" spans="2:6" x14ac:dyDescent="0.25">
      <c r="B179" s="344"/>
      <c r="C179" s="344"/>
      <c r="D179" s="345"/>
      <c r="E179" s="346"/>
      <c r="F179" s="346"/>
    </row>
    <row r="180" spans="2:6" x14ac:dyDescent="0.25">
      <c r="B180" s="344"/>
      <c r="C180" s="344"/>
      <c r="D180" s="345"/>
      <c r="E180" s="346"/>
      <c r="F180" s="346"/>
    </row>
    <row r="181" spans="2:6" x14ac:dyDescent="0.25">
      <c r="B181" s="344"/>
      <c r="C181" s="344"/>
      <c r="D181" s="345"/>
      <c r="E181" s="346"/>
      <c r="F181" s="346"/>
    </row>
    <row r="182" spans="2:6" x14ac:dyDescent="0.25">
      <c r="B182" s="344"/>
      <c r="C182" s="344"/>
      <c r="D182" s="345"/>
      <c r="E182" s="346"/>
      <c r="F182" s="346"/>
    </row>
    <row r="183" spans="2:6" x14ac:dyDescent="0.25">
      <c r="B183" s="344"/>
      <c r="C183" s="344"/>
      <c r="D183" s="345"/>
      <c r="E183" s="346"/>
      <c r="F183" s="346"/>
    </row>
    <row r="184" spans="2:6" x14ac:dyDescent="0.25">
      <c r="B184" s="344"/>
      <c r="C184" s="344"/>
      <c r="D184" s="345"/>
      <c r="E184" s="346"/>
      <c r="F184" s="346"/>
    </row>
    <row r="185" spans="2:6" x14ac:dyDescent="0.25">
      <c r="B185" s="344"/>
      <c r="C185" s="344"/>
      <c r="D185" s="345"/>
      <c r="E185" s="346"/>
      <c r="F185" s="346"/>
    </row>
    <row r="186" spans="2:6" x14ac:dyDescent="0.25">
      <c r="B186" s="344"/>
      <c r="C186" s="344"/>
      <c r="D186" s="345"/>
      <c r="E186" s="346"/>
      <c r="F186" s="346"/>
    </row>
    <row r="187" spans="2:6" x14ac:dyDescent="0.25">
      <c r="B187" s="344"/>
      <c r="C187" s="344"/>
      <c r="D187" s="345"/>
      <c r="E187" s="346"/>
      <c r="F187" s="346"/>
    </row>
    <row r="188" spans="2:6" x14ac:dyDescent="0.25">
      <c r="B188" s="344"/>
      <c r="C188" s="344"/>
      <c r="D188" s="345"/>
      <c r="E188" s="346"/>
      <c r="F188" s="346"/>
    </row>
    <row r="189" spans="2:6" x14ac:dyDescent="0.25">
      <c r="B189" s="344"/>
      <c r="C189" s="344"/>
      <c r="D189" s="345"/>
      <c r="E189" s="346"/>
      <c r="F189" s="346"/>
    </row>
    <row r="190" spans="2:6" x14ac:dyDescent="0.25">
      <c r="B190" s="344"/>
      <c r="C190" s="344"/>
      <c r="D190" s="345"/>
      <c r="E190" s="346"/>
      <c r="F190" s="346"/>
    </row>
    <row r="191" spans="2:6" x14ac:dyDescent="0.25">
      <c r="B191" s="344"/>
      <c r="C191" s="344"/>
      <c r="D191" s="345"/>
      <c r="E191" s="346"/>
      <c r="F191" s="346"/>
    </row>
    <row r="192" spans="2:6" x14ac:dyDescent="0.25">
      <c r="B192" s="344"/>
      <c r="C192" s="344"/>
      <c r="D192" s="345"/>
      <c r="E192" s="346"/>
      <c r="F192" s="346"/>
    </row>
    <row r="193" spans="2:6" x14ac:dyDescent="0.25">
      <c r="B193" s="344"/>
      <c r="C193" s="344"/>
      <c r="D193" s="345"/>
      <c r="E193" s="346"/>
      <c r="F193" s="346"/>
    </row>
    <row r="194" spans="2:6" x14ac:dyDescent="0.25">
      <c r="B194" s="344"/>
      <c r="C194" s="344"/>
      <c r="D194" s="345"/>
      <c r="E194" s="346"/>
      <c r="F194" s="346"/>
    </row>
    <row r="195" spans="2:6" x14ac:dyDescent="0.25">
      <c r="B195" s="344"/>
      <c r="C195" s="344"/>
      <c r="D195" s="345"/>
      <c r="E195" s="346"/>
      <c r="F195" s="346"/>
    </row>
    <row r="196" spans="2:6" x14ac:dyDescent="0.25">
      <c r="B196" s="344"/>
      <c r="C196" s="344"/>
      <c r="D196" s="345"/>
      <c r="E196" s="346"/>
      <c r="F196" s="346"/>
    </row>
    <row r="197" spans="2:6" x14ac:dyDescent="0.25">
      <c r="B197" s="344"/>
      <c r="C197" s="344"/>
      <c r="D197" s="345"/>
      <c r="E197" s="346"/>
      <c r="F197" s="346"/>
    </row>
    <row r="198" spans="2:6" x14ac:dyDescent="0.25">
      <c r="B198" s="344"/>
      <c r="C198" s="344"/>
      <c r="D198" s="345"/>
      <c r="E198" s="346"/>
      <c r="F198" s="346"/>
    </row>
    <row r="199" spans="2:6" x14ac:dyDescent="0.25">
      <c r="B199" s="344"/>
      <c r="C199" s="344"/>
      <c r="D199" s="345"/>
      <c r="E199" s="346"/>
      <c r="F199" s="346"/>
    </row>
    <row r="200" spans="2:6" x14ac:dyDescent="0.25">
      <c r="B200" s="344"/>
      <c r="C200" s="344"/>
      <c r="D200" s="345"/>
      <c r="E200" s="346"/>
      <c r="F200" s="346"/>
    </row>
    <row r="201" spans="2:6" x14ac:dyDescent="0.25">
      <c r="B201" s="344"/>
      <c r="C201" s="344"/>
      <c r="D201" s="345"/>
      <c r="E201" s="346"/>
      <c r="F201" s="346"/>
    </row>
    <row r="202" spans="2:6" x14ac:dyDescent="0.25">
      <c r="B202" s="344"/>
      <c r="C202" s="344"/>
      <c r="D202" s="345"/>
      <c r="E202" s="346"/>
      <c r="F202" s="346"/>
    </row>
    <row r="203" spans="2:6" x14ac:dyDescent="0.25">
      <c r="B203" s="344"/>
      <c r="C203" s="344"/>
      <c r="D203" s="345"/>
      <c r="E203" s="346"/>
      <c r="F203" s="346"/>
    </row>
    <row r="204" spans="2:6" x14ac:dyDescent="0.25">
      <c r="B204" s="344"/>
      <c r="C204" s="344"/>
      <c r="D204" s="345"/>
      <c r="E204" s="346"/>
      <c r="F204" s="346"/>
    </row>
    <row r="205" spans="2:6" x14ac:dyDescent="0.25">
      <c r="B205" s="344"/>
      <c r="C205" s="344"/>
      <c r="D205" s="345"/>
      <c r="E205" s="346"/>
      <c r="F205" s="346"/>
    </row>
    <row r="206" spans="2:6" x14ac:dyDescent="0.25">
      <c r="B206" s="344"/>
      <c r="C206" s="344"/>
      <c r="D206" s="345"/>
      <c r="E206" s="346"/>
      <c r="F206" s="346"/>
    </row>
    <row r="207" spans="2:6" x14ac:dyDescent="0.25">
      <c r="B207" s="344"/>
      <c r="C207" s="344"/>
      <c r="D207" s="345"/>
      <c r="E207" s="346"/>
      <c r="F207" s="346"/>
    </row>
    <row r="208" spans="2:6" x14ac:dyDescent="0.25">
      <c r="B208" s="344"/>
      <c r="C208" s="344"/>
      <c r="D208" s="345"/>
      <c r="E208" s="346"/>
      <c r="F208" s="346"/>
    </row>
    <row r="209" spans="2:6" x14ac:dyDescent="0.25">
      <c r="B209" s="344"/>
      <c r="C209" s="344"/>
      <c r="D209" s="345"/>
      <c r="E209" s="346"/>
      <c r="F209" s="346"/>
    </row>
    <row r="210" spans="2:6" x14ac:dyDescent="0.25">
      <c r="B210" s="344"/>
      <c r="C210" s="344"/>
      <c r="D210" s="345"/>
      <c r="E210" s="346"/>
      <c r="F210" s="346"/>
    </row>
    <row r="211" spans="2:6" x14ac:dyDescent="0.25">
      <c r="B211" s="344"/>
      <c r="C211" s="344"/>
      <c r="D211" s="345"/>
      <c r="E211" s="346"/>
      <c r="F211" s="346"/>
    </row>
    <row r="212" spans="2:6" x14ac:dyDescent="0.25">
      <c r="B212" s="344"/>
      <c r="C212" s="344"/>
      <c r="D212" s="345"/>
      <c r="E212" s="346"/>
      <c r="F212" s="346"/>
    </row>
    <row r="213" spans="2:6" x14ac:dyDescent="0.25">
      <c r="B213" s="344"/>
      <c r="C213" s="344"/>
      <c r="D213" s="345"/>
      <c r="E213" s="346"/>
      <c r="F213" s="346"/>
    </row>
    <row r="214" spans="2:6" x14ac:dyDescent="0.25">
      <c r="B214" s="344"/>
      <c r="C214" s="344"/>
      <c r="D214" s="345"/>
      <c r="E214" s="346"/>
      <c r="F214" s="346"/>
    </row>
    <row r="215" spans="2:6" x14ac:dyDescent="0.25">
      <c r="B215" s="344"/>
      <c r="C215" s="344"/>
      <c r="D215" s="345"/>
      <c r="E215" s="346"/>
      <c r="F215" s="346"/>
    </row>
    <row r="216" spans="2:6" x14ac:dyDescent="0.25">
      <c r="B216" s="344"/>
      <c r="C216" s="344"/>
      <c r="D216" s="345"/>
      <c r="E216" s="346"/>
      <c r="F216" s="346"/>
    </row>
    <row r="217" spans="2:6" x14ac:dyDescent="0.25">
      <c r="B217" s="344"/>
      <c r="C217" s="344"/>
      <c r="D217" s="345"/>
      <c r="E217" s="346"/>
      <c r="F217" s="346"/>
    </row>
    <row r="218" spans="2:6" x14ac:dyDescent="0.25">
      <c r="B218" s="344"/>
      <c r="C218" s="344"/>
      <c r="D218" s="345"/>
      <c r="E218" s="346"/>
      <c r="F218" s="346"/>
    </row>
    <row r="219" spans="2:6" x14ac:dyDescent="0.25">
      <c r="B219" s="344"/>
      <c r="C219" s="344"/>
      <c r="D219" s="345"/>
      <c r="E219" s="346"/>
      <c r="F219" s="346"/>
    </row>
    <row r="220" spans="2:6" x14ac:dyDescent="0.25">
      <c r="B220" s="344"/>
      <c r="C220" s="344"/>
      <c r="D220" s="345"/>
      <c r="E220" s="346"/>
      <c r="F220" s="346"/>
    </row>
    <row r="221" spans="2:6" x14ac:dyDescent="0.25">
      <c r="B221" s="344"/>
      <c r="C221" s="344"/>
      <c r="D221" s="345"/>
      <c r="E221" s="346"/>
      <c r="F221" s="346"/>
    </row>
    <row r="222" spans="2:6" x14ac:dyDescent="0.25">
      <c r="B222" s="344"/>
      <c r="C222" s="344"/>
      <c r="D222" s="345"/>
      <c r="E222" s="346"/>
      <c r="F222" s="346"/>
    </row>
    <row r="223" spans="2:6" x14ac:dyDescent="0.25">
      <c r="B223" s="344"/>
      <c r="C223" s="344"/>
      <c r="D223" s="345"/>
      <c r="E223" s="346"/>
      <c r="F223" s="346"/>
    </row>
    <row r="224" spans="2:6" x14ac:dyDescent="0.25">
      <c r="B224" s="344"/>
      <c r="C224" s="344"/>
      <c r="D224" s="345"/>
      <c r="E224" s="346"/>
      <c r="F224" s="346"/>
    </row>
    <row r="225" spans="2:6" x14ac:dyDescent="0.25">
      <c r="B225" s="344"/>
      <c r="C225" s="344"/>
      <c r="D225" s="345"/>
      <c r="E225" s="346"/>
      <c r="F225" s="346"/>
    </row>
    <row r="226" spans="2:6" x14ac:dyDescent="0.25">
      <c r="B226" s="344"/>
      <c r="C226" s="344"/>
      <c r="D226" s="345"/>
      <c r="E226" s="346"/>
      <c r="F226" s="346"/>
    </row>
    <row r="227" spans="2:6" x14ac:dyDescent="0.25">
      <c r="B227" s="344"/>
      <c r="C227" s="344"/>
      <c r="D227" s="345"/>
      <c r="E227" s="346"/>
      <c r="F227" s="346"/>
    </row>
    <row r="228" spans="2:6" x14ac:dyDescent="0.25">
      <c r="B228" s="344"/>
      <c r="C228" s="344"/>
      <c r="D228" s="345"/>
      <c r="E228" s="346"/>
      <c r="F228" s="346"/>
    </row>
    <row r="229" spans="2:6" x14ac:dyDescent="0.25">
      <c r="B229" s="344"/>
      <c r="C229" s="344"/>
      <c r="D229" s="345"/>
      <c r="E229" s="346"/>
      <c r="F229" s="346"/>
    </row>
    <row r="230" spans="2:6" x14ac:dyDescent="0.25">
      <c r="B230" s="344"/>
      <c r="C230" s="344"/>
      <c r="D230" s="345"/>
      <c r="E230" s="346"/>
      <c r="F230" s="346"/>
    </row>
    <row r="231" spans="2:6" x14ac:dyDescent="0.25">
      <c r="B231" s="344"/>
      <c r="C231" s="344"/>
      <c r="D231" s="345"/>
      <c r="E231" s="346"/>
      <c r="F231" s="346"/>
    </row>
    <row r="232" spans="2:6" x14ac:dyDescent="0.25">
      <c r="B232" s="344"/>
      <c r="C232" s="344"/>
      <c r="D232" s="345"/>
      <c r="E232" s="346"/>
      <c r="F232" s="346"/>
    </row>
    <row r="233" spans="2:6" x14ac:dyDescent="0.25">
      <c r="B233" s="344"/>
      <c r="C233" s="344"/>
      <c r="D233" s="345"/>
      <c r="E233" s="346"/>
      <c r="F233" s="346"/>
    </row>
    <row r="234" spans="2:6" x14ac:dyDescent="0.25">
      <c r="B234" s="344"/>
      <c r="C234" s="344"/>
      <c r="D234" s="345"/>
      <c r="E234" s="346"/>
      <c r="F234" s="346"/>
    </row>
    <row r="235" spans="2:6" x14ac:dyDescent="0.25">
      <c r="B235" s="344"/>
      <c r="C235" s="344"/>
      <c r="D235" s="345"/>
      <c r="E235" s="346"/>
      <c r="F235" s="346"/>
    </row>
    <row r="236" spans="2:6" x14ac:dyDescent="0.25">
      <c r="B236" s="344"/>
      <c r="C236" s="344"/>
      <c r="D236" s="345"/>
      <c r="E236" s="346"/>
      <c r="F236" s="346"/>
    </row>
    <row r="237" spans="2:6" x14ac:dyDescent="0.25">
      <c r="B237" s="344"/>
      <c r="C237" s="344"/>
      <c r="D237" s="345"/>
      <c r="E237" s="346"/>
      <c r="F237" s="346"/>
    </row>
    <row r="238" spans="2:6" x14ac:dyDescent="0.25">
      <c r="B238" s="344"/>
      <c r="C238" s="344"/>
      <c r="D238" s="345"/>
      <c r="E238" s="346"/>
      <c r="F238" s="346"/>
    </row>
    <row r="239" spans="2:6" x14ac:dyDescent="0.25">
      <c r="B239" s="344"/>
      <c r="C239" s="344"/>
      <c r="D239" s="345"/>
      <c r="E239" s="346"/>
      <c r="F239" s="346"/>
    </row>
    <row r="240" spans="2:6" x14ac:dyDescent="0.25">
      <c r="B240" s="344"/>
      <c r="C240" s="344"/>
      <c r="D240" s="345"/>
      <c r="E240" s="346"/>
      <c r="F240" s="346"/>
    </row>
    <row r="241" spans="2:6" x14ac:dyDescent="0.25">
      <c r="B241" s="344"/>
      <c r="C241" s="344"/>
      <c r="D241" s="345"/>
      <c r="E241" s="346"/>
      <c r="F241" s="346"/>
    </row>
    <row r="242" spans="2:6" x14ac:dyDescent="0.25">
      <c r="B242" s="344"/>
      <c r="C242" s="344"/>
      <c r="D242" s="345"/>
      <c r="E242" s="346"/>
      <c r="F242" s="346"/>
    </row>
    <row r="243" spans="2:6" x14ac:dyDescent="0.25">
      <c r="B243" s="344"/>
      <c r="C243" s="344"/>
      <c r="D243" s="345"/>
      <c r="E243" s="346"/>
      <c r="F243" s="346"/>
    </row>
    <row r="244" spans="2:6" x14ac:dyDescent="0.25">
      <c r="B244" s="344"/>
      <c r="C244" s="344"/>
      <c r="D244" s="345"/>
      <c r="E244" s="346"/>
      <c r="F244" s="346"/>
    </row>
    <row r="245" spans="2:6" x14ac:dyDescent="0.25">
      <c r="B245" s="344"/>
      <c r="C245" s="344"/>
      <c r="D245" s="345"/>
      <c r="E245" s="346"/>
      <c r="F245" s="346"/>
    </row>
    <row r="246" spans="2:6" x14ac:dyDescent="0.25">
      <c r="B246" s="344"/>
      <c r="C246" s="344"/>
      <c r="D246" s="345"/>
      <c r="E246" s="346"/>
      <c r="F246" s="346"/>
    </row>
    <row r="247" spans="2:6" x14ac:dyDescent="0.25">
      <c r="B247" s="344"/>
      <c r="C247" s="344"/>
      <c r="D247" s="345"/>
      <c r="E247" s="346"/>
      <c r="F247" s="346"/>
    </row>
    <row r="248" spans="2:6" x14ac:dyDescent="0.25">
      <c r="B248" s="344"/>
      <c r="C248" s="344"/>
      <c r="D248" s="345"/>
      <c r="E248" s="346"/>
      <c r="F248" s="346"/>
    </row>
    <row r="249" spans="2:6" x14ac:dyDescent="0.25">
      <c r="B249" s="344"/>
      <c r="C249" s="344"/>
      <c r="D249" s="345"/>
      <c r="E249" s="346"/>
      <c r="F249" s="346"/>
    </row>
    <row r="250" spans="2:6" x14ac:dyDescent="0.25">
      <c r="B250" s="344"/>
      <c r="C250" s="344"/>
      <c r="D250" s="345"/>
      <c r="E250" s="346"/>
      <c r="F250" s="346"/>
    </row>
    <row r="251" spans="2:6" x14ac:dyDescent="0.25">
      <c r="B251" s="344"/>
      <c r="C251" s="344"/>
      <c r="D251" s="345"/>
      <c r="E251" s="346"/>
      <c r="F251" s="346"/>
    </row>
    <row r="252" spans="2:6" x14ac:dyDescent="0.25">
      <c r="B252" s="344"/>
      <c r="C252" s="344"/>
      <c r="D252" s="345"/>
      <c r="E252" s="346"/>
      <c r="F252" s="346"/>
    </row>
    <row r="253" spans="2:6" x14ac:dyDescent="0.25">
      <c r="B253" s="344"/>
      <c r="C253" s="344"/>
      <c r="D253" s="345"/>
      <c r="E253" s="346"/>
      <c r="F253" s="346"/>
    </row>
    <row r="254" spans="2:6" x14ac:dyDescent="0.25">
      <c r="B254" s="344"/>
      <c r="C254" s="344"/>
      <c r="D254" s="345"/>
      <c r="E254" s="346"/>
      <c r="F254" s="346"/>
    </row>
    <row r="255" spans="2:6" x14ac:dyDescent="0.25">
      <c r="B255" s="344"/>
      <c r="C255" s="344"/>
      <c r="D255" s="345"/>
      <c r="E255" s="346"/>
      <c r="F255" s="346"/>
    </row>
    <row r="256" spans="2:6" x14ac:dyDescent="0.25">
      <c r="B256" s="344"/>
      <c r="C256" s="344"/>
      <c r="D256" s="345"/>
      <c r="E256" s="346"/>
      <c r="F256" s="346"/>
    </row>
    <row r="257" spans="2:6" x14ac:dyDescent="0.25">
      <c r="B257" s="344"/>
      <c r="C257" s="344"/>
      <c r="D257" s="345"/>
      <c r="E257" s="346"/>
      <c r="F257" s="346"/>
    </row>
    <row r="258" spans="2:6" x14ac:dyDescent="0.25">
      <c r="B258" s="344"/>
      <c r="C258" s="344"/>
      <c r="D258" s="345"/>
      <c r="E258" s="346"/>
      <c r="F258" s="346"/>
    </row>
    <row r="259" spans="2:6" x14ac:dyDescent="0.25">
      <c r="B259" s="344"/>
      <c r="C259" s="344"/>
      <c r="D259" s="345"/>
      <c r="E259" s="346"/>
      <c r="F259" s="346"/>
    </row>
    <row r="260" spans="2:6" x14ac:dyDescent="0.25">
      <c r="B260" s="344"/>
      <c r="C260" s="344"/>
      <c r="D260" s="345"/>
      <c r="E260" s="346"/>
      <c r="F260" s="346"/>
    </row>
    <row r="261" spans="2:6" x14ac:dyDescent="0.25">
      <c r="B261" s="344"/>
      <c r="C261" s="344"/>
      <c r="D261" s="345"/>
      <c r="E261" s="346"/>
      <c r="F261" s="346"/>
    </row>
    <row r="262" spans="2:6" x14ac:dyDescent="0.25">
      <c r="B262" s="344"/>
      <c r="C262" s="344"/>
      <c r="D262" s="345"/>
      <c r="E262" s="346"/>
      <c r="F262" s="346"/>
    </row>
    <row r="263" spans="2:6" x14ac:dyDescent="0.25">
      <c r="B263" s="344"/>
      <c r="C263" s="344"/>
      <c r="D263" s="345"/>
      <c r="E263" s="346"/>
      <c r="F263" s="346"/>
    </row>
    <row r="264" spans="2:6" x14ac:dyDescent="0.25">
      <c r="B264" s="344"/>
      <c r="C264" s="344"/>
      <c r="D264" s="345"/>
      <c r="E264" s="346"/>
      <c r="F264" s="346"/>
    </row>
    <row r="265" spans="2:6" x14ac:dyDescent="0.25">
      <c r="B265" s="344"/>
      <c r="C265" s="344"/>
      <c r="D265" s="345"/>
      <c r="E265" s="346"/>
      <c r="F265" s="346"/>
    </row>
    <row r="266" spans="2:6" x14ac:dyDescent="0.25">
      <c r="B266" s="344"/>
      <c r="C266" s="344"/>
      <c r="D266" s="345"/>
      <c r="E266" s="346"/>
      <c r="F266" s="346"/>
    </row>
    <row r="267" spans="2:6" x14ac:dyDescent="0.25">
      <c r="B267" s="344"/>
      <c r="C267" s="344"/>
      <c r="D267" s="345"/>
      <c r="E267" s="346"/>
      <c r="F267" s="346"/>
    </row>
    <row r="268" spans="2:6" x14ac:dyDescent="0.25">
      <c r="B268" s="344"/>
      <c r="C268" s="344"/>
      <c r="D268" s="345"/>
      <c r="E268" s="346"/>
      <c r="F268" s="346"/>
    </row>
    <row r="269" spans="2:6" x14ac:dyDescent="0.25">
      <c r="B269" s="344"/>
      <c r="C269" s="344"/>
      <c r="D269" s="345"/>
      <c r="E269" s="346"/>
      <c r="F269" s="346"/>
    </row>
    <row r="270" spans="2:6" x14ac:dyDescent="0.25">
      <c r="B270" s="344"/>
      <c r="C270" s="344"/>
      <c r="D270" s="345"/>
      <c r="E270" s="346"/>
      <c r="F270" s="346"/>
    </row>
    <row r="271" spans="2:6" x14ac:dyDescent="0.25">
      <c r="B271" s="344"/>
      <c r="C271" s="344"/>
      <c r="D271" s="345"/>
      <c r="E271" s="346"/>
      <c r="F271" s="346"/>
    </row>
    <row r="272" spans="2:6" x14ac:dyDescent="0.25">
      <c r="B272" s="344"/>
      <c r="C272" s="344"/>
      <c r="D272" s="345"/>
      <c r="E272" s="346"/>
      <c r="F272" s="346"/>
    </row>
    <row r="273" spans="2:6" x14ac:dyDescent="0.25">
      <c r="B273" s="344"/>
      <c r="C273" s="344"/>
      <c r="D273" s="345"/>
      <c r="E273" s="346"/>
      <c r="F273" s="346"/>
    </row>
    <row r="274" spans="2:6" x14ac:dyDescent="0.25">
      <c r="B274" s="344"/>
      <c r="C274" s="344"/>
      <c r="D274" s="345"/>
      <c r="E274" s="346"/>
      <c r="F274" s="346"/>
    </row>
    <row r="275" spans="2:6" x14ac:dyDescent="0.25">
      <c r="B275" s="344"/>
      <c r="C275" s="344"/>
      <c r="D275" s="345"/>
      <c r="E275" s="346"/>
      <c r="F275" s="346"/>
    </row>
    <row r="276" spans="2:6" x14ac:dyDescent="0.25">
      <c r="B276" s="344"/>
      <c r="C276" s="344"/>
      <c r="D276" s="345"/>
      <c r="E276" s="346"/>
      <c r="F276" s="346"/>
    </row>
    <row r="277" spans="2:6" x14ac:dyDescent="0.25">
      <c r="B277" s="344"/>
      <c r="C277" s="344"/>
      <c r="D277" s="345"/>
      <c r="E277" s="346"/>
      <c r="F277" s="346"/>
    </row>
    <row r="278" spans="2:6" x14ac:dyDescent="0.25">
      <c r="B278" s="344"/>
      <c r="C278" s="344"/>
      <c r="D278" s="345"/>
      <c r="E278" s="346"/>
      <c r="F278" s="346"/>
    </row>
    <row r="279" spans="2:6" x14ac:dyDescent="0.25">
      <c r="B279" s="344"/>
      <c r="C279" s="344"/>
      <c r="D279" s="345"/>
      <c r="E279" s="346"/>
      <c r="F279" s="346"/>
    </row>
    <row r="280" spans="2:6" x14ac:dyDescent="0.25">
      <c r="B280" s="344"/>
      <c r="C280" s="344"/>
      <c r="D280" s="345"/>
      <c r="E280" s="346"/>
      <c r="F280" s="346"/>
    </row>
    <row r="281" spans="2:6" x14ac:dyDescent="0.25">
      <c r="B281" s="344"/>
      <c r="C281" s="344"/>
      <c r="D281" s="345"/>
      <c r="E281" s="346"/>
      <c r="F281" s="346"/>
    </row>
    <row r="282" spans="2:6" x14ac:dyDescent="0.25">
      <c r="B282" s="344"/>
      <c r="C282" s="344"/>
      <c r="D282" s="345"/>
      <c r="E282" s="346"/>
      <c r="F282" s="346"/>
    </row>
    <row r="283" spans="2:6" x14ac:dyDescent="0.25">
      <c r="B283" s="344"/>
      <c r="C283" s="344"/>
      <c r="D283" s="345"/>
      <c r="E283" s="346"/>
      <c r="F283" s="346"/>
    </row>
    <row r="284" spans="2:6" x14ac:dyDescent="0.25">
      <c r="B284" s="344"/>
      <c r="C284" s="344"/>
      <c r="D284" s="345"/>
      <c r="E284" s="346"/>
      <c r="F284" s="346"/>
    </row>
    <row r="285" spans="2:6" x14ac:dyDescent="0.25">
      <c r="B285" s="344"/>
      <c r="C285" s="344"/>
      <c r="D285" s="345"/>
      <c r="E285" s="346"/>
      <c r="F285" s="346"/>
    </row>
    <row r="286" spans="2:6" x14ac:dyDescent="0.25">
      <c r="B286" s="344"/>
      <c r="C286" s="344"/>
      <c r="D286" s="345"/>
      <c r="E286" s="346"/>
      <c r="F286" s="346"/>
    </row>
    <row r="287" spans="2:6" x14ac:dyDescent="0.25">
      <c r="B287" s="344"/>
      <c r="C287" s="344"/>
      <c r="D287" s="345"/>
      <c r="E287" s="346"/>
      <c r="F287" s="346"/>
    </row>
    <row r="288" spans="2:6" x14ac:dyDescent="0.25">
      <c r="B288" s="344"/>
      <c r="C288" s="344"/>
      <c r="D288" s="345"/>
      <c r="E288" s="346"/>
      <c r="F288" s="346"/>
    </row>
    <row r="289" spans="2:6" x14ac:dyDescent="0.25">
      <c r="B289" s="344"/>
      <c r="C289" s="344"/>
      <c r="D289" s="345"/>
      <c r="E289" s="346"/>
      <c r="F289" s="346"/>
    </row>
    <row r="290" spans="2:6" x14ac:dyDescent="0.25">
      <c r="B290" s="344"/>
      <c r="C290" s="344"/>
      <c r="D290" s="345"/>
      <c r="E290" s="346"/>
      <c r="F290" s="346"/>
    </row>
    <row r="291" spans="2:6" x14ac:dyDescent="0.25">
      <c r="B291" s="344"/>
      <c r="C291" s="344"/>
      <c r="D291" s="345"/>
      <c r="E291" s="346"/>
      <c r="F291" s="346"/>
    </row>
    <row r="292" spans="2:6" x14ac:dyDescent="0.25">
      <c r="B292" s="344"/>
      <c r="C292" s="344"/>
      <c r="D292" s="345"/>
      <c r="E292" s="346"/>
      <c r="F292" s="346"/>
    </row>
    <row r="293" spans="2:6" x14ac:dyDescent="0.25">
      <c r="B293" s="344"/>
      <c r="C293" s="344"/>
      <c r="D293" s="345"/>
      <c r="E293" s="346"/>
      <c r="F293" s="346"/>
    </row>
    <row r="294" spans="2:6" x14ac:dyDescent="0.25">
      <c r="B294" s="344"/>
      <c r="C294" s="344"/>
      <c r="D294" s="345"/>
      <c r="E294" s="346"/>
      <c r="F294" s="346"/>
    </row>
    <row r="295" spans="2:6" x14ac:dyDescent="0.25">
      <c r="B295" s="344"/>
      <c r="C295" s="344"/>
      <c r="D295" s="345"/>
      <c r="E295" s="346"/>
      <c r="F295" s="346"/>
    </row>
    <row r="296" spans="2:6" x14ac:dyDescent="0.25">
      <c r="B296" s="344"/>
      <c r="C296" s="344"/>
      <c r="D296" s="345"/>
      <c r="E296" s="346"/>
      <c r="F296" s="346"/>
    </row>
    <row r="297" spans="2:6" x14ac:dyDescent="0.25">
      <c r="B297" s="344"/>
      <c r="C297" s="344"/>
      <c r="D297" s="345"/>
      <c r="E297" s="346"/>
      <c r="F297" s="346"/>
    </row>
    <row r="298" spans="2:6" x14ac:dyDescent="0.25">
      <c r="B298" s="344"/>
      <c r="C298" s="344"/>
      <c r="D298" s="345"/>
      <c r="E298" s="346"/>
      <c r="F298" s="346"/>
    </row>
    <row r="299" spans="2:6" x14ac:dyDescent="0.25">
      <c r="B299" s="344"/>
      <c r="C299" s="344"/>
      <c r="D299" s="345"/>
      <c r="E299" s="346"/>
      <c r="F299" s="346"/>
    </row>
    <row r="300" spans="2:6" x14ac:dyDescent="0.25">
      <c r="B300" s="344"/>
      <c r="C300" s="344"/>
      <c r="D300" s="345"/>
      <c r="E300" s="346"/>
      <c r="F300" s="346"/>
    </row>
    <row r="301" spans="2:6" x14ac:dyDescent="0.25">
      <c r="B301" s="344"/>
      <c r="C301" s="344"/>
      <c r="D301" s="345"/>
      <c r="E301" s="346"/>
      <c r="F301" s="346"/>
    </row>
    <row r="302" spans="2:6" x14ac:dyDescent="0.25">
      <c r="B302" s="344"/>
      <c r="C302" s="344"/>
      <c r="D302" s="345"/>
      <c r="E302" s="346"/>
      <c r="F302" s="346"/>
    </row>
    <row r="303" spans="2:6" x14ac:dyDescent="0.25">
      <c r="B303" s="344"/>
      <c r="C303" s="344"/>
      <c r="D303" s="345"/>
      <c r="E303" s="346"/>
      <c r="F303" s="346"/>
    </row>
    <row r="304" spans="2:6" x14ac:dyDescent="0.25">
      <c r="B304" s="344"/>
      <c r="C304" s="344"/>
      <c r="D304" s="345"/>
      <c r="E304" s="346"/>
      <c r="F304" s="346"/>
    </row>
    <row r="305" spans="2:6" x14ac:dyDescent="0.25">
      <c r="B305" s="344"/>
      <c r="C305" s="344"/>
      <c r="D305" s="345"/>
      <c r="E305" s="346"/>
      <c r="F305" s="346"/>
    </row>
    <row r="306" spans="2:6" x14ac:dyDescent="0.25">
      <c r="B306" s="344"/>
      <c r="C306" s="344"/>
      <c r="D306" s="345"/>
      <c r="E306" s="346"/>
      <c r="F306" s="346"/>
    </row>
    <row r="307" spans="2:6" x14ac:dyDescent="0.25">
      <c r="B307" s="344"/>
      <c r="C307" s="344"/>
      <c r="D307" s="345"/>
      <c r="E307" s="346"/>
      <c r="F307" s="346"/>
    </row>
    <row r="308" spans="2:6" x14ac:dyDescent="0.25">
      <c r="B308" s="344"/>
      <c r="C308" s="344"/>
      <c r="D308" s="345"/>
      <c r="E308" s="346"/>
      <c r="F308" s="346"/>
    </row>
    <row r="309" spans="2:6" x14ac:dyDescent="0.25">
      <c r="B309" s="344"/>
      <c r="C309" s="344"/>
      <c r="D309" s="345"/>
      <c r="E309" s="346"/>
      <c r="F309" s="346"/>
    </row>
    <row r="310" spans="2:6" x14ac:dyDescent="0.25">
      <c r="B310" s="344"/>
      <c r="C310" s="344"/>
      <c r="D310" s="345"/>
      <c r="E310" s="346"/>
      <c r="F310" s="346"/>
    </row>
    <row r="311" spans="2:6" x14ac:dyDescent="0.25">
      <c r="B311" s="344"/>
      <c r="C311" s="344"/>
      <c r="D311" s="345"/>
      <c r="E311" s="346"/>
      <c r="F311" s="346"/>
    </row>
    <row r="312" spans="2:6" x14ac:dyDescent="0.25">
      <c r="B312" s="344"/>
      <c r="C312" s="344"/>
      <c r="D312" s="345"/>
      <c r="E312" s="346"/>
      <c r="F312" s="346"/>
    </row>
    <row r="313" spans="2:6" x14ac:dyDescent="0.25">
      <c r="B313" s="344"/>
      <c r="C313" s="344"/>
      <c r="D313" s="345"/>
      <c r="E313" s="346"/>
      <c r="F313" s="346"/>
    </row>
    <row r="314" spans="2:6" x14ac:dyDescent="0.25">
      <c r="B314" s="344"/>
      <c r="C314" s="344"/>
      <c r="D314" s="345"/>
      <c r="E314" s="346"/>
      <c r="F314" s="346"/>
    </row>
    <row r="315" spans="2:6" x14ac:dyDescent="0.25">
      <c r="B315" s="344"/>
      <c r="C315" s="344"/>
      <c r="D315" s="345"/>
      <c r="E315" s="346"/>
      <c r="F315" s="346"/>
    </row>
    <row r="316" spans="2:6" x14ac:dyDescent="0.25">
      <c r="B316" s="344"/>
      <c r="C316" s="344"/>
      <c r="D316" s="345"/>
      <c r="E316" s="346"/>
      <c r="F316" s="346"/>
    </row>
    <row r="317" spans="2:6" x14ac:dyDescent="0.25">
      <c r="B317" s="344"/>
      <c r="C317" s="344"/>
      <c r="D317" s="345"/>
      <c r="E317" s="346"/>
      <c r="F317" s="346"/>
    </row>
    <row r="318" spans="2:6" x14ac:dyDescent="0.25">
      <c r="B318" s="344"/>
      <c r="C318" s="344"/>
      <c r="D318" s="345"/>
      <c r="E318" s="346"/>
      <c r="F318" s="346"/>
    </row>
    <row r="319" spans="2:6" x14ac:dyDescent="0.25">
      <c r="B319" s="344"/>
      <c r="C319" s="344"/>
      <c r="D319" s="345"/>
      <c r="E319" s="346"/>
      <c r="F319" s="346"/>
    </row>
    <row r="320" spans="2:6" x14ac:dyDescent="0.25">
      <c r="B320" s="344"/>
      <c r="C320" s="344"/>
      <c r="D320" s="345"/>
      <c r="E320" s="346"/>
      <c r="F320" s="346"/>
    </row>
    <row r="321" spans="2:6" x14ac:dyDescent="0.25">
      <c r="B321" s="344"/>
      <c r="C321" s="344"/>
      <c r="D321" s="345"/>
      <c r="E321" s="346"/>
      <c r="F321" s="346"/>
    </row>
    <row r="322" spans="2:6" x14ac:dyDescent="0.25">
      <c r="B322" s="344"/>
      <c r="C322" s="344"/>
      <c r="D322" s="345"/>
      <c r="E322" s="346"/>
      <c r="F322" s="346"/>
    </row>
    <row r="323" spans="2:6" x14ac:dyDescent="0.25">
      <c r="B323" s="344"/>
      <c r="C323" s="344"/>
      <c r="D323" s="345"/>
      <c r="E323" s="346"/>
      <c r="F323" s="346"/>
    </row>
    <row r="324" spans="2:6" x14ac:dyDescent="0.25">
      <c r="B324" s="344"/>
      <c r="C324" s="344"/>
      <c r="D324" s="345"/>
      <c r="E324" s="346"/>
      <c r="F324" s="346"/>
    </row>
    <row r="325" spans="2:6" x14ac:dyDescent="0.25">
      <c r="B325" s="344"/>
      <c r="C325" s="344"/>
      <c r="D325" s="345"/>
      <c r="E325" s="346"/>
      <c r="F325" s="346"/>
    </row>
    <row r="326" spans="2:6" x14ac:dyDescent="0.25">
      <c r="B326" s="344"/>
      <c r="C326" s="344"/>
      <c r="D326" s="345"/>
      <c r="E326" s="346"/>
      <c r="F326" s="346"/>
    </row>
    <row r="327" spans="2:6" x14ac:dyDescent="0.25">
      <c r="B327" s="344"/>
      <c r="C327" s="344"/>
      <c r="D327" s="345"/>
      <c r="E327" s="346"/>
      <c r="F327" s="346"/>
    </row>
    <row r="328" spans="2:6" x14ac:dyDescent="0.25">
      <c r="B328" s="344"/>
      <c r="C328" s="344"/>
      <c r="D328" s="345"/>
      <c r="E328" s="346"/>
      <c r="F328" s="346"/>
    </row>
    <row r="329" spans="2:6" x14ac:dyDescent="0.25">
      <c r="B329" s="344"/>
      <c r="C329" s="344"/>
      <c r="D329" s="345"/>
      <c r="E329" s="346"/>
      <c r="F329" s="346"/>
    </row>
    <row r="330" spans="2:6" x14ac:dyDescent="0.25">
      <c r="B330" s="344"/>
      <c r="C330" s="344"/>
      <c r="D330" s="345"/>
      <c r="E330" s="346"/>
      <c r="F330" s="346"/>
    </row>
    <row r="331" spans="2:6" x14ac:dyDescent="0.25">
      <c r="B331" s="344"/>
      <c r="C331" s="344"/>
      <c r="D331" s="345"/>
      <c r="E331" s="346"/>
      <c r="F331" s="346"/>
    </row>
    <row r="332" spans="2:6" x14ac:dyDescent="0.25">
      <c r="B332" s="344"/>
      <c r="C332" s="344"/>
      <c r="D332" s="345"/>
      <c r="E332" s="346"/>
      <c r="F332" s="346"/>
    </row>
    <row r="333" spans="2:6" x14ac:dyDescent="0.25">
      <c r="B333" s="344"/>
      <c r="C333" s="344"/>
      <c r="D333" s="345"/>
      <c r="E333" s="346"/>
      <c r="F333" s="346"/>
    </row>
    <row r="334" spans="2:6" x14ac:dyDescent="0.25">
      <c r="B334" s="344"/>
      <c r="C334" s="344"/>
      <c r="D334" s="345"/>
      <c r="E334" s="346"/>
      <c r="F334" s="346"/>
    </row>
    <row r="335" spans="2:6" x14ac:dyDescent="0.25">
      <c r="B335" s="344"/>
      <c r="C335" s="344"/>
      <c r="D335" s="345"/>
      <c r="E335" s="346"/>
      <c r="F335" s="346"/>
    </row>
    <row r="336" spans="2:6" x14ac:dyDescent="0.25">
      <c r="B336" s="344"/>
      <c r="C336" s="344"/>
      <c r="D336" s="345"/>
      <c r="E336" s="346"/>
      <c r="F336" s="346"/>
    </row>
    <row r="337" spans="2:6" x14ac:dyDescent="0.25">
      <c r="B337" s="344"/>
      <c r="C337" s="344"/>
      <c r="D337" s="345"/>
      <c r="E337" s="346"/>
      <c r="F337" s="346"/>
    </row>
    <row r="338" spans="2:6" x14ac:dyDescent="0.25">
      <c r="B338" s="344"/>
      <c r="C338" s="344"/>
      <c r="D338" s="345"/>
      <c r="E338" s="346"/>
      <c r="F338" s="346"/>
    </row>
    <row r="339" spans="2:6" x14ac:dyDescent="0.25">
      <c r="B339" s="344"/>
      <c r="C339" s="344"/>
      <c r="D339" s="345"/>
      <c r="E339" s="346"/>
      <c r="F339" s="346"/>
    </row>
    <row r="340" spans="2:6" x14ac:dyDescent="0.25">
      <c r="B340" s="344"/>
      <c r="C340" s="344"/>
      <c r="D340" s="345"/>
      <c r="E340" s="346"/>
      <c r="F340" s="346"/>
    </row>
    <row r="341" spans="2:6" x14ac:dyDescent="0.25">
      <c r="B341" s="344"/>
      <c r="C341" s="344"/>
      <c r="D341" s="345"/>
      <c r="E341" s="346"/>
      <c r="F341" s="346"/>
    </row>
    <row r="342" spans="2:6" x14ac:dyDescent="0.25">
      <c r="B342" s="344"/>
      <c r="C342" s="344"/>
      <c r="D342" s="345"/>
      <c r="E342" s="346"/>
      <c r="F342" s="346"/>
    </row>
    <row r="343" spans="2:6" x14ac:dyDescent="0.25">
      <c r="B343" s="344"/>
      <c r="C343" s="344"/>
      <c r="D343" s="345"/>
      <c r="E343" s="346"/>
      <c r="F343" s="346"/>
    </row>
    <row r="344" spans="2:6" x14ac:dyDescent="0.25">
      <c r="B344" s="344"/>
      <c r="C344" s="344"/>
      <c r="D344" s="345"/>
      <c r="E344" s="346"/>
      <c r="F344" s="346"/>
    </row>
    <row r="345" spans="2:6" x14ac:dyDescent="0.25">
      <c r="B345" s="344"/>
      <c r="C345" s="344"/>
      <c r="D345" s="345"/>
      <c r="E345" s="346"/>
      <c r="F345" s="346"/>
    </row>
    <row r="346" spans="2:6" x14ac:dyDescent="0.25">
      <c r="B346" s="344"/>
      <c r="C346" s="344"/>
      <c r="D346" s="345"/>
      <c r="E346" s="346"/>
      <c r="F346" s="346"/>
    </row>
    <row r="347" spans="2:6" x14ac:dyDescent="0.25">
      <c r="B347" s="344"/>
      <c r="C347" s="344"/>
      <c r="D347" s="345"/>
      <c r="E347" s="346"/>
      <c r="F347" s="346"/>
    </row>
    <row r="348" spans="2:6" x14ac:dyDescent="0.25">
      <c r="B348" s="344"/>
      <c r="C348" s="344"/>
      <c r="D348" s="345"/>
      <c r="E348" s="346"/>
      <c r="F348" s="346"/>
    </row>
    <row r="349" spans="2:6" x14ac:dyDescent="0.25">
      <c r="B349" s="344"/>
      <c r="C349" s="344"/>
      <c r="D349" s="345"/>
      <c r="E349" s="346"/>
      <c r="F349" s="346"/>
    </row>
    <row r="350" spans="2:6" x14ac:dyDescent="0.25">
      <c r="B350" s="344"/>
      <c r="C350" s="344"/>
      <c r="D350" s="345"/>
      <c r="E350" s="346"/>
      <c r="F350" s="346"/>
    </row>
    <row r="351" spans="2:6" x14ac:dyDescent="0.25">
      <c r="B351" s="344"/>
      <c r="C351" s="344"/>
      <c r="D351" s="345"/>
      <c r="E351" s="346"/>
      <c r="F351" s="346"/>
    </row>
    <row r="352" spans="2:6" x14ac:dyDescent="0.25">
      <c r="B352" s="344"/>
      <c r="C352" s="344"/>
      <c r="D352" s="345"/>
      <c r="E352" s="346"/>
      <c r="F352" s="346"/>
    </row>
    <row r="353" spans="2:6" x14ac:dyDescent="0.25">
      <c r="B353" s="344"/>
      <c r="C353" s="344"/>
      <c r="D353" s="345"/>
      <c r="E353" s="346"/>
      <c r="F353" s="346"/>
    </row>
    <row r="354" spans="2:6" x14ac:dyDescent="0.25">
      <c r="B354" s="344"/>
      <c r="C354" s="344"/>
      <c r="D354" s="345"/>
      <c r="E354" s="346"/>
      <c r="F354" s="346"/>
    </row>
    <row r="355" spans="2:6" x14ac:dyDescent="0.25">
      <c r="B355" s="344"/>
      <c r="C355" s="344"/>
      <c r="D355" s="345"/>
      <c r="E355" s="346"/>
      <c r="F355" s="346"/>
    </row>
    <row r="356" spans="2:6" x14ac:dyDescent="0.25">
      <c r="B356" s="344"/>
      <c r="C356" s="344"/>
      <c r="D356" s="345"/>
      <c r="E356" s="346"/>
      <c r="F356" s="346"/>
    </row>
    <row r="357" spans="2:6" x14ac:dyDescent="0.25">
      <c r="B357" s="344"/>
      <c r="C357" s="344"/>
      <c r="D357" s="345"/>
      <c r="E357" s="346"/>
      <c r="F357" s="346"/>
    </row>
    <row r="358" spans="2:6" x14ac:dyDescent="0.25">
      <c r="B358" s="344"/>
      <c r="C358" s="344"/>
      <c r="D358" s="345"/>
      <c r="E358" s="346"/>
      <c r="F358" s="346"/>
    </row>
    <row r="359" spans="2:6" x14ac:dyDescent="0.25">
      <c r="B359" s="344"/>
      <c r="C359" s="344"/>
      <c r="D359" s="345"/>
      <c r="E359" s="346"/>
      <c r="F359" s="346"/>
    </row>
    <row r="360" spans="2:6" x14ac:dyDescent="0.25">
      <c r="B360" s="344"/>
      <c r="C360" s="344"/>
      <c r="D360" s="345"/>
      <c r="E360" s="346"/>
      <c r="F360" s="346"/>
    </row>
    <row r="361" spans="2:6" x14ac:dyDescent="0.25">
      <c r="B361" s="344"/>
      <c r="C361" s="344"/>
      <c r="D361" s="345"/>
      <c r="E361" s="346"/>
      <c r="F361" s="346"/>
    </row>
    <row r="362" spans="2:6" x14ac:dyDescent="0.25">
      <c r="B362" s="344"/>
      <c r="C362" s="344"/>
      <c r="D362" s="345"/>
      <c r="E362" s="346"/>
      <c r="F362" s="346"/>
    </row>
    <row r="363" spans="2:6" x14ac:dyDescent="0.25">
      <c r="B363" s="344"/>
      <c r="C363" s="344"/>
      <c r="D363" s="345"/>
      <c r="E363" s="346"/>
      <c r="F363" s="346"/>
    </row>
    <row r="364" spans="2:6" x14ac:dyDescent="0.25">
      <c r="B364" s="344"/>
      <c r="C364" s="344"/>
      <c r="D364" s="345"/>
      <c r="E364" s="346"/>
      <c r="F364" s="346"/>
    </row>
    <row r="365" spans="2:6" x14ac:dyDescent="0.25">
      <c r="B365" s="344"/>
      <c r="C365" s="344"/>
      <c r="D365" s="345"/>
      <c r="E365" s="346"/>
      <c r="F365" s="346"/>
    </row>
    <row r="366" spans="2:6" x14ac:dyDescent="0.25">
      <c r="B366" s="344"/>
      <c r="C366" s="344"/>
      <c r="D366" s="345"/>
      <c r="E366" s="346"/>
      <c r="F366" s="346"/>
    </row>
    <row r="367" spans="2:6" x14ac:dyDescent="0.25">
      <c r="B367" s="344"/>
      <c r="C367" s="344"/>
      <c r="D367" s="345"/>
      <c r="E367" s="346"/>
      <c r="F367" s="346"/>
    </row>
    <row r="368" spans="2:6" x14ac:dyDescent="0.25">
      <c r="B368" s="344"/>
      <c r="C368" s="344"/>
      <c r="D368" s="345"/>
      <c r="E368" s="346"/>
      <c r="F368" s="346"/>
    </row>
    <row r="369" spans="2:6" x14ac:dyDescent="0.25">
      <c r="B369" s="344"/>
      <c r="C369" s="344"/>
      <c r="D369" s="345"/>
      <c r="E369" s="346"/>
      <c r="F369" s="346"/>
    </row>
    <row r="370" spans="2:6" x14ac:dyDescent="0.25">
      <c r="B370" s="344"/>
      <c r="C370" s="344"/>
      <c r="D370" s="345"/>
      <c r="E370" s="346"/>
      <c r="F370" s="346"/>
    </row>
    <row r="371" spans="2:6" x14ac:dyDescent="0.25">
      <c r="B371" s="344"/>
      <c r="C371" s="344"/>
      <c r="D371" s="345"/>
      <c r="E371" s="346"/>
      <c r="F371" s="346"/>
    </row>
    <row r="372" spans="2:6" x14ac:dyDescent="0.25">
      <c r="B372" s="344"/>
      <c r="C372" s="344"/>
      <c r="D372" s="345"/>
      <c r="E372" s="346"/>
      <c r="F372" s="346"/>
    </row>
    <row r="373" spans="2:6" x14ac:dyDescent="0.25">
      <c r="B373" s="344"/>
      <c r="C373" s="344"/>
      <c r="D373" s="345"/>
      <c r="E373" s="346"/>
      <c r="F373" s="346"/>
    </row>
    <row r="374" spans="2:6" x14ac:dyDescent="0.25">
      <c r="B374" s="344"/>
      <c r="C374" s="344"/>
      <c r="D374" s="345"/>
      <c r="E374" s="346"/>
      <c r="F374" s="346"/>
    </row>
    <row r="375" spans="2:6" x14ac:dyDescent="0.25">
      <c r="B375" s="344"/>
      <c r="C375" s="344"/>
      <c r="D375" s="345"/>
      <c r="E375" s="346"/>
      <c r="F375" s="346"/>
    </row>
    <row r="376" spans="2:6" x14ac:dyDescent="0.25">
      <c r="B376" s="344"/>
      <c r="C376" s="344"/>
      <c r="D376" s="345"/>
      <c r="E376" s="346"/>
      <c r="F376" s="346"/>
    </row>
    <row r="377" spans="2:6" x14ac:dyDescent="0.25">
      <c r="B377" s="344"/>
      <c r="C377" s="344"/>
      <c r="D377" s="345"/>
      <c r="E377" s="346"/>
      <c r="F377" s="346"/>
    </row>
    <row r="378" spans="2:6" x14ac:dyDescent="0.25">
      <c r="B378" s="344"/>
      <c r="C378" s="344"/>
      <c r="D378" s="345"/>
      <c r="E378" s="346"/>
      <c r="F378" s="346"/>
    </row>
    <row r="379" spans="2:6" x14ac:dyDescent="0.25">
      <c r="B379" s="344"/>
      <c r="C379" s="344"/>
      <c r="D379" s="345"/>
      <c r="E379" s="346"/>
      <c r="F379" s="346"/>
    </row>
    <row r="380" spans="2:6" x14ac:dyDescent="0.25">
      <c r="B380" s="344"/>
      <c r="C380" s="344"/>
      <c r="D380" s="345"/>
      <c r="E380" s="346"/>
      <c r="F380" s="346"/>
    </row>
    <row r="381" spans="2:6" x14ac:dyDescent="0.25">
      <c r="B381" s="344"/>
      <c r="C381" s="344"/>
      <c r="D381" s="345"/>
      <c r="E381" s="346"/>
      <c r="F381" s="346"/>
    </row>
    <row r="382" spans="2:6" x14ac:dyDescent="0.25">
      <c r="B382" s="344"/>
      <c r="C382" s="344"/>
      <c r="D382" s="345"/>
      <c r="E382" s="346"/>
      <c r="F382" s="346"/>
    </row>
    <row r="383" spans="2:6" x14ac:dyDescent="0.25">
      <c r="B383" s="344"/>
      <c r="C383" s="344"/>
      <c r="D383" s="345"/>
      <c r="E383" s="346"/>
      <c r="F383" s="346"/>
    </row>
    <row r="384" spans="2:6" x14ac:dyDescent="0.25">
      <c r="B384" s="344"/>
      <c r="C384" s="344"/>
      <c r="D384" s="345"/>
      <c r="E384" s="346"/>
      <c r="F384" s="346"/>
    </row>
    <row r="385" spans="2:6" x14ac:dyDescent="0.25">
      <c r="B385" s="344"/>
      <c r="C385" s="344"/>
      <c r="D385" s="345"/>
      <c r="E385" s="346"/>
      <c r="F385" s="346"/>
    </row>
    <row r="386" spans="2:6" x14ac:dyDescent="0.25">
      <c r="B386" s="344"/>
      <c r="C386" s="344"/>
      <c r="D386" s="345"/>
      <c r="E386" s="346"/>
      <c r="F386" s="346"/>
    </row>
    <row r="387" spans="2:6" x14ac:dyDescent="0.25">
      <c r="B387" s="344"/>
      <c r="C387" s="344"/>
      <c r="D387" s="345"/>
      <c r="E387" s="346"/>
      <c r="F387" s="346"/>
    </row>
    <row r="388" spans="2:6" x14ac:dyDescent="0.25">
      <c r="B388" s="344"/>
      <c r="C388" s="344"/>
      <c r="D388" s="345"/>
      <c r="E388" s="346"/>
      <c r="F388" s="346"/>
    </row>
    <row r="389" spans="2:6" x14ac:dyDescent="0.25">
      <c r="B389" s="344"/>
      <c r="C389" s="344"/>
      <c r="D389" s="345"/>
      <c r="E389" s="346"/>
      <c r="F389" s="346"/>
    </row>
    <row r="390" spans="2:6" x14ac:dyDescent="0.25">
      <c r="B390" s="344"/>
      <c r="C390" s="344"/>
      <c r="D390" s="345"/>
      <c r="E390" s="346"/>
      <c r="F390" s="346"/>
    </row>
    <row r="391" spans="2:6" x14ac:dyDescent="0.25">
      <c r="B391" s="344"/>
      <c r="C391" s="344"/>
      <c r="D391" s="345"/>
      <c r="E391" s="346"/>
      <c r="F391" s="346"/>
    </row>
    <row r="392" spans="2:6" x14ac:dyDescent="0.25">
      <c r="B392" s="344"/>
      <c r="C392" s="344"/>
      <c r="D392" s="345"/>
      <c r="E392" s="346"/>
      <c r="F392" s="346"/>
    </row>
    <row r="393" spans="2:6" x14ac:dyDescent="0.25">
      <c r="B393" s="344"/>
      <c r="C393" s="344"/>
      <c r="D393" s="345"/>
      <c r="E393" s="346"/>
      <c r="F393" s="346"/>
    </row>
    <row r="394" spans="2:6" x14ac:dyDescent="0.25">
      <c r="B394" s="344"/>
      <c r="C394" s="344"/>
      <c r="D394" s="345"/>
      <c r="E394" s="346"/>
      <c r="F394" s="346"/>
    </row>
    <row r="395" spans="2:6" x14ac:dyDescent="0.25">
      <c r="B395" s="344"/>
      <c r="C395" s="344"/>
      <c r="D395" s="345"/>
      <c r="E395" s="346"/>
      <c r="F395" s="346"/>
    </row>
    <row r="396" spans="2:6" x14ac:dyDescent="0.25">
      <c r="B396" s="344"/>
      <c r="C396" s="344"/>
      <c r="D396" s="345"/>
      <c r="E396" s="346"/>
      <c r="F396" s="346"/>
    </row>
    <row r="397" spans="2:6" x14ac:dyDescent="0.25">
      <c r="B397" s="344"/>
      <c r="C397" s="344"/>
      <c r="D397" s="345"/>
      <c r="E397" s="346"/>
      <c r="F397" s="346"/>
    </row>
    <row r="398" spans="2:6" x14ac:dyDescent="0.25">
      <c r="B398" s="344"/>
      <c r="C398" s="344"/>
      <c r="D398" s="345"/>
      <c r="E398" s="346"/>
      <c r="F398" s="346"/>
    </row>
    <row r="399" spans="2:6" x14ac:dyDescent="0.25">
      <c r="B399" s="344"/>
      <c r="C399" s="344"/>
      <c r="D399" s="345"/>
      <c r="E399" s="346"/>
      <c r="F399" s="346"/>
    </row>
    <row r="400" spans="2:6" x14ac:dyDescent="0.25">
      <c r="B400" s="344"/>
      <c r="C400" s="344"/>
      <c r="D400" s="345"/>
      <c r="E400" s="346"/>
      <c r="F400" s="346"/>
    </row>
    <row r="401" spans="2:6" x14ac:dyDescent="0.25">
      <c r="B401" s="344"/>
      <c r="C401" s="344"/>
      <c r="D401" s="345"/>
      <c r="E401" s="346"/>
      <c r="F401" s="346"/>
    </row>
    <row r="402" spans="2:6" x14ac:dyDescent="0.25">
      <c r="B402" s="344"/>
      <c r="C402" s="344"/>
      <c r="D402" s="345"/>
      <c r="E402" s="346"/>
      <c r="F402" s="346"/>
    </row>
    <row r="403" spans="2:6" x14ac:dyDescent="0.25">
      <c r="B403" s="344"/>
      <c r="C403" s="344"/>
      <c r="D403" s="345"/>
      <c r="E403" s="346"/>
      <c r="F403" s="346"/>
    </row>
    <row r="404" spans="2:6" x14ac:dyDescent="0.25">
      <c r="B404" s="344"/>
      <c r="C404" s="344"/>
      <c r="D404" s="345"/>
      <c r="E404" s="346"/>
      <c r="F404" s="346"/>
    </row>
    <row r="405" spans="2:6" x14ac:dyDescent="0.25">
      <c r="B405" s="344"/>
      <c r="C405" s="344"/>
      <c r="D405" s="345"/>
      <c r="E405" s="346"/>
      <c r="F405" s="346"/>
    </row>
    <row r="406" spans="2:6" x14ac:dyDescent="0.25">
      <c r="B406" s="344"/>
      <c r="C406" s="344"/>
      <c r="D406" s="345"/>
      <c r="E406" s="346"/>
      <c r="F406" s="346"/>
    </row>
    <row r="407" spans="2:6" x14ac:dyDescent="0.25">
      <c r="B407" s="344"/>
      <c r="C407" s="344"/>
      <c r="D407" s="345"/>
      <c r="E407" s="346"/>
      <c r="F407" s="346"/>
    </row>
    <row r="408" spans="2:6" x14ac:dyDescent="0.25">
      <c r="B408" s="344"/>
      <c r="C408" s="344"/>
      <c r="D408" s="345"/>
      <c r="E408" s="346"/>
      <c r="F408" s="346"/>
    </row>
    <row r="409" spans="2:6" x14ac:dyDescent="0.25">
      <c r="B409" s="344"/>
      <c r="C409" s="344"/>
      <c r="D409" s="345"/>
      <c r="E409" s="346"/>
      <c r="F409" s="346"/>
    </row>
    <row r="410" spans="2:6" x14ac:dyDescent="0.25">
      <c r="B410" s="344"/>
      <c r="C410" s="344"/>
      <c r="D410" s="345"/>
      <c r="E410" s="346"/>
      <c r="F410" s="346"/>
    </row>
    <row r="411" spans="2:6" x14ac:dyDescent="0.25">
      <c r="B411" s="344"/>
      <c r="C411" s="344"/>
      <c r="D411" s="345"/>
      <c r="E411" s="346"/>
      <c r="F411" s="346"/>
    </row>
    <row r="412" spans="2:6" x14ac:dyDescent="0.25">
      <c r="B412" s="344"/>
      <c r="C412" s="344"/>
      <c r="D412" s="345"/>
      <c r="E412" s="346"/>
      <c r="F412" s="346"/>
    </row>
    <row r="413" spans="2:6" x14ac:dyDescent="0.25">
      <c r="B413" s="344"/>
      <c r="C413" s="344"/>
      <c r="D413" s="345"/>
      <c r="E413" s="346"/>
      <c r="F413" s="346"/>
    </row>
    <row r="414" spans="2:6" x14ac:dyDescent="0.25">
      <c r="B414" s="344"/>
      <c r="C414" s="344"/>
      <c r="D414" s="345"/>
      <c r="E414" s="346"/>
      <c r="F414" s="346"/>
    </row>
    <row r="415" spans="2:6" x14ac:dyDescent="0.25">
      <c r="B415" s="344"/>
      <c r="C415" s="344"/>
      <c r="D415" s="345"/>
      <c r="E415" s="346"/>
      <c r="F415" s="346"/>
    </row>
    <row r="416" spans="2:6" x14ac:dyDescent="0.25">
      <c r="B416" s="344"/>
      <c r="C416" s="344"/>
      <c r="D416" s="345"/>
      <c r="E416" s="346"/>
      <c r="F416" s="346"/>
    </row>
    <row r="417" spans="2:6" x14ac:dyDescent="0.25">
      <c r="B417" s="344"/>
      <c r="C417" s="344"/>
      <c r="D417" s="345"/>
      <c r="E417" s="346"/>
      <c r="F417" s="346"/>
    </row>
    <row r="418" spans="2:6" x14ac:dyDescent="0.25">
      <c r="B418" s="344"/>
      <c r="C418" s="344"/>
      <c r="D418" s="345"/>
      <c r="E418" s="346"/>
      <c r="F418" s="346"/>
    </row>
    <row r="419" spans="2:6" x14ac:dyDescent="0.25">
      <c r="B419" s="344"/>
      <c r="C419" s="344"/>
      <c r="D419" s="345"/>
      <c r="E419" s="346"/>
      <c r="F419" s="346"/>
    </row>
    <row r="420" spans="2:6" x14ac:dyDescent="0.25">
      <c r="B420" s="344"/>
      <c r="C420" s="344"/>
      <c r="D420" s="345"/>
      <c r="E420" s="346"/>
      <c r="F420" s="346"/>
    </row>
    <row r="421" spans="2:6" x14ac:dyDescent="0.25">
      <c r="B421" s="344"/>
      <c r="C421" s="344"/>
      <c r="D421" s="345"/>
      <c r="E421" s="346"/>
      <c r="F421" s="346"/>
    </row>
    <row r="422" spans="2:6" x14ac:dyDescent="0.25">
      <c r="B422" s="344"/>
      <c r="C422" s="344"/>
      <c r="D422" s="345"/>
      <c r="E422" s="346"/>
      <c r="F422" s="346"/>
    </row>
    <row r="423" spans="2:6" x14ac:dyDescent="0.25">
      <c r="B423" s="344"/>
      <c r="C423" s="344"/>
      <c r="D423" s="345"/>
      <c r="E423" s="346"/>
      <c r="F423" s="346"/>
    </row>
    <row r="424" spans="2:6" x14ac:dyDescent="0.25">
      <c r="B424" s="344"/>
      <c r="C424" s="344"/>
      <c r="D424" s="345"/>
      <c r="E424" s="346"/>
      <c r="F424" s="346"/>
    </row>
    <row r="425" spans="2:6" x14ac:dyDescent="0.25">
      <c r="B425" s="344"/>
      <c r="C425" s="344"/>
      <c r="D425" s="345"/>
      <c r="E425" s="346"/>
      <c r="F425" s="346"/>
    </row>
    <row r="426" spans="2:6" x14ac:dyDescent="0.25">
      <c r="B426" s="344"/>
      <c r="C426" s="344"/>
      <c r="D426" s="345"/>
      <c r="E426" s="346"/>
      <c r="F426" s="346"/>
    </row>
    <row r="427" spans="2:6" x14ac:dyDescent="0.25">
      <c r="B427" s="344"/>
      <c r="C427" s="344"/>
      <c r="D427" s="345"/>
      <c r="E427" s="346"/>
      <c r="F427" s="346"/>
    </row>
    <row r="428" spans="2:6" x14ac:dyDescent="0.25">
      <c r="B428" s="344"/>
      <c r="C428" s="344"/>
      <c r="D428" s="345"/>
      <c r="E428" s="346"/>
      <c r="F428" s="346"/>
    </row>
    <row r="429" spans="2:6" x14ac:dyDescent="0.25">
      <c r="B429" s="344"/>
      <c r="C429" s="344"/>
      <c r="D429" s="345"/>
      <c r="E429" s="346"/>
      <c r="F429" s="346"/>
    </row>
    <row r="430" spans="2:6" x14ac:dyDescent="0.25">
      <c r="B430" s="344"/>
      <c r="C430" s="344"/>
      <c r="D430" s="345"/>
      <c r="E430" s="346"/>
      <c r="F430" s="346"/>
    </row>
    <row r="431" spans="2:6" x14ac:dyDescent="0.25">
      <c r="B431" s="344"/>
      <c r="C431" s="344"/>
      <c r="D431" s="345"/>
      <c r="E431" s="346"/>
      <c r="F431" s="346"/>
    </row>
    <row r="432" spans="2:6" x14ac:dyDescent="0.25">
      <c r="B432" s="344"/>
      <c r="C432" s="344"/>
      <c r="D432" s="345"/>
      <c r="E432" s="346"/>
      <c r="F432" s="346"/>
    </row>
    <row r="433" spans="2:6" x14ac:dyDescent="0.25">
      <c r="B433" s="344"/>
      <c r="C433" s="344"/>
      <c r="D433" s="345"/>
      <c r="E433" s="346"/>
      <c r="F433" s="346"/>
    </row>
    <row r="434" spans="2:6" x14ac:dyDescent="0.25">
      <c r="B434" s="344"/>
      <c r="C434" s="344"/>
      <c r="D434" s="345"/>
      <c r="E434" s="346"/>
      <c r="F434" s="346"/>
    </row>
    <row r="435" spans="2:6" x14ac:dyDescent="0.25">
      <c r="B435" s="344"/>
      <c r="C435" s="344"/>
      <c r="D435" s="345"/>
      <c r="E435" s="346"/>
      <c r="F435" s="346"/>
    </row>
    <row r="436" spans="2:6" x14ac:dyDescent="0.25">
      <c r="B436" s="344"/>
      <c r="C436" s="344"/>
      <c r="D436" s="345"/>
      <c r="E436" s="346"/>
      <c r="F436" s="346"/>
    </row>
    <row r="437" spans="2:6" x14ac:dyDescent="0.25">
      <c r="B437" s="344"/>
      <c r="C437" s="344"/>
      <c r="D437" s="345"/>
      <c r="E437" s="346"/>
      <c r="F437" s="346"/>
    </row>
    <row r="438" spans="2:6" x14ac:dyDescent="0.25">
      <c r="B438" s="344"/>
      <c r="C438" s="344"/>
      <c r="D438" s="345"/>
      <c r="E438" s="346"/>
      <c r="F438" s="346"/>
    </row>
    <row r="439" spans="2:6" x14ac:dyDescent="0.25">
      <c r="B439" s="344"/>
      <c r="C439" s="344"/>
      <c r="D439" s="345"/>
      <c r="E439" s="346"/>
      <c r="F439" s="346"/>
    </row>
    <row r="440" spans="2:6" x14ac:dyDescent="0.25">
      <c r="B440" s="344"/>
      <c r="C440" s="344"/>
      <c r="D440" s="345"/>
      <c r="E440" s="346"/>
      <c r="F440" s="346"/>
    </row>
    <row r="441" spans="2:6" x14ac:dyDescent="0.25">
      <c r="B441" s="344"/>
      <c r="C441" s="344"/>
      <c r="D441" s="345"/>
      <c r="E441" s="346"/>
      <c r="F441" s="346"/>
    </row>
    <row r="442" spans="2:6" x14ac:dyDescent="0.25">
      <c r="B442" s="344"/>
      <c r="C442" s="344"/>
      <c r="D442" s="345"/>
      <c r="E442" s="346"/>
      <c r="F442" s="346"/>
    </row>
    <row r="443" spans="2:6" x14ac:dyDescent="0.25">
      <c r="B443" s="344"/>
      <c r="C443" s="344"/>
      <c r="D443" s="345"/>
      <c r="E443" s="346"/>
      <c r="F443" s="346"/>
    </row>
    <row r="444" spans="2:6" x14ac:dyDescent="0.25">
      <c r="B444" s="344"/>
      <c r="C444" s="344"/>
      <c r="D444" s="345"/>
      <c r="E444" s="346"/>
      <c r="F444" s="346"/>
    </row>
    <row r="445" spans="2:6" x14ac:dyDescent="0.25">
      <c r="B445" s="344"/>
      <c r="C445" s="344"/>
      <c r="D445" s="345"/>
      <c r="E445" s="346"/>
      <c r="F445" s="346"/>
    </row>
    <row r="446" spans="2:6" x14ac:dyDescent="0.25">
      <c r="B446" s="344"/>
      <c r="C446" s="344"/>
      <c r="D446" s="345"/>
      <c r="E446" s="346"/>
      <c r="F446" s="346"/>
    </row>
    <row r="447" spans="2:6" x14ac:dyDescent="0.25">
      <c r="B447" s="344"/>
      <c r="C447" s="344"/>
      <c r="D447" s="345"/>
      <c r="E447" s="346"/>
      <c r="F447" s="346"/>
    </row>
    <row r="448" spans="2:6" x14ac:dyDescent="0.25">
      <c r="B448" s="344"/>
      <c r="C448" s="344"/>
      <c r="D448" s="345"/>
      <c r="E448" s="346"/>
      <c r="F448" s="346"/>
    </row>
    <row r="449" spans="2:6" x14ac:dyDescent="0.25">
      <c r="B449" s="344"/>
      <c r="C449" s="344"/>
      <c r="D449" s="345"/>
      <c r="E449" s="346"/>
      <c r="F449" s="346"/>
    </row>
    <row r="450" spans="2:6" x14ac:dyDescent="0.25">
      <c r="B450" s="344"/>
      <c r="C450" s="344"/>
      <c r="D450" s="345"/>
      <c r="E450" s="346"/>
      <c r="F450" s="346"/>
    </row>
    <row r="451" spans="2:6" x14ac:dyDescent="0.25">
      <c r="B451" s="344"/>
      <c r="C451" s="344"/>
      <c r="D451" s="345"/>
      <c r="E451" s="346"/>
      <c r="F451" s="346"/>
    </row>
    <row r="452" spans="2:6" x14ac:dyDescent="0.25">
      <c r="B452" s="344"/>
      <c r="C452" s="344"/>
      <c r="D452" s="345"/>
      <c r="E452" s="346"/>
      <c r="F452" s="346"/>
    </row>
    <row r="453" spans="2:6" x14ac:dyDescent="0.25">
      <c r="B453" s="344"/>
      <c r="C453" s="344"/>
      <c r="D453" s="345"/>
      <c r="E453" s="346"/>
      <c r="F453" s="346"/>
    </row>
    <row r="454" spans="2:6" x14ac:dyDescent="0.25">
      <c r="B454" s="344"/>
      <c r="C454" s="344"/>
      <c r="D454" s="345"/>
      <c r="E454" s="346"/>
      <c r="F454" s="346"/>
    </row>
    <row r="455" spans="2:6" x14ac:dyDescent="0.25">
      <c r="B455" s="344"/>
      <c r="C455" s="344"/>
      <c r="D455" s="345"/>
      <c r="E455" s="346"/>
      <c r="F455" s="346"/>
    </row>
    <row r="456" spans="2:6" x14ac:dyDescent="0.25">
      <c r="B456" s="344"/>
      <c r="C456" s="344"/>
      <c r="D456" s="345"/>
      <c r="E456" s="346"/>
      <c r="F456" s="346"/>
    </row>
    <row r="457" spans="2:6" x14ac:dyDescent="0.25">
      <c r="B457" s="344"/>
      <c r="C457" s="344"/>
      <c r="D457" s="345"/>
      <c r="E457" s="346"/>
      <c r="F457" s="346"/>
    </row>
    <row r="458" spans="2:6" x14ac:dyDescent="0.25">
      <c r="B458" s="344"/>
      <c r="C458" s="344"/>
      <c r="D458" s="345"/>
      <c r="E458" s="346"/>
      <c r="F458" s="346"/>
    </row>
    <row r="459" spans="2:6" x14ac:dyDescent="0.25">
      <c r="B459" s="344"/>
      <c r="C459" s="344"/>
      <c r="D459" s="345"/>
      <c r="E459" s="346"/>
      <c r="F459" s="346"/>
    </row>
    <row r="460" spans="2:6" x14ac:dyDescent="0.25">
      <c r="B460" s="344"/>
      <c r="C460" s="344"/>
      <c r="D460" s="345"/>
      <c r="E460" s="346"/>
      <c r="F460" s="346"/>
    </row>
    <row r="461" spans="2:6" x14ac:dyDescent="0.25">
      <c r="B461" s="344"/>
      <c r="C461" s="344"/>
      <c r="D461" s="345"/>
      <c r="E461" s="346"/>
      <c r="F461" s="346"/>
    </row>
    <row r="462" spans="2:6" x14ac:dyDescent="0.25">
      <c r="B462" s="344"/>
      <c r="C462" s="344"/>
      <c r="D462" s="345"/>
      <c r="E462" s="346"/>
      <c r="F462" s="346"/>
    </row>
    <row r="463" spans="2:6" x14ac:dyDescent="0.25">
      <c r="B463" s="344"/>
      <c r="C463" s="344"/>
      <c r="D463" s="345"/>
      <c r="E463" s="346"/>
      <c r="F463" s="346"/>
    </row>
    <row r="464" spans="2:6" x14ac:dyDescent="0.25">
      <c r="B464" s="344"/>
      <c r="C464" s="344"/>
      <c r="D464" s="345"/>
      <c r="E464" s="346"/>
      <c r="F464" s="346"/>
    </row>
    <row r="465" spans="2:6" x14ac:dyDescent="0.25">
      <c r="B465" s="344"/>
      <c r="C465" s="344"/>
      <c r="D465" s="345"/>
      <c r="E465" s="346"/>
      <c r="F465" s="346"/>
    </row>
    <row r="466" spans="2:6" x14ac:dyDescent="0.25">
      <c r="B466" s="344"/>
      <c r="C466" s="344"/>
      <c r="D466" s="345"/>
      <c r="E466" s="346"/>
      <c r="F466" s="346"/>
    </row>
    <row r="467" spans="2:6" x14ac:dyDescent="0.25">
      <c r="B467" s="344"/>
      <c r="C467" s="344"/>
      <c r="D467" s="345"/>
      <c r="E467" s="346"/>
      <c r="F467" s="346"/>
    </row>
    <row r="468" spans="2:6" x14ac:dyDescent="0.25">
      <c r="B468" s="344"/>
      <c r="C468" s="344"/>
      <c r="D468" s="345"/>
      <c r="E468" s="346"/>
      <c r="F468" s="346"/>
    </row>
    <row r="469" spans="2:6" x14ac:dyDescent="0.25">
      <c r="B469" s="344"/>
      <c r="C469" s="344"/>
      <c r="D469" s="345"/>
      <c r="E469" s="346"/>
      <c r="F469" s="346"/>
    </row>
    <row r="470" spans="2:6" x14ac:dyDescent="0.25">
      <c r="B470" s="344"/>
      <c r="C470" s="344"/>
      <c r="D470" s="345"/>
      <c r="E470" s="346"/>
      <c r="F470" s="346"/>
    </row>
    <row r="471" spans="2:6" x14ac:dyDescent="0.25">
      <c r="B471" s="344"/>
      <c r="C471" s="344"/>
      <c r="D471" s="345"/>
      <c r="E471" s="346"/>
      <c r="F471" s="346"/>
    </row>
    <row r="472" spans="2:6" x14ac:dyDescent="0.25">
      <c r="B472" s="344"/>
      <c r="C472" s="344"/>
      <c r="D472" s="345"/>
      <c r="E472" s="346"/>
      <c r="F472" s="346"/>
    </row>
    <row r="473" spans="2:6" x14ac:dyDescent="0.25">
      <c r="B473" s="344"/>
      <c r="C473" s="344"/>
      <c r="D473" s="345"/>
      <c r="E473" s="346"/>
      <c r="F473" s="346"/>
    </row>
    <row r="474" spans="2:6" x14ac:dyDescent="0.25">
      <c r="B474" s="344"/>
      <c r="C474" s="344"/>
      <c r="D474" s="345"/>
      <c r="E474" s="346"/>
      <c r="F474" s="346"/>
    </row>
    <row r="475" spans="2:6" x14ac:dyDescent="0.25">
      <c r="B475" s="344"/>
      <c r="C475" s="344"/>
      <c r="D475" s="345"/>
      <c r="E475" s="346"/>
      <c r="F475" s="346"/>
    </row>
    <row r="476" spans="2:6" x14ac:dyDescent="0.25">
      <c r="B476" s="344"/>
      <c r="C476" s="344"/>
      <c r="D476" s="345"/>
      <c r="E476" s="346"/>
      <c r="F476" s="346"/>
    </row>
    <row r="477" spans="2:6" x14ac:dyDescent="0.25">
      <c r="B477" s="344"/>
      <c r="C477" s="344"/>
      <c r="D477" s="345"/>
      <c r="E477" s="346"/>
      <c r="F477" s="346"/>
    </row>
    <row r="478" spans="2:6" x14ac:dyDescent="0.25">
      <c r="B478" s="344"/>
      <c r="C478" s="344"/>
      <c r="D478" s="345"/>
      <c r="E478" s="346"/>
      <c r="F478" s="346"/>
    </row>
    <row r="479" spans="2:6" x14ac:dyDescent="0.25">
      <c r="B479" s="344"/>
      <c r="C479" s="344"/>
      <c r="D479" s="345"/>
      <c r="E479" s="346"/>
      <c r="F479" s="346"/>
    </row>
    <row r="480" spans="2:6" x14ac:dyDescent="0.25">
      <c r="B480" s="344"/>
      <c r="C480" s="344"/>
      <c r="D480" s="345"/>
      <c r="E480" s="346"/>
      <c r="F480" s="346"/>
    </row>
    <row r="481" spans="2:6" x14ac:dyDescent="0.25">
      <c r="B481" s="344"/>
      <c r="C481" s="344"/>
      <c r="D481" s="345"/>
      <c r="E481" s="346"/>
      <c r="F481" s="346"/>
    </row>
    <row r="482" spans="2:6" x14ac:dyDescent="0.25">
      <c r="B482" s="344"/>
      <c r="C482" s="344"/>
      <c r="D482" s="345"/>
      <c r="E482" s="346"/>
      <c r="F482" s="346"/>
    </row>
    <row r="483" spans="2:6" x14ac:dyDescent="0.25">
      <c r="B483" s="344"/>
      <c r="C483" s="344"/>
      <c r="D483" s="345"/>
      <c r="E483" s="346"/>
      <c r="F483" s="346"/>
    </row>
    <row r="484" spans="2:6" x14ac:dyDescent="0.25">
      <c r="B484" s="344"/>
      <c r="C484" s="344"/>
      <c r="D484" s="345"/>
      <c r="E484" s="346"/>
      <c r="F484" s="346"/>
    </row>
    <row r="485" spans="2:6" x14ac:dyDescent="0.25">
      <c r="B485" s="344"/>
      <c r="C485" s="344"/>
      <c r="D485" s="345"/>
      <c r="E485" s="346"/>
      <c r="F485" s="346"/>
    </row>
    <row r="486" spans="2:6" x14ac:dyDescent="0.25">
      <c r="B486" s="344"/>
      <c r="C486" s="344"/>
      <c r="D486" s="345"/>
      <c r="E486" s="346"/>
      <c r="F486" s="346"/>
    </row>
    <row r="487" spans="2:6" x14ac:dyDescent="0.25">
      <c r="B487" s="344"/>
      <c r="C487" s="344"/>
      <c r="D487" s="345"/>
      <c r="E487" s="346"/>
      <c r="F487" s="346"/>
    </row>
    <row r="488" spans="2:6" x14ac:dyDescent="0.25">
      <c r="B488" s="344"/>
      <c r="C488" s="344"/>
      <c r="D488" s="345"/>
      <c r="E488" s="346"/>
      <c r="F488" s="346"/>
    </row>
    <row r="489" spans="2:6" x14ac:dyDescent="0.25">
      <c r="B489" s="344"/>
      <c r="C489" s="344"/>
      <c r="D489" s="345"/>
      <c r="E489" s="346"/>
      <c r="F489" s="346"/>
    </row>
    <row r="490" spans="2:6" x14ac:dyDescent="0.25">
      <c r="B490" s="344"/>
      <c r="C490" s="344"/>
      <c r="D490" s="345"/>
      <c r="E490" s="346"/>
      <c r="F490" s="346"/>
    </row>
    <row r="491" spans="2:6" x14ac:dyDescent="0.25">
      <c r="B491" s="344"/>
      <c r="C491" s="344"/>
      <c r="D491" s="345"/>
      <c r="E491" s="346"/>
      <c r="F491" s="346"/>
    </row>
    <row r="492" spans="2:6" x14ac:dyDescent="0.25">
      <c r="B492" s="344"/>
      <c r="C492" s="344"/>
      <c r="D492" s="345"/>
      <c r="E492" s="346"/>
      <c r="F492" s="346"/>
    </row>
    <row r="493" spans="2:6" x14ac:dyDescent="0.25">
      <c r="B493" s="344"/>
      <c r="C493" s="344"/>
      <c r="D493" s="345"/>
      <c r="E493" s="346"/>
      <c r="F493" s="346"/>
    </row>
    <row r="494" spans="2:6" x14ac:dyDescent="0.25">
      <c r="B494" s="344"/>
      <c r="C494" s="344"/>
      <c r="D494" s="345"/>
      <c r="E494" s="346"/>
      <c r="F494" s="346"/>
    </row>
    <row r="495" spans="2:6" x14ac:dyDescent="0.25">
      <c r="B495" s="344"/>
      <c r="C495" s="344"/>
      <c r="D495" s="345"/>
      <c r="E495" s="346"/>
      <c r="F495" s="346"/>
    </row>
    <row r="496" spans="2:6" x14ac:dyDescent="0.25">
      <c r="B496" s="344"/>
      <c r="C496" s="344"/>
      <c r="D496" s="345"/>
      <c r="E496" s="346"/>
      <c r="F496" s="346"/>
    </row>
    <row r="497" spans="2:6" x14ac:dyDescent="0.25">
      <c r="B497" s="344"/>
      <c r="C497" s="344"/>
      <c r="D497" s="345"/>
      <c r="E497" s="346"/>
      <c r="F497" s="346"/>
    </row>
    <row r="498" spans="2:6" x14ac:dyDescent="0.25">
      <c r="B498" s="344"/>
      <c r="C498" s="344"/>
      <c r="D498" s="345"/>
      <c r="E498" s="346"/>
      <c r="F498" s="346"/>
    </row>
    <row r="499" spans="2:6" x14ac:dyDescent="0.25">
      <c r="B499" s="344"/>
      <c r="C499" s="344"/>
      <c r="D499" s="345"/>
      <c r="E499" s="346"/>
      <c r="F499" s="346"/>
    </row>
    <row r="500" spans="2:6" x14ac:dyDescent="0.25">
      <c r="B500" s="344"/>
      <c r="C500" s="344"/>
      <c r="D500" s="345"/>
      <c r="E500" s="346"/>
      <c r="F500" s="346"/>
    </row>
    <row r="501" spans="2:6" x14ac:dyDescent="0.25">
      <c r="B501" s="344"/>
      <c r="C501" s="344"/>
      <c r="D501" s="345"/>
      <c r="E501" s="346"/>
      <c r="F501" s="346"/>
    </row>
    <row r="502" spans="2:6" x14ac:dyDescent="0.25">
      <c r="B502" s="344"/>
      <c r="C502" s="344"/>
      <c r="D502" s="345"/>
      <c r="E502" s="346"/>
      <c r="F502" s="346"/>
    </row>
    <row r="503" spans="2:6" x14ac:dyDescent="0.25">
      <c r="B503" s="344"/>
      <c r="C503" s="344"/>
      <c r="D503" s="345"/>
      <c r="E503" s="346"/>
      <c r="F503" s="346"/>
    </row>
    <row r="504" spans="2:6" x14ac:dyDescent="0.25">
      <c r="B504" s="344"/>
      <c r="C504" s="344"/>
      <c r="D504" s="345"/>
      <c r="E504" s="346"/>
      <c r="F504" s="346"/>
    </row>
    <row r="505" spans="2:6" x14ac:dyDescent="0.25">
      <c r="B505" s="344"/>
      <c r="C505" s="344"/>
      <c r="D505" s="345"/>
      <c r="E505" s="346"/>
      <c r="F505" s="346"/>
    </row>
    <row r="506" spans="2:6" x14ac:dyDescent="0.25">
      <c r="B506" s="344"/>
      <c r="C506" s="344"/>
      <c r="D506" s="345"/>
      <c r="E506" s="346"/>
      <c r="F506" s="346"/>
    </row>
    <row r="507" spans="2:6" x14ac:dyDescent="0.25">
      <c r="B507" s="344"/>
      <c r="C507" s="344"/>
      <c r="D507" s="345"/>
      <c r="E507" s="346"/>
      <c r="F507" s="346"/>
    </row>
    <row r="508" spans="2:6" x14ac:dyDescent="0.25">
      <c r="B508" s="344"/>
      <c r="C508" s="344"/>
      <c r="D508" s="345"/>
      <c r="E508" s="346"/>
      <c r="F508" s="346"/>
    </row>
    <row r="509" spans="2:6" x14ac:dyDescent="0.25">
      <c r="B509" s="344"/>
      <c r="C509" s="344"/>
      <c r="D509" s="345"/>
      <c r="E509" s="346"/>
      <c r="F509" s="346"/>
    </row>
    <row r="510" spans="2:6" x14ac:dyDescent="0.25">
      <c r="B510" s="344"/>
      <c r="C510" s="344"/>
      <c r="D510" s="345"/>
      <c r="E510" s="346"/>
      <c r="F510" s="346"/>
    </row>
    <row r="511" spans="2:6" x14ac:dyDescent="0.25">
      <c r="B511" s="344"/>
      <c r="C511" s="344"/>
      <c r="D511" s="345"/>
      <c r="E511" s="346"/>
      <c r="F511" s="346"/>
    </row>
    <row r="512" spans="2:6" x14ac:dyDescent="0.25">
      <c r="B512" s="344"/>
      <c r="C512" s="344"/>
      <c r="D512" s="345"/>
      <c r="E512" s="346"/>
      <c r="F512" s="346"/>
    </row>
    <row r="513" spans="2:6" x14ac:dyDescent="0.25">
      <c r="B513" s="344"/>
      <c r="C513" s="344"/>
      <c r="D513" s="345"/>
      <c r="E513" s="346"/>
      <c r="F513" s="346"/>
    </row>
    <row r="514" spans="2:6" x14ac:dyDescent="0.25">
      <c r="B514" s="344"/>
      <c r="C514" s="344"/>
      <c r="D514" s="345"/>
      <c r="E514" s="346"/>
      <c r="F514" s="346"/>
    </row>
    <row r="515" spans="2:6" x14ac:dyDescent="0.25">
      <c r="B515" s="344"/>
      <c r="C515" s="344"/>
      <c r="D515" s="345"/>
      <c r="E515" s="346"/>
      <c r="F515" s="346"/>
    </row>
    <row r="516" spans="2:6" x14ac:dyDescent="0.25">
      <c r="B516" s="344"/>
      <c r="C516" s="344"/>
      <c r="D516" s="345"/>
      <c r="E516" s="346"/>
      <c r="F516" s="346"/>
    </row>
    <row r="517" spans="2:6" x14ac:dyDescent="0.25">
      <c r="B517" s="344"/>
      <c r="C517" s="344"/>
      <c r="D517" s="345"/>
      <c r="E517" s="346"/>
      <c r="F517" s="346"/>
    </row>
    <row r="518" spans="2:6" x14ac:dyDescent="0.25">
      <c r="B518" s="344"/>
      <c r="C518" s="344"/>
      <c r="D518" s="345"/>
      <c r="E518" s="346"/>
      <c r="F518" s="346"/>
    </row>
    <row r="519" spans="2:6" x14ac:dyDescent="0.25">
      <c r="B519" s="344"/>
      <c r="C519" s="344"/>
      <c r="D519" s="345"/>
      <c r="E519" s="346"/>
      <c r="F519" s="346"/>
    </row>
    <row r="520" spans="2:6" x14ac:dyDescent="0.25">
      <c r="B520" s="344"/>
      <c r="C520" s="344"/>
      <c r="D520" s="345"/>
      <c r="E520" s="346"/>
      <c r="F520" s="346"/>
    </row>
    <row r="521" spans="2:6" x14ac:dyDescent="0.25">
      <c r="B521" s="344"/>
      <c r="C521" s="344"/>
      <c r="D521" s="345"/>
      <c r="E521" s="346"/>
      <c r="F521" s="346"/>
    </row>
    <row r="522" spans="2:6" x14ac:dyDescent="0.25">
      <c r="B522" s="344"/>
      <c r="C522" s="344"/>
      <c r="D522" s="345"/>
      <c r="E522" s="346"/>
      <c r="F522" s="346"/>
    </row>
    <row r="523" spans="2:6" x14ac:dyDescent="0.25">
      <c r="B523" s="344"/>
      <c r="C523" s="344"/>
      <c r="D523" s="345"/>
      <c r="E523" s="346"/>
      <c r="F523" s="346"/>
    </row>
    <row r="524" spans="2:6" x14ac:dyDescent="0.25">
      <c r="B524" s="344"/>
      <c r="C524" s="344"/>
      <c r="D524" s="345"/>
      <c r="E524" s="346"/>
      <c r="F524" s="346"/>
    </row>
    <row r="525" spans="2:6" x14ac:dyDescent="0.25">
      <c r="B525" s="344"/>
      <c r="C525" s="344"/>
      <c r="D525" s="345"/>
      <c r="E525" s="346"/>
      <c r="F525" s="346"/>
    </row>
    <row r="526" spans="2:6" x14ac:dyDescent="0.25">
      <c r="B526" s="344"/>
      <c r="C526" s="344"/>
      <c r="D526" s="345"/>
      <c r="E526" s="346"/>
      <c r="F526" s="346"/>
    </row>
    <row r="527" spans="2:6" x14ac:dyDescent="0.25">
      <c r="B527" s="344"/>
      <c r="C527" s="344"/>
      <c r="D527" s="345"/>
      <c r="E527" s="346"/>
      <c r="F527" s="346"/>
    </row>
    <row r="528" spans="2:6" x14ac:dyDescent="0.25">
      <c r="B528" s="344"/>
      <c r="C528" s="344"/>
      <c r="D528" s="345"/>
      <c r="E528" s="346"/>
      <c r="F528" s="346"/>
    </row>
    <row r="529" spans="2:6" x14ac:dyDescent="0.25">
      <c r="B529" s="344"/>
      <c r="C529" s="344"/>
      <c r="D529" s="345"/>
      <c r="E529" s="346"/>
      <c r="F529" s="346"/>
    </row>
    <row r="530" spans="2:6" x14ac:dyDescent="0.25">
      <c r="B530" s="344"/>
      <c r="C530" s="344"/>
      <c r="D530" s="345"/>
      <c r="E530" s="346"/>
      <c r="F530" s="346"/>
    </row>
    <row r="531" spans="2:6" x14ac:dyDescent="0.25">
      <c r="B531" s="344"/>
      <c r="C531" s="344"/>
      <c r="D531" s="345"/>
      <c r="E531" s="346"/>
      <c r="F531" s="346"/>
    </row>
    <row r="532" spans="2:6" x14ac:dyDescent="0.25">
      <c r="B532" s="344"/>
      <c r="C532" s="344"/>
      <c r="D532" s="345"/>
      <c r="E532" s="346"/>
      <c r="F532" s="346"/>
    </row>
    <row r="533" spans="2:6" x14ac:dyDescent="0.25">
      <c r="B533" s="344"/>
      <c r="C533" s="344"/>
      <c r="D533" s="345"/>
      <c r="E533" s="346"/>
      <c r="F533" s="346"/>
    </row>
    <row r="534" spans="2:6" x14ac:dyDescent="0.25">
      <c r="B534" s="344"/>
      <c r="C534" s="344"/>
      <c r="D534" s="345"/>
      <c r="E534" s="346"/>
      <c r="F534" s="346"/>
    </row>
    <row r="535" spans="2:6" x14ac:dyDescent="0.25">
      <c r="B535" s="344"/>
      <c r="C535" s="344"/>
      <c r="D535" s="345"/>
      <c r="E535" s="346"/>
      <c r="F535" s="346"/>
    </row>
    <row r="536" spans="2:6" x14ac:dyDescent="0.25">
      <c r="B536" s="344"/>
      <c r="C536" s="344"/>
      <c r="D536" s="345"/>
      <c r="E536" s="346"/>
      <c r="F536" s="346"/>
    </row>
    <row r="537" spans="2:6" x14ac:dyDescent="0.25">
      <c r="B537" s="344"/>
      <c r="C537" s="344"/>
      <c r="D537" s="345"/>
      <c r="E537" s="346"/>
      <c r="F537" s="346"/>
    </row>
    <row r="538" spans="2:6" x14ac:dyDescent="0.25">
      <c r="B538" s="344"/>
      <c r="C538" s="344"/>
      <c r="D538" s="345"/>
      <c r="E538" s="346"/>
      <c r="F538" s="346"/>
    </row>
    <row r="539" spans="2:6" x14ac:dyDescent="0.25">
      <c r="B539" s="344"/>
      <c r="C539" s="344"/>
      <c r="D539" s="345"/>
      <c r="E539" s="346"/>
      <c r="F539" s="346"/>
    </row>
    <row r="540" spans="2:6" x14ac:dyDescent="0.25">
      <c r="B540" s="344"/>
      <c r="C540" s="344"/>
      <c r="D540" s="345"/>
      <c r="E540" s="346"/>
      <c r="F540" s="346"/>
    </row>
    <row r="541" spans="2:6" x14ac:dyDescent="0.25">
      <c r="B541" s="344"/>
      <c r="C541" s="344"/>
      <c r="D541" s="345"/>
      <c r="E541" s="346"/>
      <c r="F541" s="346"/>
    </row>
    <row r="542" spans="2:6" x14ac:dyDescent="0.25">
      <c r="B542" s="344"/>
      <c r="C542" s="344"/>
      <c r="D542" s="345"/>
      <c r="E542" s="346"/>
      <c r="F542" s="346"/>
    </row>
    <row r="543" spans="2:6" x14ac:dyDescent="0.25">
      <c r="B543" s="344"/>
      <c r="C543" s="344"/>
      <c r="D543" s="345"/>
      <c r="E543" s="346"/>
      <c r="F543" s="346"/>
    </row>
    <row r="544" spans="2:6" x14ac:dyDescent="0.25">
      <c r="B544" s="344"/>
      <c r="C544" s="344"/>
      <c r="D544" s="345"/>
      <c r="E544" s="346"/>
      <c r="F544" s="346"/>
    </row>
    <row r="545" spans="2:6" x14ac:dyDescent="0.25">
      <c r="B545" s="344"/>
      <c r="C545" s="344"/>
      <c r="D545" s="345"/>
      <c r="E545" s="346"/>
      <c r="F545" s="346"/>
    </row>
    <row r="546" spans="2:6" x14ac:dyDescent="0.25">
      <c r="B546" s="344"/>
      <c r="C546" s="344"/>
      <c r="D546" s="345"/>
      <c r="E546" s="346"/>
      <c r="F546" s="346"/>
    </row>
    <row r="547" spans="2:6" x14ac:dyDescent="0.25">
      <c r="B547" s="344"/>
      <c r="C547" s="344"/>
      <c r="D547" s="345"/>
      <c r="E547" s="346"/>
      <c r="F547" s="346"/>
    </row>
    <row r="548" spans="2:6" x14ac:dyDescent="0.25">
      <c r="B548" s="344"/>
      <c r="C548" s="344"/>
      <c r="D548" s="345"/>
      <c r="E548" s="346"/>
      <c r="F548" s="346"/>
    </row>
    <row r="549" spans="2:6" x14ac:dyDescent="0.25">
      <c r="B549" s="344"/>
      <c r="C549" s="344"/>
      <c r="D549" s="345"/>
      <c r="E549" s="346"/>
      <c r="F549" s="346"/>
    </row>
    <row r="550" spans="2:6" x14ac:dyDescent="0.25">
      <c r="B550" s="344"/>
      <c r="C550" s="344"/>
      <c r="D550" s="345"/>
      <c r="E550" s="346"/>
      <c r="F550" s="346"/>
    </row>
    <row r="551" spans="2:6" x14ac:dyDescent="0.25">
      <c r="B551" s="344"/>
      <c r="C551" s="344"/>
      <c r="D551" s="345"/>
      <c r="E551" s="346"/>
      <c r="F551" s="346"/>
    </row>
    <row r="552" spans="2:6" x14ac:dyDescent="0.25">
      <c r="B552" s="344"/>
      <c r="C552" s="344"/>
      <c r="D552" s="345"/>
      <c r="E552" s="346"/>
      <c r="F552" s="346"/>
    </row>
    <row r="553" spans="2:6" x14ac:dyDescent="0.25">
      <c r="B553" s="344"/>
      <c r="C553" s="344"/>
      <c r="D553" s="345"/>
      <c r="E553" s="346"/>
      <c r="F553" s="346"/>
    </row>
    <row r="554" spans="2:6" x14ac:dyDescent="0.25">
      <c r="B554" s="344"/>
      <c r="C554" s="344"/>
      <c r="D554" s="345"/>
      <c r="E554" s="346"/>
      <c r="F554" s="346"/>
    </row>
    <row r="555" spans="2:6" x14ac:dyDescent="0.25">
      <c r="B555" s="344"/>
      <c r="C555" s="344"/>
      <c r="D555" s="345"/>
      <c r="E555" s="346"/>
      <c r="F555" s="346"/>
    </row>
    <row r="556" spans="2:6" x14ac:dyDescent="0.25">
      <c r="B556" s="344"/>
      <c r="C556" s="344"/>
      <c r="D556" s="345"/>
      <c r="E556" s="346"/>
      <c r="F556" s="346"/>
    </row>
    <row r="557" spans="2:6" x14ac:dyDescent="0.25">
      <c r="B557" s="344"/>
      <c r="C557" s="344"/>
      <c r="D557" s="345"/>
      <c r="E557" s="346"/>
      <c r="F557" s="346"/>
    </row>
    <row r="558" spans="2:6" x14ac:dyDescent="0.25">
      <c r="B558" s="344"/>
      <c r="C558" s="344"/>
      <c r="D558" s="345"/>
      <c r="E558" s="346"/>
      <c r="F558" s="346"/>
    </row>
    <row r="559" spans="2:6" x14ac:dyDescent="0.25">
      <c r="B559" s="344"/>
      <c r="C559" s="344"/>
      <c r="D559" s="345"/>
      <c r="E559" s="346"/>
      <c r="F559" s="346"/>
    </row>
    <row r="560" spans="2:6" x14ac:dyDescent="0.25">
      <c r="B560" s="344"/>
      <c r="C560" s="344"/>
      <c r="D560" s="345"/>
      <c r="E560" s="346"/>
      <c r="F560" s="346"/>
    </row>
    <row r="561" spans="2:6" x14ac:dyDescent="0.25">
      <c r="B561" s="344"/>
      <c r="C561" s="344"/>
      <c r="D561" s="345"/>
      <c r="E561" s="346"/>
      <c r="F561" s="346"/>
    </row>
    <row r="562" spans="2:6" x14ac:dyDescent="0.25">
      <c r="B562" s="344"/>
      <c r="C562" s="344"/>
      <c r="D562" s="345"/>
      <c r="E562" s="346"/>
      <c r="F562" s="346"/>
    </row>
    <row r="563" spans="2:6" x14ac:dyDescent="0.25">
      <c r="B563" s="344"/>
      <c r="C563" s="344"/>
      <c r="D563" s="345"/>
      <c r="E563" s="346"/>
      <c r="F563" s="346"/>
    </row>
    <row r="564" spans="2:6" x14ac:dyDescent="0.25">
      <c r="B564" s="344"/>
      <c r="C564" s="344"/>
      <c r="D564" s="345"/>
      <c r="E564" s="346"/>
      <c r="F564" s="346"/>
    </row>
    <row r="565" spans="2:6" x14ac:dyDescent="0.25">
      <c r="B565" s="344"/>
      <c r="C565" s="344"/>
      <c r="D565" s="345"/>
      <c r="E565" s="346"/>
      <c r="F565" s="346"/>
    </row>
    <row r="566" spans="2:6" x14ac:dyDescent="0.25">
      <c r="B566" s="344"/>
      <c r="C566" s="344"/>
      <c r="D566" s="345"/>
      <c r="E566" s="346"/>
      <c r="F566" s="346"/>
    </row>
    <row r="567" spans="2:6" x14ac:dyDescent="0.25">
      <c r="B567" s="344"/>
      <c r="C567" s="344"/>
      <c r="D567" s="345"/>
      <c r="E567" s="346"/>
      <c r="F567" s="346"/>
    </row>
    <row r="568" spans="2:6" x14ac:dyDescent="0.25">
      <c r="B568" s="344"/>
      <c r="C568" s="344"/>
      <c r="D568" s="345"/>
      <c r="E568" s="346"/>
      <c r="F568" s="346"/>
    </row>
    <row r="569" spans="2:6" x14ac:dyDescent="0.25">
      <c r="B569" s="344"/>
      <c r="C569" s="344"/>
      <c r="D569" s="345"/>
      <c r="E569" s="346"/>
      <c r="F569" s="346"/>
    </row>
    <row r="570" spans="2:6" x14ac:dyDescent="0.25">
      <c r="B570" s="344"/>
      <c r="C570" s="344"/>
      <c r="D570" s="345"/>
      <c r="E570" s="346"/>
      <c r="F570" s="346"/>
    </row>
    <row r="571" spans="2:6" x14ac:dyDescent="0.25">
      <c r="B571" s="344"/>
      <c r="C571" s="344"/>
      <c r="D571" s="345"/>
      <c r="E571" s="346"/>
      <c r="F571" s="346"/>
    </row>
    <row r="572" spans="2:6" x14ac:dyDescent="0.25">
      <c r="B572" s="344"/>
      <c r="C572" s="344"/>
      <c r="D572" s="345"/>
      <c r="E572" s="346"/>
      <c r="F572" s="346"/>
    </row>
    <row r="573" spans="2:6" x14ac:dyDescent="0.25">
      <c r="B573" s="344"/>
      <c r="C573" s="344"/>
      <c r="D573" s="345"/>
      <c r="E573" s="346"/>
      <c r="F573" s="346"/>
    </row>
    <row r="574" spans="2:6" x14ac:dyDescent="0.25">
      <c r="B574" s="344"/>
      <c r="C574" s="344"/>
      <c r="D574" s="345"/>
      <c r="E574" s="346"/>
      <c r="F574" s="346"/>
    </row>
    <row r="575" spans="2:6" x14ac:dyDescent="0.25">
      <c r="B575" s="344"/>
      <c r="C575" s="344"/>
      <c r="D575" s="345"/>
      <c r="E575" s="346"/>
      <c r="F575" s="346"/>
    </row>
    <row r="576" spans="2:6" x14ac:dyDescent="0.25">
      <c r="B576" s="344"/>
      <c r="C576" s="344"/>
      <c r="D576" s="345"/>
      <c r="E576" s="346"/>
      <c r="F576" s="346"/>
    </row>
    <row r="577" spans="2:6" x14ac:dyDescent="0.25">
      <c r="B577" s="344"/>
      <c r="C577" s="344"/>
      <c r="D577" s="345"/>
      <c r="E577" s="346"/>
      <c r="F577" s="346"/>
    </row>
    <row r="578" spans="2:6" x14ac:dyDescent="0.25">
      <c r="B578" s="344"/>
      <c r="C578" s="344"/>
      <c r="D578" s="345"/>
      <c r="E578" s="346"/>
      <c r="F578" s="346"/>
    </row>
    <row r="579" spans="2:6" x14ac:dyDescent="0.25">
      <c r="B579" s="344"/>
      <c r="C579" s="344"/>
      <c r="D579" s="345"/>
      <c r="E579" s="346"/>
      <c r="F579" s="346"/>
    </row>
    <row r="580" spans="2:6" x14ac:dyDescent="0.25">
      <c r="B580" s="344"/>
      <c r="C580" s="344"/>
      <c r="D580" s="345"/>
      <c r="E580" s="346"/>
      <c r="F580" s="346"/>
    </row>
    <row r="581" spans="2:6" x14ac:dyDescent="0.25">
      <c r="B581" s="344"/>
      <c r="C581" s="344"/>
      <c r="D581" s="345"/>
      <c r="E581" s="346"/>
      <c r="F581" s="346"/>
    </row>
    <row r="582" spans="2:6" x14ac:dyDescent="0.25">
      <c r="B582" s="344"/>
      <c r="C582" s="344"/>
      <c r="D582" s="345"/>
      <c r="E582" s="346"/>
      <c r="F582" s="346"/>
    </row>
    <row r="583" spans="2:6" x14ac:dyDescent="0.25">
      <c r="B583" s="344"/>
      <c r="C583" s="344"/>
      <c r="D583" s="345"/>
      <c r="E583" s="346"/>
      <c r="F583" s="346"/>
    </row>
    <row r="584" spans="2:6" x14ac:dyDescent="0.25">
      <c r="B584" s="344"/>
      <c r="C584" s="344"/>
      <c r="D584" s="345"/>
      <c r="E584" s="346"/>
      <c r="F584" s="346"/>
    </row>
    <row r="585" spans="2:6" x14ac:dyDescent="0.25">
      <c r="B585" s="344"/>
      <c r="C585" s="344"/>
      <c r="D585" s="345"/>
      <c r="E585" s="346"/>
      <c r="F585" s="346"/>
    </row>
    <row r="586" spans="2:6" x14ac:dyDescent="0.25">
      <c r="B586" s="344"/>
      <c r="C586" s="344"/>
      <c r="D586" s="345"/>
      <c r="E586" s="346"/>
      <c r="F586" s="346"/>
    </row>
    <row r="587" spans="2:6" x14ac:dyDescent="0.25">
      <c r="B587" s="344"/>
      <c r="C587" s="344"/>
      <c r="D587" s="345"/>
      <c r="E587" s="346"/>
      <c r="F587" s="346"/>
    </row>
    <row r="588" spans="2:6" x14ac:dyDescent="0.25">
      <c r="B588" s="344"/>
      <c r="C588" s="344"/>
      <c r="D588" s="345"/>
      <c r="E588" s="346"/>
      <c r="F588" s="346"/>
    </row>
    <row r="589" spans="2:6" x14ac:dyDescent="0.25">
      <c r="B589" s="344"/>
      <c r="C589" s="344"/>
      <c r="D589" s="345"/>
      <c r="E589" s="346"/>
      <c r="F589" s="346"/>
    </row>
    <row r="590" spans="2:6" x14ac:dyDescent="0.25">
      <c r="B590" s="344"/>
      <c r="C590" s="344"/>
      <c r="D590" s="345"/>
      <c r="E590" s="346"/>
      <c r="F590" s="346"/>
    </row>
    <row r="591" spans="2:6" x14ac:dyDescent="0.25">
      <c r="B591" s="344"/>
      <c r="C591" s="344"/>
      <c r="D591" s="345"/>
      <c r="E591" s="346"/>
      <c r="F591" s="346"/>
    </row>
    <row r="592" spans="2:6" x14ac:dyDescent="0.25">
      <c r="B592" s="344"/>
      <c r="C592" s="344"/>
      <c r="D592" s="345"/>
      <c r="E592" s="346"/>
      <c r="F592" s="346"/>
    </row>
    <row r="593" spans="2:6" x14ac:dyDescent="0.25">
      <c r="B593" s="344"/>
      <c r="C593" s="344"/>
      <c r="D593" s="345"/>
      <c r="E593" s="346"/>
      <c r="F593" s="346"/>
    </row>
    <row r="594" spans="2:6" x14ac:dyDescent="0.25">
      <c r="B594" s="344"/>
      <c r="C594" s="344"/>
      <c r="D594" s="345"/>
      <c r="E594" s="346"/>
      <c r="F594" s="346"/>
    </row>
    <row r="595" spans="2:6" x14ac:dyDescent="0.25">
      <c r="B595" s="344"/>
      <c r="C595" s="344"/>
      <c r="D595" s="345"/>
      <c r="E595" s="346"/>
      <c r="F595" s="346"/>
    </row>
    <row r="596" spans="2:6" x14ac:dyDescent="0.25">
      <c r="B596" s="344"/>
      <c r="C596" s="344"/>
      <c r="D596" s="345"/>
      <c r="E596" s="346"/>
      <c r="F596" s="346"/>
    </row>
    <row r="597" spans="2:6" x14ac:dyDescent="0.25">
      <c r="B597" s="344"/>
      <c r="C597" s="344"/>
      <c r="D597" s="345"/>
      <c r="E597" s="346"/>
      <c r="F597" s="346"/>
    </row>
    <row r="598" spans="2:6" x14ac:dyDescent="0.25">
      <c r="B598" s="344"/>
      <c r="C598" s="344"/>
      <c r="D598" s="345"/>
      <c r="E598" s="346"/>
      <c r="F598" s="346"/>
    </row>
    <row r="599" spans="2:6" x14ac:dyDescent="0.25">
      <c r="B599" s="344"/>
      <c r="C599" s="344"/>
      <c r="D599" s="345"/>
      <c r="E599" s="346"/>
      <c r="F599" s="346"/>
    </row>
    <row r="600" spans="2:6" x14ac:dyDescent="0.25">
      <c r="B600" s="344"/>
      <c r="C600" s="344"/>
      <c r="D600" s="345"/>
      <c r="E600" s="346"/>
      <c r="F600" s="346"/>
    </row>
    <row r="601" spans="2:6" x14ac:dyDescent="0.25">
      <c r="B601" s="344"/>
      <c r="C601" s="344"/>
      <c r="D601" s="345"/>
      <c r="E601" s="346"/>
      <c r="F601" s="346"/>
    </row>
    <row r="602" spans="2:6" x14ac:dyDescent="0.25">
      <c r="B602" s="344"/>
      <c r="C602" s="344"/>
      <c r="D602" s="345"/>
      <c r="E602" s="346"/>
      <c r="F602" s="346"/>
    </row>
    <row r="603" spans="2:6" x14ac:dyDescent="0.25">
      <c r="B603" s="344"/>
      <c r="C603" s="344"/>
      <c r="D603" s="345"/>
      <c r="E603" s="346"/>
      <c r="F603" s="346"/>
    </row>
    <row r="604" spans="2:6" x14ac:dyDescent="0.25">
      <c r="B604" s="344"/>
      <c r="C604" s="344"/>
      <c r="D604" s="345"/>
      <c r="E604" s="346"/>
      <c r="F604" s="346"/>
    </row>
    <row r="605" spans="2:6" x14ac:dyDescent="0.25">
      <c r="B605" s="344"/>
      <c r="C605" s="344"/>
      <c r="D605" s="345"/>
      <c r="E605" s="346"/>
      <c r="F605" s="346"/>
    </row>
    <row r="606" spans="2:6" x14ac:dyDescent="0.25">
      <c r="B606" s="344"/>
      <c r="C606" s="344"/>
      <c r="D606" s="345"/>
      <c r="E606" s="346"/>
      <c r="F606" s="346"/>
    </row>
    <row r="607" spans="2:6" x14ac:dyDescent="0.25">
      <c r="B607" s="344"/>
      <c r="C607" s="344"/>
      <c r="D607" s="345"/>
      <c r="E607" s="346"/>
      <c r="F607" s="346"/>
    </row>
    <row r="608" spans="2:6" x14ac:dyDescent="0.25">
      <c r="B608" s="344"/>
      <c r="C608" s="344"/>
      <c r="D608" s="345"/>
      <c r="E608" s="346"/>
      <c r="F608" s="346"/>
    </row>
    <row r="609" spans="2:6" x14ac:dyDescent="0.25">
      <c r="B609" s="344"/>
      <c r="C609" s="344"/>
      <c r="D609" s="345"/>
      <c r="E609" s="346"/>
      <c r="F609" s="346"/>
    </row>
    <row r="610" spans="2:6" x14ac:dyDescent="0.25">
      <c r="B610" s="344"/>
      <c r="C610" s="344"/>
      <c r="D610" s="345"/>
      <c r="E610" s="346"/>
      <c r="F610" s="346"/>
    </row>
    <row r="611" spans="2:6" x14ac:dyDescent="0.25">
      <c r="B611" s="344"/>
      <c r="C611" s="344"/>
      <c r="D611" s="345"/>
      <c r="E611" s="346"/>
      <c r="F611" s="346"/>
    </row>
    <row r="612" spans="2:6" x14ac:dyDescent="0.25">
      <c r="B612" s="344"/>
      <c r="C612" s="344"/>
      <c r="D612" s="345"/>
      <c r="E612" s="346"/>
      <c r="F612" s="346"/>
    </row>
    <row r="613" spans="2:6" x14ac:dyDescent="0.25">
      <c r="B613" s="344"/>
      <c r="C613" s="344"/>
      <c r="D613" s="345"/>
      <c r="E613" s="346"/>
      <c r="F613" s="346"/>
    </row>
    <row r="614" spans="2:6" x14ac:dyDescent="0.25">
      <c r="B614" s="344"/>
      <c r="C614" s="344"/>
      <c r="D614" s="345"/>
      <c r="E614" s="346"/>
      <c r="F614" s="346"/>
    </row>
    <row r="615" spans="2:6" x14ac:dyDescent="0.25">
      <c r="B615" s="344"/>
      <c r="C615" s="344"/>
      <c r="D615" s="345"/>
      <c r="E615" s="346"/>
      <c r="F615" s="346"/>
    </row>
    <row r="616" spans="2:6" x14ac:dyDescent="0.25">
      <c r="B616" s="344"/>
      <c r="C616" s="344"/>
      <c r="D616" s="345"/>
      <c r="E616" s="346"/>
      <c r="F616" s="346"/>
    </row>
    <row r="617" spans="2:6" x14ac:dyDescent="0.25">
      <c r="B617" s="344"/>
      <c r="C617" s="344"/>
      <c r="D617" s="345"/>
      <c r="E617" s="346"/>
      <c r="F617" s="346"/>
    </row>
    <row r="618" spans="2:6" x14ac:dyDescent="0.25">
      <c r="B618" s="344"/>
      <c r="C618" s="344"/>
      <c r="D618" s="345"/>
      <c r="E618" s="346"/>
      <c r="F618" s="346"/>
    </row>
    <row r="619" spans="2:6" x14ac:dyDescent="0.25">
      <c r="B619" s="344"/>
      <c r="C619" s="344"/>
      <c r="D619" s="345"/>
      <c r="E619" s="346"/>
      <c r="F619" s="346"/>
    </row>
    <row r="620" spans="2:6" x14ac:dyDescent="0.25">
      <c r="B620" s="344"/>
      <c r="C620" s="344"/>
      <c r="D620" s="345"/>
      <c r="E620" s="346"/>
      <c r="F620" s="346"/>
    </row>
    <row r="621" spans="2:6" x14ac:dyDescent="0.25">
      <c r="B621" s="344"/>
      <c r="C621" s="344"/>
      <c r="D621" s="345"/>
      <c r="E621" s="346"/>
      <c r="F621" s="346"/>
    </row>
    <row r="622" spans="2:6" x14ac:dyDescent="0.25">
      <c r="B622" s="344"/>
      <c r="C622" s="344"/>
      <c r="D622" s="345"/>
      <c r="E622" s="346"/>
      <c r="F622" s="346"/>
    </row>
    <row r="623" spans="2:6" x14ac:dyDescent="0.25">
      <c r="B623" s="344"/>
      <c r="C623" s="344"/>
      <c r="D623" s="345"/>
      <c r="E623" s="346"/>
      <c r="F623" s="346"/>
    </row>
    <row r="624" spans="2:6" x14ac:dyDescent="0.25">
      <c r="B624" s="344"/>
      <c r="C624" s="344"/>
      <c r="D624" s="345"/>
      <c r="E624" s="346"/>
      <c r="F624" s="346"/>
    </row>
    <row r="625" spans="2:6" x14ac:dyDescent="0.25">
      <c r="B625" s="344"/>
      <c r="C625" s="344"/>
      <c r="D625" s="345"/>
      <c r="E625" s="346"/>
      <c r="F625" s="346"/>
    </row>
    <row r="626" spans="2:6" x14ac:dyDescent="0.25">
      <c r="B626" s="344"/>
      <c r="C626" s="344"/>
      <c r="D626" s="345"/>
      <c r="E626" s="346"/>
      <c r="F626" s="346"/>
    </row>
    <row r="627" spans="2:6" x14ac:dyDescent="0.25">
      <c r="B627" s="344"/>
      <c r="C627" s="344"/>
      <c r="D627" s="345"/>
      <c r="E627" s="346"/>
      <c r="F627" s="346"/>
    </row>
    <row r="628" spans="2:6" x14ac:dyDescent="0.25">
      <c r="B628" s="344"/>
      <c r="C628" s="344"/>
      <c r="D628" s="345"/>
      <c r="E628" s="346"/>
      <c r="F628" s="346"/>
    </row>
    <row r="629" spans="2:6" x14ac:dyDescent="0.25">
      <c r="B629" s="344"/>
      <c r="C629" s="344"/>
      <c r="D629" s="345"/>
      <c r="E629" s="346"/>
      <c r="F629" s="346"/>
    </row>
    <row r="630" spans="2:6" x14ac:dyDescent="0.25">
      <c r="B630" s="344"/>
      <c r="C630" s="344"/>
      <c r="D630" s="345"/>
      <c r="E630" s="346"/>
      <c r="F630" s="346"/>
    </row>
    <row r="631" spans="2:6" x14ac:dyDescent="0.25">
      <c r="B631" s="344"/>
      <c r="C631" s="344"/>
      <c r="D631" s="345"/>
      <c r="E631" s="346"/>
      <c r="F631" s="346"/>
    </row>
    <row r="632" spans="2:6" x14ac:dyDescent="0.25">
      <c r="B632" s="344"/>
      <c r="C632" s="344"/>
      <c r="D632" s="345"/>
      <c r="E632" s="346"/>
      <c r="F632" s="346"/>
    </row>
    <row r="633" spans="2:6" x14ac:dyDescent="0.25">
      <c r="B633" s="344"/>
      <c r="C633" s="344"/>
      <c r="D633" s="345"/>
      <c r="E633" s="346"/>
      <c r="F633" s="346"/>
    </row>
    <row r="634" spans="2:6" x14ac:dyDescent="0.25">
      <c r="B634" s="344"/>
      <c r="C634" s="344"/>
      <c r="D634" s="345"/>
      <c r="E634" s="346"/>
      <c r="F634" s="346"/>
    </row>
    <row r="635" spans="2:6" x14ac:dyDescent="0.25">
      <c r="B635" s="344"/>
      <c r="C635" s="344"/>
      <c r="D635" s="345"/>
      <c r="E635" s="346"/>
      <c r="F635" s="346"/>
    </row>
    <row r="636" spans="2:6" x14ac:dyDescent="0.25">
      <c r="B636" s="344"/>
      <c r="C636" s="344"/>
      <c r="D636" s="345"/>
      <c r="E636" s="346"/>
      <c r="F636" s="346"/>
    </row>
    <row r="637" spans="2:6" x14ac:dyDescent="0.25">
      <c r="B637" s="344"/>
      <c r="C637" s="344"/>
      <c r="D637" s="345"/>
      <c r="E637" s="346"/>
      <c r="F637" s="346"/>
    </row>
    <row r="638" spans="2:6" x14ac:dyDescent="0.25">
      <c r="B638" s="344"/>
      <c r="C638" s="344"/>
      <c r="D638" s="345"/>
      <c r="E638" s="346"/>
      <c r="F638" s="346"/>
    </row>
    <row r="639" spans="2:6" x14ac:dyDescent="0.25">
      <c r="B639" s="344"/>
      <c r="C639" s="344"/>
      <c r="D639" s="345"/>
      <c r="E639" s="346"/>
      <c r="F639" s="346"/>
    </row>
    <row r="640" spans="2:6" x14ac:dyDescent="0.25">
      <c r="B640" s="344"/>
      <c r="C640" s="344"/>
      <c r="D640" s="345"/>
      <c r="E640" s="346"/>
      <c r="F640" s="346"/>
    </row>
    <row r="641" spans="2:6" x14ac:dyDescent="0.25">
      <c r="B641" s="344"/>
      <c r="C641" s="344"/>
      <c r="D641" s="345"/>
      <c r="E641" s="346"/>
      <c r="F641" s="346"/>
    </row>
    <row r="642" spans="2:6" x14ac:dyDescent="0.25">
      <c r="B642" s="344"/>
      <c r="C642" s="344"/>
      <c r="D642" s="345"/>
      <c r="E642" s="346"/>
      <c r="F642" s="346"/>
    </row>
    <row r="643" spans="2:6" x14ac:dyDescent="0.25">
      <c r="B643" s="344"/>
      <c r="C643" s="344"/>
      <c r="D643" s="345"/>
      <c r="E643" s="346"/>
      <c r="F643" s="346"/>
    </row>
    <row r="644" spans="2:6" x14ac:dyDescent="0.25">
      <c r="B644" s="344"/>
      <c r="C644" s="344"/>
      <c r="D644" s="345"/>
      <c r="E644" s="346"/>
      <c r="F644" s="346"/>
    </row>
    <row r="645" spans="2:6" x14ac:dyDescent="0.25">
      <c r="B645" s="344"/>
      <c r="C645" s="344"/>
      <c r="D645" s="345"/>
      <c r="E645" s="346"/>
      <c r="F645" s="346"/>
    </row>
    <row r="646" spans="2:6" x14ac:dyDescent="0.25">
      <c r="B646" s="344"/>
      <c r="C646" s="344"/>
      <c r="D646" s="345"/>
      <c r="E646" s="346"/>
      <c r="F646" s="346"/>
    </row>
    <row r="647" spans="2:6" x14ac:dyDescent="0.25">
      <c r="B647" s="344"/>
      <c r="C647" s="344"/>
      <c r="D647" s="345"/>
      <c r="E647" s="346"/>
      <c r="F647" s="346"/>
    </row>
    <row r="648" spans="2:6" x14ac:dyDescent="0.25">
      <c r="B648" s="344"/>
      <c r="C648" s="344"/>
      <c r="D648" s="345"/>
      <c r="E648" s="346"/>
      <c r="F648" s="346"/>
    </row>
    <row r="649" spans="2:6" x14ac:dyDescent="0.25">
      <c r="B649" s="344"/>
      <c r="C649" s="344"/>
      <c r="D649" s="345"/>
      <c r="E649" s="346"/>
      <c r="F649" s="346"/>
    </row>
    <row r="650" spans="2:6" x14ac:dyDescent="0.25">
      <c r="B650" s="344"/>
      <c r="C650" s="344"/>
      <c r="D650" s="345"/>
      <c r="E650" s="346"/>
      <c r="F650" s="346"/>
    </row>
    <row r="651" spans="2:6" x14ac:dyDescent="0.25">
      <c r="B651" s="344"/>
      <c r="C651" s="344"/>
      <c r="D651" s="345"/>
      <c r="E651" s="346"/>
      <c r="F651" s="346"/>
    </row>
    <row r="652" spans="2:6" x14ac:dyDescent="0.25">
      <c r="B652" s="344"/>
      <c r="C652" s="344"/>
      <c r="D652" s="345"/>
      <c r="E652" s="346"/>
      <c r="F652" s="346"/>
    </row>
    <row r="653" spans="2:6" x14ac:dyDescent="0.25">
      <c r="B653" s="344"/>
      <c r="C653" s="344"/>
      <c r="D653" s="345"/>
      <c r="E653" s="346"/>
      <c r="F653" s="346"/>
    </row>
    <row r="654" spans="2:6" x14ac:dyDescent="0.25">
      <c r="B654" s="344"/>
      <c r="C654" s="344"/>
      <c r="D654" s="345"/>
      <c r="E654" s="346"/>
      <c r="F654" s="346"/>
    </row>
    <row r="655" spans="2:6" x14ac:dyDescent="0.25">
      <c r="B655" s="344"/>
      <c r="C655" s="344"/>
      <c r="D655" s="345"/>
      <c r="E655" s="346"/>
      <c r="F655" s="346"/>
    </row>
    <row r="656" spans="2:6" x14ac:dyDescent="0.25">
      <c r="B656" s="344"/>
      <c r="C656" s="344"/>
      <c r="D656" s="345"/>
      <c r="E656" s="346"/>
      <c r="F656" s="346"/>
    </row>
    <row r="657" spans="2:6" x14ac:dyDescent="0.25">
      <c r="B657" s="344"/>
      <c r="C657" s="344"/>
      <c r="D657" s="345"/>
      <c r="E657" s="346"/>
      <c r="F657" s="346"/>
    </row>
    <row r="658" spans="2:6" x14ac:dyDescent="0.25">
      <c r="B658" s="344"/>
      <c r="C658" s="344"/>
      <c r="D658" s="345"/>
      <c r="E658" s="346"/>
      <c r="F658" s="346"/>
    </row>
    <row r="659" spans="2:6" x14ac:dyDescent="0.25">
      <c r="B659" s="344"/>
      <c r="C659" s="344"/>
      <c r="D659" s="345"/>
      <c r="E659" s="346"/>
      <c r="F659" s="346"/>
    </row>
    <row r="660" spans="2:6" x14ac:dyDescent="0.25">
      <c r="B660" s="344"/>
      <c r="C660" s="344"/>
      <c r="D660" s="345"/>
      <c r="E660" s="346"/>
      <c r="F660" s="346"/>
    </row>
    <row r="661" spans="2:6" x14ac:dyDescent="0.25">
      <c r="B661" s="344"/>
      <c r="C661" s="344"/>
      <c r="D661" s="345"/>
      <c r="E661" s="346"/>
      <c r="F661" s="346"/>
    </row>
    <row r="662" spans="2:6" x14ac:dyDescent="0.25">
      <c r="B662" s="344"/>
      <c r="C662" s="344"/>
      <c r="D662" s="345"/>
      <c r="E662" s="346"/>
      <c r="F662" s="346"/>
    </row>
    <row r="663" spans="2:6" x14ac:dyDescent="0.25">
      <c r="B663" s="344"/>
      <c r="C663" s="344"/>
      <c r="D663" s="345"/>
      <c r="E663" s="346"/>
      <c r="F663" s="346"/>
    </row>
    <row r="664" spans="2:6" x14ac:dyDescent="0.25">
      <c r="B664" s="344"/>
      <c r="C664" s="344"/>
      <c r="D664" s="345"/>
      <c r="E664" s="346"/>
      <c r="F664" s="346"/>
    </row>
    <row r="665" spans="2:6" x14ac:dyDescent="0.25">
      <c r="B665" s="344"/>
      <c r="C665" s="344"/>
      <c r="D665" s="345"/>
      <c r="E665" s="346"/>
      <c r="F665" s="346"/>
    </row>
    <row r="666" spans="2:6" x14ac:dyDescent="0.25">
      <c r="B666" s="344"/>
      <c r="C666" s="344"/>
      <c r="D666" s="345"/>
      <c r="E666" s="346"/>
      <c r="F666" s="346"/>
    </row>
    <row r="667" spans="2:6" x14ac:dyDescent="0.25">
      <c r="B667" s="344"/>
      <c r="C667" s="344"/>
      <c r="D667" s="345"/>
      <c r="E667" s="346"/>
      <c r="F667" s="346"/>
    </row>
    <row r="668" spans="2:6" x14ac:dyDescent="0.25">
      <c r="B668" s="344"/>
      <c r="C668" s="344"/>
      <c r="D668" s="345"/>
      <c r="E668" s="346"/>
      <c r="F668" s="346"/>
    </row>
    <row r="669" spans="2:6" x14ac:dyDescent="0.25">
      <c r="B669" s="344"/>
      <c r="C669" s="344"/>
      <c r="D669" s="345"/>
      <c r="E669" s="346"/>
      <c r="F669" s="346"/>
    </row>
    <row r="670" spans="2:6" x14ac:dyDescent="0.25">
      <c r="B670" s="344"/>
      <c r="C670" s="344"/>
      <c r="D670" s="345"/>
      <c r="E670" s="346"/>
      <c r="F670" s="346"/>
    </row>
    <row r="671" spans="2:6" x14ac:dyDescent="0.25">
      <c r="B671" s="344"/>
      <c r="C671" s="344"/>
      <c r="D671" s="345"/>
      <c r="E671" s="346"/>
      <c r="F671" s="346"/>
    </row>
    <row r="672" spans="2:6" x14ac:dyDescent="0.25">
      <c r="B672" s="344"/>
      <c r="C672" s="344"/>
      <c r="D672" s="345"/>
      <c r="E672" s="346"/>
      <c r="F672" s="346"/>
    </row>
    <row r="673" spans="2:6" x14ac:dyDescent="0.25">
      <c r="B673" s="344"/>
      <c r="C673" s="344"/>
      <c r="D673" s="345"/>
      <c r="E673" s="346"/>
      <c r="F673" s="346"/>
    </row>
    <row r="674" spans="2:6" x14ac:dyDescent="0.25">
      <c r="B674" s="344"/>
      <c r="C674" s="344"/>
      <c r="D674" s="345"/>
      <c r="E674" s="346"/>
      <c r="F674" s="346"/>
    </row>
    <row r="675" spans="2:6" x14ac:dyDescent="0.25">
      <c r="B675" s="344"/>
      <c r="C675" s="344"/>
      <c r="D675" s="345"/>
      <c r="E675" s="346"/>
      <c r="F675" s="346"/>
    </row>
    <row r="676" spans="2:6" x14ac:dyDescent="0.25">
      <c r="B676" s="344"/>
      <c r="C676" s="344"/>
      <c r="D676" s="345"/>
      <c r="E676" s="346"/>
      <c r="F676" s="346"/>
    </row>
    <row r="677" spans="2:6" x14ac:dyDescent="0.25">
      <c r="B677" s="344"/>
      <c r="C677" s="344"/>
      <c r="D677" s="345"/>
      <c r="E677" s="346"/>
      <c r="F677" s="346"/>
    </row>
    <row r="678" spans="2:6" x14ac:dyDescent="0.25">
      <c r="B678" s="344"/>
      <c r="C678" s="344"/>
      <c r="D678" s="345"/>
      <c r="E678" s="346"/>
      <c r="F678" s="346"/>
    </row>
    <row r="679" spans="2:6" x14ac:dyDescent="0.25">
      <c r="B679" s="344"/>
      <c r="C679" s="344"/>
      <c r="D679" s="345"/>
      <c r="E679" s="346"/>
      <c r="F679" s="346"/>
    </row>
    <row r="680" spans="2:6" x14ac:dyDescent="0.25">
      <c r="B680" s="344"/>
      <c r="C680" s="344"/>
      <c r="D680" s="345"/>
      <c r="E680" s="346"/>
      <c r="F680" s="346"/>
    </row>
    <row r="681" spans="2:6" x14ac:dyDescent="0.25">
      <c r="B681" s="344"/>
      <c r="C681" s="344"/>
      <c r="D681" s="345"/>
      <c r="E681" s="346"/>
      <c r="F681" s="346"/>
    </row>
    <row r="682" spans="2:6" x14ac:dyDescent="0.25">
      <c r="B682" s="344"/>
      <c r="C682" s="344"/>
      <c r="D682" s="345"/>
      <c r="E682" s="346"/>
      <c r="F682" s="346"/>
    </row>
    <row r="683" spans="2:6" x14ac:dyDescent="0.25">
      <c r="B683" s="344"/>
      <c r="C683" s="344"/>
      <c r="D683" s="345"/>
      <c r="E683" s="346"/>
      <c r="F683" s="346"/>
    </row>
    <row r="684" spans="2:6" x14ac:dyDescent="0.25">
      <c r="B684" s="344"/>
      <c r="C684" s="344"/>
      <c r="D684" s="345"/>
      <c r="E684" s="346"/>
      <c r="F684" s="346"/>
    </row>
    <row r="685" spans="2:6" x14ac:dyDescent="0.25">
      <c r="B685" s="344"/>
      <c r="C685" s="344"/>
      <c r="D685" s="345"/>
      <c r="E685" s="346"/>
      <c r="F685" s="346"/>
    </row>
    <row r="686" spans="2:6" x14ac:dyDescent="0.25">
      <c r="B686" s="344"/>
      <c r="C686" s="344"/>
      <c r="D686" s="345"/>
      <c r="E686" s="346"/>
      <c r="F686" s="346"/>
    </row>
    <row r="687" spans="2:6" x14ac:dyDescent="0.25">
      <c r="B687" s="344"/>
      <c r="C687" s="344"/>
      <c r="D687" s="345"/>
      <c r="E687" s="346"/>
      <c r="F687" s="346"/>
    </row>
    <row r="688" spans="2:6" x14ac:dyDescent="0.25">
      <c r="B688" s="344"/>
      <c r="C688" s="344"/>
      <c r="D688" s="345"/>
      <c r="E688" s="346"/>
      <c r="F688" s="346"/>
    </row>
    <row r="689" spans="2:6" x14ac:dyDescent="0.25">
      <c r="B689" s="344"/>
      <c r="C689" s="344"/>
      <c r="D689" s="345"/>
      <c r="E689" s="346"/>
      <c r="F689" s="346"/>
    </row>
    <row r="690" spans="2:6" x14ac:dyDescent="0.25">
      <c r="B690" s="344"/>
      <c r="C690" s="344"/>
      <c r="D690" s="345"/>
      <c r="E690" s="346"/>
      <c r="F690" s="346"/>
    </row>
    <row r="691" spans="2:6" x14ac:dyDescent="0.25">
      <c r="B691" s="344"/>
      <c r="C691" s="344"/>
      <c r="D691" s="345"/>
      <c r="E691" s="346"/>
      <c r="F691" s="346"/>
    </row>
    <row r="692" spans="2:6" x14ac:dyDescent="0.25">
      <c r="B692" s="344"/>
      <c r="C692" s="344"/>
      <c r="D692" s="345"/>
      <c r="E692" s="346"/>
      <c r="F692" s="346"/>
    </row>
    <row r="693" spans="2:6" x14ac:dyDescent="0.25">
      <c r="B693" s="344"/>
      <c r="C693" s="344"/>
      <c r="D693" s="345"/>
      <c r="E693" s="346"/>
      <c r="F693" s="346"/>
    </row>
    <row r="694" spans="2:6" x14ac:dyDescent="0.25">
      <c r="B694" s="344"/>
      <c r="C694" s="344"/>
      <c r="D694" s="345"/>
      <c r="E694" s="346"/>
      <c r="F694" s="346"/>
    </row>
    <row r="695" spans="2:6" x14ac:dyDescent="0.25">
      <c r="B695" s="344"/>
      <c r="C695" s="344"/>
      <c r="D695" s="345"/>
      <c r="E695" s="346"/>
      <c r="F695" s="346"/>
    </row>
    <row r="696" spans="2:6" x14ac:dyDescent="0.25">
      <c r="B696" s="344"/>
      <c r="C696" s="344"/>
      <c r="D696" s="345"/>
      <c r="E696" s="346"/>
      <c r="F696" s="346"/>
    </row>
    <row r="697" spans="2:6" x14ac:dyDescent="0.25">
      <c r="B697" s="344"/>
      <c r="C697" s="344"/>
      <c r="D697" s="345"/>
      <c r="E697" s="346"/>
      <c r="F697" s="346"/>
    </row>
    <row r="698" spans="2:6" x14ac:dyDescent="0.25">
      <c r="B698" s="344"/>
      <c r="C698" s="344"/>
      <c r="D698" s="345"/>
      <c r="E698" s="346"/>
      <c r="F698" s="346"/>
    </row>
    <row r="699" spans="2:6" x14ac:dyDescent="0.25">
      <c r="B699" s="344"/>
      <c r="C699" s="344"/>
      <c r="D699" s="345"/>
      <c r="E699" s="346"/>
      <c r="F699" s="346"/>
    </row>
    <row r="700" spans="2:6" x14ac:dyDescent="0.25">
      <c r="B700" s="344"/>
      <c r="C700" s="344"/>
      <c r="D700" s="345"/>
      <c r="E700" s="346"/>
      <c r="F700" s="346"/>
    </row>
    <row r="701" spans="2:6" x14ac:dyDescent="0.25">
      <c r="B701" s="344"/>
      <c r="C701" s="344"/>
      <c r="D701" s="345"/>
      <c r="E701" s="346"/>
      <c r="F701" s="346"/>
    </row>
    <row r="702" spans="2:6" x14ac:dyDescent="0.25">
      <c r="B702" s="344"/>
      <c r="C702" s="344"/>
      <c r="D702" s="345"/>
      <c r="E702" s="346"/>
      <c r="F702" s="346"/>
    </row>
    <row r="703" spans="2:6" x14ac:dyDescent="0.25">
      <c r="B703" s="344"/>
      <c r="C703" s="344"/>
      <c r="D703" s="345"/>
      <c r="E703" s="346"/>
      <c r="F703" s="346"/>
    </row>
    <row r="704" spans="2:6" x14ac:dyDescent="0.25">
      <c r="B704" s="344"/>
      <c r="C704" s="344"/>
      <c r="D704" s="345"/>
      <c r="E704" s="346"/>
      <c r="F704" s="346"/>
    </row>
    <row r="705" spans="2:6" x14ac:dyDescent="0.25">
      <c r="B705" s="344"/>
      <c r="C705" s="344"/>
      <c r="D705" s="345"/>
      <c r="E705" s="346"/>
      <c r="F705" s="346"/>
    </row>
    <row r="706" spans="2:6" x14ac:dyDescent="0.25">
      <c r="B706" s="344"/>
      <c r="C706" s="344"/>
      <c r="D706" s="345"/>
      <c r="E706" s="346"/>
      <c r="F706" s="346"/>
    </row>
    <row r="707" spans="2:6" x14ac:dyDescent="0.25">
      <c r="B707" s="344"/>
      <c r="C707" s="344"/>
      <c r="D707" s="345"/>
      <c r="E707" s="346"/>
      <c r="F707" s="346"/>
    </row>
    <row r="708" spans="2:6" x14ac:dyDescent="0.25">
      <c r="B708" s="344"/>
      <c r="C708" s="344"/>
      <c r="D708" s="345"/>
      <c r="E708" s="346"/>
      <c r="F708" s="346"/>
    </row>
    <row r="709" spans="2:6" x14ac:dyDescent="0.25">
      <c r="B709" s="344"/>
      <c r="C709" s="344"/>
      <c r="D709" s="345"/>
      <c r="E709" s="346"/>
      <c r="F709" s="346"/>
    </row>
    <row r="710" spans="2:6" x14ac:dyDescent="0.25">
      <c r="B710" s="344"/>
      <c r="C710" s="344"/>
      <c r="D710" s="345"/>
      <c r="E710" s="346"/>
      <c r="F710" s="346"/>
    </row>
    <row r="711" spans="2:6" x14ac:dyDescent="0.25">
      <c r="B711" s="344"/>
      <c r="C711" s="344"/>
      <c r="D711" s="345"/>
      <c r="E711" s="346"/>
      <c r="F711" s="346"/>
    </row>
    <row r="712" spans="2:6" x14ac:dyDescent="0.25">
      <c r="B712" s="344"/>
      <c r="C712" s="344"/>
      <c r="D712" s="345"/>
      <c r="E712" s="346"/>
      <c r="F712" s="346"/>
    </row>
    <row r="713" spans="2:6" x14ac:dyDescent="0.25">
      <c r="B713" s="344"/>
      <c r="C713" s="344"/>
      <c r="D713" s="345"/>
      <c r="E713" s="346"/>
      <c r="F713" s="346"/>
    </row>
    <row r="714" spans="2:6" x14ac:dyDescent="0.25">
      <c r="B714" s="344"/>
      <c r="C714" s="344"/>
      <c r="D714" s="345"/>
      <c r="E714" s="346"/>
      <c r="F714" s="346"/>
    </row>
    <row r="715" spans="2:6" x14ac:dyDescent="0.25">
      <c r="B715" s="344"/>
      <c r="C715" s="344"/>
      <c r="D715" s="345"/>
      <c r="E715" s="346"/>
      <c r="F715" s="346"/>
    </row>
    <row r="716" spans="2:6" x14ac:dyDescent="0.25">
      <c r="B716" s="344"/>
      <c r="C716" s="344"/>
      <c r="D716" s="345"/>
      <c r="E716" s="346"/>
      <c r="F716" s="346"/>
    </row>
    <row r="717" spans="2:6" x14ac:dyDescent="0.25">
      <c r="B717" s="344"/>
      <c r="C717" s="344"/>
      <c r="D717" s="345"/>
      <c r="E717" s="346"/>
      <c r="F717" s="346"/>
    </row>
    <row r="718" spans="2:6" x14ac:dyDescent="0.25">
      <c r="B718" s="344"/>
      <c r="C718" s="344"/>
      <c r="D718" s="345"/>
      <c r="E718" s="346"/>
      <c r="F718" s="346"/>
    </row>
    <row r="719" spans="2:6" x14ac:dyDescent="0.25">
      <c r="B719" s="344"/>
      <c r="C719" s="344"/>
      <c r="D719" s="345"/>
      <c r="E719" s="346"/>
      <c r="F719" s="346"/>
    </row>
    <row r="720" spans="2:6" x14ac:dyDescent="0.25">
      <c r="B720" s="344"/>
      <c r="C720" s="344"/>
      <c r="D720" s="345"/>
      <c r="E720" s="346"/>
      <c r="F720" s="346"/>
    </row>
    <row r="721" spans="2:6" x14ac:dyDescent="0.25">
      <c r="B721" s="344"/>
      <c r="C721" s="344"/>
      <c r="D721" s="345"/>
      <c r="E721" s="346"/>
      <c r="F721" s="346"/>
    </row>
    <row r="722" spans="2:6" x14ac:dyDescent="0.25">
      <c r="B722" s="344"/>
      <c r="C722" s="344"/>
      <c r="D722" s="345"/>
      <c r="E722" s="346"/>
      <c r="F722" s="346"/>
    </row>
    <row r="723" spans="2:6" x14ac:dyDescent="0.25">
      <c r="B723" s="344"/>
      <c r="C723" s="344"/>
      <c r="D723" s="345"/>
      <c r="E723" s="346"/>
      <c r="F723" s="346"/>
    </row>
    <row r="724" spans="2:6" x14ac:dyDescent="0.25">
      <c r="B724" s="344"/>
      <c r="C724" s="344"/>
      <c r="D724" s="345"/>
      <c r="E724" s="346"/>
      <c r="F724" s="346"/>
    </row>
    <row r="725" spans="2:6" x14ac:dyDescent="0.25">
      <c r="B725" s="344"/>
      <c r="C725" s="344"/>
      <c r="D725" s="345"/>
      <c r="E725" s="346"/>
      <c r="F725" s="346"/>
    </row>
    <row r="726" spans="2:6" x14ac:dyDescent="0.25">
      <c r="B726" s="344"/>
      <c r="C726" s="344"/>
      <c r="D726" s="345"/>
      <c r="E726" s="346"/>
      <c r="F726" s="346"/>
    </row>
    <row r="727" spans="2:6" x14ac:dyDescent="0.25">
      <c r="B727" s="344"/>
      <c r="C727" s="344"/>
      <c r="D727" s="345"/>
      <c r="E727" s="346"/>
      <c r="F727" s="346"/>
    </row>
    <row r="728" spans="2:6" x14ac:dyDescent="0.25">
      <c r="B728" s="344"/>
      <c r="C728" s="344"/>
      <c r="D728" s="345"/>
      <c r="E728" s="346"/>
      <c r="F728" s="346"/>
    </row>
    <row r="729" spans="2:6" x14ac:dyDescent="0.25">
      <c r="B729" s="344"/>
      <c r="C729" s="344"/>
      <c r="D729" s="345"/>
      <c r="E729" s="346"/>
      <c r="F729" s="346"/>
    </row>
    <row r="730" spans="2:6" x14ac:dyDescent="0.25">
      <c r="B730" s="344"/>
      <c r="C730" s="344"/>
      <c r="D730" s="345"/>
      <c r="E730" s="346"/>
      <c r="F730" s="346"/>
    </row>
    <row r="731" spans="2:6" x14ac:dyDescent="0.25">
      <c r="B731" s="344"/>
      <c r="C731" s="344"/>
      <c r="D731" s="345"/>
      <c r="E731" s="346"/>
      <c r="F731" s="346"/>
    </row>
    <row r="732" spans="2:6" x14ac:dyDescent="0.25">
      <c r="B732" s="344"/>
      <c r="C732" s="344"/>
      <c r="D732" s="345"/>
      <c r="E732" s="346"/>
      <c r="F732" s="346"/>
    </row>
    <row r="733" spans="2:6" x14ac:dyDescent="0.25">
      <c r="B733" s="344"/>
      <c r="C733" s="344"/>
      <c r="D733" s="345"/>
      <c r="E733" s="346"/>
      <c r="F733" s="346"/>
    </row>
    <row r="734" spans="2:6" x14ac:dyDescent="0.25">
      <c r="B734" s="344"/>
      <c r="C734" s="344"/>
      <c r="D734" s="345"/>
      <c r="E734" s="346"/>
      <c r="F734" s="346"/>
    </row>
    <row r="735" spans="2:6" x14ac:dyDescent="0.25">
      <c r="B735" s="344"/>
      <c r="C735" s="344"/>
      <c r="D735" s="345"/>
      <c r="E735" s="346"/>
      <c r="F735" s="346"/>
    </row>
    <row r="736" spans="2:6" x14ac:dyDescent="0.25">
      <c r="B736" s="344"/>
      <c r="C736" s="344"/>
      <c r="D736" s="345"/>
      <c r="E736" s="346"/>
      <c r="F736" s="346"/>
    </row>
    <row r="737" spans="2:6" x14ac:dyDescent="0.25">
      <c r="B737" s="344"/>
      <c r="C737" s="344"/>
      <c r="D737" s="345"/>
      <c r="E737" s="346"/>
      <c r="F737" s="346"/>
    </row>
    <row r="738" spans="2:6" x14ac:dyDescent="0.25">
      <c r="B738" s="344"/>
      <c r="C738" s="344"/>
      <c r="D738" s="345"/>
      <c r="E738" s="346"/>
      <c r="F738" s="346"/>
    </row>
    <row r="739" spans="2:6" x14ac:dyDescent="0.25">
      <c r="B739" s="344"/>
      <c r="C739" s="344"/>
      <c r="D739" s="345"/>
      <c r="E739" s="346"/>
      <c r="F739" s="346"/>
    </row>
    <row r="740" spans="2:6" x14ac:dyDescent="0.25">
      <c r="B740" s="344"/>
      <c r="C740" s="344"/>
      <c r="D740" s="345"/>
      <c r="E740" s="346"/>
      <c r="F740" s="346"/>
    </row>
    <row r="741" spans="2:6" x14ac:dyDescent="0.25">
      <c r="B741" s="344"/>
      <c r="C741" s="344"/>
      <c r="D741" s="345"/>
      <c r="E741" s="346"/>
      <c r="F741" s="346"/>
    </row>
    <row r="742" spans="2:6" x14ac:dyDescent="0.25">
      <c r="B742" s="344"/>
      <c r="C742" s="344"/>
      <c r="D742" s="345"/>
      <c r="E742" s="346"/>
      <c r="F742" s="346"/>
    </row>
    <row r="743" spans="2:6" x14ac:dyDescent="0.25">
      <c r="B743" s="344"/>
      <c r="C743" s="344"/>
      <c r="D743" s="345"/>
      <c r="E743" s="346"/>
      <c r="F743" s="346"/>
    </row>
    <row r="744" spans="2:6" x14ac:dyDescent="0.25">
      <c r="B744" s="344"/>
      <c r="C744" s="344"/>
      <c r="D744" s="345"/>
      <c r="E744" s="346"/>
      <c r="F744" s="346"/>
    </row>
    <row r="745" spans="2:6" x14ac:dyDescent="0.25">
      <c r="B745" s="344"/>
      <c r="C745" s="344"/>
      <c r="D745" s="345"/>
      <c r="E745" s="346"/>
      <c r="F745" s="346"/>
    </row>
    <row r="746" spans="2:6" x14ac:dyDescent="0.25">
      <c r="B746" s="344"/>
      <c r="C746" s="344"/>
      <c r="D746" s="345"/>
      <c r="E746" s="346"/>
      <c r="F746" s="346"/>
    </row>
    <row r="747" spans="2:6" x14ac:dyDescent="0.25">
      <c r="B747" s="344"/>
      <c r="C747" s="344"/>
      <c r="D747" s="345"/>
      <c r="E747" s="346"/>
      <c r="F747" s="346"/>
    </row>
    <row r="748" spans="2:6" x14ac:dyDescent="0.25">
      <c r="B748" s="344"/>
      <c r="C748" s="344"/>
      <c r="D748" s="345"/>
      <c r="E748" s="346"/>
      <c r="F748" s="346"/>
    </row>
    <row r="749" spans="2:6" x14ac:dyDescent="0.25">
      <c r="B749" s="344"/>
      <c r="C749" s="344"/>
      <c r="D749" s="345"/>
      <c r="E749" s="346"/>
      <c r="F749" s="346"/>
    </row>
    <row r="750" spans="2:6" x14ac:dyDescent="0.25">
      <c r="B750" s="344"/>
      <c r="C750" s="344"/>
      <c r="D750" s="345"/>
      <c r="E750" s="346"/>
      <c r="F750" s="346"/>
    </row>
    <row r="751" spans="2:6" x14ac:dyDescent="0.25">
      <c r="B751" s="344"/>
      <c r="C751" s="344"/>
      <c r="D751" s="345"/>
      <c r="E751" s="346"/>
      <c r="F751" s="346"/>
    </row>
    <row r="752" spans="2:6" x14ac:dyDescent="0.25">
      <c r="B752" s="344"/>
      <c r="C752" s="344"/>
      <c r="D752" s="345"/>
      <c r="E752" s="346"/>
      <c r="F752" s="346"/>
    </row>
    <row r="753" spans="2:6" x14ac:dyDescent="0.25">
      <c r="B753" s="344"/>
      <c r="C753" s="344"/>
      <c r="D753" s="345"/>
      <c r="E753" s="346"/>
      <c r="F753" s="346"/>
    </row>
    <row r="754" spans="2:6" x14ac:dyDescent="0.25">
      <c r="B754" s="344"/>
      <c r="C754" s="344"/>
      <c r="D754" s="345"/>
      <c r="E754" s="346"/>
      <c r="F754" s="346"/>
    </row>
    <row r="755" spans="2:6" x14ac:dyDescent="0.25">
      <c r="B755" s="344"/>
      <c r="C755" s="344"/>
      <c r="D755" s="345"/>
      <c r="E755" s="346"/>
      <c r="F755" s="346"/>
    </row>
    <row r="756" spans="2:6" x14ac:dyDescent="0.25">
      <c r="B756" s="344"/>
      <c r="C756" s="344"/>
      <c r="D756" s="345"/>
      <c r="E756" s="346"/>
      <c r="F756" s="346"/>
    </row>
    <row r="757" spans="2:6" x14ac:dyDescent="0.25">
      <c r="B757" s="344"/>
      <c r="C757" s="344"/>
      <c r="D757" s="345"/>
      <c r="E757" s="346"/>
      <c r="F757" s="346"/>
    </row>
    <row r="758" spans="2:6" x14ac:dyDescent="0.25">
      <c r="B758" s="344"/>
      <c r="C758" s="344"/>
      <c r="D758" s="345"/>
      <c r="E758" s="346"/>
      <c r="F758" s="346"/>
    </row>
    <row r="759" spans="2:6" x14ac:dyDescent="0.25">
      <c r="B759" s="344"/>
      <c r="C759" s="344"/>
      <c r="D759" s="345"/>
      <c r="E759" s="346"/>
      <c r="F759" s="346"/>
    </row>
    <row r="760" spans="2:6" x14ac:dyDescent="0.25">
      <c r="B760" s="344"/>
      <c r="C760" s="344"/>
      <c r="D760" s="345"/>
      <c r="E760" s="346"/>
      <c r="F760" s="346"/>
    </row>
    <row r="761" spans="2:6" x14ac:dyDescent="0.25">
      <c r="B761" s="344"/>
      <c r="C761" s="344"/>
      <c r="D761" s="345"/>
      <c r="E761" s="346"/>
      <c r="F761" s="346"/>
    </row>
    <row r="762" spans="2:6" x14ac:dyDescent="0.25">
      <c r="B762" s="344"/>
      <c r="C762" s="344"/>
      <c r="D762" s="345"/>
      <c r="E762" s="346"/>
      <c r="F762" s="346"/>
    </row>
    <row r="763" spans="2:6" x14ac:dyDescent="0.25">
      <c r="B763" s="344"/>
      <c r="C763" s="344"/>
      <c r="D763" s="345"/>
      <c r="E763" s="346"/>
      <c r="F763" s="346"/>
    </row>
    <row r="764" spans="2:6" x14ac:dyDescent="0.25">
      <c r="B764" s="344"/>
      <c r="C764" s="344"/>
      <c r="D764" s="345"/>
      <c r="E764" s="346"/>
      <c r="F764" s="346"/>
    </row>
    <row r="765" spans="2:6" x14ac:dyDescent="0.25">
      <c r="B765" s="344"/>
      <c r="C765" s="344"/>
      <c r="D765" s="345"/>
      <c r="E765" s="346"/>
      <c r="F765" s="346"/>
    </row>
    <row r="766" spans="2:6" x14ac:dyDescent="0.25">
      <c r="B766" s="344"/>
      <c r="C766" s="344"/>
      <c r="D766" s="345"/>
      <c r="E766" s="346"/>
      <c r="F766" s="346"/>
    </row>
    <row r="767" spans="2:6" x14ac:dyDescent="0.25">
      <c r="B767" s="344"/>
      <c r="C767" s="344"/>
      <c r="D767" s="345"/>
      <c r="E767" s="346"/>
      <c r="F767" s="346"/>
    </row>
    <row r="768" spans="2:6" x14ac:dyDescent="0.25">
      <c r="B768" s="344"/>
      <c r="C768" s="344"/>
      <c r="D768" s="345"/>
      <c r="E768" s="346"/>
      <c r="F768" s="346"/>
    </row>
    <row r="769" spans="2:6" x14ac:dyDescent="0.25">
      <c r="B769" s="344"/>
      <c r="C769" s="344"/>
      <c r="D769" s="345"/>
      <c r="E769" s="346"/>
      <c r="F769" s="346"/>
    </row>
    <row r="770" spans="2:6" x14ac:dyDescent="0.25">
      <c r="B770" s="344"/>
      <c r="C770" s="344"/>
      <c r="D770" s="345"/>
      <c r="E770" s="346"/>
      <c r="F770" s="346"/>
    </row>
    <row r="771" spans="2:6" x14ac:dyDescent="0.25">
      <c r="B771" s="344"/>
      <c r="C771" s="344"/>
      <c r="D771" s="345"/>
      <c r="E771" s="346"/>
      <c r="F771" s="346"/>
    </row>
    <row r="772" spans="2:6" x14ac:dyDescent="0.25">
      <c r="B772" s="344"/>
      <c r="C772" s="344"/>
      <c r="D772" s="345"/>
      <c r="E772" s="346"/>
      <c r="F772" s="346"/>
    </row>
    <row r="773" spans="2:6" x14ac:dyDescent="0.25">
      <c r="B773" s="344"/>
      <c r="C773" s="344"/>
      <c r="D773" s="345"/>
      <c r="E773" s="346"/>
      <c r="F773" s="346"/>
    </row>
    <row r="774" spans="2:6" x14ac:dyDescent="0.25">
      <c r="B774" s="344"/>
      <c r="C774" s="344"/>
      <c r="D774" s="345"/>
      <c r="E774" s="346"/>
      <c r="F774" s="346"/>
    </row>
    <row r="775" spans="2:6" x14ac:dyDescent="0.25">
      <c r="B775" s="344"/>
      <c r="C775" s="344"/>
      <c r="D775" s="345"/>
      <c r="E775" s="346"/>
      <c r="F775" s="346"/>
    </row>
    <row r="776" spans="2:6" x14ac:dyDescent="0.25">
      <c r="B776" s="344"/>
      <c r="C776" s="344"/>
      <c r="D776" s="345"/>
      <c r="E776" s="346"/>
      <c r="F776" s="346"/>
    </row>
    <row r="777" spans="2:6" x14ac:dyDescent="0.25">
      <c r="B777" s="344"/>
      <c r="C777" s="344"/>
      <c r="D777" s="345"/>
      <c r="E777" s="346"/>
      <c r="F777" s="346"/>
    </row>
    <row r="778" spans="2:6" x14ac:dyDescent="0.25">
      <c r="B778" s="344"/>
      <c r="C778" s="344"/>
      <c r="D778" s="345"/>
      <c r="E778" s="346"/>
      <c r="F778" s="346"/>
    </row>
    <row r="779" spans="2:6" x14ac:dyDescent="0.25">
      <c r="B779" s="344"/>
      <c r="C779" s="344"/>
      <c r="D779" s="345"/>
      <c r="E779" s="346"/>
      <c r="F779" s="346"/>
    </row>
    <row r="780" spans="2:6" x14ac:dyDescent="0.25">
      <c r="B780" s="344"/>
      <c r="C780" s="344"/>
      <c r="D780" s="345"/>
      <c r="E780" s="346"/>
      <c r="F780" s="346"/>
    </row>
    <row r="781" spans="2:6" x14ac:dyDescent="0.25">
      <c r="B781" s="344"/>
      <c r="C781" s="344"/>
      <c r="D781" s="345"/>
      <c r="E781" s="346"/>
      <c r="F781" s="346"/>
    </row>
    <row r="782" spans="2:6" x14ac:dyDescent="0.25">
      <c r="B782" s="344"/>
      <c r="C782" s="344"/>
      <c r="D782" s="345"/>
      <c r="E782" s="346"/>
      <c r="F782" s="346"/>
    </row>
    <row r="783" spans="2:6" x14ac:dyDescent="0.25">
      <c r="B783" s="344"/>
      <c r="C783" s="344"/>
      <c r="D783" s="345"/>
      <c r="E783" s="346"/>
      <c r="F783" s="346"/>
    </row>
    <row r="784" spans="2:6" x14ac:dyDescent="0.25">
      <c r="B784" s="344"/>
      <c r="C784" s="344"/>
      <c r="D784" s="345"/>
      <c r="E784" s="346"/>
      <c r="F784" s="346"/>
    </row>
    <row r="785" spans="2:6" x14ac:dyDescent="0.25">
      <c r="B785" s="344"/>
      <c r="C785" s="344"/>
      <c r="D785" s="345"/>
      <c r="E785" s="346"/>
      <c r="F785" s="346"/>
    </row>
    <row r="786" spans="2:6" x14ac:dyDescent="0.25">
      <c r="B786" s="344"/>
      <c r="C786" s="344"/>
      <c r="D786" s="345"/>
      <c r="E786" s="346"/>
      <c r="F786" s="346"/>
    </row>
    <row r="787" spans="2:6" x14ac:dyDescent="0.25">
      <c r="B787" s="344"/>
      <c r="C787" s="344"/>
      <c r="D787" s="345"/>
      <c r="E787" s="346"/>
      <c r="F787" s="346"/>
    </row>
    <row r="788" spans="2:6" x14ac:dyDescent="0.25">
      <c r="B788" s="344"/>
      <c r="C788" s="344"/>
      <c r="D788" s="345"/>
      <c r="E788" s="346"/>
      <c r="F788" s="346"/>
    </row>
    <row r="789" spans="2:6" x14ac:dyDescent="0.25">
      <c r="B789" s="344"/>
      <c r="C789" s="344"/>
      <c r="D789" s="345"/>
      <c r="E789" s="346"/>
      <c r="F789" s="346"/>
    </row>
    <row r="790" spans="2:6" x14ac:dyDescent="0.25">
      <c r="B790" s="344"/>
      <c r="C790" s="344"/>
      <c r="D790" s="345"/>
      <c r="E790" s="346"/>
      <c r="F790" s="346"/>
    </row>
    <row r="791" spans="2:6" x14ac:dyDescent="0.25">
      <c r="B791" s="344"/>
      <c r="C791" s="344"/>
      <c r="D791" s="345"/>
      <c r="E791" s="346"/>
      <c r="F791" s="346"/>
    </row>
    <row r="792" spans="2:6" x14ac:dyDescent="0.25">
      <c r="B792" s="344"/>
      <c r="C792" s="344"/>
      <c r="D792" s="345"/>
      <c r="E792" s="346"/>
      <c r="F792" s="346"/>
    </row>
    <row r="793" spans="2:6" x14ac:dyDescent="0.25">
      <c r="B793" s="344"/>
      <c r="C793" s="344"/>
      <c r="D793" s="345"/>
      <c r="E793" s="346"/>
      <c r="F793" s="346"/>
    </row>
    <row r="794" spans="2:6" x14ac:dyDescent="0.25">
      <c r="B794" s="344"/>
      <c r="C794" s="344"/>
      <c r="D794" s="345"/>
      <c r="E794" s="346"/>
      <c r="F794" s="346"/>
    </row>
    <row r="795" spans="2:6" x14ac:dyDescent="0.25">
      <c r="B795" s="344"/>
      <c r="C795" s="344"/>
      <c r="D795" s="345"/>
      <c r="E795" s="346"/>
      <c r="F795" s="346"/>
    </row>
    <row r="796" spans="2:6" x14ac:dyDescent="0.25">
      <c r="B796" s="344"/>
      <c r="C796" s="344"/>
      <c r="D796" s="345"/>
      <c r="E796" s="346"/>
      <c r="F796" s="346"/>
    </row>
    <row r="797" spans="2:6" x14ac:dyDescent="0.25">
      <c r="B797" s="344"/>
      <c r="C797" s="344"/>
      <c r="D797" s="345"/>
      <c r="E797" s="346"/>
      <c r="F797" s="346"/>
    </row>
    <row r="798" spans="2:6" x14ac:dyDescent="0.25">
      <c r="B798" s="344"/>
      <c r="C798" s="344"/>
      <c r="D798" s="345"/>
      <c r="E798" s="346"/>
      <c r="F798" s="346"/>
    </row>
    <row r="799" spans="2:6" x14ac:dyDescent="0.25">
      <c r="B799" s="344"/>
      <c r="C799" s="344"/>
      <c r="D799" s="345"/>
      <c r="E799" s="346"/>
      <c r="F799" s="346"/>
    </row>
    <row r="800" spans="2:6" x14ac:dyDescent="0.25">
      <c r="B800" s="344"/>
      <c r="C800" s="344"/>
      <c r="D800" s="345"/>
      <c r="E800" s="346"/>
      <c r="F800" s="346"/>
    </row>
    <row r="801" spans="2:6" x14ac:dyDescent="0.25">
      <c r="B801" s="344"/>
      <c r="C801" s="344"/>
      <c r="D801" s="345"/>
      <c r="E801" s="346"/>
      <c r="F801" s="346"/>
    </row>
    <row r="802" spans="2:6" x14ac:dyDescent="0.25">
      <c r="B802" s="344"/>
      <c r="C802" s="344"/>
      <c r="D802" s="345"/>
      <c r="E802" s="346"/>
      <c r="F802" s="346"/>
    </row>
    <row r="803" spans="2:6" x14ac:dyDescent="0.25">
      <c r="B803" s="344"/>
      <c r="C803" s="344"/>
      <c r="D803" s="345"/>
      <c r="E803" s="346"/>
      <c r="F803" s="346"/>
    </row>
    <row r="804" spans="2:6" x14ac:dyDescent="0.25">
      <c r="B804" s="344"/>
      <c r="C804" s="344"/>
      <c r="D804" s="345"/>
      <c r="E804" s="346"/>
      <c r="F804" s="346"/>
    </row>
    <row r="805" spans="2:6" x14ac:dyDescent="0.25">
      <c r="B805" s="344"/>
      <c r="C805" s="344"/>
      <c r="D805" s="345"/>
      <c r="E805" s="346"/>
      <c r="F805" s="346"/>
    </row>
    <row r="806" spans="2:6" x14ac:dyDescent="0.25">
      <c r="B806" s="344"/>
      <c r="C806" s="344"/>
      <c r="D806" s="345"/>
      <c r="E806" s="346"/>
      <c r="F806" s="346"/>
    </row>
    <row r="807" spans="2:6" x14ac:dyDescent="0.25">
      <c r="B807" s="344"/>
      <c r="C807" s="344"/>
      <c r="D807" s="345"/>
      <c r="E807" s="346"/>
      <c r="F807" s="346"/>
    </row>
    <row r="808" spans="2:6" x14ac:dyDescent="0.25">
      <c r="B808" s="344"/>
      <c r="C808" s="344"/>
      <c r="D808" s="345"/>
      <c r="E808" s="346"/>
      <c r="F808" s="346"/>
    </row>
    <row r="809" spans="2:6" x14ac:dyDescent="0.25">
      <c r="B809" s="344"/>
      <c r="C809" s="344"/>
      <c r="D809" s="345"/>
      <c r="E809" s="346"/>
      <c r="F809" s="346"/>
    </row>
    <row r="810" spans="2:6" x14ac:dyDescent="0.25">
      <c r="B810" s="344"/>
      <c r="C810" s="344"/>
      <c r="D810" s="345"/>
      <c r="E810" s="346"/>
      <c r="F810" s="346"/>
    </row>
    <row r="811" spans="2:6" x14ac:dyDescent="0.25">
      <c r="B811" s="344"/>
      <c r="C811" s="344"/>
      <c r="D811" s="345"/>
      <c r="E811" s="346"/>
      <c r="F811" s="346"/>
    </row>
    <row r="812" spans="2:6" x14ac:dyDescent="0.25">
      <c r="B812" s="344"/>
      <c r="C812" s="344"/>
      <c r="D812" s="345"/>
      <c r="E812" s="346"/>
      <c r="F812" s="346"/>
    </row>
    <row r="813" spans="2:6" x14ac:dyDescent="0.25">
      <c r="B813" s="344"/>
      <c r="C813" s="344"/>
      <c r="D813" s="345"/>
      <c r="E813" s="346"/>
      <c r="F813" s="346"/>
    </row>
    <row r="814" spans="2:6" x14ac:dyDescent="0.25">
      <c r="B814" s="344"/>
      <c r="C814" s="344"/>
      <c r="D814" s="345"/>
      <c r="E814" s="346"/>
      <c r="F814" s="346"/>
    </row>
    <row r="815" spans="2:6" x14ac:dyDescent="0.25">
      <c r="B815" s="344"/>
      <c r="C815" s="344"/>
      <c r="D815" s="345"/>
      <c r="E815" s="346"/>
      <c r="F815" s="346"/>
    </row>
    <row r="816" spans="2:6" x14ac:dyDescent="0.25">
      <c r="B816" s="344"/>
      <c r="C816" s="344"/>
      <c r="D816" s="345"/>
      <c r="E816" s="346"/>
      <c r="F816" s="346"/>
    </row>
    <row r="817" spans="2:6" x14ac:dyDescent="0.25">
      <c r="B817" s="344"/>
      <c r="C817" s="344"/>
      <c r="D817" s="345"/>
      <c r="E817" s="346"/>
      <c r="F817" s="346"/>
    </row>
    <row r="818" spans="2:6" x14ac:dyDescent="0.25">
      <c r="B818" s="344"/>
      <c r="C818" s="344"/>
      <c r="D818" s="345"/>
      <c r="E818" s="346"/>
      <c r="F818" s="346"/>
    </row>
    <row r="819" spans="2:6" x14ac:dyDescent="0.25">
      <c r="B819" s="344"/>
      <c r="C819" s="344"/>
      <c r="D819" s="345"/>
      <c r="E819" s="346"/>
      <c r="F819" s="346"/>
    </row>
    <row r="820" spans="2:6" x14ac:dyDescent="0.25">
      <c r="B820" s="344"/>
      <c r="C820" s="344"/>
      <c r="D820" s="345"/>
      <c r="E820" s="346"/>
      <c r="F820" s="346"/>
    </row>
    <row r="821" spans="2:6" x14ac:dyDescent="0.25">
      <c r="B821" s="344"/>
      <c r="C821" s="344"/>
      <c r="D821" s="345"/>
      <c r="E821" s="346"/>
      <c r="F821" s="346"/>
    </row>
    <row r="822" spans="2:6" x14ac:dyDescent="0.25">
      <c r="B822" s="344"/>
      <c r="C822" s="344"/>
      <c r="D822" s="345"/>
      <c r="E822" s="346"/>
      <c r="F822" s="346"/>
    </row>
    <row r="823" spans="2:6" x14ac:dyDescent="0.25">
      <c r="B823" s="344"/>
      <c r="C823" s="344"/>
      <c r="D823" s="345"/>
      <c r="E823" s="346"/>
      <c r="F823" s="346"/>
    </row>
    <row r="824" spans="2:6" x14ac:dyDescent="0.25">
      <c r="B824" s="344"/>
      <c r="C824" s="344"/>
      <c r="D824" s="345"/>
      <c r="E824" s="346"/>
      <c r="F824" s="346"/>
    </row>
    <row r="825" spans="2:6" x14ac:dyDescent="0.25">
      <c r="B825" s="344"/>
      <c r="C825" s="344"/>
      <c r="D825" s="345"/>
      <c r="E825" s="346"/>
      <c r="F825" s="346"/>
    </row>
    <row r="826" spans="2:6" x14ac:dyDescent="0.25">
      <c r="B826" s="344"/>
      <c r="C826" s="344"/>
      <c r="D826" s="345"/>
      <c r="E826" s="346"/>
      <c r="F826" s="346"/>
    </row>
    <row r="827" spans="2:6" x14ac:dyDescent="0.25">
      <c r="B827" s="344"/>
      <c r="C827" s="344"/>
      <c r="D827" s="345"/>
      <c r="E827" s="346"/>
      <c r="F827" s="346"/>
    </row>
    <row r="828" spans="2:6" x14ac:dyDescent="0.25">
      <c r="B828" s="344"/>
      <c r="C828" s="344"/>
      <c r="D828" s="345"/>
      <c r="E828" s="346"/>
      <c r="F828" s="346"/>
    </row>
    <row r="829" spans="2:6" x14ac:dyDescent="0.25">
      <c r="B829" s="344"/>
      <c r="C829" s="344"/>
      <c r="D829" s="345"/>
      <c r="E829" s="346"/>
      <c r="F829" s="346"/>
    </row>
    <row r="830" spans="2:6" x14ac:dyDescent="0.25">
      <c r="B830" s="344"/>
      <c r="C830" s="344"/>
      <c r="D830" s="345"/>
      <c r="E830" s="346"/>
      <c r="F830" s="346"/>
    </row>
    <row r="831" spans="2:6" x14ac:dyDescent="0.25">
      <c r="B831" s="344"/>
      <c r="C831" s="344"/>
      <c r="D831" s="345"/>
      <c r="E831" s="346"/>
      <c r="F831" s="346"/>
    </row>
    <row r="832" spans="2:6" x14ac:dyDescent="0.25">
      <c r="B832" s="344"/>
      <c r="C832" s="344"/>
      <c r="D832" s="345"/>
      <c r="E832" s="346"/>
      <c r="F832" s="346"/>
    </row>
    <row r="833" spans="2:6" x14ac:dyDescent="0.25">
      <c r="B833" s="344"/>
      <c r="C833" s="344"/>
      <c r="D833" s="345"/>
      <c r="E833" s="346"/>
      <c r="F833" s="346"/>
    </row>
    <row r="834" spans="2:6" x14ac:dyDescent="0.25">
      <c r="B834" s="344"/>
      <c r="C834" s="344"/>
      <c r="D834" s="345"/>
      <c r="E834" s="346"/>
      <c r="F834" s="346"/>
    </row>
    <row r="835" spans="2:6" x14ac:dyDescent="0.25">
      <c r="B835" s="344"/>
      <c r="C835" s="344"/>
      <c r="D835" s="345"/>
      <c r="E835" s="346"/>
      <c r="F835" s="346"/>
    </row>
    <row r="836" spans="2:6" x14ac:dyDescent="0.25">
      <c r="B836" s="344"/>
      <c r="C836" s="344"/>
      <c r="D836" s="345"/>
      <c r="E836" s="346"/>
      <c r="F836" s="346"/>
    </row>
    <row r="837" spans="2:6" x14ac:dyDescent="0.25">
      <c r="B837" s="344"/>
      <c r="C837" s="344"/>
      <c r="D837" s="345"/>
      <c r="E837" s="346"/>
      <c r="F837" s="346"/>
    </row>
    <row r="838" spans="2:6" x14ac:dyDescent="0.25">
      <c r="B838" s="344"/>
      <c r="C838" s="344"/>
      <c r="D838" s="345"/>
      <c r="E838" s="346"/>
      <c r="F838" s="346"/>
    </row>
    <row r="839" spans="2:6" x14ac:dyDescent="0.25">
      <c r="B839" s="344"/>
      <c r="C839" s="344"/>
      <c r="D839" s="345"/>
      <c r="E839" s="346"/>
      <c r="F839" s="346"/>
    </row>
    <row r="840" spans="2:6" x14ac:dyDescent="0.25">
      <c r="B840" s="344"/>
      <c r="C840" s="344"/>
      <c r="D840" s="345"/>
      <c r="E840" s="346"/>
      <c r="F840" s="346"/>
    </row>
    <row r="841" spans="2:6" x14ac:dyDescent="0.25">
      <c r="B841" s="344"/>
      <c r="C841" s="344"/>
      <c r="D841" s="345"/>
      <c r="E841" s="346"/>
      <c r="F841" s="346"/>
    </row>
    <row r="842" spans="2:6" x14ac:dyDescent="0.25">
      <c r="B842" s="344"/>
      <c r="C842" s="344"/>
      <c r="D842" s="345"/>
      <c r="E842" s="346"/>
      <c r="F842" s="346"/>
    </row>
    <row r="843" spans="2:6" x14ac:dyDescent="0.25">
      <c r="B843" s="344"/>
      <c r="C843" s="344"/>
      <c r="D843" s="345"/>
      <c r="E843" s="346"/>
      <c r="F843" s="346"/>
    </row>
    <row r="844" spans="2:6" x14ac:dyDescent="0.25">
      <c r="B844" s="344"/>
      <c r="C844" s="344"/>
      <c r="D844" s="345"/>
      <c r="E844" s="346"/>
      <c r="F844" s="346"/>
    </row>
    <row r="845" spans="2:6" x14ac:dyDescent="0.25">
      <c r="B845" s="344"/>
      <c r="C845" s="344"/>
      <c r="D845" s="345"/>
      <c r="E845" s="346"/>
      <c r="F845" s="346"/>
    </row>
    <row r="846" spans="2:6" x14ac:dyDescent="0.25">
      <c r="B846" s="344"/>
      <c r="C846" s="344"/>
      <c r="D846" s="345"/>
      <c r="E846" s="346"/>
      <c r="F846" s="346"/>
    </row>
    <row r="847" spans="2:6" x14ac:dyDescent="0.25">
      <c r="B847" s="344"/>
      <c r="C847" s="344"/>
      <c r="D847" s="345"/>
      <c r="E847" s="346"/>
      <c r="F847" s="346"/>
    </row>
    <row r="848" spans="2:6" x14ac:dyDescent="0.25">
      <c r="B848" s="344"/>
      <c r="C848" s="344"/>
      <c r="D848" s="345"/>
      <c r="E848" s="346"/>
      <c r="F848" s="346"/>
    </row>
    <row r="849" spans="2:6" x14ac:dyDescent="0.25">
      <c r="B849" s="344"/>
      <c r="C849" s="344"/>
      <c r="D849" s="345"/>
      <c r="E849" s="346"/>
      <c r="F849" s="346"/>
    </row>
    <row r="850" spans="2:6" x14ac:dyDescent="0.25">
      <c r="B850" s="344"/>
      <c r="C850" s="344"/>
      <c r="D850" s="345"/>
      <c r="E850" s="346"/>
      <c r="F850" s="346"/>
    </row>
    <row r="851" spans="2:6" x14ac:dyDescent="0.25">
      <c r="B851" s="344"/>
      <c r="C851" s="344"/>
      <c r="D851" s="345"/>
      <c r="E851" s="346"/>
      <c r="F851" s="346"/>
    </row>
    <row r="852" spans="2:6" x14ac:dyDescent="0.25">
      <c r="B852" s="344"/>
      <c r="C852" s="344"/>
      <c r="D852" s="345"/>
      <c r="E852" s="346"/>
      <c r="F852" s="346"/>
    </row>
    <row r="853" spans="2:6" x14ac:dyDescent="0.25">
      <c r="B853" s="344"/>
      <c r="C853" s="344"/>
      <c r="D853" s="345"/>
      <c r="E853" s="346"/>
      <c r="F853" s="346"/>
    </row>
    <row r="854" spans="2:6" x14ac:dyDescent="0.25">
      <c r="B854" s="344"/>
      <c r="C854" s="344"/>
      <c r="D854" s="345"/>
      <c r="E854" s="346"/>
      <c r="F854" s="346"/>
    </row>
    <row r="855" spans="2:6" x14ac:dyDescent="0.25">
      <c r="B855" s="344"/>
      <c r="C855" s="344"/>
      <c r="D855" s="345"/>
      <c r="E855" s="346"/>
      <c r="F855" s="346"/>
    </row>
    <row r="856" spans="2:6" x14ac:dyDescent="0.25">
      <c r="B856" s="344"/>
      <c r="C856" s="344"/>
      <c r="D856" s="345"/>
      <c r="E856" s="346"/>
      <c r="F856" s="346"/>
    </row>
    <row r="857" spans="2:6" x14ac:dyDescent="0.25">
      <c r="B857" s="344"/>
      <c r="C857" s="344"/>
      <c r="D857" s="345"/>
      <c r="E857" s="346"/>
      <c r="F857" s="346"/>
    </row>
    <row r="858" spans="2:6" x14ac:dyDescent="0.25">
      <c r="B858" s="344"/>
      <c r="C858" s="344"/>
      <c r="D858" s="345"/>
      <c r="E858" s="346"/>
      <c r="F858" s="346"/>
    </row>
    <row r="859" spans="2:6" x14ac:dyDescent="0.25">
      <c r="B859" s="344"/>
      <c r="C859" s="344"/>
      <c r="D859" s="345"/>
      <c r="E859" s="346"/>
      <c r="F859" s="346"/>
    </row>
    <row r="860" spans="2:6" x14ac:dyDescent="0.25">
      <c r="B860" s="344"/>
      <c r="C860" s="344"/>
      <c r="D860" s="345"/>
      <c r="E860" s="346"/>
      <c r="F860" s="346"/>
    </row>
    <row r="861" spans="2:6" x14ac:dyDescent="0.25">
      <c r="B861" s="344"/>
      <c r="C861" s="344"/>
      <c r="D861" s="345"/>
      <c r="E861" s="346"/>
      <c r="F861" s="346"/>
    </row>
    <row r="862" spans="2:6" x14ac:dyDescent="0.25">
      <c r="B862" s="344"/>
      <c r="C862" s="344"/>
      <c r="D862" s="345"/>
      <c r="E862" s="346"/>
      <c r="F862" s="346"/>
    </row>
    <row r="863" spans="2:6" x14ac:dyDescent="0.25">
      <c r="B863" s="344"/>
      <c r="C863" s="344"/>
      <c r="D863" s="345"/>
      <c r="E863" s="346"/>
      <c r="F863" s="346"/>
    </row>
    <row r="864" spans="2:6" x14ac:dyDescent="0.25">
      <c r="B864" s="344"/>
      <c r="C864" s="344"/>
      <c r="D864" s="345"/>
      <c r="E864" s="346"/>
      <c r="F864" s="346"/>
    </row>
    <row r="865" spans="2:6" x14ac:dyDescent="0.25">
      <c r="B865" s="344"/>
      <c r="C865" s="344"/>
      <c r="D865" s="345"/>
      <c r="E865" s="346"/>
      <c r="F865" s="346"/>
    </row>
    <row r="866" spans="2:6" x14ac:dyDescent="0.25">
      <c r="B866" s="344"/>
      <c r="C866" s="344"/>
      <c r="D866" s="345"/>
      <c r="E866" s="346"/>
      <c r="F866" s="346"/>
    </row>
    <row r="867" spans="2:6" x14ac:dyDescent="0.25">
      <c r="B867" s="344"/>
      <c r="C867" s="344"/>
      <c r="D867" s="345"/>
      <c r="E867" s="346"/>
      <c r="F867" s="346"/>
    </row>
    <row r="868" spans="2:6" x14ac:dyDescent="0.25">
      <c r="B868" s="344"/>
      <c r="C868" s="344"/>
      <c r="D868" s="345"/>
      <c r="E868" s="346"/>
      <c r="F868" s="346"/>
    </row>
    <row r="869" spans="2:6" x14ac:dyDescent="0.25">
      <c r="B869" s="344"/>
      <c r="C869" s="344"/>
      <c r="D869" s="345"/>
      <c r="E869" s="346"/>
      <c r="F869" s="346"/>
    </row>
    <row r="870" spans="2:6" x14ac:dyDescent="0.25">
      <c r="B870" s="344"/>
      <c r="C870" s="344"/>
      <c r="D870" s="345"/>
      <c r="E870" s="346"/>
      <c r="F870" s="346"/>
    </row>
    <row r="871" spans="2:6" x14ac:dyDescent="0.25">
      <c r="B871" s="344"/>
      <c r="C871" s="344"/>
      <c r="D871" s="345"/>
      <c r="E871" s="346"/>
      <c r="F871" s="346"/>
    </row>
    <row r="872" spans="2:6" x14ac:dyDescent="0.25">
      <c r="B872" s="344"/>
      <c r="C872" s="344"/>
      <c r="D872" s="345"/>
      <c r="E872" s="346"/>
      <c r="F872" s="346"/>
    </row>
    <row r="873" spans="2:6" x14ac:dyDescent="0.25">
      <c r="B873" s="344"/>
      <c r="C873" s="344"/>
      <c r="D873" s="345"/>
      <c r="E873" s="346"/>
      <c r="F873" s="346"/>
    </row>
    <row r="874" spans="2:6" x14ac:dyDescent="0.25">
      <c r="B874" s="344"/>
      <c r="C874" s="344"/>
      <c r="D874" s="345"/>
      <c r="E874" s="346"/>
      <c r="F874" s="346"/>
    </row>
    <row r="875" spans="2:6" x14ac:dyDescent="0.25">
      <c r="B875" s="344"/>
      <c r="C875" s="344"/>
      <c r="D875" s="345"/>
      <c r="E875" s="346"/>
      <c r="F875" s="346"/>
    </row>
    <row r="876" spans="2:6" x14ac:dyDescent="0.25">
      <c r="B876" s="344"/>
      <c r="C876" s="344"/>
      <c r="D876" s="345"/>
      <c r="E876" s="346"/>
      <c r="F876" s="346"/>
    </row>
    <row r="877" spans="2:6" x14ac:dyDescent="0.25">
      <c r="B877" s="344"/>
      <c r="C877" s="344"/>
      <c r="D877" s="345"/>
      <c r="E877" s="346"/>
      <c r="F877" s="346"/>
    </row>
    <row r="878" spans="2:6" x14ac:dyDescent="0.25">
      <c r="B878" s="344"/>
      <c r="C878" s="344"/>
      <c r="D878" s="345"/>
      <c r="E878" s="346"/>
      <c r="F878" s="346"/>
    </row>
    <row r="879" spans="2:6" x14ac:dyDescent="0.25">
      <c r="B879" s="344"/>
      <c r="C879" s="344"/>
      <c r="D879" s="345"/>
      <c r="E879" s="346"/>
      <c r="F879" s="346"/>
    </row>
    <row r="880" spans="2:6" x14ac:dyDescent="0.25">
      <c r="B880" s="344"/>
      <c r="C880" s="344"/>
      <c r="D880" s="345"/>
      <c r="E880" s="346"/>
      <c r="F880" s="346"/>
    </row>
    <row r="881" spans="2:6" x14ac:dyDescent="0.25">
      <c r="B881" s="344"/>
      <c r="C881" s="344"/>
      <c r="D881" s="345"/>
      <c r="E881" s="346"/>
      <c r="F881" s="346"/>
    </row>
    <row r="882" spans="2:6" x14ac:dyDescent="0.25">
      <c r="B882" s="344"/>
      <c r="C882" s="344"/>
      <c r="D882" s="345"/>
      <c r="E882" s="346"/>
      <c r="F882" s="346"/>
    </row>
    <row r="883" spans="2:6" x14ac:dyDescent="0.25">
      <c r="B883" s="344"/>
      <c r="C883" s="344"/>
      <c r="D883" s="345"/>
      <c r="E883" s="346"/>
      <c r="F883" s="346"/>
    </row>
    <row r="884" spans="2:6" x14ac:dyDescent="0.25">
      <c r="B884" s="344"/>
      <c r="C884" s="344"/>
      <c r="D884" s="345"/>
      <c r="E884" s="346"/>
      <c r="F884" s="346"/>
    </row>
    <row r="885" spans="2:6" x14ac:dyDescent="0.25">
      <c r="B885" s="344"/>
      <c r="C885" s="344"/>
      <c r="D885" s="345"/>
      <c r="E885" s="346"/>
      <c r="F885" s="346"/>
    </row>
    <row r="886" spans="2:6" x14ac:dyDescent="0.25">
      <c r="B886" s="344"/>
      <c r="C886" s="344"/>
      <c r="D886" s="345"/>
      <c r="E886" s="346"/>
      <c r="F886" s="346"/>
    </row>
    <row r="887" spans="2:6" x14ac:dyDescent="0.25">
      <c r="B887" s="344"/>
      <c r="C887" s="344"/>
      <c r="D887" s="345"/>
      <c r="E887" s="346"/>
      <c r="F887" s="346"/>
    </row>
    <row r="888" spans="2:6" x14ac:dyDescent="0.25">
      <c r="B888" s="344"/>
      <c r="C888" s="344"/>
      <c r="D888" s="345"/>
      <c r="E888" s="346"/>
      <c r="F888" s="346"/>
    </row>
    <row r="889" spans="2:6" x14ac:dyDescent="0.25">
      <c r="B889" s="344"/>
      <c r="C889" s="344"/>
      <c r="D889" s="345"/>
      <c r="E889" s="346"/>
      <c r="F889" s="346"/>
    </row>
    <row r="890" spans="2:6" x14ac:dyDescent="0.25">
      <c r="B890" s="344"/>
      <c r="C890" s="344"/>
      <c r="D890" s="345"/>
      <c r="E890" s="346"/>
      <c r="F890" s="346"/>
    </row>
    <row r="891" spans="2:6" x14ac:dyDescent="0.25">
      <c r="B891" s="344"/>
      <c r="C891" s="344"/>
      <c r="D891" s="345"/>
      <c r="E891" s="346"/>
      <c r="F891" s="346"/>
    </row>
    <row r="892" spans="2:6" x14ac:dyDescent="0.25">
      <c r="B892" s="344"/>
      <c r="C892" s="344"/>
      <c r="D892" s="345"/>
      <c r="E892" s="346"/>
      <c r="F892" s="346"/>
    </row>
    <row r="893" spans="2:6" x14ac:dyDescent="0.25">
      <c r="B893" s="344"/>
      <c r="C893" s="344"/>
      <c r="D893" s="345"/>
      <c r="E893" s="346"/>
      <c r="F893" s="346"/>
    </row>
    <row r="894" spans="2:6" x14ac:dyDescent="0.25">
      <c r="B894" s="344"/>
      <c r="C894" s="344"/>
      <c r="D894" s="345"/>
      <c r="E894" s="346"/>
      <c r="F894" s="346"/>
    </row>
    <row r="895" spans="2:6" x14ac:dyDescent="0.25">
      <c r="B895" s="344"/>
      <c r="C895" s="344"/>
      <c r="D895" s="345"/>
      <c r="E895" s="346"/>
      <c r="F895" s="346"/>
    </row>
    <row r="896" spans="2:6" x14ac:dyDescent="0.25">
      <c r="B896" s="344"/>
      <c r="C896" s="344"/>
      <c r="D896" s="345"/>
      <c r="E896" s="346"/>
      <c r="F896" s="346"/>
    </row>
    <row r="897" spans="2:6" x14ac:dyDescent="0.25">
      <c r="B897" s="344"/>
      <c r="C897" s="344"/>
      <c r="D897" s="345"/>
      <c r="E897" s="346"/>
      <c r="F897" s="346"/>
    </row>
    <row r="898" spans="2:6" x14ac:dyDescent="0.25">
      <c r="B898" s="344"/>
      <c r="C898" s="344"/>
      <c r="D898" s="345"/>
      <c r="E898" s="346"/>
      <c r="F898" s="346"/>
    </row>
    <row r="899" spans="2:6" x14ac:dyDescent="0.25">
      <c r="B899" s="344"/>
      <c r="C899" s="344"/>
      <c r="D899" s="345"/>
      <c r="E899" s="346"/>
      <c r="F899" s="346"/>
    </row>
    <row r="900" spans="2:6" x14ac:dyDescent="0.25">
      <c r="B900" s="344"/>
      <c r="C900" s="344"/>
      <c r="D900" s="345"/>
      <c r="E900" s="346"/>
      <c r="F900" s="346"/>
    </row>
    <row r="901" spans="2:6" x14ac:dyDescent="0.25">
      <c r="B901" s="344"/>
      <c r="C901" s="344"/>
      <c r="D901" s="345"/>
      <c r="E901" s="346"/>
      <c r="F901" s="346"/>
    </row>
    <row r="902" spans="2:6" x14ac:dyDescent="0.25">
      <c r="B902" s="344"/>
      <c r="C902" s="344"/>
      <c r="D902" s="345"/>
      <c r="E902" s="346"/>
      <c r="F902" s="346"/>
    </row>
    <row r="903" spans="2:6" x14ac:dyDescent="0.25">
      <c r="B903" s="344"/>
      <c r="C903" s="344"/>
      <c r="D903" s="345"/>
      <c r="E903" s="346"/>
      <c r="F903" s="346"/>
    </row>
    <row r="904" spans="2:6" x14ac:dyDescent="0.25">
      <c r="B904" s="344"/>
      <c r="C904" s="344"/>
      <c r="D904" s="345"/>
      <c r="E904" s="346"/>
      <c r="F904" s="346"/>
    </row>
    <row r="905" spans="2:6" x14ac:dyDescent="0.25">
      <c r="B905" s="344"/>
      <c r="C905" s="344"/>
      <c r="D905" s="345"/>
      <c r="E905" s="346"/>
      <c r="F905" s="346"/>
    </row>
    <row r="906" spans="2:6" x14ac:dyDescent="0.25">
      <c r="B906" s="344"/>
      <c r="C906" s="344"/>
      <c r="D906" s="345"/>
      <c r="E906" s="346"/>
      <c r="F906" s="346"/>
    </row>
    <row r="907" spans="2:6" x14ac:dyDescent="0.25">
      <c r="B907" s="344"/>
      <c r="C907" s="344"/>
      <c r="D907" s="345"/>
      <c r="E907" s="346"/>
      <c r="F907" s="346"/>
    </row>
    <row r="908" spans="2:6" x14ac:dyDescent="0.25">
      <c r="B908" s="344"/>
      <c r="C908" s="344"/>
      <c r="D908" s="345"/>
      <c r="E908" s="346"/>
      <c r="F908" s="346"/>
    </row>
    <row r="909" spans="2:6" x14ac:dyDescent="0.25">
      <c r="B909" s="344"/>
      <c r="C909" s="344"/>
      <c r="D909" s="345"/>
      <c r="E909" s="346"/>
      <c r="F909" s="346"/>
    </row>
    <row r="910" spans="2:6" x14ac:dyDescent="0.25">
      <c r="B910" s="344"/>
      <c r="C910" s="344"/>
      <c r="D910" s="345"/>
      <c r="E910" s="346"/>
      <c r="F910" s="346"/>
    </row>
    <row r="911" spans="2:6" x14ac:dyDescent="0.25">
      <c r="B911" s="344"/>
      <c r="C911" s="344"/>
      <c r="D911" s="345"/>
      <c r="E911" s="346"/>
      <c r="F911" s="346"/>
    </row>
    <row r="912" spans="2:6" x14ac:dyDescent="0.25">
      <c r="B912" s="344"/>
      <c r="C912" s="344"/>
      <c r="D912" s="345"/>
      <c r="E912" s="346"/>
      <c r="F912" s="346"/>
    </row>
    <row r="913" spans="2:6" x14ac:dyDescent="0.25">
      <c r="B913" s="344"/>
      <c r="C913" s="344"/>
      <c r="D913" s="345"/>
      <c r="E913" s="346"/>
      <c r="F913" s="346"/>
    </row>
    <row r="914" spans="2:6" x14ac:dyDescent="0.25">
      <c r="B914" s="344"/>
      <c r="C914" s="344"/>
      <c r="D914" s="345"/>
      <c r="E914" s="346"/>
      <c r="F914" s="346"/>
    </row>
    <row r="915" spans="2:6" x14ac:dyDescent="0.25">
      <c r="B915" s="344"/>
      <c r="C915" s="344"/>
      <c r="D915" s="345"/>
      <c r="E915" s="346"/>
      <c r="F915" s="346"/>
    </row>
    <row r="916" spans="2:6" x14ac:dyDescent="0.25">
      <c r="B916" s="344"/>
      <c r="C916" s="344"/>
      <c r="D916" s="345"/>
      <c r="E916" s="346"/>
      <c r="F916" s="346"/>
    </row>
    <row r="917" spans="2:6" x14ac:dyDescent="0.25">
      <c r="B917" s="344"/>
      <c r="C917" s="344"/>
      <c r="D917" s="345"/>
      <c r="E917" s="346"/>
      <c r="F917" s="346"/>
    </row>
    <row r="918" spans="2:6" x14ac:dyDescent="0.25">
      <c r="B918" s="344"/>
      <c r="C918" s="344"/>
      <c r="D918" s="345"/>
      <c r="E918" s="346"/>
      <c r="F918" s="346"/>
    </row>
    <row r="919" spans="2:6" x14ac:dyDescent="0.25">
      <c r="B919" s="344"/>
      <c r="C919" s="344"/>
      <c r="D919" s="345"/>
      <c r="E919" s="346"/>
      <c r="F919" s="346"/>
    </row>
    <row r="920" spans="2:6" x14ac:dyDescent="0.25">
      <c r="B920" s="344"/>
      <c r="C920" s="344"/>
      <c r="D920" s="345"/>
      <c r="E920" s="346"/>
      <c r="F920" s="346"/>
    </row>
    <row r="921" spans="2:6" x14ac:dyDescent="0.25">
      <c r="B921" s="344"/>
      <c r="C921" s="344"/>
      <c r="D921" s="345"/>
      <c r="E921" s="346"/>
      <c r="F921" s="346"/>
    </row>
    <row r="922" spans="2:6" x14ac:dyDescent="0.25">
      <c r="B922" s="344"/>
      <c r="C922" s="344"/>
      <c r="D922" s="345"/>
      <c r="E922" s="346"/>
      <c r="F922" s="346"/>
    </row>
    <row r="923" spans="2:6" x14ac:dyDescent="0.25">
      <c r="B923" s="344"/>
      <c r="C923" s="344"/>
      <c r="D923" s="345"/>
      <c r="E923" s="346"/>
      <c r="F923" s="346"/>
    </row>
    <row r="924" spans="2:6" x14ac:dyDescent="0.25">
      <c r="B924" s="344"/>
      <c r="C924" s="344"/>
      <c r="D924" s="345"/>
      <c r="E924" s="346"/>
      <c r="F924" s="346"/>
    </row>
    <row r="925" spans="2:6" x14ac:dyDescent="0.25">
      <c r="B925" s="344"/>
      <c r="C925" s="344"/>
      <c r="D925" s="345"/>
      <c r="E925" s="346"/>
      <c r="F925" s="346"/>
    </row>
    <row r="926" spans="2:6" x14ac:dyDescent="0.25">
      <c r="B926" s="344"/>
      <c r="C926" s="344"/>
      <c r="D926" s="345"/>
      <c r="E926" s="346"/>
      <c r="F926" s="346"/>
    </row>
    <row r="927" spans="2:6" x14ac:dyDescent="0.25">
      <c r="B927" s="344"/>
      <c r="C927" s="344"/>
      <c r="D927" s="345"/>
      <c r="E927" s="346"/>
      <c r="F927" s="346"/>
    </row>
    <row r="928" spans="2:6" x14ac:dyDescent="0.25">
      <c r="B928" s="344"/>
      <c r="C928" s="344"/>
      <c r="D928" s="345"/>
      <c r="E928" s="346"/>
      <c r="F928" s="346"/>
    </row>
    <row r="929" spans="2:6" x14ac:dyDescent="0.25">
      <c r="B929" s="344"/>
      <c r="C929" s="344"/>
      <c r="D929" s="345"/>
      <c r="E929" s="346"/>
      <c r="F929" s="346"/>
    </row>
    <row r="930" spans="2:6" x14ac:dyDescent="0.25">
      <c r="B930" s="344"/>
      <c r="C930" s="344"/>
      <c r="D930" s="345"/>
      <c r="E930" s="346"/>
      <c r="F930" s="346"/>
    </row>
    <row r="931" spans="2:6" x14ac:dyDescent="0.25">
      <c r="B931" s="344"/>
      <c r="C931" s="344"/>
      <c r="D931" s="345"/>
      <c r="E931" s="346"/>
      <c r="F931" s="346"/>
    </row>
    <row r="932" spans="2:6" x14ac:dyDescent="0.25">
      <c r="B932" s="344"/>
      <c r="C932" s="344"/>
      <c r="D932" s="345"/>
      <c r="E932" s="346"/>
      <c r="F932" s="346"/>
    </row>
    <row r="933" spans="2:6" x14ac:dyDescent="0.25">
      <c r="B933" s="344"/>
      <c r="C933" s="344"/>
      <c r="D933" s="345"/>
      <c r="E933" s="346"/>
      <c r="F933" s="346"/>
    </row>
    <row r="934" spans="2:6" x14ac:dyDescent="0.25">
      <c r="B934" s="344"/>
      <c r="C934" s="344"/>
      <c r="D934" s="345"/>
      <c r="E934" s="346"/>
      <c r="F934" s="346"/>
    </row>
    <row r="935" spans="2:6" x14ac:dyDescent="0.25">
      <c r="B935" s="344"/>
      <c r="C935" s="344"/>
      <c r="D935" s="345"/>
      <c r="E935" s="346"/>
      <c r="F935" s="346"/>
    </row>
    <row r="936" spans="2:6" x14ac:dyDescent="0.25">
      <c r="B936" s="344"/>
      <c r="C936" s="344"/>
      <c r="D936" s="345"/>
      <c r="E936" s="346"/>
      <c r="F936" s="346"/>
    </row>
    <row r="937" spans="2:6" x14ac:dyDescent="0.25">
      <c r="B937" s="344"/>
      <c r="C937" s="344"/>
      <c r="D937" s="345"/>
      <c r="E937" s="346"/>
      <c r="F937" s="346"/>
    </row>
    <row r="938" spans="2:6" x14ac:dyDescent="0.25">
      <c r="B938" s="344"/>
      <c r="C938" s="344"/>
      <c r="D938" s="345"/>
      <c r="E938" s="346"/>
      <c r="F938" s="346"/>
    </row>
    <row r="939" spans="2:6" x14ac:dyDescent="0.25">
      <c r="B939" s="344"/>
      <c r="C939" s="344"/>
      <c r="D939" s="345"/>
      <c r="E939" s="346"/>
      <c r="F939" s="346"/>
    </row>
    <row r="940" spans="2:6" x14ac:dyDescent="0.25">
      <c r="B940" s="344"/>
      <c r="C940" s="344"/>
      <c r="D940" s="345"/>
      <c r="E940" s="346"/>
      <c r="F940" s="346"/>
    </row>
    <row r="941" spans="2:6" x14ac:dyDescent="0.25">
      <c r="B941" s="344"/>
      <c r="C941" s="344"/>
      <c r="D941" s="345"/>
      <c r="E941" s="346"/>
      <c r="F941" s="346"/>
    </row>
    <row r="942" spans="2:6" x14ac:dyDescent="0.25">
      <c r="B942" s="344"/>
      <c r="C942" s="344"/>
      <c r="D942" s="345"/>
      <c r="E942" s="346"/>
      <c r="F942" s="346"/>
    </row>
    <row r="943" spans="2:6" x14ac:dyDescent="0.25">
      <c r="B943" s="344"/>
      <c r="C943" s="344"/>
      <c r="D943" s="345"/>
      <c r="E943" s="346"/>
      <c r="F943" s="346"/>
    </row>
    <row r="944" spans="2:6" x14ac:dyDescent="0.25">
      <c r="B944" s="344"/>
      <c r="C944" s="344"/>
      <c r="D944" s="345"/>
      <c r="E944" s="346"/>
      <c r="F944" s="346"/>
    </row>
    <row r="945" spans="2:6" x14ac:dyDescent="0.25">
      <c r="B945" s="344"/>
      <c r="C945" s="344"/>
      <c r="D945" s="345"/>
      <c r="E945" s="346"/>
      <c r="F945" s="346"/>
    </row>
    <row r="946" spans="2:6" x14ac:dyDescent="0.25">
      <c r="B946" s="344"/>
      <c r="C946" s="344"/>
      <c r="D946" s="345"/>
      <c r="E946" s="346"/>
      <c r="F946" s="346"/>
    </row>
    <row r="947" spans="2:6" x14ac:dyDescent="0.25">
      <c r="B947" s="344"/>
      <c r="C947" s="344"/>
      <c r="D947" s="345"/>
      <c r="E947" s="346"/>
      <c r="F947" s="346"/>
    </row>
    <row r="948" spans="2:6" x14ac:dyDescent="0.25">
      <c r="B948" s="344"/>
      <c r="C948" s="344"/>
      <c r="D948" s="345"/>
      <c r="E948" s="346"/>
      <c r="F948" s="346"/>
    </row>
    <row r="949" spans="2:6" x14ac:dyDescent="0.25">
      <c r="B949" s="344"/>
      <c r="C949" s="344"/>
      <c r="D949" s="345"/>
      <c r="E949" s="346"/>
      <c r="F949" s="346"/>
    </row>
    <row r="950" spans="2:6" x14ac:dyDescent="0.25">
      <c r="B950" s="344"/>
      <c r="C950" s="344"/>
      <c r="D950" s="345"/>
      <c r="E950" s="346"/>
      <c r="F950" s="346"/>
    </row>
    <row r="951" spans="2:6" x14ac:dyDescent="0.25">
      <c r="B951" s="344"/>
      <c r="C951" s="344"/>
      <c r="D951" s="345"/>
      <c r="E951" s="346"/>
      <c r="F951" s="346"/>
    </row>
    <row r="952" spans="2:6" x14ac:dyDescent="0.25">
      <c r="B952" s="344"/>
      <c r="C952" s="344"/>
      <c r="D952" s="345"/>
      <c r="E952" s="346"/>
      <c r="F952" s="346"/>
    </row>
    <row r="953" spans="2:6" x14ac:dyDescent="0.25">
      <c r="B953" s="344"/>
      <c r="C953" s="344"/>
      <c r="D953" s="345"/>
      <c r="E953" s="346"/>
      <c r="F953" s="346"/>
    </row>
    <row r="954" spans="2:6" x14ac:dyDescent="0.25">
      <c r="B954" s="344"/>
      <c r="C954" s="344"/>
      <c r="D954" s="345"/>
      <c r="E954" s="346"/>
      <c r="F954" s="346"/>
    </row>
    <row r="955" spans="2:6" x14ac:dyDescent="0.25">
      <c r="B955" s="344"/>
      <c r="C955" s="344"/>
      <c r="D955" s="345"/>
      <c r="E955" s="346"/>
      <c r="F955" s="346"/>
    </row>
    <row r="956" spans="2:6" x14ac:dyDescent="0.25">
      <c r="B956" s="344"/>
      <c r="C956" s="344"/>
      <c r="D956" s="345"/>
      <c r="E956" s="346"/>
      <c r="F956" s="346"/>
    </row>
    <row r="957" spans="2:6" x14ac:dyDescent="0.25">
      <c r="B957" s="344"/>
      <c r="C957" s="344"/>
      <c r="D957" s="345"/>
      <c r="E957" s="346"/>
      <c r="F957" s="346"/>
    </row>
    <row r="958" spans="2:6" x14ac:dyDescent="0.25">
      <c r="B958" s="344"/>
      <c r="C958" s="344"/>
      <c r="D958" s="345"/>
      <c r="E958" s="346"/>
      <c r="F958" s="346"/>
    </row>
    <row r="959" spans="2:6" x14ac:dyDescent="0.25">
      <c r="B959" s="344"/>
      <c r="C959" s="344"/>
      <c r="D959" s="345"/>
      <c r="E959" s="346"/>
      <c r="F959" s="346"/>
    </row>
    <row r="960" spans="2:6" x14ac:dyDescent="0.25">
      <c r="B960" s="344"/>
      <c r="C960" s="344"/>
      <c r="D960" s="345"/>
      <c r="E960" s="346"/>
      <c r="F960" s="346"/>
    </row>
    <row r="961" spans="2:6" x14ac:dyDescent="0.25">
      <c r="B961" s="344"/>
      <c r="C961" s="344"/>
      <c r="D961" s="345"/>
      <c r="E961" s="346"/>
      <c r="F961" s="346"/>
    </row>
    <row r="962" spans="2:6" x14ac:dyDescent="0.25">
      <c r="B962" s="344"/>
      <c r="C962" s="344"/>
      <c r="D962" s="345"/>
      <c r="E962" s="346"/>
      <c r="F962" s="346"/>
    </row>
    <row r="963" spans="2:6" x14ac:dyDescent="0.25">
      <c r="B963" s="344"/>
      <c r="C963" s="344"/>
      <c r="D963" s="345"/>
      <c r="E963" s="346"/>
      <c r="F963" s="346"/>
    </row>
    <row r="964" spans="2:6" x14ac:dyDescent="0.25">
      <c r="B964" s="344"/>
      <c r="C964" s="344"/>
      <c r="D964" s="345"/>
      <c r="E964" s="346"/>
      <c r="F964" s="346"/>
    </row>
    <row r="965" spans="2:6" x14ac:dyDescent="0.25">
      <c r="B965" s="344"/>
      <c r="C965" s="344"/>
      <c r="D965" s="345"/>
      <c r="E965" s="346"/>
      <c r="F965" s="346"/>
    </row>
    <row r="966" spans="2:6" x14ac:dyDescent="0.25">
      <c r="B966" s="344"/>
      <c r="C966" s="344"/>
      <c r="D966" s="345"/>
      <c r="E966" s="346"/>
      <c r="F966" s="346"/>
    </row>
    <row r="967" spans="2:6" x14ac:dyDescent="0.25">
      <c r="B967" s="344"/>
      <c r="C967" s="344"/>
      <c r="D967" s="345"/>
      <c r="E967" s="346"/>
      <c r="F967" s="346"/>
    </row>
    <row r="968" spans="2:6" x14ac:dyDescent="0.25">
      <c r="B968" s="344"/>
      <c r="C968" s="344"/>
      <c r="D968" s="345"/>
      <c r="E968" s="346"/>
      <c r="F968" s="346"/>
    </row>
    <row r="969" spans="2:6" x14ac:dyDescent="0.25">
      <c r="B969" s="344"/>
      <c r="C969" s="344"/>
      <c r="D969" s="345"/>
      <c r="E969" s="346"/>
      <c r="F969" s="346"/>
    </row>
    <row r="970" spans="2:6" x14ac:dyDescent="0.25">
      <c r="B970" s="344"/>
      <c r="C970" s="344"/>
      <c r="D970" s="345"/>
      <c r="E970" s="346"/>
      <c r="F970" s="346"/>
    </row>
    <row r="971" spans="2:6" x14ac:dyDescent="0.25">
      <c r="B971" s="344"/>
      <c r="C971" s="344"/>
      <c r="D971" s="345"/>
      <c r="E971" s="346"/>
      <c r="F971" s="346"/>
    </row>
    <row r="972" spans="2:6" x14ac:dyDescent="0.25">
      <c r="B972" s="344"/>
      <c r="C972" s="344"/>
      <c r="D972" s="345"/>
      <c r="E972" s="346"/>
      <c r="F972" s="346"/>
    </row>
    <row r="973" spans="2:6" x14ac:dyDescent="0.25">
      <c r="B973" s="344"/>
      <c r="C973" s="344"/>
      <c r="D973" s="345"/>
      <c r="E973" s="346"/>
      <c r="F973" s="346"/>
    </row>
    <row r="974" spans="2:6" x14ac:dyDescent="0.25">
      <c r="B974" s="344"/>
      <c r="C974" s="344"/>
      <c r="D974" s="345"/>
      <c r="E974" s="346"/>
      <c r="F974" s="346"/>
    </row>
    <row r="975" spans="2:6" x14ac:dyDescent="0.25">
      <c r="B975" s="344"/>
      <c r="C975" s="344"/>
      <c r="D975" s="345"/>
      <c r="E975" s="346"/>
      <c r="F975" s="346"/>
    </row>
    <row r="976" spans="2:6" x14ac:dyDescent="0.25">
      <c r="B976" s="344"/>
      <c r="C976" s="344"/>
      <c r="D976" s="345"/>
      <c r="E976" s="346"/>
      <c r="F976" s="346"/>
    </row>
    <row r="977" spans="2:6" x14ac:dyDescent="0.25">
      <c r="B977" s="344"/>
      <c r="C977" s="344"/>
      <c r="D977" s="345"/>
      <c r="E977" s="346"/>
      <c r="F977" s="346"/>
    </row>
    <row r="978" spans="2:6" x14ac:dyDescent="0.25">
      <c r="B978" s="344"/>
      <c r="C978" s="344"/>
      <c r="D978" s="345"/>
      <c r="E978" s="346"/>
      <c r="F978" s="346"/>
    </row>
    <row r="979" spans="2:6" x14ac:dyDescent="0.25">
      <c r="B979" s="344"/>
      <c r="C979" s="344"/>
      <c r="D979" s="345"/>
      <c r="E979" s="346"/>
      <c r="F979" s="346"/>
    </row>
    <row r="980" spans="2:6" x14ac:dyDescent="0.25">
      <c r="B980" s="344"/>
      <c r="C980" s="344"/>
      <c r="D980" s="345"/>
      <c r="E980" s="346"/>
      <c r="F980" s="346"/>
    </row>
    <row r="981" spans="2:6" x14ac:dyDescent="0.25">
      <c r="B981" s="344"/>
      <c r="C981" s="344"/>
      <c r="D981" s="345"/>
      <c r="E981" s="346"/>
      <c r="F981" s="346"/>
    </row>
    <row r="982" spans="2:6" x14ac:dyDescent="0.25">
      <c r="B982" s="344"/>
      <c r="C982" s="344"/>
      <c r="D982" s="345"/>
      <c r="E982" s="346"/>
      <c r="F982" s="346"/>
    </row>
    <row r="983" spans="2:6" x14ac:dyDescent="0.25">
      <c r="B983" s="344"/>
      <c r="C983" s="344"/>
      <c r="D983" s="345"/>
      <c r="E983" s="346"/>
      <c r="F983" s="346"/>
    </row>
    <row r="984" spans="2:6" x14ac:dyDescent="0.25">
      <c r="B984" s="344"/>
      <c r="C984" s="344"/>
      <c r="D984" s="345"/>
      <c r="E984" s="346"/>
      <c r="F984" s="346"/>
    </row>
    <row r="985" spans="2:6" x14ac:dyDescent="0.25">
      <c r="B985" s="344"/>
      <c r="C985" s="344"/>
      <c r="D985" s="345"/>
      <c r="E985" s="346"/>
      <c r="F985" s="346"/>
    </row>
    <row r="986" spans="2:6" x14ac:dyDescent="0.25">
      <c r="B986" s="344"/>
      <c r="C986" s="344"/>
      <c r="D986" s="345"/>
      <c r="E986" s="346"/>
      <c r="F986" s="346"/>
    </row>
    <row r="987" spans="2:6" x14ac:dyDescent="0.25">
      <c r="B987" s="344"/>
      <c r="C987" s="344"/>
      <c r="D987" s="345"/>
      <c r="E987" s="346"/>
      <c r="F987" s="346"/>
    </row>
    <row r="988" spans="2:6" x14ac:dyDescent="0.25">
      <c r="B988" s="344"/>
      <c r="C988" s="344"/>
      <c r="D988" s="345"/>
      <c r="E988" s="346"/>
      <c r="F988" s="346"/>
    </row>
    <row r="989" spans="2:6" x14ac:dyDescent="0.25">
      <c r="B989" s="344"/>
      <c r="C989" s="344"/>
      <c r="D989" s="345"/>
      <c r="E989" s="346"/>
      <c r="F989" s="346"/>
    </row>
    <row r="990" spans="2:6" x14ac:dyDescent="0.25">
      <c r="B990" s="344"/>
      <c r="C990" s="344"/>
      <c r="D990" s="345"/>
      <c r="E990" s="346"/>
      <c r="F990" s="346"/>
    </row>
    <row r="991" spans="2:6" x14ac:dyDescent="0.25">
      <c r="B991" s="344"/>
      <c r="C991" s="344"/>
      <c r="D991" s="345"/>
      <c r="E991" s="346"/>
      <c r="F991" s="346"/>
    </row>
    <row r="992" spans="2:6" x14ac:dyDescent="0.25">
      <c r="B992" s="344"/>
      <c r="C992" s="344"/>
      <c r="D992" s="345"/>
      <c r="E992" s="346"/>
      <c r="F992" s="346"/>
    </row>
    <row r="993" spans="2:6" x14ac:dyDescent="0.25">
      <c r="B993" s="344"/>
      <c r="C993" s="344"/>
      <c r="D993" s="345"/>
      <c r="E993" s="346"/>
      <c r="F993" s="346"/>
    </row>
    <row r="994" spans="2:6" x14ac:dyDescent="0.25">
      <c r="B994" s="344"/>
      <c r="C994" s="344"/>
      <c r="D994" s="345"/>
      <c r="E994" s="346"/>
      <c r="F994" s="346"/>
    </row>
    <row r="995" spans="2:6" x14ac:dyDescent="0.25">
      <c r="B995" s="344"/>
      <c r="C995" s="344"/>
      <c r="D995" s="345"/>
      <c r="E995" s="346"/>
      <c r="F995" s="346"/>
    </row>
    <row r="996" spans="2:6" x14ac:dyDescent="0.25">
      <c r="B996" s="344"/>
      <c r="C996" s="344"/>
      <c r="D996" s="345"/>
      <c r="E996" s="346"/>
      <c r="F996" s="346"/>
    </row>
    <row r="997" spans="2:6" x14ac:dyDescent="0.25">
      <c r="B997" s="344"/>
      <c r="C997" s="344"/>
      <c r="D997" s="345"/>
      <c r="E997" s="346"/>
      <c r="F997" s="346"/>
    </row>
    <row r="998" spans="2:6" x14ac:dyDescent="0.25">
      <c r="B998" s="344"/>
      <c r="C998" s="344"/>
      <c r="D998" s="345"/>
      <c r="E998" s="346"/>
      <c r="F998" s="346"/>
    </row>
    <row r="999" spans="2:6" x14ac:dyDescent="0.25">
      <c r="B999" s="344"/>
      <c r="C999" s="344"/>
      <c r="D999" s="345"/>
      <c r="E999" s="346"/>
      <c r="F999" s="346"/>
    </row>
    <row r="1000" spans="2:6" x14ac:dyDescent="0.25">
      <c r="B1000" s="344"/>
      <c r="C1000" s="344"/>
      <c r="D1000" s="345"/>
      <c r="E1000" s="346"/>
      <c r="F1000" s="346"/>
    </row>
    <row r="1001" spans="2:6" x14ac:dyDescent="0.25">
      <c r="B1001" s="344"/>
      <c r="C1001" s="344"/>
      <c r="D1001" s="345"/>
      <c r="E1001" s="346"/>
      <c r="F1001" s="346"/>
    </row>
    <row r="1002" spans="2:6" x14ac:dyDescent="0.25">
      <c r="B1002" s="344"/>
      <c r="C1002" s="344"/>
      <c r="D1002" s="345"/>
      <c r="E1002" s="346"/>
      <c r="F1002" s="346"/>
    </row>
    <row r="1003" spans="2:6" x14ac:dyDescent="0.25">
      <c r="B1003" s="344"/>
      <c r="C1003" s="344"/>
      <c r="D1003" s="345"/>
      <c r="E1003" s="346"/>
      <c r="F1003" s="346"/>
    </row>
    <row r="1004" spans="2:6" x14ac:dyDescent="0.25">
      <c r="B1004" s="344"/>
      <c r="C1004" s="344"/>
      <c r="D1004" s="345"/>
      <c r="E1004" s="346"/>
      <c r="F1004" s="346"/>
    </row>
    <row r="1005" spans="2:6" x14ac:dyDescent="0.25">
      <c r="B1005" s="344"/>
      <c r="C1005" s="344"/>
      <c r="D1005" s="345"/>
      <c r="E1005" s="346"/>
      <c r="F1005" s="346"/>
    </row>
    <row r="1006" spans="2:6" x14ac:dyDescent="0.25">
      <c r="B1006" s="344"/>
      <c r="C1006" s="344"/>
      <c r="D1006" s="345"/>
      <c r="E1006" s="346"/>
      <c r="F1006" s="346"/>
    </row>
    <row r="1007" spans="2:6" x14ac:dyDescent="0.25">
      <c r="B1007" s="344"/>
      <c r="C1007" s="344"/>
      <c r="D1007" s="345"/>
      <c r="E1007" s="346"/>
      <c r="F1007" s="346"/>
    </row>
    <row r="1008" spans="2:6" x14ac:dyDescent="0.25">
      <c r="B1008" s="344"/>
      <c r="C1008" s="344"/>
      <c r="D1008" s="345"/>
      <c r="E1008" s="346"/>
      <c r="F1008" s="346"/>
    </row>
    <row r="1009" spans="2:6" x14ac:dyDescent="0.25">
      <c r="B1009" s="344"/>
      <c r="C1009" s="344"/>
      <c r="D1009" s="345"/>
      <c r="E1009" s="346"/>
      <c r="F1009" s="346"/>
    </row>
    <row r="1010" spans="2:6" x14ac:dyDescent="0.25">
      <c r="B1010" s="344"/>
      <c r="C1010" s="344"/>
      <c r="D1010" s="345"/>
      <c r="E1010" s="346"/>
      <c r="F1010" s="346"/>
    </row>
    <row r="1011" spans="2:6" x14ac:dyDescent="0.25">
      <c r="B1011" s="344"/>
      <c r="C1011" s="344"/>
      <c r="D1011" s="345"/>
      <c r="E1011" s="346"/>
      <c r="F1011" s="346"/>
    </row>
    <row r="1012" spans="2:6" x14ac:dyDescent="0.25">
      <c r="B1012" s="344"/>
      <c r="C1012" s="344"/>
      <c r="D1012" s="345"/>
      <c r="E1012" s="346"/>
      <c r="F1012" s="346"/>
    </row>
    <row r="1013" spans="2:6" x14ac:dyDescent="0.25">
      <c r="B1013" s="344"/>
      <c r="C1013" s="344"/>
      <c r="D1013" s="345"/>
      <c r="E1013" s="346"/>
      <c r="F1013" s="346"/>
    </row>
    <row r="1014" spans="2:6" x14ac:dyDescent="0.25">
      <c r="B1014" s="344"/>
      <c r="C1014" s="344"/>
      <c r="D1014" s="345"/>
      <c r="E1014" s="346"/>
      <c r="F1014" s="346"/>
    </row>
    <row r="1015" spans="2:6" x14ac:dyDescent="0.25">
      <c r="B1015" s="344"/>
      <c r="C1015" s="344"/>
      <c r="D1015" s="345"/>
      <c r="E1015" s="346"/>
      <c r="F1015" s="346"/>
    </row>
    <row r="1016" spans="2:6" x14ac:dyDescent="0.25">
      <c r="B1016" s="344"/>
      <c r="C1016" s="344"/>
      <c r="D1016" s="345"/>
      <c r="E1016" s="346"/>
      <c r="F1016" s="346"/>
    </row>
    <row r="1017" spans="2:6" x14ac:dyDescent="0.25">
      <c r="B1017" s="344"/>
      <c r="C1017" s="344"/>
      <c r="D1017" s="345"/>
      <c r="E1017" s="346"/>
      <c r="F1017" s="346"/>
    </row>
    <row r="1018" spans="2:6" x14ac:dyDescent="0.25">
      <c r="B1018" s="344"/>
      <c r="C1018" s="344"/>
      <c r="D1018" s="345"/>
      <c r="E1018" s="346"/>
      <c r="F1018" s="346"/>
    </row>
    <row r="1019" spans="2:6" x14ac:dyDescent="0.25">
      <c r="B1019" s="344"/>
      <c r="C1019" s="344"/>
      <c r="D1019" s="345"/>
      <c r="E1019" s="346"/>
      <c r="F1019" s="346"/>
    </row>
    <row r="1020" spans="2:6" x14ac:dyDescent="0.25">
      <c r="B1020" s="344"/>
      <c r="C1020" s="344"/>
      <c r="D1020" s="345"/>
      <c r="E1020" s="346"/>
      <c r="F1020" s="346"/>
    </row>
    <row r="1021" spans="2:6" x14ac:dyDescent="0.25">
      <c r="B1021" s="344"/>
      <c r="C1021" s="344"/>
      <c r="D1021" s="345"/>
      <c r="E1021" s="346"/>
      <c r="F1021" s="346"/>
    </row>
    <row r="1022" spans="2:6" x14ac:dyDescent="0.25">
      <c r="B1022" s="344"/>
      <c r="C1022" s="344"/>
      <c r="D1022" s="345"/>
      <c r="E1022" s="346"/>
      <c r="F1022" s="346"/>
    </row>
    <row r="1023" spans="2:6" x14ac:dyDescent="0.25">
      <c r="B1023" s="344"/>
      <c r="C1023" s="344"/>
      <c r="D1023" s="345"/>
      <c r="E1023" s="346"/>
      <c r="F1023" s="346"/>
    </row>
    <row r="1024" spans="2:6" x14ac:dyDescent="0.25">
      <c r="B1024" s="344"/>
      <c r="C1024" s="344"/>
      <c r="D1024" s="345"/>
      <c r="E1024" s="346"/>
      <c r="F1024" s="346"/>
    </row>
    <row r="1025" spans="2:6" x14ac:dyDescent="0.25">
      <c r="B1025" s="344"/>
      <c r="C1025" s="344"/>
      <c r="D1025" s="345"/>
      <c r="E1025" s="346"/>
      <c r="F1025" s="346"/>
    </row>
    <row r="1026" spans="2:6" x14ac:dyDescent="0.25">
      <c r="B1026" s="344"/>
      <c r="C1026" s="344"/>
      <c r="D1026" s="345"/>
      <c r="E1026" s="346"/>
      <c r="F1026" s="346"/>
    </row>
    <row r="1027" spans="2:6" x14ac:dyDescent="0.25">
      <c r="B1027" s="344"/>
      <c r="C1027" s="344"/>
      <c r="D1027" s="345"/>
      <c r="E1027" s="346"/>
      <c r="F1027" s="346"/>
    </row>
    <row r="1028" spans="2:6" x14ac:dyDescent="0.25">
      <c r="B1028" s="344"/>
      <c r="C1028" s="344"/>
      <c r="D1028" s="345"/>
      <c r="E1028" s="346"/>
      <c r="F1028" s="346"/>
    </row>
    <row r="1029" spans="2:6" x14ac:dyDescent="0.25">
      <c r="B1029" s="344"/>
      <c r="C1029" s="344"/>
      <c r="D1029" s="345"/>
      <c r="E1029" s="346"/>
      <c r="F1029" s="346"/>
    </row>
    <row r="1030" spans="2:6" x14ac:dyDescent="0.25">
      <c r="B1030" s="344"/>
      <c r="C1030" s="344"/>
      <c r="D1030" s="345"/>
      <c r="E1030" s="346"/>
      <c r="F1030" s="346"/>
    </row>
    <row r="1031" spans="2:6" x14ac:dyDescent="0.25">
      <c r="B1031" s="344"/>
      <c r="C1031" s="344"/>
      <c r="D1031" s="345"/>
      <c r="E1031" s="346"/>
      <c r="F1031" s="346"/>
    </row>
    <row r="1032" spans="2:6" x14ac:dyDescent="0.25">
      <c r="B1032" s="344"/>
      <c r="C1032" s="344"/>
      <c r="D1032" s="345"/>
      <c r="E1032" s="346"/>
      <c r="F1032" s="346"/>
    </row>
    <row r="1033" spans="2:6" x14ac:dyDescent="0.25">
      <c r="B1033" s="344"/>
      <c r="C1033" s="344"/>
      <c r="D1033" s="345"/>
      <c r="E1033" s="346"/>
      <c r="F1033" s="346"/>
    </row>
    <row r="1034" spans="2:6" x14ac:dyDescent="0.25">
      <c r="B1034" s="344"/>
      <c r="C1034" s="344"/>
      <c r="D1034" s="345"/>
      <c r="E1034" s="346"/>
      <c r="F1034" s="346"/>
    </row>
    <row r="1035" spans="2:6" x14ac:dyDescent="0.25">
      <c r="B1035" s="344"/>
      <c r="C1035" s="344"/>
      <c r="D1035" s="345"/>
      <c r="E1035" s="346"/>
      <c r="F1035" s="346"/>
    </row>
    <row r="1036" spans="2:6" x14ac:dyDescent="0.25">
      <c r="B1036" s="344"/>
      <c r="C1036" s="344"/>
      <c r="D1036" s="345"/>
      <c r="E1036" s="346"/>
      <c r="F1036" s="346"/>
    </row>
    <row r="1037" spans="2:6" x14ac:dyDescent="0.25">
      <c r="B1037" s="344"/>
      <c r="C1037" s="344"/>
      <c r="D1037" s="345"/>
      <c r="E1037" s="346"/>
      <c r="F1037" s="346"/>
    </row>
    <row r="1038" spans="2:6" x14ac:dyDescent="0.25">
      <c r="B1038" s="344"/>
      <c r="C1038" s="344"/>
      <c r="D1038" s="345"/>
      <c r="E1038" s="346"/>
      <c r="F1038" s="346"/>
    </row>
    <row r="1039" spans="2:6" x14ac:dyDescent="0.25">
      <c r="B1039" s="344"/>
      <c r="C1039" s="344"/>
      <c r="D1039" s="345"/>
      <c r="E1039" s="346"/>
      <c r="F1039" s="346"/>
    </row>
    <row r="1040" spans="2:6" x14ac:dyDescent="0.25">
      <c r="B1040" s="344"/>
      <c r="C1040" s="344"/>
      <c r="D1040" s="345"/>
      <c r="E1040" s="346"/>
      <c r="F1040" s="346"/>
    </row>
    <row r="1041" spans="2:6" x14ac:dyDescent="0.25">
      <c r="B1041" s="344"/>
      <c r="C1041" s="344"/>
      <c r="D1041" s="345"/>
      <c r="E1041" s="346"/>
      <c r="F1041" s="346"/>
    </row>
    <row r="1042" spans="2:6" x14ac:dyDescent="0.25">
      <c r="B1042" s="344"/>
      <c r="C1042" s="344"/>
      <c r="D1042" s="345"/>
      <c r="E1042" s="346"/>
      <c r="F1042" s="346"/>
    </row>
    <row r="1043" spans="2:6" x14ac:dyDescent="0.25">
      <c r="B1043" s="344"/>
      <c r="C1043" s="344"/>
      <c r="D1043" s="345"/>
      <c r="E1043" s="346"/>
      <c r="F1043" s="346"/>
    </row>
    <row r="1044" spans="2:6" x14ac:dyDescent="0.25">
      <c r="B1044" s="344"/>
      <c r="C1044" s="344"/>
      <c r="D1044" s="345"/>
      <c r="E1044" s="346"/>
      <c r="F1044" s="346"/>
    </row>
    <row r="1045" spans="2:6" x14ac:dyDescent="0.25">
      <c r="B1045" s="344"/>
      <c r="C1045" s="344"/>
      <c r="D1045" s="345"/>
      <c r="E1045" s="346"/>
      <c r="F1045" s="346"/>
    </row>
    <row r="1046" spans="2:6" x14ac:dyDescent="0.25">
      <c r="B1046" s="344"/>
      <c r="C1046" s="344"/>
      <c r="D1046" s="345"/>
      <c r="E1046" s="346"/>
      <c r="F1046" s="346"/>
    </row>
    <row r="1047" spans="2:6" x14ac:dyDescent="0.25">
      <c r="B1047" s="344"/>
      <c r="C1047" s="344"/>
      <c r="D1047" s="345"/>
      <c r="E1047" s="346"/>
      <c r="F1047" s="346"/>
    </row>
    <row r="1048" spans="2:6" x14ac:dyDescent="0.25">
      <c r="B1048" s="344"/>
      <c r="C1048" s="344"/>
      <c r="D1048" s="345"/>
      <c r="E1048" s="346"/>
      <c r="F1048" s="346"/>
    </row>
    <row r="1049" spans="2:6" x14ac:dyDescent="0.25">
      <c r="B1049" s="344"/>
      <c r="C1049" s="344"/>
      <c r="D1049" s="345"/>
      <c r="E1049" s="346"/>
      <c r="F1049" s="346"/>
    </row>
    <row r="1050" spans="2:6" x14ac:dyDescent="0.25">
      <c r="B1050" s="344"/>
      <c r="C1050" s="344"/>
      <c r="D1050" s="345"/>
      <c r="E1050" s="346"/>
      <c r="F1050" s="346"/>
    </row>
    <row r="1051" spans="2:6" x14ac:dyDescent="0.25">
      <c r="B1051" s="344"/>
      <c r="C1051" s="344"/>
      <c r="D1051" s="345"/>
      <c r="E1051" s="346"/>
      <c r="F1051" s="346"/>
    </row>
    <row r="1052" spans="2:6" x14ac:dyDescent="0.25">
      <c r="B1052" s="344"/>
      <c r="C1052" s="344"/>
      <c r="D1052" s="345"/>
      <c r="E1052" s="346"/>
      <c r="F1052" s="346"/>
    </row>
    <row r="1053" spans="2:6" x14ac:dyDescent="0.25">
      <c r="B1053" s="344"/>
      <c r="C1053" s="344"/>
      <c r="D1053" s="345"/>
      <c r="E1053" s="346"/>
      <c r="F1053" s="346"/>
    </row>
    <row r="1054" spans="2:6" x14ac:dyDescent="0.25">
      <c r="B1054" s="344"/>
      <c r="C1054" s="344"/>
      <c r="D1054" s="345"/>
      <c r="E1054" s="346"/>
      <c r="F1054" s="346"/>
    </row>
    <row r="1055" spans="2:6" x14ac:dyDescent="0.25">
      <c r="B1055" s="344"/>
      <c r="C1055" s="344"/>
      <c r="D1055" s="345"/>
      <c r="E1055" s="346"/>
      <c r="F1055" s="346"/>
    </row>
    <row r="1056" spans="2:6" x14ac:dyDescent="0.25">
      <c r="B1056" s="344"/>
      <c r="C1056" s="344"/>
      <c r="D1056" s="345"/>
      <c r="E1056" s="346"/>
      <c r="F1056" s="346"/>
    </row>
    <row r="1057" spans="2:6" x14ac:dyDescent="0.25">
      <c r="B1057" s="344"/>
      <c r="C1057" s="344"/>
      <c r="D1057" s="345"/>
      <c r="E1057" s="346"/>
      <c r="F1057" s="346"/>
    </row>
    <row r="1058" spans="2:6" x14ac:dyDescent="0.25">
      <c r="B1058" s="344"/>
      <c r="C1058" s="344"/>
      <c r="D1058" s="345"/>
      <c r="E1058" s="346"/>
      <c r="F1058" s="346"/>
    </row>
    <row r="1059" spans="2:6" x14ac:dyDescent="0.25">
      <c r="B1059" s="344"/>
      <c r="C1059" s="344"/>
      <c r="D1059" s="345"/>
      <c r="E1059" s="346"/>
      <c r="F1059" s="346"/>
    </row>
    <row r="1060" spans="2:6" x14ac:dyDescent="0.25">
      <c r="B1060" s="344"/>
      <c r="C1060" s="344"/>
      <c r="D1060" s="345"/>
      <c r="E1060" s="346"/>
      <c r="F1060" s="346"/>
    </row>
    <row r="1061" spans="2:6" x14ac:dyDescent="0.25">
      <c r="B1061" s="344"/>
      <c r="C1061" s="344"/>
      <c r="D1061" s="345"/>
      <c r="E1061" s="346"/>
      <c r="F1061" s="346"/>
    </row>
    <row r="1062" spans="2:6" x14ac:dyDescent="0.25">
      <c r="B1062" s="344"/>
      <c r="C1062" s="344"/>
      <c r="D1062" s="345"/>
      <c r="E1062" s="346"/>
      <c r="F1062" s="346"/>
    </row>
    <row r="1063" spans="2:6" x14ac:dyDescent="0.25">
      <c r="B1063" s="344"/>
      <c r="C1063" s="344"/>
      <c r="D1063" s="345"/>
      <c r="E1063" s="346"/>
      <c r="F1063" s="346"/>
    </row>
    <row r="1064" spans="2:6" x14ac:dyDescent="0.25">
      <c r="B1064" s="344"/>
      <c r="C1064" s="344"/>
      <c r="D1064" s="345"/>
      <c r="E1064" s="346"/>
      <c r="F1064" s="346"/>
    </row>
    <row r="1065" spans="2:6" x14ac:dyDescent="0.25">
      <c r="B1065" s="344"/>
      <c r="C1065" s="344"/>
      <c r="D1065" s="345"/>
      <c r="E1065" s="346"/>
      <c r="F1065" s="346"/>
    </row>
    <row r="1066" spans="2:6" x14ac:dyDescent="0.25">
      <c r="B1066" s="344"/>
      <c r="C1066" s="344"/>
      <c r="D1066" s="345"/>
      <c r="E1066" s="346"/>
      <c r="F1066" s="346"/>
    </row>
    <row r="1067" spans="2:6" x14ac:dyDescent="0.25">
      <c r="B1067" s="344"/>
      <c r="C1067" s="344"/>
      <c r="D1067" s="345"/>
      <c r="E1067" s="346"/>
      <c r="F1067" s="346"/>
    </row>
    <row r="1068" spans="2:6" x14ac:dyDescent="0.25">
      <c r="B1068" s="344"/>
      <c r="C1068" s="344"/>
      <c r="D1068" s="345"/>
      <c r="E1068" s="346"/>
      <c r="F1068" s="346"/>
    </row>
    <row r="1069" spans="2:6" x14ac:dyDescent="0.25">
      <c r="B1069" s="344"/>
      <c r="C1069" s="344"/>
      <c r="D1069" s="345"/>
      <c r="E1069" s="346"/>
      <c r="F1069" s="346"/>
    </row>
    <row r="1070" spans="2:6" x14ac:dyDescent="0.25">
      <c r="B1070" s="344"/>
      <c r="C1070" s="344"/>
      <c r="D1070" s="345"/>
      <c r="E1070" s="346"/>
      <c r="F1070" s="346"/>
    </row>
    <row r="1071" spans="2:6" x14ac:dyDescent="0.25">
      <c r="B1071" s="344"/>
      <c r="C1071" s="344"/>
      <c r="D1071" s="345"/>
      <c r="E1071" s="346"/>
      <c r="F1071" s="346"/>
    </row>
    <row r="1072" spans="2:6" x14ac:dyDescent="0.25">
      <c r="B1072" s="344"/>
      <c r="C1072" s="344"/>
      <c r="D1072" s="345"/>
      <c r="E1072" s="346"/>
      <c r="F1072" s="346"/>
    </row>
    <row r="1073" spans="2:6" x14ac:dyDescent="0.25">
      <c r="B1073" s="344"/>
      <c r="C1073" s="344"/>
      <c r="D1073" s="345"/>
      <c r="E1073" s="346"/>
      <c r="F1073" s="346"/>
    </row>
    <row r="1074" spans="2:6" x14ac:dyDescent="0.25">
      <c r="B1074" s="344"/>
      <c r="C1074" s="344"/>
      <c r="D1074" s="345"/>
      <c r="E1074" s="346"/>
      <c r="F1074" s="346"/>
    </row>
    <row r="1075" spans="2:6" x14ac:dyDescent="0.25">
      <c r="B1075" s="344"/>
      <c r="C1075" s="344"/>
      <c r="D1075" s="345"/>
      <c r="E1075" s="346"/>
      <c r="F1075" s="346"/>
    </row>
    <row r="1076" spans="2:6" x14ac:dyDescent="0.25">
      <c r="B1076" s="344"/>
      <c r="C1076" s="344"/>
      <c r="D1076" s="345"/>
      <c r="E1076" s="346"/>
      <c r="F1076" s="346"/>
    </row>
    <row r="1077" spans="2:6" x14ac:dyDescent="0.25">
      <c r="B1077" s="344"/>
      <c r="C1077" s="344"/>
      <c r="D1077" s="345"/>
      <c r="E1077" s="346"/>
      <c r="F1077" s="346"/>
    </row>
    <row r="1078" spans="2:6" x14ac:dyDescent="0.25">
      <c r="B1078" s="344"/>
      <c r="C1078" s="344"/>
      <c r="D1078" s="345"/>
      <c r="E1078" s="346"/>
      <c r="F1078" s="346"/>
    </row>
    <row r="1079" spans="2:6" x14ac:dyDescent="0.25">
      <c r="B1079" s="344"/>
      <c r="C1079" s="344"/>
      <c r="D1079" s="345"/>
      <c r="E1079" s="346"/>
      <c r="F1079" s="346"/>
    </row>
    <row r="1080" spans="2:6" x14ac:dyDescent="0.25">
      <c r="B1080" s="344"/>
      <c r="C1080" s="344"/>
      <c r="D1080" s="345"/>
      <c r="E1080" s="346"/>
      <c r="F1080" s="346"/>
    </row>
    <row r="1081" spans="2:6" x14ac:dyDescent="0.25">
      <c r="B1081" s="344"/>
      <c r="C1081" s="344"/>
      <c r="D1081" s="345"/>
      <c r="E1081" s="346"/>
      <c r="F1081" s="346"/>
    </row>
    <row r="1082" spans="2:6" x14ac:dyDescent="0.25">
      <c r="B1082" s="344"/>
      <c r="C1082" s="344"/>
      <c r="D1082" s="345"/>
      <c r="E1082" s="346"/>
      <c r="F1082" s="346"/>
    </row>
    <row r="1083" spans="2:6" x14ac:dyDescent="0.25">
      <c r="B1083" s="344"/>
      <c r="C1083" s="344"/>
      <c r="D1083" s="345"/>
      <c r="E1083" s="346"/>
      <c r="F1083" s="346"/>
    </row>
    <row r="1084" spans="2:6" x14ac:dyDescent="0.25">
      <c r="B1084" s="344"/>
      <c r="C1084" s="344"/>
      <c r="D1084" s="345"/>
      <c r="E1084" s="346"/>
      <c r="F1084" s="346"/>
    </row>
    <row r="1085" spans="2:6" x14ac:dyDescent="0.25">
      <c r="B1085" s="344"/>
      <c r="C1085" s="344"/>
      <c r="D1085" s="345"/>
      <c r="E1085" s="346"/>
      <c r="F1085" s="346"/>
    </row>
    <row r="1086" spans="2:6" x14ac:dyDescent="0.25">
      <c r="B1086" s="344"/>
      <c r="C1086" s="344"/>
      <c r="D1086" s="345"/>
      <c r="E1086" s="346"/>
      <c r="F1086" s="346"/>
    </row>
    <row r="1087" spans="2:6" x14ac:dyDescent="0.25">
      <c r="B1087" s="344"/>
      <c r="C1087" s="344"/>
      <c r="D1087" s="345"/>
      <c r="E1087" s="346"/>
      <c r="F1087" s="346"/>
    </row>
    <row r="1088" spans="2:6" x14ac:dyDescent="0.25">
      <c r="B1088" s="344"/>
      <c r="C1088" s="344"/>
      <c r="D1088" s="345"/>
      <c r="E1088" s="346"/>
      <c r="F1088" s="346"/>
    </row>
    <row r="1089" spans="2:6" x14ac:dyDescent="0.25">
      <c r="B1089" s="344"/>
      <c r="C1089" s="344"/>
      <c r="D1089" s="345"/>
      <c r="E1089" s="346"/>
      <c r="F1089" s="346"/>
    </row>
    <row r="1090" spans="2:6" x14ac:dyDescent="0.25">
      <c r="B1090" s="344"/>
      <c r="C1090" s="344"/>
      <c r="D1090" s="345"/>
      <c r="E1090" s="346"/>
      <c r="F1090" s="346"/>
    </row>
    <row r="1091" spans="2:6" x14ac:dyDescent="0.25">
      <c r="B1091" s="344"/>
      <c r="C1091" s="344"/>
      <c r="D1091" s="345"/>
      <c r="E1091" s="346"/>
      <c r="F1091" s="346"/>
    </row>
    <row r="1092" spans="2:6" x14ac:dyDescent="0.25">
      <c r="B1092" s="344"/>
      <c r="C1092" s="344"/>
      <c r="D1092" s="345"/>
      <c r="E1092" s="346"/>
      <c r="F1092" s="346"/>
    </row>
    <row r="1093" spans="2:6" x14ac:dyDescent="0.25">
      <c r="B1093" s="344"/>
      <c r="C1093" s="344"/>
      <c r="D1093" s="345"/>
      <c r="E1093" s="346"/>
      <c r="F1093" s="346"/>
    </row>
    <row r="1094" spans="2:6" x14ac:dyDescent="0.25">
      <c r="B1094" s="344"/>
      <c r="C1094" s="344"/>
      <c r="D1094" s="345"/>
      <c r="E1094" s="346"/>
      <c r="F1094" s="346"/>
    </row>
    <row r="1095" spans="2:6" x14ac:dyDescent="0.25">
      <c r="B1095" s="344"/>
      <c r="C1095" s="344"/>
      <c r="D1095" s="345"/>
      <c r="E1095" s="346"/>
      <c r="F1095" s="346"/>
    </row>
    <row r="1096" spans="2:6" x14ac:dyDescent="0.25">
      <c r="B1096" s="344"/>
      <c r="C1096" s="344"/>
      <c r="D1096" s="345"/>
      <c r="E1096" s="346"/>
      <c r="F1096" s="346"/>
    </row>
    <row r="1097" spans="2:6" x14ac:dyDescent="0.25">
      <c r="B1097" s="344"/>
      <c r="C1097" s="344"/>
      <c r="D1097" s="345"/>
      <c r="E1097" s="346"/>
      <c r="F1097" s="346"/>
    </row>
    <row r="1098" spans="2:6" x14ac:dyDescent="0.25">
      <c r="B1098" s="344"/>
      <c r="C1098" s="344"/>
      <c r="D1098" s="345"/>
      <c r="E1098" s="346"/>
      <c r="F1098" s="346"/>
    </row>
    <row r="1099" spans="2:6" x14ac:dyDescent="0.25">
      <c r="B1099" s="344"/>
      <c r="C1099" s="344"/>
      <c r="D1099" s="345"/>
      <c r="E1099" s="346"/>
      <c r="F1099" s="346"/>
    </row>
    <row r="1100" spans="2:6" x14ac:dyDescent="0.25">
      <c r="B1100" s="344"/>
      <c r="C1100" s="344"/>
      <c r="D1100" s="345"/>
      <c r="E1100" s="346"/>
      <c r="F1100" s="346"/>
    </row>
    <row r="1101" spans="2:6" x14ac:dyDescent="0.25">
      <c r="B1101" s="344"/>
      <c r="C1101" s="344"/>
      <c r="D1101" s="345"/>
      <c r="E1101" s="346"/>
      <c r="F1101" s="346"/>
    </row>
    <row r="1102" spans="2:6" x14ac:dyDescent="0.25">
      <c r="B1102" s="344"/>
      <c r="C1102" s="344"/>
      <c r="D1102" s="345"/>
      <c r="E1102" s="346"/>
      <c r="F1102" s="346"/>
    </row>
    <row r="1103" spans="2:6" x14ac:dyDescent="0.25">
      <c r="B1103" s="344"/>
      <c r="C1103" s="344"/>
      <c r="D1103" s="345"/>
      <c r="E1103" s="346"/>
      <c r="F1103" s="346"/>
    </row>
    <row r="1104" spans="2:6" x14ac:dyDescent="0.25">
      <c r="B1104" s="344"/>
      <c r="C1104" s="344"/>
      <c r="D1104" s="345"/>
      <c r="E1104" s="346"/>
      <c r="F1104" s="346"/>
    </row>
    <row r="1105" spans="2:6" x14ac:dyDescent="0.25">
      <c r="B1105" s="344"/>
      <c r="C1105" s="344"/>
      <c r="D1105" s="345"/>
      <c r="E1105" s="346"/>
      <c r="F1105" s="346"/>
    </row>
    <row r="1106" spans="2:6" x14ac:dyDescent="0.25">
      <c r="B1106" s="344"/>
      <c r="C1106" s="344"/>
      <c r="D1106" s="345"/>
      <c r="E1106" s="346"/>
      <c r="F1106" s="346"/>
    </row>
    <row r="1107" spans="2:6" x14ac:dyDescent="0.25">
      <c r="B1107" s="344"/>
      <c r="C1107" s="344"/>
      <c r="D1107" s="345"/>
      <c r="E1107" s="346"/>
      <c r="F1107" s="346"/>
    </row>
    <row r="1108" spans="2:6" x14ac:dyDescent="0.25">
      <c r="B1108" s="344"/>
      <c r="C1108" s="344"/>
      <c r="D1108" s="345"/>
      <c r="E1108" s="346"/>
      <c r="F1108" s="346"/>
    </row>
    <row r="1109" spans="2:6" x14ac:dyDescent="0.25">
      <c r="B1109" s="344"/>
      <c r="C1109" s="344"/>
      <c r="D1109" s="345"/>
      <c r="E1109" s="346"/>
      <c r="F1109" s="346"/>
    </row>
    <row r="1110" spans="2:6" x14ac:dyDescent="0.25">
      <c r="B1110" s="344"/>
      <c r="C1110" s="344"/>
      <c r="D1110" s="345"/>
      <c r="E1110" s="346"/>
      <c r="F1110" s="346"/>
    </row>
    <row r="1111" spans="2:6" x14ac:dyDescent="0.25">
      <c r="B1111" s="344"/>
      <c r="C1111" s="344"/>
      <c r="D1111" s="345"/>
      <c r="E1111" s="346"/>
      <c r="F1111" s="346"/>
    </row>
    <row r="1112" spans="2:6" x14ac:dyDescent="0.25">
      <c r="B1112" s="344"/>
      <c r="C1112" s="344"/>
      <c r="D1112" s="345"/>
      <c r="E1112" s="346"/>
      <c r="F1112" s="346"/>
    </row>
    <row r="1113" spans="2:6" x14ac:dyDescent="0.25">
      <c r="B1113" s="344"/>
      <c r="C1113" s="344"/>
      <c r="D1113" s="345"/>
      <c r="E1113" s="346"/>
      <c r="F1113" s="346"/>
    </row>
    <row r="1114" spans="2:6" x14ac:dyDescent="0.25">
      <c r="B1114" s="344"/>
      <c r="C1114" s="344"/>
      <c r="D1114" s="345"/>
      <c r="E1114" s="346"/>
      <c r="F1114" s="346"/>
    </row>
    <row r="1115" spans="2:6" x14ac:dyDescent="0.25">
      <c r="B1115" s="344"/>
      <c r="C1115" s="344"/>
      <c r="D1115" s="345"/>
      <c r="E1115" s="346"/>
      <c r="F1115" s="346"/>
    </row>
    <row r="1116" spans="2:6" x14ac:dyDescent="0.25">
      <c r="B1116" s="344"/>
      <c r="C1116" s="344"/>
      <c r="D1116" s="345"/>
      <c r="E1116" s="346"/>
      <c r="F1116" s="346"/>
    </row>
    <row r="1117" spans="2:6" x14ac:dyDescent="0.25">
      <c r="B1117" s="344"/>
      <c r="C1117" s="344"/>
      <c r="D1117" s="345"/>
      <c r="E1117" s="346"/>
      <c r="F1117" s="346"/>
    </row>
    <row r="1118" spans="2:6" x14ac:dyDescent="0.25">
      <c r="B1118" s="344"/>
      <c r="C1118" s="344"/>
      <c r="D1118" s="345"/>
      <c r="E1118" s="346"/>
      <c r="F1118" s="346"/>
    </row>
    <row r="1119" spans="2:6" x14ac:dyDescent="0.25">
      <c r="B1119" s="344"/>
      <c r="C1119" s="344"/>
      <c r="D1119" s="345"/>
      <c r="E1119" s="346"/>
      <c r="F1119" s="346"/>
    </row>
    <row r="1120" spans="2:6" x14ac:dyDescent="0.25">
      <c r="B1120" s="344"/>
      <c r="C1120" s="344"/>
      <c r="D1120" s="345"/>
      <c r="E1120" s="346"/>
      <c r="F1120" s="346"/>
    </row>
    <row r="1121" spans="2:6" x14ac:dyDescent="0.25">
      <c r="B1121" s="344"/>
      <c r="C1121" s="344"/>
      <c r="D1121" s="345"/>
      <c r="E1121" s="346"/>
      <c r="F1121" s="346"/>
    </row>
    <row r="1122" spans="2:6" x14ac:dyDescent="0.25">
      <c r="B1122" s="344"/>
      <c r="C1122" s="344"/>
      <c r="D1122" s="345"/>
      <c r="E1122" s="346"/>
      <c r="F1122" s="346"/>
    </row>
    <row r="1123" spans="2:6" x14ac:dyDescent="0.25">
      <c r="B1123" s="344"/>
      <c r="C1123" s="344"/>
      <c r="D1123" s="345"/>
      <c r="E1123" s="346"/>
      <c r="F1123" s="346"/>
    </row>
    <row r="1124" spans="2:6" x14ac:dyDescent="0.25">
      <c r="B1124" s="344"/>
      <c r="C1124" s="344"/>
      <c r="D1124" s="345"/>
      <c r="E1124" s="346"/>
      <c r="F1124" s="346"/>
    </row>
    <row r="1125" spans="2:6" x14ac:dyDescent="0.25">
      <c r="B1125" s="344"/>
      <c r="C1125" s="344"/>
      <c r="D1125" s="345"/>
      <c r="E1125" s="346"/>
      <c r="F1125" s="346"/>
    </row>
    <row r="1126" spans="2:6" x14ac:dyDescent="0.25">
      <c r="B1126" s="344"/>
      <c r="C1126" s="344"/>
      <c r="D1126" s="345"/>
      <c r="E1126" s="346"/>
      <c r="F1126" s="346"/>
    </row>
    <row r="1127" spans="2:6" x14ac:dyDescent="0.25">
      <c r="B1127" s="344"/>
      <c r="C1127" s="344"/>
      <c r="D1127" s="345"/>
      <c r="E1127" s="346"/>
      <c r="F1127" s="346"/>
    </row>
    <row r="1128" spans="2:6" x14ac:dyDescent="0.25">
      <c r="B1128" s="344"/>
      <c r="C1128" s="344"/>
      <c r="D1128" s="345"/>
      <c r="E1128" s="346"/>
      <c r="F1128" s="346"/>
    </row>
    <row r="1129" spans="2:6" x14ac:dyDescent="0.25">
      <c r="B1129" s="344"/>
      <c r="C1129" s="344"/>
      <c r="D1129" s="345"/>
      <c r="E1129" s="346"/>
      <c r="F1129" s="346"/>
    </row>
    <row r="1130" spans="2:6" x14ac:dyDescent="0.25">
      <c r="B1130" s="344"/>
      <c r="C1130" s="344"/>
      <c r="D1130" s="345"/>
      <c r="E1130" s="346"/>
      <c r="F1130" s="346"/>
    </row>
    <row r="1131" spans="2:6" x14ac:dyDescent="0.25">
      <c r="B1131" s="344"/>
      <c r="C1131" s="344"/>
      <c r="D1131" s="345"/>
      <c r="E1131" s="346"/>
      <c r="F1131" s="346"/>
    </row>
    <row r="1132" spans="2:6" x14ac:dyDescent="0.25">
      <c r="B1132" s="344"/>
      <c r="C1132" s="344"/>
      <c r="D1132" s="345"/>
      <c r="E1132" s="346"/>
      <c r="F1132" s="346"/>
    </row>
    <row r="1133" spans="2:6" x14ac:dyDescent="0.25">
      <c r="B1133" s="344"/>
      <c r="C1133" s="344"/>
      <c r="D1133" s="345"/>
      <c r="E1133" s="346"/>
      <c r="F1133" s="346"/>
    </row>
    <row r="1134" spans="2:6" x14ac:dyDescent="0.25">
      <c r="B1134" s="344"/>
      <c r="C1134" s="344"/>
      <c r="D1134" s="345"/>
      <c r="E1134" s="346"/>
      <c r="F1134" s="346"/>
    </row>
    <row r="1135" spans="2:6" x14ac:dyDescent="0.25">
      <c r="B1135" s="344"/>
      <c r="C1135" s="344"/>
      <c r="D1135" s="345"/>
      <c r="E1135" s="346"/>
      <c r="F1135" s="346"/>
    </row>
    <row r="1136" spans="2:6" x14ac:dyDescent="0.25">
      <c r="B1136" s="344"/>
      <c r="C1136" s="344"/>
      <c r="D1136" s="345"/>
      <c r="E1136" s="346"/>
      <c r="F1136" s="346"/>
    </row>
    <row r="1137" spans="2:6" x14ac:dyDescent="0.25">
      <c r="B1137" s="344"/>
      <c r="C1137" s="344"/>
      <c r="D1137" s="345"/>
      <c r="E1137" s="346"/>
      <c r="F1137" s="346"/>
    </row>
    <row r="1138" spans="2:6" x14ac:dyDescent="0.25">
      <c r="B1138" s="344"/>
      <c r="C1138" s="344"/>
      <c r="D1138" s="345"/>
      <c r="E1138" s="346"/>
      <c r="F1138" s="346"/>
    </row>
    <row r="1139" spans="2:6" x14ac:dyDescent="0.25">
      <c r="B1139" s="344"/>
      <c r="C1139" s="344"/>
      <c r="D1139" s="345"/>
      <c r="E1139" s="346"/>
      <c r="F1139" s="346"/>
    </row>
    <row r="1140" spans="2:6" x14ac:dyDescent="0.25">
      <c r="B1140" s="344"/>
      <c r="C1140" s="344"/>
      <c r="D1140" s="345"/>
      <c r="E1140" s="346"/>
      <c r="F1140" s="346"/>
    </row>
    <row r="1141" spans="2:6" x14ac:dyDescent="0.25">
      <c r="B1141" s="344"/>
      <c r="C1141" s="344"/>
      <c r="D1141" s="345"/>
      <c r="E1141" s="346"/>
      <c r="F1141" s="346"/>
    </row>
    <row r="1142" spans="2:6" x14ac:dyDescent="0.25">
      <c r="B1142" s="344"/>
      <c r="C1142" s="344"/>
      <c r="D1142" s="345"/>
      <c r="E1142" s="346"/>
      <c r="F1142" s="346"/>
    </row>
    <row r="1143" spans="2:6" x14ac:dyDescent="0.25">
      <c r="B1143" s="344"/>
      <c r="C1143" s="344"/>
      <c r="D1143" s="345"/>
      <c r="E1143" s="346"/>
      <c r="F1143" s="346"/>
    </row>
    <row r="1144" spans="2:6" x14ac:dyDescent="0.25">
      <c r="B1144" s="344"/>
      <c r="C1144" s="344"/>
      <c r="D1144" s="345"/>
      <c r="E1144" s="346"/>
      <c r="F1144" s="346"/>
    </row>
    <row r="1145" spans="2:6" x14ac:dyDescent="0.25">
      <c r="B1145" s="344"/>
      <c r="C1145" s="344"/>
      <c r="D1145" s="345"/>
      <c r="E1145" s="346"/>
      <c r="F1145" s="346"/>
    </row>
    <row r="1146" spans="2:6" x14ac:dyDescent="0.25">
      <c r="B1146" s="344"/>
      <c r="C1146" s="344"/>
      <c r="D1146" s="345"/>
      <c r="E1146" s="346"/>
      <c r="F1146" s="346"/>
    </row>
    <row r="1147" spans="2:6" x14ac:dyDescent="0.25">
      <c r="B1147" s="344"/>
      <c r="C1147" s="344"/>
      <c r="D1147" s="345"/>
      <c r="E1147" s="346"/>
      <c r="F1147" s="346"/>
    </row>
    <row r="1148" spans="2:6" x14ac:dyDescent="0.25">
      <c r="B1148" s="344"/>
      <c r="C1148" s="344"/>
      <c r="D1148" s="345"/>
      <c r="E1148" s="346"/>
      <c r="F1148" s="346"/>
    </row>
    <row r="1149" spans="2:6" x14ac:dyDescent="0.25">
      <c r="B1149" s="344"/>
      <c r="C1149" s="344"/>
      <c r="D1149" s="345"/>
      <c r="E1149" s="346"/>
      <c r="F1149" s="346"/>
    </row>
    <row r="1150" spans="2:6" x14ac:dyDescent="0.25">
      <c r="B1150" s="344"/>
      <c r="C1150" s="344"/>
      <c r="D1150" s="345"/>
      <c r="E1150" s="346"/>
      <c r="F1150" s="346"/>
    </row>
    <row r="1151" spans="2:6" x14ac:dyDescent="0.25">
      <c r="B1151" s="344"/>
      <c r="C1151" s="344"/>
      <c r="D1151" s="345"/>
      <c r="E1151" s="346"/>
      <c r="F1151" s="346"/>
    </row>
    <row r="1152" spans="2:6" x14ac:dyDescent="0.25">
      <c r="B1152" s="344"/>
      <c r="C1152" s="344"/>
      <c r="D1152" s="345"/>
      <c r="E1152" s="346"/>
      <c r="F1152" s="346"/>
    </row>
    <row r="1153" spans="2:6" x14ac:dyDescent="0.25">
      <c r="B1153" s="344"/>
      <c r="C1153" s="344"/>
      <c r="D1153" s="345"/>
      <c r="E1153" s="346"/>
      <c r="F1153" s="346"/>
    </row>
    <row r="1154" spans="2:6" x14ac:dyDescent="0.25">
      <c r="B1154" s="344"/>
      <c r="C1154" s="344"/>
      <c r="D1154" s="345"/>
      <c r="E1154" s="346"/>
      <c r="F1154" s="346"/>
    </row>
    <row r="1155" spans="2:6" x14ac:dyDescent="0.25">
      <c r="B1155" s="344"/>
      <c r="C1155" s="344"/>
      <c r="D1155" s="345"/>
      <c r="E1155" s="346"/>
      <c r="F1155" s="346"/>
    </row>
    <row r="1156" spans="2:6" x14ac:dyDescent="0.25">
      <c r="B1156" s="344"/>
      <c r="C1156" s="344"/>
      <c r="D1156" s="345"/>
      <c r="E1156" s="346"/>
      <c r="F1156" s="346"/>
    </row>
    <row r="1157" spans="2:6" x14ac:dyDescent="0.25">
      <c r="B1157" s="344"/>
      <c r="C1157" s="344"/>
      <c r="D1157" s="345"/>
      <c r="E1157" s="346"/>
      <c r="F1157" s="346"/>
    </row>
    <row r="1158" spans="2:6" x14ac:dyDescent="0.25">
      <c r="B1158" s="344"/>
      <c r="C1158" s="344"/>
      <c r="D1158" s="345"/>
      <c r="E1158" s="346"/>
      <c r="F1158" s="346"/>
    </row>
    <row r="1159" spans="2:6" x14ac:dyDescent="0.25">
      <c r="B1159" s="344"/>
      <c r="C1159" s="344"/>
      <c r="D1159" s="345"/>
      <c r="E1159" s="346"/>
      <c r="F1159" s="346"/>
    </row>
    <row r="1160" spans="2:6" x14ac:dyDescent="0.25">
      <c r="B1160" s="344"/>
      <c r="C1160" s="344"/>
      <c r="D1160" s="345"/>
      <c r="E1160" s="346"/>
      <c r="F1160" s="346"/>
    </row>
    <row r="1161" spans="2:6" x14ac:dyDescent="0.25">
      <c r="B1161" s="344"/>
      <c r="C1161" s="344"/>
      <c r="D1161" s="345"/>
      <c r="E1161" s="346"/>
      <c r="F1161" s="346"/>
    </row>
    <row r="1162" spans="2:6" x14ac:dyDescent="0.25">
      <c r="B1162" s="344"/>
      <c r="C1162" s="344"/>
      <c r="D1162" s="345"/>
      <c r="E1162" s="346"/>
      <c r="F1162" s="346"/>
    </row>
    <row r="1163" spans="2:6" x14ac:dyDescent="0.25">
      <c r="B1163" s="344"/>
      <c r="C1163" s="344"/>
      <c r="D1163" s="345"/>
      <c r="E1163" s="346"/>
      <c r="F1163" s="346"/>
    </row>
    <row r="1164" spans="2:6" x14ac:dyDescent="0.25">
      <c r="B1164" s="344"/>
      <c r="C1164" s="344"/>
      <c r="D1164" s="345"/>
      <c r="E1164" s="346"/>
      <c r="F1164" s="346"/>
    </row>
    <row r="1165" spans="2:6" x14ac:dyDescent="0.25">
      <c r="B1165" s="344"/>
      <c r="C1165" s="344"/>
      <c r="D1165" s="345"/>
      <c r="E1165" s="346"/>
      <c r="F1165" s="346"/>
    </row>
    <row r="1166" spans="2:6" x14ac:dyDescent="0.25">
      <c r="B1166" s="344"/>
      <c r="C1166" s="344"/>
      <c r="D1166" s="345"/>
      <c r="E1166" s="346"/>
      <c r="F1166" s="346"/>
    </row>
    <row r="1167" spans="2:6" x14ac:dyDescent="0.25">
      <c r="B1167" s="344"/>
      <c r="C1167" s="344"/>
      <c r="D1167" s="345"/>
      <c r="E1167" s="346"/>
      <c r="F1167" s="346"/>
    </row>
    <row r="1168" spans="2:6" x14ac:dyDescent="0.25">
      <c r="B1168" s="344"/>
      <c r="C1168" s="344"/>
      <c r="D1168" s="345"/>
      <c r="E1168" s="346"/>
      <c r="F1168" s="346"/>
    </row>
    <row r="1169" spans="2:6" x14ac:dyDescent="0.25">
      <c r="B1169" s="344"/>
      <c r="C1169" s="344"/>
      <c r="D1169" s="345"/>
      <c r="E1169" s="346"/>
      <c r="F1169" s="346"/>
    </row>
    <row r="1170" spans="2:6" x14ac:dyDescent="0.25">
      <c r="B1170" s="344"/>
      <c r="C1170" s="344"/>
      <c r="D1170" s="345"/>
      <c r="E1170" s="346"/>
      <c r="F1170" s="346"/>
    </row>
    <row r="1171" spans="2:6" x14ac:dyDescent="0.25">
      <c r="B1171" s="344"/>
      <c r="C1171" s="344"/>
      <c r="D1171" s="345"/>
      <c r="E1171" s="346"/>
      <c r="F1171" s="346"/>
    </row>
    <row r="1172" spans="2:6" x14ac:dyDescent="0.25">
      <c r="B1172" s="344"/>
      <c r="C1172" s="344"/>
      <c r="D1172" s="345"/>
      <c r="E1172" s="346"/>
      <c r="F1172" s="346"/>
    </row>
    <row r="1173" spans="2:6" x14ac:dyDescent="0.25">
      <c r="B1173" s="344"/>
      <c r="C1173" s="344"/>
      <c r="D1173" s="345"/>
      <c r="E1173" s="346"/>
      <c r="F1173" s="346"/>
    </row>
    <row r="1174" spans="2:6" x14ac:dyDescent="0.25">
      <c r="B1174" s="344"/>
      <c r="C1174" s="344"/>
      <c r="D1174" s="345"/>
      <c r="E1174" s="346"/>
      <c r="F1174" s="346"/>
    </row>
    <row r="1175" spans="2:6" x14ac:dyDescent="0.25">
      <c r="B1175" s="344"/>
      <c r="C1175" s="344"/>
      <c r="D1175" s="345"/>
      <c r="E1175" s="346"/>
      <c r="F1175" s="346"/>
    </row>
    <row r="1176" spans="2:6" x14ac:dyDescent="0.25">
      <c r="B1176" s="344"/>
      <c r="C1176" s="344"/>
      <c r="D1176" s="345"/>
      <c r="E1176" s="346"/>
      <c r="F1176" s="346"/>
    </row>
    <row r="1177" spans="2:6" x14ac:dyDescent="0.25">
      <c r="B1177" s="344"/>
      <c r="C1177" s="344"/>
      <c r="D1177" s="345"/>
      <c r="E1177" s="346"/>
      <c r="F1177" s="346"/>
    </row>
    <row r="1178" spans="2:6" x14ac:dyDescent="0.25">
      <c r="B1178" s="344"/>
      <c r="C1178" s="344"/>
      <c r="D1178" s="345"/>
      <c r="E1178" s="346"/>
      <c r="F1178" s="346"/>
    </row>
    <row r="1179" spans="2:6" x14ac:dyDescent="0.25">
      <c r="B1179" s="344"/>
      <c r="C1179" s="344"/>
      <c r="D1179" s="345"/>
      <c r="E1179" s="346"/>
      <c r="F1179" s="346"/>
    </row>
    <row r="1180" spans="2:6" x14ac:dyDescent="0.25">
      <c r="B1180" s="344"/>
      <c r="C1180" s="344"/>
      <c r="D1180" s="345"/>
      <c r="E1180" s="346"/>
      <c r="F1180" s="346"/>
    </row>
    <row r="1181" spans="2:6" x14ac:dyDescent="0.25">
      <c r="B1181" s="344"/>
      <c r="C1181" s="344"/>
      <c r="D1181" s="345"/>
      <c r="E1181" s="346"/>
      <c r="F1181" s="346"/>
    </row>
    <row r="1182" spans="2:6" x14ac:dyDescent="0.25">
      <c r="B1182" s="344"/>
      <c r="C1182" s="344"/>
      <c r="D1182" s="345"/>
      <c r="E1182" s="346"/>
      <c r="F1182" s="346"/>
    </row>
    <row r="1183" spans="2:6" x14ac:dyDescent="0.25">
      <c r="B1183" s="344"/>
      <c r="C1183" s="344"/>
      <c r="D1183" s="345"/>
      <c r="E1183" s="346"/>
      <c r="F1183" s="346"/>
    </row>
    <row r="1184" spans="2:6" x14ac:dyDescent="0.25">
      <c r="B1184" s="344"/>
      <c r="C1184" s="344"/>
      <c r="D1184" s="345"/>
      <c r="E1184" s="346"/>
      <c r="F1184" s="346"/>
    </row>
    <row r="1185" spans="2:6" x14ac:dyDescent="0.25">
      <c r="B1185" s="344"/>
      <c r="C1185" s="344"/>
      <c r="D1185" s="345"/>
      <c r="E1185" s="346"/>
      <c r="F1185" s="346"/>
    </row>
    <row r="1186" spans="2:6" x14ac:dyDescent="0.25">
      <c r="B1186" s="344"/>
      <c r="C1186" s="344"/>
      <c r="D1186" s="345"/>
      <c r="E1186" s="346"/>
      <c r="F1186" s="346"/>
    </row>
    <row r="1187" spans="2:6" x14ac:dyDescent="0.25">
      <c r="B1187" s="344"/>
      <c r="C1187" s="344"/>
      <c r="D1187" s="345"/>
      <c r="E1187" s="346"/>
      <c r="F1187" s="346"/>
    </row>
    <row r="1188" spans="2:6" x14ac:dyDescent="0.25">
      <c r="B1188" s="344"/>
      <c r="C1188" s="344"/>
      <c r="D1188" s="345"/>
      <c r="E1188" s="346"/>
      <c r="F1188" s="346"/>
    </row>
    <row r="1189" spans="2:6" x14ac:dyDescent="0.25">
      <c r="B1189" s="344"/>
      <c r="C1189" s="344"/>
      <c r="D1189" s="345"/>
      <c r="E1189" s="346"/>
      <c r="F1189" s="346"/>
    </row>
    <row r="1190" spans="2:6" x14ac:dyDescent="0.25">
      <c r="B1190" s="344"/>
      <c r="C1190" s="344"/>
      <c r="D1190" s="345"/>
      <c r="E1190" s="346"/>
      <c r="F1190" s="346"/>
    </row>
    <row r="1191" spans="2:6" x14ac:dyDescent="0.25">
      <c r="B1191" s="344"/>
      <c r="C1191" s="344"/>
      <c r="D1191" s="345"/>
      <c r="E1191" s="346"/>
      <c r="F1191" s="346"/>
    </row>
    <row r="1192" spans="2:6" x14ac:dyDescent="0.25">
      <c r="B1192" s="344"/>
      <c r="C1192" s="344"/>
      <c r="D1192" s="345"/>
      <c r="E1192" s="346"/>
      <c r="F1192" s="346"/>
    </row>
    <row r="1193" spans="2:6" x14ac:dyDescent="0.25">
      <c r="B1193" s="344"/>
      <c r="C1193" s="344"/>
      <c r="D1193" s="345"/>
      <c r="E1193" s="346"/>
      <c r="F1193" s="346"/>
    </row>
    <row r="1194" spans="2:6" x14ac:dyDescent="0.25">
      <c r="B1194" s="344"/>
      <c r="C1194" s="344"/>
      <c r="D1194" s="345"/>
      <c r="E1194" s="346"/>
      <c r="F1194" s="346"/>
    </row>
    <row r="1195" spans="2:6" x14ac:dyDescent="0.25">
      <c r="B1195" s="344"/>
      <c r="C1195" s="344"/>
      <c r="D1195" s="345"/>
      <c r="E1195" s="346"/>
      <c r="F1195" s="346"/>
    </row>
    <row r="1196" spans="2:6" x14ac:dyDescent="0.25">
      <c r="B1196" s="344"/>
      <c r="C1196" s="344"/>
      <c r="D1196" s="345"/>
      <c r="E1196" s="346"/>
      <c r="F1196" s="346"/>
    </row>
    <row r="1197" spans="2:6" x14ac:dyDescent="0.25">
      <c r="B1197" s="344"/>
      <c r="C1197" s="344"/>
      <c r="D1197" s="345"/>
      <c r="E1197" s="346"/>
      <c r="F1197" s="346"/>
    </row>
    <row r="1198" spans="2:6" x14ac:dyDescent="0.25">
      <c r="B1198" s="344"/>
      <c r="C1198" s="344"/>
      <c r="D1198" s="345"/>
      <c r="E1198" s="346"/>
      <c r="F1198" s="346"/>
    </row>
    <row r="1199" spans="2:6" x14ac:dyDescent="0.25">
      <c r="B1199" s="344"/>
      <c r="C1199" s="344"/>
      <c r="D1199" s="345"/>
      <c r="E1199" s="346"/>
      <c r="F1199" s="346"/>
    </row>
    <row r="1200" spans="2:6" x14ac:dyDescent="0.25">
      <c r="B1200" s="344"/>
      <c r="C1200" s="344"/>
      <c r="D1200" s="345"/>
      <c r="E1200" s="346"/>
      <c r="F1200" s="346"/>
    </row>
    <row r="1201" spans="2:6" x14ac:dyDescent="0.25">
      <c r="B1201" s="344"/>
      <c r="C1201" s="344"/>
      <c r="D1201" s="345"/>
      <c r="E1201" s="346"/>
      <c r="F1201" s="346"/>
    </row>
    <row r="1202" spans="2:6" x14ac:dyDescent="0.25">
      <c r="B1202" s="344"/>
      <c r="C1202" s="344"/>
      <c r="D1202" s="345"/>
      <c r="E1202" s="346"/>
      <c r="F1202" s="346"/>
    </row>
    <row r="1203" spans="2:6" x14ac:dyDescent="0.25">
      <c r="B1203" s="344"/>
      <c r="C1203" s="344"/>
      <c r="D1203" s="345"/>
      <c r="E1203" s="346"/>
      <c r="F1203" s="346"/>
    </row>
    <row r="1204" spans="2:6" x14ac:dyDescent="0.25">
      <c r="B1204" s="344"/>
      <c r="C1204" s="344"/>
      <c r="D1204" s="345"/>
      <c r="E1204" s="346"/>
      <c r="F1204" s="346"/>
    </row>
    <row r="1205" spans="2:6" x14ac:dyDescent="0.25">
      <c r="B1205" s="344"/>
      <c r="C1205" s="344"/>
      <c r="D1205" s="345"/>
      <c r="E1205" s="346"/>
      <c r="F1205" s="346"/>
    </row>
    <row r="1206" spans="2:6" x14ac:dyDescent="0.25">
      <c r="B1206" s="344"/>
      <c r="C1206" s="344"/>
      <c r="D1206" s="345"/>
      <c r="E1206" s="346"/>
      <c r="F1206" s="346"/>
    </row>
    <row r="1207" spans="2:6" x14ac:dyDescent="0.25">
      <c r="B1207" s="344"/>
      <c r="C1207" s="344"/>
      <c r="D1207" s="345"/>
      <c r="E1207" s="346"/>
      <c r="F1207" s="346"/>
    </row>
    <row r="1208" spans="2:6" x14ac:dyDescent="0.25">
      <c r="B1208" s="344"/>
      <c r="C1208" s="344"/>
      <c r="D1208" s="345"/>
      <c r="E1208" s="346"/>
      <c r="F1208" s="346"/>
    </row>
    <row r="1209" spans="2:6" x14ac:dyDescent="0.25">
      <c r="B1209" s="344"/>
      <c r="C1209" s="344"/>
      <c r="D1209" s="345"/>
      <c r="E1209" s="346"/>
      <c r="F1209" s="346"/>
    </row>
    <row r="1210" spans="2:6" x14ac:dyDescent="0.25">
      <c r="B1210" s="344"/>
      <c r="C1210" s="344"/>
      <c r="D1210" s="345"/>
      <c r="E1210" s="346"/>
      <c r="F1210" s="346"/>
    </row>
    <row r="1211" spans="2:6" x14ac:dyDescent="0.25">
      <c r="B1211" s="344"/>
      <c r="C1211" s="344"/>
      <c r="D1211" s="345"/>
      <c r="E1211" s="346"/>
      <c r="F1211" s="346"/>
    </row>
    <row r="1212" spans="2:6" x14ac:dyDescent="0.25">
      <c r="B1212" s="344"/>
      <c r="C1212" s="344"/>
      <c r="D1212" s="345"/>
      <c r="E1212" s="346"/>
      <c r="F1212" s="346"/>
    </row>
    <row r="1213" spans="2:6" x14ac:dyDescent="0.25">
      <c r="B1213" s="344"/>
      <c r="C1213" s="344"/>
      <c r="D1213" s="345"/>
      <c r="E1213" s="346"/>
      <c r="F1213" s="346"/>
    </row>
    <row r="1214" spans="2:6" x14ac:dyDescent="0.25">
      <c r="B1214" s="344"/>
      <c r="C1214" s="344"/>
      <c r="D1214" s="345"/>
      <c r="E1214" s="346"/>
      <c r="F1214" s="346"/>
    </row>
    <row r="1215" spans="2:6" x14ac:dyDescent="0.25">
      <c r="B1215" s="344"/>
      <c r="C1215" s="344"/>
      <c r="D1215" s="345"/>
      <c r="E1215" s="346"/>
      <c r="F1215" s="346"/>
    </row>
    <row r="1216" spans="2:6" x14ac:dyDescent="0.25">
      <c r="B1216" s="344"/>
      <c r="C1216" s="344"/>
      <c r="D1216" s="345"/>
      <c r="E1216" s="346"/>
      <c r="F1216" s="346"/>
    </row>
    <row r="1217" spans="2:6" x14ac:dyDescent="0.25">
      <c r="B1217" s="344"/>
      <c r="C1217" s="344"/>
      <c r="D1217" s="345"/>
      <c r="E1217" s="346"/>
      <c r="F1217" s="346"/>
    </row>
    <row r="1218" spans="2:6" x14ac:dyDescent="0.25">
      <c r="B1218" s="344"/>
      <c r="C1218" s="344"/>
      <c r="D1218" s="345"/>
      <c r="E1218" s="346"/>
      <c r="F1218" s="346"/>
    </row>
    <row r="1219" spans="2:6" x14ac:dyDescent="0.25">
      <c r="B1219" s="344"/>
      <c r="C1219" s="344"/>
      <c r="D1219" s="345"/>
      <c r="E1219" s="346"/>
      <c r="F1219" s="346"/>
    </row>
    <row r="1220" spans="2:6" x14ac:dyDescent="0.25">
      <c r="B1220" s="344"/>
      <c r="C1220" s="344"/>
      <c r="D1220" s="345"/>
      <c r="E1220" s="346"/>
      <c r="F1220" s="346"/>
    </row>
    <row r="1221" spans="2:6" x14ac:dyDescent="0.25">
      <c r="B1221" s="344"/>
      <c r="C1221" s="344"/>
      <c r="D1221" s="345"/>
      <c r="E1221" s="346"/>
      <c r="F1221" s="346"/>
    </row>
    <row r="1222" spans="2:6" x14ac:dyDescent="0.25">
      <c r="B1222" s="344"/>
      <c r="C1222" s="344"/>
      <c r="D1222" s="345"/>
      <c r="E1222" s="346"/>
      <c r="F1222" s="346"/>
    </row>
    <row r="1223" spans="2:6" x14ac:dyDescent="0.25">
      <c r="B1223" s="344"/>
      <c r="C1223" s="344"/>
      <c r="D1223" s="345"/>
      <c r="E1223" s="346"/>
      <c r="F1223" s="346"/>
    </row>
    <row r="1224" spans="2:6" x14ac:dyDescent="0.25">
      <c r="B1224" s="344"/>
      <c r="C1224" s="344"/>
      <c r="D1224" s="345"/>
      <c r="E1224" s="346"/>
      <c r="F1224" s="346"/>
    </row>
    <row r="1225" spans="2:6" x14ac:dyDescent="0.25">
      <c r="B1225" s="344"/>
      <c r="C1225" s="344"/>
      <c r="D1225" s="345"/>
      <c r="E1225" s="346"/>
      <c r="F1225" s="346"/>
    </row>
    <row r="1226" spans="2:6" x14ac:dyDescent="0.25">
      <c r="B1226" s="344"/>
      <c r="C1226" s="344"/>
      <c r="D1226" s="345"/>
      <c r="E1226" s="346"/>
      <c r="F1226" s="346"/>
    </row>
    <row r="1227" spans="2:6" x14ac:dyDescent="0.25">
      <c r="B1227" s="344"/>
      <c r="C1227" s="344"/>
      <c r="D1227" s="345"/>
      <c r="E1227" s="346"/>
      <c r="F1227" s="346"/>
    </row>
    <row r="1228" spans="2:6" x14ac:dyDescent="0.25">
      <c r="B1228" s="344"/>
      <c r="C1228" s="344"/>
      <c r="D1228" s="345"/>
      <c r="E1228" s="346"/>
      <c r="F1228" s="346"/>
    </row>
    <row r="1229" spans="2:6" x14ac:dyDescent="0.25">
      <c r="B1229" s="344"/>
      <c r="C1229" s="344"/>
      <c r="D1229" s="345"/>
      <c r="E1229" s="346"/>
      <c r="F1229" s="346"/>
    </row>
    <row r="1230" spans="2:6" x14ac:dyDescent="0.25">
      <c r="B1230" s="344"/>
      <c r="C1230" s="344"/>
      <c r="D1230" s="345"/>
      <c r="E1230" s="346"/>
      <c r="F1230" s="346"/>
    </row>
    <row r="1231" spans="2:6" x14ac:dyDescent="0.25">
      <c r="B1231" s="344"/>
      <c r="C1231" s="344"/>
      <c r="D1231" s="345"/>
      <c r="E1231" s="346"/>
      <c r="F1231" s="346"/>
    </row>
    <row r="1232" spans="2:6" x14ac:dyDescent="0.25">
      <c r="B1232" s="344"/>
      <c r="C1232" s="344"/>
      <c r="D1232" s="345"/>
      <c r="E1232" s="346"/>
      <c r="F1232" s="346"/>
    </row>
    <row r="1233" spans="2:6" x14ac:dyDescent="0.25">
      <c r="B1233" s="344"/>
      <c r="C1233" s="344"/>
      <c r="D1233" s="345"/>
      <c r="E1233" s="346"/>
      <c r="F1233" s="346"/>
    </row>
    <row r="1234" spans="2:6" x14ac:dyDescent="0.25">
      <c r="B1234" s="344"/>
      <c r="C1234" s="344"/>
      <c r="D1234" s="345"/>
      <c r="E1234" s="346"/>
      <c r="F1234" s="346"/>
    </row>
    <row r="1235" spans="2:6" x14ac:dyDescent="0.25">
      <c r="B1235" s="344"/>
      <c r="C1235" s="344"/>
      <c r="D1235" s="345"/>
      <c r="E1235" s="346"/>
      <c r="F1235" s="346"/>
    </row>
    <row r="1236" spans="2:6" x14ac:dyDescent="0.25">
      <c r="B1236" s="344"/>
      <c r="C1236" s="344"/>
      <c r="D1236" s="345"/>
      <c r="E1236" s="346"/>
      <c r="F1236" s="346"/>
    </row>
    <row r="1237" spans="2:6" x14ac:dyDescent="0.25">
      <c r="B1237" s="344"/>
      <c r="C1237" s="344"/>
      <c r="D1237" s="345"/>
      <c r="E1237" s="346"/>
      <c r="F1237" s="346"/>
    </row>
    <row r="1238" spans="2:6" x14ac:dyDescent="0.25">
      <c r="B1238" s="344"/>
      <c r="C1238" s="344"/>
      <c r="D1238" s="345"/>
      <c r="E1238" s="346"/>
      <c r="F1238" s="346"/>
    </row>
    <row r="1239" spans="2:6" x14ac:dyDescent="0.25">
      <c r="B1239" s="344"/>
      <c r="C1239" s="344"/>
      <c r="D1239" s="345"/>
      <c r="E1239" s="346"/>
      <c r="F1239" s="346"/>
    </row>
    <row r="1240" spans="2:6" x14ac:dyDescent="0.25">
      <c r="B1240" s="344"/>
      <c r="C1240" s="344"/>
      <c r="D1240" s="345"/>
      <c r="E1240" s="346"/>
      <c r="F1240" s="346"/>
    </row>
    <row r="1241" spans="2:6" x14ac:dyDescent="0.25">
      <c r="B1241" s="344"/>
      <c r="C1241" s="344"/>
      <c r="D1241" s="345"/>
      <c r="E1241" s="346"/>
      <c r="F1241" s="346"/>
    </row>
    <row r="1242" spans="2:6" x14ac:dyDescent="0.25">
      <c r="B1242" s="344"/>
      <c r="C1242" s="344"/>
      <c r="D1242" s="345"/>
      <c r="E1242" s="346"/>
      <c r="F1242" s="346"/>
    </row>
    <row r="1243" spans="2:6" x14ac:dyDescent="0.25">
      <c r="B1243" s="344"/>
      <c r="C1243" s="344"/>
      <c r="D1243" s="345"/>
      <c r="E1243" s="346"/>
      <c r="F1243" s="346"/>
    </row>
    <row r="1244" spans="2:6" x14ac:dyDescent="0.25">
      <c r="B1244" s="344"/>
      <c r="C1244" s="344"/>
      <c r="D1244" s="345"/>
      <c r="E1244" s="346"/>
      <c r="F1244" s="346"/>
    </row>
    <row r="1245" spans="2:6" x14ac:dyDescent="0.25">
      <c r="B1245" s="344"/>
      <c r="C1245" s="344"/>
      <c r="D1245" s="345"/>
      <c r="E1245" s="346"/>
      <c r="F1245" s="346"/>
    </row>
    <row r="1246" spans="2:6" x14ac:dyDescent="0.25">
      <c r="B1246" s="344"/>
      <c r="C1246" s="344"/>
      <c r="D1246" s="345"/>
      <c r="E1246" s="346"/>
      <c r="F1246" s="346"/>
    </row>
    <row r="1247" spans="2:6" x14ac:dyDescent="0.25">
      <c r="B1247" s="344"/>
      <c r="C1247" s="344"/>
      <c r="D1247" s="345"/>
      <c r="E1247" s="346"/>
      <c r="F1247" s="346"/>
    </row>
    <row r="1248" spans="2:6" x14ac:dyDescent="0.25">
      <c r="B1248" s="344"/>
      <c r="C1248" s="344"/>
      <c r="D1248" s="345"/>
      <c r="E1248" s="346"/>
      <c r="F1248" s="346"/>
    </row>
    <row r="1249" spans="2:6" x14ac:dyDescent="0.25">
      <c r="B1249" s="344"/>
      <c r="C1249" s="344"/>
      <c r="D1249" s="345"/>
      <c r="E1249" s="346"/>
      <c r="F1249" s="346"/>
    </row>
    <row r="1250" spans="2:6" x14ac:dyDescent="0.25">
      <c r="B1250" s="344"/>
      <c r="C1250" s="344"/>
      <c r="D1250" s="345"/>
      <c r="E1250" s="346"/>
      <c r="F1250" s="346"/>
    </row>
    <row r="1251" spans="2:6" x14ac:dyDescent="0.25">
      <c r="B1251" s="344"/>
      <c r="C1251" s="344"/>
      <c r="D1251" s="345"/>
      <c r="E1251" s="346"/>
      <c r="F1251" s="346"/>
    </row>
    <row r="1252" spans="2:6" x14ac:dyDescent="0.25">
      <c r="B1252" s="344"/>
      <c r="C1252" s="344"/>
      <c r="D1252" s="345"/>
      <c r="E1252" s="346"/>
      <c r="F1252" s="346"/>
    </row>
    <row r="1253" spans="2:6" x14ac:dyDescent="0.25">
      <c r="B1253" s="344"/>
      <c r="C1253" s="344"/>
      <c r="D1253" s="345"/>
      <c r="E1253" s="346"/>
      <c r="F1253" s="346"/>
    </row>
    <row r="1254" spans="2:6" x14ac:dyDescent="0.25">
      <c r="B1254" s="344"/>
      <c r="C1254" s="344"/>
      <c r="D1254" s="345"/>
      <c r="E1254" s="346"/>
      <c r="F1254" s="346"/>
    </row>
    <row r="1255" spans="2:6" x14ac:dyDescent="0.25">
      <c r="B1255" s="344"/>
      <c r="C1255" s="344"/>
      <c r="D1255" s="345"/>
      <c r="E1255" s="346"/>
      <c r="F1255" s="346"/>
    </row>
    <row r="1256" spans="2:6" x14ac:dyDescent="0.25">
      <c r="B1256" s="344"/>
      <c r="C1256" s="344"/>
      <c r="D1256" s="345"/>
      <c r="E1256" s="346"/>
      <c r="F1256" s="346"/>
    </row>
    <row r="1257" spans="2:6" x14ac:dyDescent="0.25">
      <c r="B1257" s="344"/>
      <c r="C1257" s="344"/>
      <c r="D1257" s="345"/>
      <c r="E1257" s="346"/>
      <c r="F1257" s="346"/>
    </row>
    <row r="1258" spans="2:6" x14ac:dyDescent="0.25">
      <c r="B1258" s="344"/>
      <c r="C1258" s="344"/>
      <c r="D1258" s="345"/>
      <c r="E1258" s="346"/>
      <c r="F1258" s="346"/>
    </row>
    <row r="1259" spans="2:6" x14ac:dyDescent="0.25">
      <c r="B1259" s="344"/>
      <c r="C1259" s="344"/>
      <c r="D1259" s="345"/>
      <c r="E1259" s="346"/>
      <c r="F1259" s="346"/>
    </row>
    <row r="1260" spans="2:6" x14ac:dyDescent="0.25">
      <c r="B1260" s="344"/>
      <c r="C1260" s="344"/>
      <c r="D1260" s="345"/>
      <c r="E1260" s="346"/>
      <c r="F1260" s="346"/>
    </row>
    <row r="1261" spans="2:6" x14ac:dyDescent="0.25">
      <c r="B1261" s="344"/>
      <c r="C1261" s="344"/>
      <c r="D1261" s="345"/>
      <c r="E1261" s="346"/>
      <c r="F1261" s="346"/>
    </row>
    <row r="1262" spans="2:6" x14ac:dyDescent="0.25">
      <c r="B1262" s="344"/>
      <c r="C1262" s="344"/>
      <c r="D1262" s="345"/>
      <c r="E1262" s="346"/>
      <c r="F1262" s="346"/>
    </row>
    <row r="1263" spans="2:6" x14ac:dyDescent="0.25">
      <c r="B1263" s="344"/>
      <c r="C1263" s="344"/>
      <c r="D1263" s="345"/>
      <c r="E1263" s="346"/>
      <c r="F1263" s="346"/>
    </row>
    <row r="1264" spans="2:6" x14ac:dyDescent="0.25">
      <c r="B1264" s="344"/>
      <c r="C1264" s="344"/>
      <c r="D1264" s="345"/>
      <c r="E1264" s="346"/>
      <c r="F1264" s="346"/>
    </row>
    <row r="1265" spans="2:6" x14ac:dyDescent="0.25">
      <c r="B1265" s="344"/>
      <c r="C1265" s="344"/>
      <c r="D1265" s="345"/>
      <c r="E1265" s="346"/>
      <c r="F1265" s="346"/>
    </row>
    <row r="1266" spans="2:6" x14ac:dyDescent="0.25">
      <c r="B1266" s="344"/>
      <c r="C1266" s="344"/>
      <c r="D1266" s="345"/>
      <c r="E1266" s="346"/>
      <c r="F1266" s="346"/>
    </row>
    <row r="1267" spans="2:6" x14ac:dyDescent="0.25">
      <c r="B1267" s="344"/>
      <c r="C1267" s="344"/>
      <c r="D1267" s="345"/>
      <c r="E1267" s="346"/>
      <c r="F1267" s="346"/>
    </row>
    <row r="1268" spans="2:6" x14ac:dyDescent="0.25">
      <c r="B1268" s="344"/>
      <c r="C1268" s="344"/>
      <c r="D1268" s="345"/>
      <c r="E1268" s="346"/>
      <c r="F1268" s="346"/>
    </row>
    <row r="1269" spans="2:6" x14ac:dyDescent="0.25">
      <c r="B1269" s="344"/>
      <c r="C1269" s="344"/>
      <c r="D1269" s="345"/>
      <c r="E1269" s="346"/>
      <c r="F1269" s="346"/>
    </row>
    <row r="1270" spans="2:6" x14ac:dyDescent="0.25">
      <c r="B1270" s="344"/>
      <c r="C1270" s="344"/>
      <c r="D1270" s="345"/>
      <c r="E1270" s="346"/>
      <c r="F1270" s="346"/>
    </row>
    <row r="1271" spans="2:6" x14ac:dyDescent="0.25">
      <c r="B1271" s="344"/>
      <c r="C1271" s="344"/>
      <c r="D1271" s="345"/>
      <c r="E1271" s="346"/>
      <c r="F1271" s="346"/>
    </row>
    <row r="1272" spans="2:6" x14ac:dyDescent="0.25">
      <c r="B1272" s="344"/>
      <c r="C1272" s="344"/>
      <c r="D1272" s="345"/>
      <c r="E1272" s="346"/>
      <c r="F1272" s="346"/>
    </row>
    <row r="1273" spans="2:6" x14ac:dyDescent="0.25">
      <c r="B1273" s="344"/>
      <c r="C1273" s="344"/>
      <c r="D1273" s="345"/>
      <c r="E1273" s="346"/>
      <c r="F1273" s="346"/>
    </row>
    <row r="1274" spans="2:6" x14ac:dyDescent="0.25">
      <c r="B1274" s="344"/>
      <c r="C1274" s="344"/>
      <c r="D1274" s="345"/>
      <c r="E1274" s="346"/>
      <c r="F1274" s="346"/>
    </row>
    <row r="1275" spans="2:6" x14ac:dyDescent="0.25">
      <c r="B1275" s="344"/>
      <c r="C1275" s="344"/>
      <c r="D1275" s="345"/>
      <c r="E1275" s="346"/>
      <c r="F1275" s="346"/>
    </row>
    <row r="1276" spans="2:6" x14ac:dyDescent="0.25">
      <c r="B1276" s="344"/>
      <c r="C1276" s="344"/>
      <c r="D1276" s="345"/>
      <c r="E1276" s="346"/>
      <c r="F1276" s="346"/>
    </row>
    <row r="1277" spans="2:6" x14ac:dyDescent="0.25">
      <c r="B1277" s="344"/>
      <c r="C1277" s="344"/>
      <c r="D1277" s="345"/>
      <c r="E1277" s="346"/>
      <c r="F1277" s="346"/>
    </row>
    <row r="1278" spans="2:6" x14ac:dyDescent="0.25">
      <c r="B1278" s="344"/>
      <c r="C1278" s="344"/>
      <c r="D1278" s="345"/>
      <c r="E1278" s="346"/>
      <c r="F1278" s="346"/>
    </row>
    <row r="1279" spans="2:6" x14ac:dyDescent="0.25">
      <c r="B1279" s="344"/>
      <c r="C1279" s="344"/>
      <c r="D1279" s="345"/>
      <c r="E1279" s="346"/>
      <c r="F1279" s="346"/>
    </row>
    <row r="1280" spans="2:6" x14ac:dyDescent="0.25">
      <c r="B1280" s="344"/>
      <c r="C1280" s="344"/>
      <c r="D1280" s="345"/>
      <c r="E1280" s="346"/>
      <c r="F1280" s="346"/>
    </row>
    <row r="1281" spans="2:6" x14ac:dyDescent="0.25">
      <c r="B1281" s="344"/>
      <c r="C1281" s="344"/>
      <c r="D1281" s="345"/>
      <c r="E1281" s="346"/>
      <c r="F1281" s="346"/>
    </row>
    <row r="1282" spans="2:6" x14ac:dyDescent="0.25">
      <c r="B1282" s="344"/>
      <c r="C1282" s="344"/>
      <c r="D1282" s="345"/>
      <c r="E1282" s="346"/>
      <c r="F1282" s="346"/>
    </row>
    <row r="1283" spans="2:6" x14ac:dyDescent="0.25">
      <c r="B1283" s="344"/>
      <c r="C1283" s="344"/>
      <c r="D1283" s="345"/>
      <c r="E1283" s="346"/>
      <c r="F1283" s="346"/>
    </row>
    <row r="1284" spans="2:6" x14ac:dyDescent="0.25">
      <c r="B1284" s="344"/>
      <c r="C1284" s="344"/>
      <c r="D1284" s="345"/>
      <c r="E1284" s="346"/>
      <c r="F1284" s="346"/>
    </row>
    <row r="1285" spans="2:6" x14ac:dyDescent="0.25">
      <c r="B1285" s="344"/>
      <c r="C1285" s="344"/>
      <c r="D1285" s="345"/>
      <c r="E1285" s="346"/>
      <c r="F1285" s="346"/>
    </row>
    <row r="1286" spans="2:6" x14ac:dyDescent="0.25">
      <c r="B1286" s="344"/>
      <c r="C1286" s="344"/>
      <c r="D1286" s="345"/>
      <c r="E1286" s="346"/>
      <c r="F1286" s="346"/>
    </row>
    <row r="1287" spans="2:6" x14ac:dyDescent="0.25">
      <c r="B1287" s="344"/>
      <c r="C1287" s="344"/>
      <c r="D1287" s="345"/>
      <c r="E1287" s="346"/>
      <c r="F1287" s="346"/>
    </row>
    <row r="1288" spans="2:6" x14ac:dyDescent="0.25">
      <c r="B1288" s="344"/>
      <c r="C1288" s="344"/>
      <c r="D1288" s="345"/>
      <c r="E1288" s="346"/>
      <c r="F1288" s="346"/>
    </row>
    <row r="1289" spans="2:6" x14ac:dyDescent="0.25">
      <c r="B1289" s="344"/>
      <c r="C1289" s="344"/>
      <c r="D1289" s="345"/>
      <c r="E1289" s="346"/>
      <c r="F1289" s="346"/>
    </row>
    <row r="1290" spans="2:6" x14ac:dyDescent="0.25">
      <c r="B1290" s="344"/>
      <c r="C1290" s="344"/>
      <c r="D1290" s="345"/>
      <c r="E1290" s="346"/>
      <c r="F1290" s="346"/>
    </row>
    <row r="1291" spans="2:6" x14ac:dyDescent="0.25">
      <c r="B1291" s="344"/>
      <c r="C1291" s="344"/>
      <c r="D1291" s="345"/>
      <c r="E1291" s="346"/>
      <c r="F1291" s="346"/>
    </row>
    <row r="1292" spans="2:6" x14ac:dyDescent="0.25">
      <c r="B1292" s="344"/>
      <c r="C1292" s="344"/>
      <c r="D1292" s="345"/>
      <c r="E1292" s="346"/>
      <c r="F1292" s="346"/>
    </row>
    <row r="1293" spans="2:6" x14ac:dyDescent="0.25">
      <c r="B1293" s="344"/>
      <c r="C1293" s="344"/>
      <c r="D1293" s="345"/>
      <c r="E1293" s="346"/>
      <c r="F1293" s="346"/>
    </row>
    <row r="1294" spans="2:6" x14ac:dyDescent="0.25">
      <c r="B1294" s="344"/>
      <c r="C1294" s="344"/>
      <c r="D1294" s="345"/>
      <c r="E1294" s="346"/>
      <c r="F1294" s="346"/>
    </row>
    <row r="1295" spans="2:6" x14ac:dyDescent="0.25">
      <c r="B1295" s="344"/>
      <c r="C1295" s="344"/>
      <c r="D1295" s="345"/>
      <c r="E1295" s="346"/>
      <c r="F1295" s="346"/>
    </row>
    <row r="1296" spans="2:6" x14ac:dyDescent="0.25">
      <c r="B1296" s="344"/>
      <c r="C1296" s="344"/>
      <c r="D1296" s="345"/>
      <c r="E1296" s="346"/>
      <c r="F1296" s="346"/>
    </row>
    <row r="1297" spans="2:6" x14ac:dyDescent="0.25">
      <c r="B1297" s="344"/>
      <c r="C1297" s="344"/>
      <c r="D1297" s="345"/>
      <c r="E1297" s="346"/>
      <c r="F1297" s="346"/>
    </row>
    <row r="1298" spans="2:6" x14ac:dyDescent="0.25">
      <c r="B1298" s="344"/>
      <c r="C1298" s="344"/>
      <c r="D1298" s="345"/>
      <c r="E1298" s="346"/>
      <c r="F1298" s="346"/>
    </row>
    <row r="1299" spans="2:6" x14ac:dyDescent="0.25">
      <c r="B1299" s="344"/>
      <c r="C1299" s="344"/>
      <c r="D1299" s="345"/>
      <c r="E1299" s="346"/>
      <c r="F1299" s="346"/>
    </row>
    <row r="1300" spans="2:6" x14ac:dyDescent="0.25">
      <c r="B1300" s="344"/>
      <c r="C1300" s="344"/>
      <c r="D1300" s="345"/>
      <c r="E1300" s="346"/>
      <c r="F1300" s="346"/>
    </row>
    <row r="1301" spans="2:6" x14ac:dyDescent="0.25">
      <c r="B1301" s="344"/>
      <c r="C1301" s="344"/>
      <c r="D1301" s="345"/>
      <c r="E1301" s="346"/>
      <c r="F1301" s="346"/>
    </row>
    <row r="1302" spans="2:6" x14ac:dyDescent="0.25">
      <c r="B1302" s="344"/>
      <c r="C1302" s="344"/>
      <c r="D1302" s="345"/>
      <c r="E1302" s="346"/>
      <c r="F1302" s="346"/>
    </row>
    <row r="1303" spans="2:6" x14ac:dyDescent="0.25">
      <c r="B1303" s="344"/>
      <c r="C1303" s="344"/>
      <c r="D1303" s="345"/>
      <c r="E1303" s="346"/>
      <c r="F1303" s="346"/>
    </row>
    <row r="1304" spans="2:6" x14ac:dyDescent="0.25">
      <c r="B1304" s="344"/>
      <c r="C1304" s="344"/>
      <c r="D1304" s="345"/>
      <c r="E1304" s="346"/>
      <c r="F1304" s="346"/>
    </row>
    <row r="1305" spans="2:6" x14ac:dyDescent="0.25">
      <c r="B1305" s="344"/>
      <c r="C1305" s="344"/>
      <c r="D1305" s="345"/>
      <c r="E1305" s="346"/>
      <c r="F1305" s="346"/>
    </row>
    <row r="1306" spans="2:6" x14ac:dyDescent="0.25">
      <c r="B1306" s="344"/>
      <c r="C1306" s="344"/>
      <c r="D1306" s="345"/>
      <c r="E1306" s="346"/>
      <c r="F1306" s="346"/>
    </row>
    <row r="1307" spans="2:6" x14ac:dyDescent="0.25">
      <c r="B1307" s="344"/>
      <c r="C1307" s="344"/>
      <c r="D1307" s="345"/>
      <c r="E1307" s="346"/>
      <c r="F1307" s="346"/>
    </row>
    <row r="1308" spans="2:6" x14ac:dyDescent="0.25">
      <c r="B1308" s="344"/>
      <c r="C1308" s="344"/>
      <c r="D1308" s="345"/>
      <c r="E1308" s="346"/>
      <c r="F1308" s="346"/>
    </row>
    <row r="1309" spans="2:6" x14ac:dyDescent="0.25">
      <c r="B1309" s="344"/>
      <c r="C1309" s="344"/>
      <c r="D1309" s="345"/>
      <c r="E1309" s="346"/>
      <c r="F1309" s="346"/>
    </row>
    <row r="1310" spans="2:6" x14ac:dyDescent="0.25">
      <c r="B1310" s="344"/>
      <c r="C1310" s="344"/>
      <c r="D1310" s="345"/>
      <c r="E1310" s="346"/>
      <c r="F1310" s="346"/>
    </row>
    <row r="1311" spans="2:6" x14ac:dyDescent="0.25">
      <c r="B1311" s="344"/>
      <c r="C1311" s="344"/>
      <c r="D1311" s="345"/>
      <c r="E1311" s="346"/>
      <c r="F1311" s="346"/>
    </row>
    <row r="1312" spans="2:6" x14ac:dyDescent="0.25">
      <c r="B1312" s="344"/>
      <c r="C1312" s="344"/>
      <c r="D1312" s="345"/>
      <c r="E1312" s="346"/>
      <c r="F1312" s="346"/>
    </row>
    <row r="1313" spans="2:6" x14ac:dyDescent="0.25">
      <c r="B1313" s="344"/>
      <c r="C1313" s="344"/>
      <c r="D1313" s="345"/>
      <c r="E1313" s="346"/>
      <c r="F1313" s="346"/>
    </row>
    <row r="1314" spans="2:6" x14ac:dyDescent="0.25">
      <c r="B1314" s="344"/>
      <c r="C1314" s="344"/>
      <c r="D1314" s="345"/>
      <c r="E1314" s="346"/>
      <c r="F1314" s="346"/>
    </row>
    <row r="1315" spans="2:6" x14ac:dyDescent="0.25">
      <c r="B1315" s="344"/>
      <c r="C1315" s="344"/>
      <c r="D1315" s="345"/>
      <c r="E1315" s="346"/>
      <c r="F1315" s="346"/>
    </row>
    <row r="1316" spans="2:6" x14ac:dyDescent="0.25">
      <c r="B1316" s="344"/>
      <c r="C1316" s="344"/>
      <c r="D1316" s="345"/>
      <c r="E1316" s="346"/>
      <c r="F1316" s="346"/>
    </row>
    <row r="1317" spans="2:6" x14ac:dyDescent="0.25">
      <c r="B1317" s="344"/>
      <c r="C1317" s="344"/>
      <c r="D1317" s="345"/>
      <c r="E1317" s="346"/>
      <c r="F1317" s="346"/>
    </row>
    <row r="1318" spans="2:6" x14ac:dyDescent="0.25">
      <c r="B1318" s="344"/>
      <c r="C1318" s="344"/>
      <c r="D1318" s="345"/>
      <c r="E1318" s="346"/>
      <c r="F1318" s="346"/>
    </row>
    <row r="1319" spans="2:6" x14ac:dyDescent="0.25">
      <c r="B1319" s="344"/>
      <c r="C1319" s="344"/>
      <c r="D1319" s="345"/>
      <c r="E1319" s="346"/>
      <c r="F1319" s="346"/>
    </row>
    <row r="1320" spans="2:6" x14ac:dyDescent="0.25">
      <c r="B1320" s="344"/>
      <c r="C1320" s="344"/>
      <c r="D1320" s="345"/>
      <c r="E1320" s="346"/>
      <c r="F1320" s="346"/>
    </row>
    <row r="1321" spans="2:6" x14ac:dyDescent="0.25">
      <c r="B1321" s="344"/>
      <c r="C1321" s="344"/>
      <c r="D1321" s="345"/>
      <c r="E1321" s="346"/>
      <c r="F1321" s="346"/>
    </row>
    <row r="1322" spans="2:6" x14ac:dyDescent="0.25">
      <c r="B1322" s="344"/>
      <c r="C1322" s="344"/>
      <c r="D1322" s="345"/>
      <c r="E1322" s="346"/>
      <c r="F1322" s="346"/>
    </row>
    <row r="1323" spans="2:6" x14ac:dyDescent="0.25">
      <c r="B1323" s="344"/>
      <c r="C1323" s="344"/>
      <c r="D1323" s="345"/>
      <c r="E1323" s="346"/>
      <c r="F1323" s="346"/>
    </row>
    <row r="1324" spans="2:6" x14ac:dyDescent="0.25">
      <c r="B1324" s="344"/>
      <c r="C1324" s="344"/>
      <c r="D1324" s="345"/>
      <c r="E1324" s="346"/>
      <c r="F1324" s="346"/>
    </row>
    <row r="1325" spans="2:6" x14ac:dyDescent="0.25">
      <c r="B1325" s="344"/>
      <c r="C1325" s="344"/>
      <c r="D1325" s="345"/>
      <c r="E1325" s="346"/>
      <c r="F1325" s="346"/>
    </row>
    <row r="1326" spans="2:6" x14ac:dyDescent="0.25">
      <c r="B1326" s="344"/>
      <c r="C1326" s="344"/>
      <c r="D1326" s="345"/>
      <c r="E1326" s="346"/>
      <c r="F1326" s="346"/>
    </row>
    <row r="1327" spans="2:6" x14ac:dyDescent="0.25">
      <c r="B1327" s="344"/>
      <c r="C1327" s="344"/>
      <c r="D1327" s="345"/>
      <c r="E1327" s="346"/>
      <c r="F1327" s="346"/>
    </row>
    <row r="1328" spans="2:6" x14ac:dyDescent="0.25">
      <c r="B1328" s="344"/>
      <c r="C1328" s="344"/>
      <c r="D1328" s="345"/>
      <c r="E1328" s="346"/>
      <c r="F1328" s="346"/>
    </row>
    <row r="1329" spans="2:6" x14ac:dyDescent="0.25">
      <c r="B1329" s="344"/>
      <c r="C1329" s="344"/>
      <c r="D1329" s="345"/>
      <c r="E1329" s="346"/>
      <c r="F1329" s="346"/>
    </row>
    <row r="1330" spans="2:6" x14ac:dyDescent="0.25">
      <c r="B1330" s="344"/>
      <c r="C1330" s="344"/>
      <c r="D1330" s="345"/>
      <c r="E1330" s="346"/>
      <c r="F1330" s="346"/>
    </row>
    <row r="1331" spans="2:6" x14ac:dyDescent="0.25">
      <c r="B1331" s="344"/>
      <c r="C1331" s="344"/>
      <c r="D1331" s="345"/>
      <c r="E1331" s="346"/>
      <c r="F1331" s="346"/>
    </row>
    <row r="1332" spans="2:6" x14ac:dyDescent="0.25">
      <c r="B1332" s="344"/>
      <c r="C1332" s="344"/>
      <c r="D1332" s="345"/>
      <c r="E1332" s="346"/>
      <c r="F1332" s="346"/>
    </row>
    <row r="1333" spans="2:6" x14ac:dyDescent="0.25">
      <c r="B1333" s="344"/>
      <c r="C1333" s="344"/>
      <c r="D1333" s="345"/>
      <c r="E1333" s="346"/>
      <c r="F1333" s="346"/>
    </row>
    <row r="1334" spans="2:6" x14ac:dyDescent="0.25">
      <c r="B1334" s="344"/>
      <c r="C1334" s="344"/>
      <c r="D1334" s="345"/>
      <c r="E1334" s="346"/>
      <c r="F1334" s="346"/>
    </row>
    <row r="1335" spans="2:6" x14ac:dyDescent="0.25">
      <c r="B1335" s="344"/>
      <c r="C1335" s="344"/>
      <c r="D1335" s="345"/>
      <c r="E1335" s="346"/>
      <c r="F1335" s="346"/>
    </row>
    <row r="1336" spans="2:6" x14ac:dyDescent="0.25">
      <c r="B1336" s="344"/>
      <c r="C1336" s="344"/>
      <c r="D1336" s="345"/>
      <c r="E1336" s="346"/>
      <c r="F1336" s="346"/>
    </row>
    <row r="1337" spans="2:6" x14ac:dyDescent="0.25">
      <c r="B1337" s="344"/>
      <c r="C1337" s="344"/>
      <c r="D1337" s="345"/>
      <c r="E1337" s="346"/>
      <c r="F1337" s="346"/>
    </row>
    <row r="1338" spans="2:6" x14ac:dyDescent="0.25">
      <c r="B1338" s="344"/>
      <c r="C1338" s="344"/>
      <c r="D1338" s="345"/>
      <c r="E1338" s="346"/>
      <c r="F1338" s="346"/>
    </row>
    <row r="1339" spans="2:6" x14ac:dyDescent="0.25">
      <c r="B1339" s="344"/>
      <c r="C1339" s="344"/>
      <c r="D1339" s="345"/>
      <c r="E1339" s="346"/>
      <c r="F1339" s="346"/>
    </row>
    <row r="1340" spans="2:6" x14ac:dyDescent="0.25">
      <c r="B1340" s="344"/>
      <c r="C1340" s="344"/>
      <c r="D1340" s="345"/>
      <c r="E1340" s="346"/>
      <c r="F1340" s="346"/>
    </row>
    <row r="1341" spans="2:6" x14ac:dyDescent="0.25">
      <c r="B1341" s="344"/>
      <c r="C1341" s="344"/>
      <c r="D1341" s="345"/>
      <c r="E1341" s="346"/>
      <c r="F1341" s="346"/>
    </row>
    <row r="1342" spans="2:6" x14ac:dyDescent="0.25">
      <c r="B1342" s="344"/>
      <c r="C1342" s="344"/>
      <c r="D1342" s="345"/>
      <c r="E1342" s="346"/>
      <c r="F1342" s="346"/>
    </row>
    <row r="1343" spans="2:6" x14ac:dyDescent="0.25">
      <c r="B1343" s="344"/>
      <c r="C1343" s="344"/>
      <c r="D1343" s="345"/>
      <c r="E1343" s="346"/>
      <c r="F1343" s="346"/>
    </row>
    <row r="1344" spans="2:6" x14ac:dyDescent="0.25">
      <c r="B1344" s="344"/>
      <c r="C1344" s="344"/>
      <c r="D1344" s="345"/>
      <c r="E1344" s="346"/>
      <c r="F1344" s="346"/>
    </row>
    <row r="1345" spans="2:6" x14ac:dyDescent="0.25">
      <c r="B1345" s="344"/>
      <c r="C1345" s="344"/>
      <c r="D1345" s="345"/>
      <c r="E1345" s="346"/>
      <c r="F1345" s="346"/>
    </row>
    <row r="1346" spans="2:6" x14ac:dyDescent="0.25">
      <c r="B1346" s="344"/>
      <c r="C1346" s="344"/>
      <c r="D1346" s="345"/>
      <c r="E1346" s="346"/>
      <c r="F1346" s="346"/>
    </row>
    <row r="1347" spans="2:6" x14ac:dyDescent="0.25">
      <c r="B1347" s="344"/>
      <c r="C1347" s="344"/>
      <c r="D1347" s="345"/>
      <c r="E1347" s="346"/>
      <c r="F1347" s="346"/>
    </row>
    <row r="1348" spans="2:6" x14ac:dyDescent="0.25">
      <c r="B1348" s="344"/>
      <c r="C1348" s="344"/>
      <c r="D1348" s="345"/>
      <c r="E1348" s="346"/>
      <c r="F1348" s="346"/>
    </row>
    <row r="1349" spans="2:6" x14ac:dyDescent="0.25">
      <c r="B1349" s="344"/>
      <c r="C1349" s="344"/>
      <c r="D1349" s="345"/>
      <c r="E1349" s="346"/>
      <c r="F1349" s="346"/>
    </row>
    <row r="1350" spans="2:6" x14ac:dyDescent="0.25">
      <c r="B1350" s="344"/>
      <c r="C1350" s="344"/>
      <c r="D1350" s="345"/>
      <c r="E1350" s="346"/>
      <c r="F1350" s="346"/>
    </row>
    <row r="1351" spans="2:6" x14ac:dyDescent="0.25">
      <c r="B1351" s="344"/>
      <c r="C1351" s="344"/>
      <c r="D1351" s="345"/>
      <c r="E1351" s="346"/>
      <c r="F1351" s="346"/>
    </row>
    <row r="1352" spans="2:6" x14ac:dyDescent="0.25">
      <c r="B1352" s="344"/>
      <c r="C1352" s="344"/>
      <c r="D1352" s="345"/>
      <c r="E1352" s="346"/>
      <c r="F1352" s="346"/>
    </row>
    <row r="1353" spans="2:6" x14ac:dyDescent="0.25">
      <c r="B1353" s="344"/>
      <c r="C1353" s="344"/>
      <c r="D1353" s="345"/>
      <c r="E1353" s="346"/>
      <c r="F1353" s="346"/>
    </row>
    <row r="1354" spans="2:6" x14ac:dyDescent="0.25">
      <c r="B1354" s="344"/>
      <c r="C1354" s="344"/>
      <c r="D1354" s="345"/>
      <c r="E1354" s="346"/>
      <c r="F1354" s="346"/>
    </row>
    <row r="1355" spans="2:6" x14ac:dyDescent="0.25">
      <c r="B1355" s="344"/>
      <c r="C1355" s="344"/>
      <c r="D1355" s="345"/>
      <c r="E1355" s="346"/>
      <c r="F1355" s="346"/>
    </row>
    <row r="1356" spans="2:6" x14ac:dyDescent="0.25">
      <c r="B1356" s="344"/>
      <c r="C1356" s="344"/>
      <c r="D1356" s="345"/>
      <c r="E1356" s="346"/>
      <c r="F1356" s="346"/>
    </row>
    <row r="1357" spans="2:6" x14ac:dyDescent="0.25">
      <c r="B1357" s="344"/>
      <c r="C1357" s="344"/>
      <c r="D1357" s="345"/>
      <c r="E1357" s="346"/>
      <c r="F1357" s="346"/>
    </row>
    <row r="1358" spans="2:6" x14ac:dyDescent="0.25">
      <c r="B1358" s="344"/>
      <c r="C1358" s="344"/>
      <c r="D1358" s="345"/>
      <c r="E1358" s="346"/>
      <c r="F1358" s="346"/>
    </row>
    <row r="1359" spans="2:6" x14ac:dyDescent="0.25">
      <c r="B1359" s="344"/>
      <c r="C1359" s="344"/>
      <c r="D1359" s="345"/>
      <c r="E1359" s="346"/>
      <c r="F1359" s="346"/>
    </row>
    <row r="1360" spans="2:6" x14ac:dyDescent="0.25">
      <c r="B1360" s="344"/>
      <c r="C1360" s="344"/>
      <c r="D1360" s="345"/>
      <c r="E1360" s="346"/>
      <c r="F1360" s="346"/>
    </row>
    <row r="1361" spans="2:6" x14ac:dyDescent="0.25">
      <c r="B1361" s="344"/>
      <c r="C1361" s="344"/>
      <c r="D1361" s="345"/>
      <c r="E1361" s="346"/>
      <c r="F1361" s="346"/>
    </row>
    <row r="1362" spans="2:6" x14ac:dyDescent="0.25">
      <c r="B1362" s="344"/>
      <c r="C1362" s="344"/>
      <c r="D1362" s="345"/>
      <c r="E1362" s="346"/>
      <c r="F1362" s="346"/>
    </row>
    <row r="1363" spans="2:6" x14ac:dyDescent="0.25">
      <c r="B1363" s="344"/>
      <c r="C1363" s="344"/>
      <c r="D1363" s="345"/>
      <c r="E1363" s="346"/>
      <c r="F1363" s="346"/>
    </row>
    <row r="1364" spans="2:6" x14ac:dyDescent="0.25">
      <c r="B1364" s="344"/>
      <c r="C1364" s="344"/>
      <c r="D1364" s="345"/>
      <c r="E1364" s="346"/>
      <c r="F1364" s="346"/>
    </row>
    <row r="1365" spans="2:6" x14ac:dyDescent="0.25">
      <c r="B1365" s="344"/>
      <c r="C1365" s="344"/>
      <c r="D1365" s="345"/>
      <c r="E1365" s="346"/>
      <c r="F1365" s="346"/>
    </row>
    <row r="1366" spans="2:6" x14ac:dyDescent="0.25">
      <c r="B1366" s="344"/>
      <c r="C1366" s="344"/>
      <c r="D1366" s="345"/>
      <c r="E1366" s="346"/>
      <c r="F1366" s="346"/>
    </row>
    <row r="1367" spans="2:6" x14ac:dyDescent="0.25">
      <c r="B1367" s="344"/>
      <c r="C1367" s="344"/>
      <c r="D1367" s="345"/>
      <c r="E1367" s="346"/>
      <c r="F1367" s="346"/>
    </row>
    <row r="1368" spans="2:6" x14ac:dyDescent="0.25">
      <c r="B1368" s="344"/>
      <c r="C1368" s="344"/>
      <c r="D1368" s="345"/>
      <c r="E1368" s="346"/>
      <c r="F1368" s="346"/>
    </row>
    <row r="1369" spans="2:6" x14ac:dyDescent="0.25">
      <c r="B1369" s="344"/>
      <c r="C1369" s="344"/>
      <c r="D1369" s="345"/>
      <c r="E1369" s="346"/>
      <c r="F1369" s="346"/>
    </row>
    <row r="1370" spans="2:6" x14ac:dyDescent="0.25">
      <c r="B1370" s="344"/>
      <c r="C1370" s="344"/>
      <c r="D1370" s="345"/>
      <c r="E1370" s="346"/>
      <c r="F1370" s="346"/>
    </row>
    <row r="1371" spans="2:6" x14ac:dyDescent="0.25">
      <c r="B1371" s="344"/>
      <c r="C1371" s="344"/>
      <c r="D1371" s="345"/>
      <c r="E1371" s="346"/>
      <c r="F1371" s="346"/>
    </row>
    <row r="1372" spans="2:6" x14ac:dyDescent="0.25">
      <c r="B1372" s="344"/>
      <c r="C1372" s="344"/>
      <c r="D1372" s="345"/>
      <c r="E1372" s="346"/>
      <c r="F1372" s="346"/>
    </row>
    <row r="1373" spans="2:6" x14ac:dyDescent="0.25">
      <c r="B1373" s="344"/>
      <c r="C1373" s="344"/>
      <c r="D1373" s="345"/>
      <c r="E1373" s="346"/>
      <c r="F1373" s="346"/>
    </row>
    <row r="1374" spans="2:6" x14ac:dyDescent="0.25">
      <c r="B1374" s="344"/>
      <c r="C1374" s="344"/>
      <c r="D1374" s="345"/>
      <c r="E1374" s="346"/>
      <c r="F1374" s="346"/>
    </row>
    <row r="1375" spans="2:6" x14ac:dyDescent="0.25">
      <c r="B1375" s="344"/>
      <c r="C1375" s="344"/>
      <c r="D1375" s="345"/>
      <c r="E1375" s="346"/>
      <c r="F1375" s="346"/>
    </row>
    <row r="1376" spans="2:6" x14ac:dyDescent="0.25">
      <c r="B1376" s="344"/>
      <c r="C1376" s="344"/>
      <c r="D1376" s="345"/>
      <c r="E1376" s="346"/>
      <c r="F1376" s="346"/>
    </row>
    <row r="1377" spans="2:6" x14ac:dyDescent="0.25">
      <c r="B1377" s="344"/>
      <c r="C1377" s="344"/>
      <c r="D1377" s="345"/>
      <c r="E1377" s="346"/>
      <c r="F1377" s="346"/>
    </row>
    <row r="1378" spans="2:6" x14ac:dyDescent="0.25">
      <c r="B1378" s="344"/>
      <c r="C1378" s="344"/>
      <c r="D1378" s="345"/>
      <c r="E1378" s="346"/>
      <c r="F1378" s="346"/>
    </row>
    <row r="1379" spans="2:6" x14ac:dyDescent="0.25">
      <c r="B1379" s="344"/>
      <c r="C1379" s="344"/>
      <c r="D1379" s="345"/>
      <c r="E1379" s="346"/>
      <c r="F1379" s="346"/>
    </row>
    <row r="1380" spans="2:6" x14ac:dyDescent="0.25">
      <c r="B1380" s="344"/>
      <c r="C1380" s="344"/>
      <c r="D1380" s="345"/>
      <c r="E1380" s="346"/>
      <c r="F1380" s="346"/>
    </row>
    <row r="1381" spans="2:6" x14ac:dyDescent="0.25">
      <c r="B1381" s="344"/>
      <c r="C1381" s="344"/>
      <c r="D1381" s="345"/>
      <c r="E1381" s="346"/>
      <c r="F1381" s="346"/>
    </row>
    <row r="1382" spans="2:6" x14ac:dyDescent="0.25">
      <c r="B1382" s="344"/>
      <c r="C1382" s="344"/>
      <c r="D1382" s="345"/>
      <c r="E1382" s="346"/>
      <c r="F1382" s="346"/>
    </row>
    <row r="1383" spans="2:6" x14ac:dyDescent="0.25">
      <c r="B1383" s="344"/>
      <c r="C1383" s="344"/>
      <c r="D1383" s="345"/>
      <c r="E1383" s="346"/>
      <c r="F1383" s="346"/>
    </row>
    <row r="1384" spans="2:6" x14ac:dyDescent="0.25">
      <c r="B1384" s="344"/>
      <c r="C1384" s="344"/>
      <c r="D1384" s="345"/>
      <c r="E1384" s="346"/>
      <c r="F1384" s="346"/>
    </row>
    <row r="1385" spans="2:6" x14ac:dyDescent="0.25">
      <c r="B1385" s="344"/>
      <c r="C1385" s="344"/>
      <c r="D1385" s="345"/>
      <c r="E1385" s="346"/>
      <c r="F1385" s="346"/>
    </row>
    <row r="1386" spans="2:6" x14ac:dyDescent="0.25">
      <c r="B1386" s="344"/>
      <c r="C1386" s="344"/>
      <c r="D1386" s="345"/>
      <c r="E1386" s="346"/>
      <c r="F1386" s="346"/>
    </row>
    <row r="1387" spans="2:6" x14ac:dyDescent="0.25">
      <c r="B1387" s="344"/>
      <c r="C1387" s="344"/>
      <c r="D1387" s="345"/>
      <c r="E1387" s="346"/>
      <c r="F1387" s="346"/>
    </row>
    <row r="1388" spans="2:6" x14ac:dyDescent="0.25">
      <c r="B1388" s="344"/>
      <c r="C1388" s="344"/>
      <c r="D1388" s="345"/>
      <c r="E1388" s="346"/>
      <c r="F1388" s="346"/>
    </row>
    <row r="1389" spans="2:6" x14ac:dyDescent="0.25">
      <c r="B1389" s="344"/>
      <c r="C1389" s="344"/>
      <c r="D1389" s="345"/>
      <c r="E1389" s="346"/>
      <c r="F1389" s="346"/>
    </row>
    <row r="1390" spans="2:6" x14ac:dyDescent="0.25">
      <c r="B1390" s="344"/>
      <c r="C1390" s="344"/>
      <c r="D1390" s="345"/>
      <c r="E1390" s="346"/>
      <c r="F1390" s="346"/>
    </row>
    <row r="1391" spans="2:6" x14ac:dyDescent="0.25">
      <c r="B1391" s="344"/>
      <c r="C1391" s="344"/>
      <c r="D1391" s="345"/>
      <c r="E1391" s="346"/>
      <c r="F1391" s="346"/>
    </row>
    <row r="1392" spans="2:6" x14ac:dyDescent="0.25">
      <c r="B1392" s="344"/>
      <c r="C1392" s="344"/>
      <c r="D1392" s="345"/>
      <c r="E1392" s="346"/>
      <c r="F1392" s="346"/>
    </row>
    <row r="1393" spans="2:6" x14ac:dyDescent="0.25">
      <c r="B1393" s="344"/>
      <c r="C1393" s="344"/>
      <c r="D1393" s="345"/>
      <c r="E1393" s="346"/>
      <c r="F1393" s="346"/>
    </row>
    <row r="1394" spans="2:6" x14ac:dyDescent="0.25">
      <c r="B1394" s="344"/>
      <c r="C1394" s="344"/>
      <c r="D1394" s="345"/>
      <c r="E1394" s="346"/>
      <c r="F1394" s="346"/>
    </row>
    <row r="1395" spans="2:6" x14ac:dyDescent="0.25">
      <c r="B1395" s="344"/>
      <c r="C1395" s="344"/>
      <c r="D1395" s="345"/>
      <c r="E1395" s="346"/>
      <c r="F1395" s="346"/>
    </row>
    <row r="1396" spans="2:6" x14ac:dyDescent="0.25">
      <c r="B1396" s="344"/>
      <c r="C1396" s="344"/>
      <c r="D1396" s="345"/>
      <c r="E1396" s="346"/>
      <c r="F1396" s="346"/>
    </row>
    <row r="1397" spans="2:6" x14ac:dyDescent="0.25">
      <c r="B1397" s="344"/>
      <c r="C1397" s="344"/>
      <c r="D1397" s="345"/>
      <c r="E1397" s="346"/>
      <c r="F1397" s="346"/>
    </row>
    <row r="1398" spans="2:6" x14ac:dyDescent="0.25">
      <c r="B1398" s="344"/>
      <c r="C1398" s="344"/>
      <c r="D1398" s="345"/>
      <c r="E1398" s="346"/>
      <c r="F1398" s="346"/>
    </row>
    <row r="1399" spans="2:6" x14ac:dyDescent="0.25">
      <c r="B1399" s="344"/>
      <c r="C1399" s="344"/>
      <c r="D1399" s="345"/>
      <c r="E1399" s="346"/>
      <c r="F1399" s="346"/>
    </row>
    <row r="1400" spans="2:6" x14ac:dyDescent="0.25">
      <c r="B1400" s="344"/>
      <c r="C1400" s="344"/>
      <c r="D1400" s="345"/>
      <c r="E1400" s="346"/>
      <c r="F1400" s="346"/>
    </row>
    <row r="1401" spans="2:6" x14ac:dyDescent="0.25">
      <c r="B1401" s="344"/>
      <c r="C1401" s="344"/>
      <c r="D1401" s="345"/>
      <c r="E1401" s="346"/>
      <c r="F1401" s="346"/>
    </row>
    <row r="1402" spans="2:6" x14ac:dyDescent="0.25">
      <c r="B1402" s="344"/>
      <c r="C1402" s="344"/>
      <c r="D1402" s="345"/>
      <c r="E1402" s="346"/>
      <c r="F1402" s="346"/>
    </row>
    <row r="1403" spans="2:6" x14ac:dyDescent="0.25">
      <c r="B1403" s="344"/>
      <c r="C1403" s="344"/>
      <c r="D1403" s="345"/>
      <c r="E1403" s="346"/>
      <c r="F1403" s="346"/>
    </row>
    <row r="1404" spans="2:6" x14ac:dyDescent="0.25">
      <c r="B1404" s="344"/>
      <c r="C1404" s="344"/>
      <c r="D1404" s="345"/>
      <c r="E1404" s="346"/>
      <c r="F1404" s="346"/>
    </row>
    <row r="1405" spans="2:6" x14ac:dyDescent="0.25">
      <c r="B1405" s="344"/>
      <c r="C1405" s="344"/>
      <c r="D1405" s="345"/>
      <c r="E1405" s="346"/>
      <c r="F1405" s="346"/>
    </row>
    <row r="1406" spans="2:6" x14ac:dyDescent="0.25">
      <c r="B1406" s="344"/>
      <c r="C1406" s="344"/>
      <c r="D1406" s="345"/>
      <c r="E1406" s="346"/>
      <c r="F1406" s="346"/>
    </row>
    <row r="1407" spans="2:6" x14ac:dyDescent="0.25">
      <c r="B1407" s="344"/>
      <c r="C1407" s="344"/>
      <c r="D1407" s="345"/>
      <c r="E1407" s="346"/>
      <c r="F1407" s="346"/>
    </row>
    <row r="1408" spans="2:6" x14ac:dyDescent="0.25">
      <c r="B1408" s="344"/>
      <c r="C1408" s="344"/>
      <c r="D1408" s="345"/>
      <c r="E1408" s="346"/>
      <c r="F1408" s="346"/>
    </row>
    <row r="1409" spans="2:6" x14ac:dyDescent="0.25">
      <c r="B1409" s="344"/>
      <c r="C1409" s="344"/>
      <c r="D1409" s="345"/>
      <c r="E1409" s="346"/>
      <c r="F1409" s="346"/>
    </row>
    <row r="1410" spans="2:6" x14ac:dyDescent="0.25">
      <c r="B1410" s="344"/>
      <c r="C1410" s="344"/>
      <c r="D1410" s="345"/>
      <c r="E1410" s="346"/>
      <c r="F1410" s="346"/>
    </row>
    <row r="1411" spans="2:6" x14ac:dyDescent="0.25">
      <c r="B1411" s="344"/>
      <c r="C1411" s="344"/>
      <c r="D1411" s="345"/>
      <c r="E1411" s="346"/>
      <c r="F1411" s="346"/>
    </row>
    <row r="1412" spans="2:6" x14ac:dyDescent="0.25">
      <c r="B1412" s="344"/>
      <c r="C1412" s="344"/>
      <c r="D1412" s="345"/>
      <c r="E1412" s="346"/>
      <c r="F1412" s="346"/>
    </row>
    <row r="1413" spans="2:6" x14ac:dyDescent="0.25">
      <c r="B1413" s="344"/>
      <c r="C1413" s="344"/>
      <c r="D1413" s="345"/>
      <c r="E1413" s="346"/>
      <c r="F1413" s="346"/>
    </row>
    <row r="1414" spans="2:6" x14ac:dyDescent="0.25">
      <c r="B1414" s="344"/>
      <c r="C1414" s="344"/>
      <c r="D1414" s="345"/>
      <c r="E1414" s="346"/>
      <c r="F1414" s="346"/>
    </row>
    <row r="1415" spans="2:6" x14ac:dyDescent="0.25">
      <c r="B1415" s="344"/>
      <c r="C1415" s="344"/>
      <c r="D1415" s="345"/>
      <c r="E1415" s="346"/>
      <c r="F1415" s="346"/>
    </row>
    <row r="1416" spans="2:6" x14ac:dyDescent="0.25">
      <c r="B1416" s="344"/>
      <c r="C1416" s="344"/>
      <c r="D1416" s="345"/>
      <c r="E1416" s="346"/>
      <c r="F1416" s="346"/>
    </row>
    <row r="1417" spans="2:6" x14ac:dyDescent="0.25">
      <c r="B1417" s="344"/>
      <c r="C1417" s="344"/>
      <c r="D1417" s="345"/>
      <c r="E1417" s="346"/>
      <c r="F1417" s="346"/>
    </row>
    <row r="1418" spans="2:6" x14ac:dyDescent="0.25">
      <c r="B1418" s="344"/>
      <c r="C1418" s="344"/>
      <c r="D1418" s="345"/>
      <c r="E1418" s="346"/>
      <c r="F1418" s="346"/>
    </row>
    <row r="1419" spans="2:6" x14ac:dyDescent="0.25">
      <c r="B1419" s="344"/>
      <c r="C1419" s="344"/>
      <c r="D1419" s="345"/>
      <c r="E1419" s="346"/>
      <c r="F1419" s="346"/>
    </row>
    <row r="1420" spans="2:6" x14ac:dyDescent="0.25">
      <c r="B1420" s="344"/>
      <c r="C1420" s="344"/>
      <c r="D1420" s="345"/>
      <c r="E1420" s="346"/>
      <c r="F1420" s="346"/>
    </row>
    <row r="1421" spans="2:6" x14ac:dyDescent="0.25">
      <c r="B1421" s="344"/>
      <c r="C1421" s="344"/>
      <c r="D1421" s="345"/>
      <c r="E1421" s="346"/>
      <c r="F1421" s="346"/>
    </row>
    <row r="1422" spans="2:6" x14ac:dyDescent="0.25">
      <c r="B1422" s="344"/>
      <c r="C1422" s="344"/>
      <c r="D1422" s="345"/>
      <c r="E1422" s="346"/>
      <c r="F1422" s="346"/>
    </row>
    <row r="1423" spans="2:6" x14ac:dyDescent="0.25">
      <c r="B1423" s="344"/>
      <c r="C1423" s="344"/>
      <c r="D1423" s="345"/>
      <c r="E1423" s="346"/>
      <c r="F1423" s="346"/>
    </row>
    <row r="1424" spans="2:6" x14ac:dyDescent="0.25">
      <c r="B1424" s="344"/>
      <c r="C1424" s="344"/>
      <c r="D1424" s="345"/>
      <c r="E1424" s="346"/>
      <c r="F1424" s="346"/>
    </row>
    <row r="1425" spans="2:6" x14ac:dyDescent="0.25">
      <c r="B1425" s="344"/>
      <c r="C1425" s="344"/>
      <c r="D1425" s="345"/>
      <c r="E1425" s="346"/>
      <c r="F1425" s="346"/>
    </row>
    <row r="1426" spans="2:6" x14ac:dyDescent="0.25">
      <c r="B1426" s="344"/>
      <c r="C1426" s="344"/>
      <c r="D1426" s="345"/>
      <c r="E1426" s="346"/>
      <c r="F1426" s="346"/>
    </row>
    <row r="1427" spans="2:6" x14ac:dyDescent="0.25">
      <c r="B1427" s="344"/>
      <c r="C1427" s="344"/>
      <c r="D1427" s="345"/>
      <c r="E1427" s="346"/>
      <c r="F1427" s="346"/>
    </row>
    <row r="1428" spans="2:6" x14ac:dyDescent="0.25">
      <c r="B1428" s="344"/>
      <c r="C1428" s="344"/>
      <c r="D1428" s="345"/>
      <c r="E1428" s="346"/>
      <c r="F1428" s="346"/>
    </row>
    <row r="1429" spans="2:6" x14ac:dyDescent="0.25">
      <c r="B1429" s="344"/>
      <c r="C1429" s="344"/>
      <c r="D1429" s="345"/>
      <c r="E1429" s="346"/>
      <c r="F1429" s="346"/>
    </row>
    <row r="1430" spans="2:6" x14ac:dyDescent="0.25">
      <c r="B1430" s="344"/>
      <c r="C1430" s="344"/>
      <c r="D1430" s="345"/>
      <c r="E1430" s="346"/>
      <c r="F1430" s="346"/>
    </row>
    <row r="1431" spans="2:6" x14ac:dyDescent="0.25">
      <c r="B1431" s="344"/>
      <c r="C1431" s="344"/>
      <c r="D1431" s="345"/>
      <c r="E1431" s="346"/>
      <c r="F1431" s="346"/>
    </row>
    <row r="1432" spans="2:6" x14ac:dyDescent="0.25">
      <c r="B1432" s="344"/>
      <c r="C1432" s="344"/>
      <c r="D1432" s="345"/>
      <c r="E1432" s="346"/>
      <c r="F1432" s="346"/>
    </row>
    <row r="1433" spans="2:6" x14ac:dyDescent="0.25">
      <c r="B1433" s="344"/>
      <c r="C1433" s="344"/>
      <c r="D1433" s="345"/>
      <c r="E1433" s="346"/>
      <c r="F1433" s="346"/>
    </row>
    <row r="1434" spans="2:6" x14ac:dyDescent="0.25">
      <c r="B1434" s="344"/>
      <c r="C1434" s="344"/>
      <c r="D1434" s="345"/>
      <c r="E1434" s="346"/>
      <c r="F1434" s="346"/>
    </row>
    <row r="1435" spans="2:6" x14ac:dyDescent="0.25">
      <c r="B1435" s="344"/>
      <c r="C1435" s="344"/>
      <c r="D1435" s="345"/>
      <c r="E1435" s="346"/>
      <c r="F1435" s="346"/>
    </row>
    <row r="1436" spans="2:6" x14ac:dyDescent="0.25">
      <c r="B1436" s="344"/>
      <c r="C1436" s="344"/>
      <c r="D1436" s="345"/>
      <c r="E1436" s="346"/>
      <c r="F1436" s="346"/>
    </row>
    <row r="1437" spans="2:6" x14ac:dyDescent="0.25">
      <c r="B1437" s="344"/>
      <c r="C1437" s="344"/>
      <c r="D1437" s="345"/>
      <c r="E1437" s="346"/>
      <c r="F1437" s="346"/>
    </row>
    <row r="1438" spans="2:6" x14ac:dyDescent="0.25">
      <c r="B1438" s="344"/>
      <c r="C1438" s="344"/>
      <c r="D1438" s="345"/>
      <c r="E1438" s="346"/>
      <c r="F1438" s="346"/>
    </row>
    <row r="1439" spans="2:6" x14ac:dyDescent="0.25">
      <c r="B1439" s="344"/>
      <c r="C1439" s="344"/>
      <c r="D1439" s="345"/>
      <c r="E1439" s="346"/>
      <c r="F1439" s="346"/>
    </row>
    <row r="1440" spans="2:6" x14ac:dyDescent="0.25">
      <c r="B1440" s="344"/>
      <c r="C1440" s="344"/>
      <c r="D1440" s="345"/>
      <c r="E1440" s="346"/>
      <c r="F1440" s="346"/>
    </row>
    <row r="1441" spans="2:6" x14ac:dyDescent="0.25">
      <c r="B1441" s="344"/>
      <c r="C1441" s="344"/>
      <c r="D1441" s="345"/>
      <c r="E1441" s="346"/>
      <c r="F1441" s="346"/>
    </row>
    <row r="1442" spans="2:6" x14ac:dyDescent="0.25">
      <c r="B1442" s="344"/>
      <c r="C1442" s="344"/>
      <c r="D1442" s="345"/>
      <c r="E1442" s="346"/>
      <c r="F1442" s="346"/>
    </row>
    <row r="1443" spans="2:6" x14ac:dyDescent="0.25">
      <c r="B1443" s="344"/>
      <c r="C1443" s="344"/>
      <c r="D1443" s="345"/>
      <c r="E1443" s="346"/>
      <c r="F1443" s="346"/>
    </row>
    <row r="1444" spans="2:6" x14ac:dyDescent="0.25">
      <c r="B1444" s="344"/>
      <c r="C1444" s="344"/>
      <c r="D1444" s="345"/>
      <c r="E1444" s="346"/>
      <c r="F1444" s="346"/>
    </row>
    <row r="1445" spans="2:6" x14ac:dyDescent="0.25">
      <c r="B1445" s="344"/>
      <c r="C1445" s="344"/>
      <c r="D1445" s="345"/>
      <c r="E1445" s="346"/>
      <c r="F1445" s="346"/>
    </row>
    <row r="1446" spans="2:6" x14ac:dyDescent="0.25">
      <c r="B1446" s="344"/>
      <c r="C1446" s="344"/>
      <c r="D1446" s="345"/>
      <c r="E1446" s="346"/>
      <c r="F1446" s="346"/>
    </row>
    <row r="1447" spans="2:6" x14ac:dyDescent="0.25">
      <c r="B1447" s="344"/>
      <c r="C1447" s="344"/>
      <c r="D1447" s="345"/>
      <c r="E1447" s="346"/>
      <c r="F1447" s="346"/>
    </row>
    <row r="1448" spans="2:6" x14ac:dyDescent="0.25">
      <c r="B1448" s="344"/>
      <c r="C1448" s="344"/>
      <c r="D1448" s="345"/>
      <c r="E1448" s="346"/>
      <c r="F1448" s="346"/>
    </row>
    <row r="1449" spans="2:6" x14ac:dyDescent="0.25">
      <c r="B1449" s="344"/>
      <c r="C1449" s="344"/>
      <c r="D1449" s="345"/>
      <c r="E1449" s="346"/>
      <c r="F1449" s="346"/>
    </row>
    <row r="1450" spans="2:6" x14ac:dyDescent="0.25">
      <c r="B1450" s="344"/>
      <c r="C1450" s="344"/>
      <c r="D1450" s="345"/>
      <c r="E1450" s="346"/>
      <c r="F1450" s="346"/>
    </row>
    <row r="1451" spans="2:6" x14ac:dyDescent="0.25">
      <c r="B1451" s="344"/>
      <c r="C1451" s="344"/>
      <c r="D1451" s="345"/>
      <c r="E1451" s="346"/>
      <c r="F1451" s="346"/>
    </row>
    <row r="1452" spans="2:6" x14ac:dyDescent="0.25">
      <c r="B1452" s="344"/>
      <c r="C1452" s="344"/>
      <c r="D1452" s="345"/>
      <c r="E1452" s="346"/>
      <c r="F1452" s="346"/>
    </row>
    <row r="1453" spans="2:6" x14ac:dyDescent="0.25">
      <c r="B1453" s="344"/>
      <c r="C1453" s="344"/>
      <c r="D1453" s="345"/>
      <c r="E1453" s="346"/>
      <c r="F1453" s="346"/>
    </row>
    <row r="1454" spans="2:6" x14ac:dyDescent="0.25">
      <c r="B1454" s="344"/>
      <c r="C1454" s="344"/>
      <c r="D1454" s="345"/>
      <c r="E1454" s="346"/>
      <c r="F1454" s="346"/>
    </row>
    <row r="1455" spans="2:6" x14ac:dyDescent="0.25">
      <c r="B1455" s="344"/>
      <c r="C1455" s="344"/>
      <c r="D1455" s="345"/>
      <c r="E1455" s="346"/>
      <c r="F1455" s="346"/>
    </row>
    <row r="1456" spans="2:6" x14ac:dyDescent="0.25">
      <c r="B1456" s="344"/>
      <c r="C1456" s="344"/>
      <c r="D1456" s="345"/>
      <c r="E1456" s="346"/>
      <c r="F1456" s="346"/>
    </row>
    <row r="1457" spans="2:6" x14ac:dyDescent="0.25">
      <c r="B1457" s="344"/>
      <c r="C1457" s="344"/>
      <c r="D1457" s="345"/>
      <c r="E1457" s="346"/>
      <c r="F1457" s="346"/>
    </row>
    <row r="1458" spans="2:6" x14ac:dyDescent="0.25">
      <c r="B1458" s="344"/>
      <c r="C1458" s="344"/>
      <c r="D1458" s="345"/>
      <c r="E1458" s="346"/>
      <c r="F1458" s="346"/>
    </row>
    <row r="1459" spans="2:6" x14ac:dyDescent="0.25">
      <c r="B1459" s="344"/>
      <c r="C1459" s="344"/>
      <c r="D1459" s="345"/>
      <c r="E1459" s="346"/>
      <c r="F1459" s="346"/>
    </row>
    <row r="1460" spans="2:6" x14ac:dyDescent="0.25">
      <c r="B1460" s="344"/>
      <c r="C1460" s="344"/>
      <c r="D1460" s="345"/>
      <c r="E1460" s="346"/>
      <c r="F1460" s="346"/>
    </row>
    <row r="1461" spans="2:6" x14ac:dyDescent="0.25">
      <c r="B1461" s="344"/>
      <c r="C1461" s="344"/>
      <c r="D1461" s="345"/>
      <c r="E1461" s="346"/>
      <c r="F1461" s="346"/>
    </row>
    <row r="1462" spans="2:6" x14ac:dyDescent="0.25">
      <c r="B1462" s="344"/>
      <c r="C1462" s="344"/>
      <c r="D1462" s="345"/>
      <c r="E1462" s="346"/>
      <c r="F1462" s="346"/>
    </row>
    <row r="1463" spans="2:6" x14ac:dyDescent="0.25">
      <c r="B1463" s="344"/>
      <c r="C1463" s="344"/>
      <c r="D1463" s="345"/>
      <c r="E1463" s="346"/>
      <c r="F1463" s="346"/>
    </row>
    <row r="1464" spans="2:6" x14ac:dyDescent="0.25">
      <c r="B1464" s="344"/>
      <c r="C1464" s="344"/>
      <c r="D1464" s="345"/>
      <c r="E1464" s="346"/>
      <c r="F1464" s="346"/>
    </row>
    <row r="1465" spans="2:6" x14ac:dyDescent="0.25">
      <c r="B1465" s="344"/>
      <c r="C1465" s="344"/>
      <c r="D1465" s="345"/>
      <c r="E1465" s="346"/>
      <c r="F1465" s="346"/>
    </row>
    <row r="1466" spans="2:6" x14ac:dyDescent="0.25">
      <c r="B1466" s="344"/>
      <c r="C1466" s="344"/>
      <c r="D1466" s="345"/>
      <c r="E1466" s="346"/>
      <c r="F1466" s="346"/>
    </row>
    <row r="1467" spans="2:6" x14ac:dyDescent="0.25">
      <c r="B1467" s="344"/>
      <c r="C1467" s="344"/>
      <c r="D1467" s="345"/>
      <c r="E1467" s="346"/>
      <c r="F1467" s="346"/>
    </row>
    <row r="1468" spans="2:6" x14ac:dyDescent="0.25">
      <c r="B1468" s="344"/>
      <c r="C1468" s="344"/>
      <c r="D1468" s="345"/>
      <c r="E1468" s="346"/>
      <c r="F1468" s="346"/>
    </row>
    <row r="1469" spans="2:6" x14ac:dyDescent="0.25">
      <c r="B1469" s="344"/>
      <c r="C1469" s="344"/>
      <c r="D1469" s="345"/>
      <c r="E1469" s="346"/>
      <c r="F1469" s="346"/>
    </row>
    <row r="1470" spans="2:6" x14ac:dyDescent="0.25">
      <c r="B1470" s="344"/>
      <c r="C1470" s="344"/>
      <c r="D1470" s="345"/>
      <c r="E1470" s="346"/>
      <c r="F1470" s="346"/>
    </row>
    <row r="1471" spans="2:6" x14ac:dyDescent="0.25">
      <c r="B1471" s="344"/>
      <c r="C1471" s="344"/>
      <c r="D1471" s="345"/>
      <c r="E1471" s="346"/>
      <c r="F1471" s="346"/>
    </row>
    <row r="1472" spans="2:6" x14ac:dyDescent="0.25">
      <c r="B1472" s="344"/>
      <c r="C1472" s="344"/>
      <c r="D1472" s="345"/>
      <c r="E1472" s="346"/>
      <c r="F1472" s="346"/>
    </row>
    <row r="1473" spans="2:6" x14ac:dyDescent="0.25">
      <c r="B1473" s="344"/>
      <c r="C1473" s="344"/>
      <c r="D1473" s="345"/>
      <c r="E1473" s="346"/>
      <c r="F1473" s="346"/>
    </row>
    <row r="1474" spans="2:6" x14ac:dyDescent="0.25">
      <c r="B1474" s="344"/>
      <c r="C1474" s="344"/>
      <c r="D1474" s="345"/>
      <c r="E1474" s="346"/>
      <c r="F1474" s="346"/>
    </row>
    <row r="1475" spans="2:6" x14ac:dyDescent="0.25">
      <c r="B1475" s="344"/>
      <c r="C1475" s="344"/>
      <c r="D1475" s="345"/>
      <c r="E1475" s="346"/>
      <c r="F1475" s="346"/>
    </row>
    <row r="1476" spans="2:6" x14ac:dyDescent="0.25">
      <c r="B1476" s="344"/>
      <c r="C1476" s="344"/>
      <c r="D1476" s="345"/>
      <c r="E1476" s="346"/>
      <c r="F1476" s="346"/>
    </row>
    <row r="1477" spans="2:6" x14ac:dyDescent="0.25">
      <c r="B1477" s="344"/>
      <c r="C1477" s="344"/>
      <c r="D1477" s="345"/>
      <c r="E1477" s="346"/>
      <c r="F1477" s="346"/>
    </row>
    <row r="1478" spans="2:6" x14ac:dyDescent="0.25">
      <c r="B1478" s="344"/>
      <c r="C1478" s="344"/>
      <c r="D1478" s="345"/>
      <c r="E1478" s="346"/>
      <c r="F1478" s="346"/>
    </row>
    <row r="1479" spans="2:6" x14ac:dyDescent="0.25">
      <c r="B1479" s="344"/>
      <c r="C1479" s="344"/>
      <c r="D1479" s="345"/>
      <c r="E1479" s="346"/>
      <c r="F1479" s="346"/>
    </row>
    <row r="1480" spans="2:6" x14ac:dyDescent="0.25">
      <c r="B1480" s="344"/>
      <c r="C1480" s="344"/>
      <c r="D1480" s="345"/>
      <c r="E1480" s="346"/>
      <c r="F1480" s="346"/>
    </row>
    <row r="1481" spans="2:6" x14ac:dyDescent="0.25">
      <c r="B1481" s="344"/>
      <c r="C1481" s="344"/>
      <c r="D1481" s="345"/>
      <c r="E1481" s="346"/>
      <c r="F1481" s="346"/>
    </row>
    <row r="1482" spans="2:6" x14ac:dyDescent="0.25">
      <c r="B1482" s="344"/>
      <c r="C1482" s="344"/>
      <c r="D1482" s="345"/>
      <c r="E1482" s="346"/>
      <c r="F1482" s="346"/>
    </row>
    <row r="1483" spans="2:6" x14ac:dyDescent="0.25">
      <c r="B1483" s="344"/>
      <c r="C1483" s="344"/>
      <c r="D1483" s="345"/>
      <c r="E1483" s="346"/>
      <c r="F1483" s="346"/>
    </row>
    <row r="1484" spans="2:6" x14ac:dyDescent="0.25">
      <c r="B1484" s="344"/>
      <c r="C1484" s="344"/>
      <c r="D1484" s="345"/>
      <c r="E1484" s="346"/>
      <c r="F1484" s="346"/>
    </row>
    <row r="1485" spans="2:6" x14ac:dyDescent="0.25">
      <c r="B1485" s="344"/>
      <c r="C1485" s="344"/>
      <c r="D1485" s="345"/>
      <c r="E1485" s="346"/>
      <c r="F1485" s="346"/>
    </row>
    <row r="1486" spans="2:6" x14ac:dyDescent="0.25">
      <c r="B1486" s="344"/>
      <c r="C1486" s="344"/>
      <c r="D1486" s="345"/>
      <c r="E1486" s="346"/>
      <c r="F1486" s="346"/>
    </row>
    <row r="1487" spans="2:6" x14ac:dyDescent="0.25">
      <c r="B1487" s="344"/>
      <c r="C1487" s="344"/>
      <c r="D1487" s="345"/>
      <c r="E1487" s="346"/>
      <c r="F1487" s="346"/>
    </row>
    <row r="1488" spans="2:6" x14ac:dyDescent="0.25">
      <c r="B1488" s="344"/>
      <c r="C1488" s="344"/>
      <c r="D1488" s="345"/>
      <c r="E1488" s="346"/>
      <c r="F1488" s="346"/>
    </row>
    <row r="1489" spans="2:6" x14ac:dyDescent="0.25">
      <c r="B1489" s="344"/>
      <c r="C1489" s="344"/>
      <c r="D1489" s="345"/>
      <c r="E1489" s="346"/>
      <c r="F1489" s="346"/>
    </row>
    <row r="1490" spans="2:6" x14ac:dyDescent="0.25">
      <c r="B1490" s="344"/>
      <c r="C1490" s="344"/>
      <c r="D1490" s="345"/>
      <c r="E1490" s="346"/>
      <c r="F1490" s="346"/>
    </row>
    <row r="1491" spans="2:6" x14ac:dyDescent="0.25">
      <c r="B1491" s="344"/>
      <c r="C1491" s="344"/>
      <c r="D1491" s="345"/>
      <c r="E1491" s="346"/>
      <c r="F1491" s="346"/>
    </row>
    <row r="1492" spans="2:6" x14ac:dyDescent="0.25">
      <c r="B1492" s="344"/>
      <c r="C1492" s="344"/>
      <c r="D1492" s="345"/>
      <c r="E1492" s="346"/>
      <c r="F1492" s="346"/>
    </row>
    <row r="1493" spans="2:6" x14ac:dyDescent="0.25">
      <c r="B1493" s="344"/>
      <c r="C1493" s="344"/>
      <c r="D1493" s="345"/>
      <c r="E1493" s="346"/>
      <c r="F1493" s="346"/>
    </row>
    <row r="1494" spans="2:6" x14ac:dyDescent="0.25">
      <c r="B1494" s="344"/>
      <c r="C1494" s="344"/>
      <c r="D1494" s="345"/>
      <c r="E1494" s="346"/>
      <c r="F1494" s="346"/>
    </row>
    <row r="1495" spans="2:6" x14ac:dyDescent="0.25">
      <c r="B1495" s="344"/>
      <c r="C1495" s="344"/>
      <c r="D1495" s="345"/>
      <c r="E1495" s="346"/>
      <c r="F1495" s="346"/>
    </row>
    <row r="1496" spans="2:6" x14ac:dyDescent="0.25">
      <c r="B1496" s="344"/>
      <c r="C1496" s="344"/>
      <c r="D1496" s="345"/>
      <c r="E1496" s="346"/>
      <c r="F1496" s="346"/>
    </row>
    <row r="1497" spans="2:6" x14ac:dyDescent="0.25">
      <c r="B1497" s="344"/>
      <c r="C1497" s="344"/>
      <c r="D1497" s="345"/>
      <c r="E1497" s="346"/>
      <c r="F1497" s="346"/>
    </row>
    <row r="1498" spans="2:6" x14ac:dyDescent="0.25">
      <c r="B1498" s="344"/>
      <c r="C1498" s="344"/>
      <c r="D1498" s="345"/>
      <c r="E1498" s="346"/>
      <c r="F1498" s="346"/>
    </row>
    <row r="1499" spans="2:6" x14ac:dyDescent="0.25">
      <c r="B1499" s="344"/>
      <c r="C1499" s="344"/>
      <c r="D1499" s="345"/>
      <c r="E1499" s="346"/>
      <c r="F1499" s="346"/>
    </row>
    <row r="1500" spans="2:6" x14ac:dyDescent="0.25">
      <c r="B1500" s="344"/>
      <c r="C1500" s="344"/>
      <c r="D1500" s="345"/>
      <c r="E1500" s="346"/>
      <c r="F1500" s="346"/>
    </row>
    <row r="1501" spans="2:6" x14ac:dyDescent="0.25">
      <c r="B1501" s="344"/>
      <c r="C1501" s="344"/>
      <c r="D1501" s="345"/>
      <c r="E1501" s="346"/>
      <c r="F1501" s="346"/>
    </row>
    <row r="1502" spans="2:6" x14ac:dyDescent="0.25">
      <c r="B1502" s="344"/>
      <c r="C1502" s="344"/>
      <c r="D1502" s="345"/>
      <c r="E1502" s="346"/>
      <c r="F1502" s="346"/>
    </row>
    <row r="1503" spans="2:6" x14ac:dyDescent="0.25">
      <c r="B1503" s="344"/>
      <c r="C1503" s="344"/>
      <c r="D1503" s="345"/>
      <c r="E1503" s="346"/>
      <c r="F1503" s="346"/>
    </row>
    <row r="1504" spans="2:6" x14ac:dyDescent="0.25">
      <c r="B1504" s="344"/>
      <c r="C1504" s="344"/>
      <c r="D1504" s="345"/>
      <c r="E1504" s="346"/>
      <c r="F1504" s="346"/>
    </row>
    <row r="1505" spans="2:6" x14ac:dyDescent="0.25">
      <c r="B1505" s="344"/>
      <c r="C1505" s="344"/>
      <c r="D1505" s="345"/>
      <c r="E1505" s="346"/>
      <c r="F1505" s="346"/>
    </row>
    <row r="1506" spans="2:6" x14ac:dyDescent="0.25">
      <c r="B1506" s="344"/>
      <c r="C1506" s="344"/>
      <c r="D1506" s="345"/>
      <c r="E1506" s="346"/>
      <c r="F1506" s="346"/>
    </row>
    <row r="1507" spans="2:6" x14ac:dyDescent="0.25">
      <c r="B1507" s="344"/>
      <c r="C1507" s="344"/>
      <c r="D1507" s="345"/>
      <c r="E1507" s="346"/>
      <c r="F1507" s="346"/>
    </row>
    <row r="1508" spans="2:6" x14ac:dyDescent="0.25">
      <c r="B1508" s="344"/>
      <c r="C1508" s="344"/>
      <c r="D1508" s="345"/>
      <c r="E1508" s="346"/>
      <c r="F1508" s="346"/>
    </row>
    <row r="1509" spans="2:6" x14ac:dyDescent="0.25">
      <c r="B1509" s="344"/>
      <c r="C1509" s="344"/>
      <c r="D1509" s="345"/>
      <c r="E1509" s="346"/>
      <c r="F1509" s="346"/>
    </row>
    <row r="1510" spans="2:6" x14ac:dyDescent="0.25">
      <c r="B1510" s="344"/>
      <c r="C1510" s="344"/>
      <c r="D1510" s="345"/>
      <c r="E1510" s="346"/>
      <c r="F1510" s="346"/>
    </row>
    <row r="1511" spans="2:6" x14ac:dyDescent="0.25">
      <c r="B1511" s="344"/>
      <c r="C1511" s="344"/>
      <c r="D1511" s="345"/>
      <c r="E1511" s="346"/>
      <c r="F1511" s="346"/>
    </row>
    <row r="1512" spans="2:6" x14ac:dyDescent="0.25">
      <c r="B1512" s="344"/>
      <c r="C1512" s="344"/>
      <c r="D1512" s="345"/>
      <c r="E1512" s="346"/>
      <c r="F1512" s="346"/>
    </row>
    <row r="1513" spans="2:6" x14ac:dyDescent="0.25">
      <c r="B1513" s="344"/>
      <c r="C1513" s="344"/>
      <c r="D1513" s="345"/>
      <c r="E1513" s="346"/>
      <c r="F1513" s="346"/>
    </row>
    <row r="1514" spans="2:6" x14ac:dyDescent="0.25">
      <c r="B1514" s="344"/>
      <c r="C1514" s="344"/>
      <c r="D1514" s="345"/>
      <c r="E1514" s="346"/>
      <c r="F1514" s="346"/>
    </row>
    <row r="1515" spans="2:6" x14ac:dyDescent="0.25">
      <c r="B1515" s="344"/>
      <c r="C1515" s="344"/>
      <c r="D1515" s="345"/>
      <c r="E1515" s="346"/>
      <c r="F1515" s="346"/>
    </row>
    <row r="1516" spans="2:6" x14ac:dyDescent="0.25">
      <c r="B1516" s="344"/>
      <c r="C1516" s="344"/>
      <c r="D1516" s="345"/>
      <c r="E1516" s="346"/>
      <c r="F1516" s="346"/>
    </row>
    <row r="1517" spans="2:6" x14ac:dyDescent="0.25">
      <c r="B1517" s="344"/>
      <c r="C1517" s="344"/>
      <c r="D1517" s="345"/>
      <c r="E1517" s="346"/>
      <c r="F1517" s="346"/>
    </row>
    <row r="1518" spans="2:6" x14ac:dyDescent="0.25">
      <c r="B1518" s="344"/>
      <c r="C1518" s="344"/>
      <c r="D1518" s="345"/>
      <c r="E1518" s="346"/>
      <c r="F1518" s="346"/>
    </row>
    <row r="1519" spans="2:6" x14ac:dyDescent="0.25">
      <c r="B1519" s="344"/>
      <c r="C1519" s="344"/>
      <c r="D1519" s="345"/>
      <c r="E1519" s="346"/>
      <c r="F1519" s="346"/>
    </row>
    <row r="1520" spans="2:6" x14ac:dyDescent="0.25">
      <c r="B1520" s="344"/>
      <c r="C1520" s="344"/>
      <c r="D1520" s="345"/>
      <c r="E1520" s="346"/>
      <c r="F1520" s="346"/>
    </row>
    <row r="1521" spans="2:6" x14ac:dyDescent="0.25">
      <c r="B1521" s="344"/>
      <c r="C1521" s="344"/>
      <c r="D1521" s="345"/>
      <c r="E1521" s="346"/>
      <c r="F1521" s="346"/>
    </row>
    <row r="1522" spans="2:6" x14ac:dyDescent="0.25">
      <c r="B1522" s="344"/>
      <c r="C1522" s="344"/>
      <c r="D1522" s="345"/>
      <c r="E1522" s="346"/>
      <c r="F1522" s="346"/>
    </row>
    <row r="1523" spans="2:6" x14ac:dyDescent="0.25">
      <c r="B1523" s="344"/>
      <c r="C1523" s="344"/>
      <c r="D1523" s="345"/>
      <c r="E1523" s="346"/>
      <c r="F1523" s="346"/>
    </row>
    <row r="1524" spans="2:6" x14ac:dyDescent="0.25">
      <c r="B1524" s="344"/>
      <c r="C1524" s="344"/>
      <c r="D1524" s="345"/>
      <c r="E1524" s="346"/>
      <c r="F1524" s="346"/>
    </row>
    <row r="1525" spans="2:6" x14ac:dyDescent="0.25">
      <c r="B1525" s="344"/>
      <c r="C1525" s="344"/>
      <c r="D1525" s="345"/>
      <c r="E1525" s="346"/>
      <c r="F1525" s="346"/>
    </row>
    <row r="1526" spans="2:6" x14ac:dyDescent="0.25">
      <c r="B1526" s="344"/>
      <c r="C1526" s="344"/>
      <c r="D1526" s="345"/>
      <c r="E1526" s="346"/>
      <c r="F1526" s="346"/>
    </row>
    <row r="1527" spans="2:6" x14ac:dyDescent="0.25">
      <c r="B1527" s="344"/>
      <c r="C1527" s="344"/>
      <c r="D1527" s="345"/>
      <c r="E1527" s="346"/>
      <c r="F1527" s="346"/>
    </row>
    <row r="1528" spans="2:6" x14ac:dyDescent="0.25">
      <c r="B1528" s="344"/>
      <c r="C1528" s="344"/>
      <c r="D1528" s="345"/>
      <c r="E1528" s="346"/>
      <c r="F1528" s="346"/>
    </row>
    <row r="1529" spans="2:6" x14ac:dyDescent="0.25">
      <c r="B1529" s="344"/>
      <c r="C1529" s="344"/>
      <c r="D1529" s="345"/>
      <c r="E1529" s="346"/>
      <c r="F1529" s="346"/>
    </row>
    <row r="1530" spans="2:6" x14ac:dyDescent="0.25">
      <c r="B1530" s="344"/>
      <c r="C1530" s="344"/>
      <c r="D1530" s="345"/>
      <c r="E1530" s="346"/>
      <c r="F1530" s="346"/>
    </row>
    <row r="1531" spans="2:6" x14ac:dyDescent="0.25">
      <c r="B1531" s="344"/>
      <c r="C1531" s="344"/>
      <c r="D1531" s="345"/>
      <c r="E1531" s="346"/>
      <c r="F1531" s="346"/>
    </row>
    <row r="1532" spans="2:6" x14ac:dyDescent="0.25">
      <c r="B1532" s="344"/>
      <c r="C1532" s="344"/>
      <c r="D1532" s="345"/>
      <c r="E1532" s="346"/>
      <c r="F1532" s="346"/>
    </row>
    <row r="1533" spans="2:6" x14ac:dyDescent="0.25">
      <c r="B1533" s="344"/>
      <c r="C1533" s="344"/>
      <c r="D1533" s="345"/>
      <c r="E1533" s="346"/>
      <c r="F1533" s="346"/>
    </row>
    <row r="1534" spans="2:6" x14ac:dyDescent="0.25">
      <c r="B1534" s="344"/>
      <c r="C1534" s="344"/>
      <c r="D1534" s="345"/>
      <c r="E1534" s="346"/>
      <c r="F1534" s="346"/>
    </row>
    <row r="1535" spans="2:6" x14ac:dyDescent="0.25">
      <c r="B1535" s="344"/>
      <c r="C1535" s="344"/>
      <c r="D1535" s="345"/>
      <c r="E1535" s="346"/>
      <c r="F1535" s="346"/>
    </row>
    <row r="1536" spans="2:6" x14ac:dyDescent="0.25">
      <c r="B1536" s="344"/>
      <c r="C1536" s="344"/>
      <c r="D1536" s="345"/>
      <c r="E1536" s="346"/>
      <c r="F1536" s="346"/>
    </row>
    <row r="1537" spans="2:6" x14ac:dyDescent="0.25">
      <c r="B1537" s="344"/>
      <c r="C1537" s="344"/>
      <c r="D1537" s="345"/>
      <c r="E1537" s="346"/>
      <c r="F1537" s="346"/>
    </row>
    <row r="1538" spans="2:6" x14ac:dyDescent="0.25">
      <c r="B1538" s="344"/>
      <c r="C1538" s="344"/>
      <c r="D1538" s="345"/>
      <c r="E1538" s="346"/>
      <c r="F1538" s="346"/>
    </row>
    <row r="1539" spans="2:6" x14ac:dyDescent="0.25">
      <c r="B1539" s="344"/>
      <c r="C1539" s="344"/>
      <c r="D1539" s="345"/>
      <c r="E1539" s="346"/>
      <c r="F1539" s="346"/>
    </row>
    <row r="1540" spans="2:6" x14ac:dyDescent="0.25">
      <c r="B1540" s="344"/>
      <c r="C1540" s="344"/>
      <c r="D1540" s="345"/>
      <c r="E1540" s="346"/>
      <c r="F1540" s="346"/>
    </row>
    <row r="1541" spans="2:6" x14ac:dyDescent="0.25">
      <c r="B1541" s="344"/>
      <c r="C1541" s="344"/>
      <c r="D1541" s="345"/>
      <c r="E1541" s="346"/>
      <c r="F1541" s="346"/>
    </row>
    <row r="1542" spans="2:6" x14ac:dyDescent="0.25">
      <c r="B1542" s="344"/>
      <c r="C1542" s="344"/>
      <c r="D1542" s="345"/>
      <c r="E1542" s="346"/>
      <c r="F1542" s="346"/>
    </row>
    <row r="1543" spans="2:6" x14ac:dyDescent="0.25">
      <c r="B1543" s="344"/>
      <c r="C1543" s="344"/>
      <c r="D1543" s="345"/>
      <c r="E1543" s="346"/>
      <c r="F1543" s="346"/>
    </row>
    <row r="1544" spans="2:6" x14ac:dyDescent="0.25">
      <c r="B1544" s="344"/>
      <c r="C1544" s="344"/>
      <c r="D1544" s="345"/>
      <c r="E1544" s="346"/>
      <c r="F1544" s="346"/>
    </row>
    <row r="1545" spans="2:6" x14ac:dyDescent="0.25">
      <c r="B1545" s="344"/>
      <c r="C1545" s="344"/>
      <c r="D1545" s="345"/>
      <c r="E1545" s="346"/>
      <c r="F1545" s="346"/>
    </row>
    <row r="1546" spans="2:6" x14ac:dyDescent="0.25">
      <c r="B1546" s="344"/>
      <c r="C1546" s="344"/>
      <c r="D1546" s="345"/>
      <c r="E1546" s="346"/>
      <c r="F1546" s="346"/>
    </row>
    <row r="1547" spans="2:6" x14ac:dyDescent="0.25">
      <c r="B1547" s="344"/>
      <c r="C1547" s="344"/>
      <c r="D1547" s="345"/>
      <c r="E1547" s="346"/>
      <c r="F1547" s="346"/>
    </row>
    <row r="1548" spans="2:6" x14ac:dyDescent="0.25">
      <c r="B1548" s="344"/>
      <c r="C1548" s="344"/>
      <c r="D1548" s="345"/>
      <c r="E1548" s="346"/>
      <c r="F1548" s="346"/>
    </row>
    <row r="1549" spans="2:6" x14ac:dyDescent="0.25">
      <c r="B1549" s="344"/>
      <c r="C1549" s="344"/>
      <c r="D1549" s="345"/>
      <c r="E1549" s="346"/>
      <c r="F1549" s="346"/>
    </row>
    <row r="1550" spans="2:6" x14ac:dyDescent="0.25">
      <c r="B1550" s="344"/>
      <c r="C1550" s="344"/>
      <c r="D1550" s="345"/>
      <c r="E1550" s="346"/>
      <c r="F1550" s="346"/>
    </row>
    <row r="1551" spans="2:6" x14ac:dyDescent="0.25">
      <c r="B1551" s="344"/>
      <c r="C1551" s="344"/>
      <c r="D1551" s="345"/>
      <c r="E1551" s="346"/>
      <c r="F1551" s="346"/>
    </row>
    <row r="1552" spans="2:6" x14ac:dyDescent="0.25">
      <c r="B1552" s="344"/>
      <c r="C1552" s="344"/>
      <c r="D1552" s="345"/>
      <c r="E1552" s="346"/>
      <c r="F1552" s="346"/>
    </row>
    <row r="1553" spans="2:6" x14ac:dyDescent="0.25">
      <c r="B1553" s="344"/>
      <c r="C1553" s="344"/>
      <c r="D1553" s="345"/>
      <c r="E1553" s="346"/>
      <c r="F1553" s="346"/>
    </row>
    <row r="1554" spans="2:6" x14ac:dyDescent="0.25">
      <c r="B1554" s="344"/>
      <c r="C1554" s="344"/>
      <c r="D1554" s="345"/>
      <c r="E1554" s="346"/>
      <c r="F1554" s="346"/>
    </row>
    <row r="1555" spans="2:6" x14ac:dyDescent="0.25">
      <c r="B1555" s="344"/>
      <c r="C1555" s="344"/>
      <c r="D1555" s="345"/>
      <c r="E1555" s="346"/>
      <c r="F1555" s="346"/>
    </row>
    <row r="1556" spans="2:6" x14ac:dyDescent="0.25">
      <c r="B1556" s="344"/>
      <c r="C1556" s="344"/>
      <c r="D1556" s="345"/>
      <c r="E1556" s="346"/>
      <c r="F1556" s="346"/>
    </row>
    <row r="1557" spans="2:6" x14ac:dyDescent="0.25">
      <c r="B1557" s="344"/>
      <c r="C1557" s="344"/>
      <c r="D1557" s="345"/>
      <c r="E1557" s="346"/>
      <c r="F1557" s="346"/>
    </row>
    <row r="1558" spans="2:6" x14ac:dyDescent="0.25">
      <c r="B1558" s="344"/>
      <c r="C1558" s="344"/>
      <c r="D1558" s="345"/>
      <c r="E1558" s="346"/>
      <c r="F1558" s="346"/>
    </row>
    <row r="1559" spans="2:6" x14ac:dyDescent="0.25">
      <c r="B1559" s="344"/>
      <c r="C1559" s="344"/>
      <c r="D1559" s="345"/>
      <c r="E1559" s="346"/>
      <c r="F1559" s="346"/>
    </row>
    <row r="1560" spans="2:6" x14ac:dyDescent="0.25">
      <c r="B1560" s="344"/>
      <c r="C1560" s="344"/>
      <c r="D1560" s="345"/>
      <c r="E1560" s="346"/>
      <c r="F1560" s="346"/>
    </row>
    <row r="1561" spans="2:6" x14ac:dyDescent="0.25">
      <c r="B1561" s="344"/>
      <c r="C1561" s="344"/>
      <c r="D1561" s="345"/>
      <c r="E1561" s="346"/>
      <c r="F1561" s="346"/>
    </row>
    <row r="1562" spans="2:6" x14ac:dyDescent="0.25">
      <c r="B1562" s="344"/>
      <c r="C1562" s="344"/>
      <c r="D1562" s="345"/>
      <c r="E1562" s="346"/>
      <c r="F1562" s="346"/>
    </row>
    <row r="1563" spans="2:6" x14ac:dyDescent="0.25">
      <c r="B1563" s="344"/>
      <c r="C1563" s="344"/>
      <c r="D1563" s="345"/>
      <c r="E1563" s="346"/>
      <c r="F1563" s="346"/>
    </row>
    <row r="1564" spans="2:6" x14ac:dyDescent="0.25">
      <c r="B1564" s="344"/>
      <c r="C1564" s="344"/>
      <c r="D1564" s="345"/>
      <c r="E1564" s="346"/>
      <c r="F1564" s="346"/>
    </row>
    <row r="1565" spans="2:6" x14ac:dyDescent="0.25">
      <c r="B1565" s="344"/>
      <c r="C1565" s="344"/>
      <c r="D1565" s="345"/>
      <c r="E1565" s="346"/>
      <c r="F1565" s="346"/>
    </row>
    <row r="1566" spans="2:6" x14ac:dyDescent="0.25">
      <c r="B1566" s="344"/>
      <c r="C1566" s="344"/>
      <c r="D1566" s="345"/>
      <c r="E1566" s="346"/>
      <c r="F1566" s="346"/>
    </row>
    <row r="1567" spans="2:6" x14ac:dyDescent="0.25">
      <c r="B1567" s="344"/>
      <c r="C1567" s="344"/>
      <c r="D1567" s="345"/>
      <c r="E1567" s="346"/>
      <c r="F1567" s="346"/>
    </row>
    <row r="1568" spans="2:6" x14ac:dyDescent="0.25">
      <c r="B1568" s="344"/>
      <c r="C1568" s="344"/>
      <c r="D1568" s="345"/>
      <c r="E1568" s="346"/>
      <c r="F1568" s="346"/>
    </row>
    <row r="1569" spans="2:6" x14ac:dyDescent="0.25">
      <c r="B1569" s="344"/>
      <c r="C1569" s="344"/>
      <c r="D1569" s="345"/>
      <c r="E1569" s="346"/>
      <c r="F1569" s="346"/>
    </row>
    <row r="1570" spans="2:6" x14ac:dyDescent="0.25">
      <c r="B1570" s="344"/>
      <c r="C1570" s="344"/>
      <c r="D1570" s="345"/>
      <c r="E1570" s="346"/>
      <c r="F1570" s="346"/>
    </row>
    <row r="1571" spans="2:6" x14ac:dyDescent="0.25">
      <c r="B1571" s="344"/>
      <c r="C1571" s="344"/>
      <c r="D1571" s="345"/>
      <c r="E1571" s="346"/>
      <c r="F1571" s="346"/>
    </row>
    <row r="1572" spans="2:6" x14ac:dyDescent="0.25">
      <c r="B1572" s="344"/>
      <c r="C1572" s="344"/>
      <c r="D1572" s="345"/>
      <c r="E1572" s="346"/>
      <c r="F1572" s="346"/>
    </row>
    <row r="1573" spans="2:6" x14ac:dyDescent="0.25">
      <c r="B1573" s="344"/>
      <c r="C1573" s="344"/>
      <c r="D1573" s="345"/>
      <c r="E1573" s="346"/>
      <c r="F1573" s="346"/>
    </row>
    <row r="1574" spans="2:6" x14ac:dyDescent="0.25">
      <c r="B1574" s="344"/>
      <c r="C1574" s="344"/>
      <c r="D1574" s="345"/>
      <c r="E1574" s="346"/>
      <c r="F1574" s="346"/>
    </row>
    <row r="1575" spans="2:6" x14ac:dyDescent="0.25">
      <c r="B1575" s="344"/>
      <c r="C1575" s="344"/>
      <c r="D1575" s="345"/>
      <c r="E1575" s="346"/>
      <c r="F1575" s="346"/>
    </row>
    <row r="1576" spans="2:6" x14ac:dyDescent="0.25">
      <c r="B1576" s="344"/>
      <c r="C1576" s="344"/>
      <c r="D1576" s="345"/>
      <c r="E1576" s="346"/>
      <c r="F1576" s="346"/>
    </row>
    <row r="1577" spans="2:6" x14ac:dyDescent="0.25">
      <c r="B1577" s="344"/>
      <c r="C1577" s="344"/>
      <c r="D1577" s="345"/>
      <c r="E1577" s="346"/>
      <c r="F1577" s="346"/>
    </row>
    <row r="1578" spans="2:6" x14ac:dyDescent="0.25">
      <c r="B1578" s="344"/>
      <c r="C1578" s="344"/>
      <c r="D1578" s="345"/>
      <c r="E1578" s="346"/>
      <c r="F1578" s="346"/>
    </row>
    <row r="1579" spans="2:6" x14ac:dyDescent="0.25">
      <c r="B1579" s="344"/>
      <c r="C1579" s="344"/>
      <c r="D1579" s="345"/>
      <c r="E1579" s="346"/>
      <c r="F1579" s="346"/>
    </row>
    <row r="1580" spans="2:6" x14ac:dyDescent="0.25">
      <c r="B1580" s="344"/>
      <c r="C1580" s="344"/>
      <c r="D1580" s="345"/>
      <c r="E1580" s="346"/>
      <c r="F1580" s="346"/>
    </row>
    <row r="1581" spans="2:6" x14ac:dyDescent="0.25">
      <c r="B1581" s="344"/>
      <c r="C1581" s="344"/>
      <c r="D1581" s="345"/>
      <c r="E1581" s="346"/>
      <c r="F1581" s="346"/>
    </row>
    <row r="1582" spans="2:6" x14ac:dyDescent="0.25">
      <c r="B1582" s="344"/>
      <c r="C1582" s="344"/>
      <c r="D1582" s="345"/>
      <c r="E1582" s="346"/>
      <c r="F1582" s="346"/>
    </row>
    <row r="1583" spans="2:6" x14ac:dyDescent="0.25">
      <c r="B1583" s="344"/>
      <c r="C1583" s="344"/>
      <c r="D1583" s="345"/>
      <c r="E1583" s="346"/>
      <c r="F1583" s="346"/>
    </row>
    <row r="1584" spans="2:6" x14ac:dyDescent="0.25">
      <c r="B1584" s="344"/>
      <c r="C1584" s="344"/>
      <c r="D1584" s="345"/>
      <c r="E1584" s="346"/>
      <c r="F1584" s="346"/>
    </row>
    <row r="1585" spans="2:6" x14ac:dyDescent="0.25">
      <c r="B1585" s="344"/>
      <c r="C1585" s="344"/>
      <c r="D1585" s="345"/>
      <c r="E1585" s="346"/>
      <c r="F1585" s="346"/>
    </row>
    <row r="1586" spans="2:6" x14ac:dyDescent="0.25">
      <c r="B1586" s="344"/>
      <c r="C1586" s="344"/>
      <c r="D1586" s="345"/>
      <c r="E1586" s="346"/>
      <c r="F1586" s="346"/>
    </row>
    <row r="1587" spans="2:6" x14ac:dyDescent="0.25">
      <c r="B1587" s="344"/>
      <c r="C1587" s="344"/>
      <c r="D1587" s="345"/>
      <c r="E1587" s="346"/>
      <c r="F1587" s="346"/>
    </row>
    <row r="1588" spans="2:6" x14ac:dyDescent="0.25">
      <c r="B1588" s="344"/>
      <c r="C1588" s="344"/>
      <c r="D1588" s="345"/>
      <c r="E1588" s="346"/>
      <c r="F1588" s="346"/>
    </row>
    <row r="1589" spans="2:6" x14ac:dyDescent="0.25">
      <c r="B1589" s="344"/>
      <c r="C1589" s="344"/>
      <c r="D1589" s="345"/>
      <c r="E1589" s="346"/>
      <c r="F1589" s="346"/>
    </row>
    <row r="1590" spans="2:6" x14ac:dyDescent="0.25">
      <c r="B1590" s="344"/>
      <c r="C1590" s="344"/>
      <c r="D1590" s="345"/>
      <c r="E1590" s="346"/>
      <c r="F1590" s="346"/>
    </row>
    <row r="1591" spans="2:6" x14ac:dyDescent="0.25">
      <c r="B1591" s="344"/>
      <c r="C1591" s="344"/>
      <c r="D1591" s="345"/>
      <c r="E1591" s="346"/>
      <c r="F1591" s="346"/>
    </row>
    <row r="1592" spans="2:6" x14ac:dyDescent="0.25">
      <c r="B1592" s="344"/>
      <c r="C1592" s="344"/>
      <c r="D1592" s="345"/>
      <c r="E1592" s="346"/>
      <c r="F1592" s="346"/>
    </row>
    <row r="1593" spans="2:6" x14ac:dyDescent="0.25">
      <c r="B1593" s="344"/>
      <c r="C1593" s="344"/>
      <c r="D1593" s="345"/>
      <c r="E1593" s="346"/>
      <c r="F1593" s="346"/>
    </row>
    <row r="1594" spans="2:6" x14ac:dyDescent="0.25">
      <c r="B1594" s="344"/>
      <c r="C1594" s="344"/>
      <c r="D1594" s="345"/>
      <c r="E1594" s="346"/>
      <c r="F1594" s="346"/>
    </row>
    <row r="1595" spans="2:6" x14ac:dyDescent="0.25">
      <c r="B1595" s="344"/>
      <c r="C1595" s="344"/>
      <c r="D1595" s="345"/>
      <c r="E1595" s="346"/>
      <c r="F1595" s="346"/>
    </row>
    <row r="1596" spans="2:6" x14ac:dyDescent="0.25">
      <c r="B1596" s="344"/>
      <c r="C1596" s="344"/>
      <c r="D1596" s="345"/>
      <c r="E1596" s="346"/>
      <c r="F1596" s="346"/>
    </row>
    <row r="1597" spans="2:6" x14ac:dyDescent="0.25">
      <c r="B1597" s="344"/>
      <c r="C1597" s="344"/>
      <c r="D1597" s="345"/>
      <c r="E1597" s="346"/>
      <c r="F1597" s="346"/>
    </row>
    <row r="1598" spans="2:6" x14ac:dyDescent="0.25">
      <c r="B1598" s="344"/>
      <c r="C1598" s="344"/>
      <c r="D1598" s="345"/>
      <c r="E1598" s="346"/>
      <c r="F1598" s="346"/>
    </row>
    <row r="1599" spans="2:6" x14ac:dyDescent="0.25">
      <c r="B1599" s="344"/>
      <c r="C1599" s="344"/>
      <c r="D1599" s="345"/>
      <c r="E1599" s="346"/>
      <c r="F1599" s="346"/>
    </row>
    <row r="1600" spans="2:6" x14ac:dyDescent="0.25">
      <c r="B1600" s="344"/>
      <c r="C1600" s="344"/>
      <c r="D1600" s="345"/>
      <c r="E1600" s="346"/>
      <c r="F1600" s="346"/>
    </row>
    <row r="1601" spans="2:6" x14ac:dyDescent="0.25">
      <c r="B1601" s="344"/>
      <c r="C1601" s="344"/>
      <c r="D1601" s="345"/>
      <c r="E1601" s="346"/>
      <c r="F1601" s="346"/>
    </row>
    <row r="1602" spans="2:6" x14ac:dyDescent="0.25">
      <c r="B1602" s="344"/>
      <c r="C1602" s="344"/>
      <c r="D1602" s="345"/>
      <c r="E1602" s="346"/>
      <c r="F1602" s="346"/>
    </row>
    <row r="1603" spans="2:6" x14ac:dyDescent="0.25">
      <c r="B1603" s="344"/>
      <c r="C1603" s="344"/>
      <c r="D1603" s="345"/>
      <c r="E1603" s="346"/>
      <c r="F1603" s="346"/>
    </row>
    <row r="1604" spans="2:6" x14ac:dyDescent="0.25">
      <c r="B1604" s="344"/>
      <c r="C1604" s="344"/>
      <c r="D1604" s="345"/>
      <c r="E1604" s="346"/>
      <c r="F1604" s="346"/>
    </row>
    <row r="1605" spans="2:6" x14ac:dyDescent="0.25">
      <c r="B1605" s="344"/>
      <c r="C1605" s="344"/>
      <c r="D1605" s="345"/>
      <c r="E1605" s="346"/>
      <c r="F1605" s="346"/>
    </row>
    <row r="1606" spans="2:6" x14ac:dyDescent="0.25">
      <c r="B1606" s="344"/>
      <c r="C1606" s="344"/>
      <c r="D1606" s="345"/>
      <c r="E1606" s="346"/>
      <c r="F1606" s="346"/>
    </row>
    <row r="1607" spans="2:6" x14ac:dyDescent="0.25">
      <c r="B1607" s="344"/>
      <c r="C1607" s="344"/>
      <c r="D1607" s="345"/>
      <c r="E1607" s="346"/>
      <c r="F1607" s="346"/>
    </row>
    <row r="1608" spans="2:6" x14ac:dyDescent="0.25">
      <c r="B1608" s="344"/>
      <c r="C1608" s="344"/>
      <c r="D1608" s="345"/>
      <c r="E1608" s="346"/>
      <c r="F1608" s="346"/>
    </row>
    <row r="1609" spans="2:6" x14ac:dyDescent="0.25">
      <c r="B1609" s="344"/>
      <c r="C1609" s="344"/>
      <c r="D1609" s="345"/>
      <c r="E1609" s="346"/>
      <c r="F1609" s="346"/>
    </row>
    <row r="1610" spans="2:6" x14ac:dyDescent="0.25">
      <c r="B1610" s="344"/>
      <c r="C1610" s="344"/>
      <c r="D1610" s="345"/>
      <c r="E1610" s="346"/>
      <c r="F1610" s="346"/>
    </row>
    <row r="1611" spans="2:6" x14ac:dyDescent="0.25">
      <c r="B1611" s="344"/>
      <c r="C1611" s="344"/>
      <c r="D1611" s="345"/>
      <c r="E1611" s="346"/>
      <c r="F1611" s="346"/>
    </row>
    <row r="1612" spans="2:6" x14ac:dyDescent="0.25">
      <c r="B1612" s="344"/>
      <c r="C1612" s="344"/>
      <c r="D1612" s="345"/>
      <c r="E1612" s="346"/>
      <c r="F1612" s="346"/>
    </row>
    <row r="1613" spans="2:6" x14ac:dyDescent="0.25">
      <c r="B1613" s="344"/>
      <c r="C1613" s="344"/>
      <c r="D1613" s="345"/>
      <c r="E1613" s="346"/>
      <c r="F1613" s="346"/>
    </row>
    <row r="1614" spans="2:6" x14ac:dyDescent="0.25">
      <c r="B1614" s="344"/>
      <c r="C1614" s="344"/>
      <c r="D1614" s="345"/>
      <c r="E1614" s="346"/>
      <c r="F1614" s="346"/>
    </row>
    <row r="1615" spans="2:6" x14ac:dyDescent="0.25">
      <c r="B1615" s="344"/>
      <c r="C1615" s="344"/>
      <c r="D1615" s="345"/>
      <c r="E1615" s="346"/>
      <c r="F1615" s="346"/>
    </row>
    <row r="1616" spans="2:6" x14ac:dyDescent="0.25">
      <c r="B1616" s="344"/>
      <c r="C1616" s="344"/>
      <c r="D1616" s="345"/>
      <c r="E1616" s="346"/>
      <c r="F1616" s="346"/>
    </row>
    <row r="1617" spans="2:6" x14ac:dyDescent="0.25">
      <c r="B1617" s="344"/>
      <c r="C1617" s="344"/>
      <c r="D1617" s="345"/>
      <c r="E1617" s="346"/>
      <c r="F1617" s="346"/>
    </row>
    <row r="1618" spans="2:6" x14ac:dyDescent="0.25">
      <c r="B1618" s="344"/>
      <c r="C1618" s="344"/>
      <c r="D1618" s="345"/>
      <c r="E1618" s="346"/>
      <c r="F1618" s="346"/>
    </row>
    <row r="1619" spans="2:6" x14ac:dyDescent="0.25">
      <c r="B1619" s="344"/>
      <c r="C1619" s="344"/>
      <c r="D1619" s="345"/>
      <c r="E1619" s="346"/>
      <c r="F1619" s="346"/>
    </row>
    <row r="1620" spans="2:6" x14ac:dyDescent="0.25">
      <c r="B1620" s="344"/>
      <c r="C1620" s="344"/>
      <c r="D1620" s="345"/>
      <c r="E1620" s="346"/>
      <c r="F1620" s="346"/>
    </row>
    <row r="1621" spans="2:6" x14ac:dyDescent="0.25">
      <c r="B1621" s="344"/>
      <c r="C1621" s="344"/>
      <c r="D1621" s="345"/>
      <c r="E1621" s="346"/>
      <c r="F1621" s="346"/>
    </row>
    <row r="1622" spans="2:6" x14ac:dyDescent="0.25">
      <c r="B1622" s="344"/>
      <c r="C1622" s="344"/>
      <c r="D1622" s="345"/>
      <c r="E1622" s="346"/>
      <c r="F1622" s="346"/>
    </row>
    <row r="1623" spans="2:6" x14ac:dyDescent="0.25">
      <c r="B1623" s="344"/>
      <c r="C1623" s="344"/>
      <c r="D1623" s="345"/>
      <c r="E1623" s="346"/>
      <c r="F1623" s="346"/>
    </row>
    <row r="1624" spans="2:6" x14ac:dyDescent="0.25">
      <c r="B1624" s="344"/>
      <c r="C1624" s="344"/>
      <c r="D1624" s="345"/>
      <c r="E1624" s="346"/>
      <c r="F1624" s="346"/>
    </row>
    <row r="1625" spans="2:6" x14ac:dyDescent="0.25">
      <c r="B1625" s="344"/>
      <c r="C1625" s="344"/>
      <c r="D1625" s="345"/>
      <c r="E1625" s="346"/>
      <c r="F1625" s="346"/>
    </row>
    <row r="1626" spans="2:6" x14ac:dyDescent="0.25">
      <c r="B1626" s="344"/>
      <c r="C1626" s="344"/>
      <c r="D1626" s="345"/>
      <c r="E1626" s="346"/>
      <c r="F1626" s="346"/>
    </row>
    <row r="1627" spans="2:6" x14ac:dyDescent="0.25">
      <c r="B1627" s="344"/>
      <c r="C1627" s="344"/>
      <c r="D1627" s="345"/>
      <c r="E1627" s="346"/>
      <c r="F1627" s="346"/>
    </row>
    <row r="1628" spans="2:6" x14ac:dyDescent="0.25">
      <c r="B1628" s="344"/>
      <c r="C1628" s="344"/>
      <c r="D1628" s="345"/>
      <c r="E1628" s="346"/>
      <c r="F1628" s="346"/>
    </row>
    <row r="1629" spans="2:6" x14ac:dyDescent="0.25">
      <c r="B1629" s="344"/>
      <c r="C1629" s="344"/>
      <c r="D1629" s="345"/>
      <c r="E1629" s="346"/>
      <c r="F1629" s="346"/>
    </row>
    <row r="1630" spans="2:6" x14ac:dyDescent="0.25">
      <c r="B1630" s="344"/>
      <c r="C1630" s="344"/>
      <c r="D1630" s="345"/>
      <c r="E1630" s="346"/>
      <c r="F1630" s="346"/>
    </row>
    <row r="1631" spans="2:6" x14ac:dyDescent="0.25">
      <c r="B1631" s="344"/>
      <c r="C1631" s="344"/>
      <c r="D1631" s="345"/>
      <c r="E1631" s="346"/>
      <c r="F1631" s="346"/>
    </row>
    <row r="1632" spans="2:6" x14ac:dyDescent="0.25">
      <c r="B1632" s="344"/>
      <c r="C1632" s="344"/>
      <c r="D1632" s="345"/>
      <c r="E1632" s="346"/>
      <c r="F1632" s="346"/>
    </row>
    <row r="1633" spans="2:6" x14ac:dyDescent="0.25">
      <c r="B1633" s="344"/>
      <c r="C1633" s="344"/>
      <c r="D1633" s="345"/>
      <c r="E1633" s="346"/>
      <c r="F1633" s="346"/>
    </row>
    <row r="1634" spans="2:6" x14ac:dyDescent="0.25">
      <c r="B1634" s="344"/>
      <c r="C1634" s="344"/>
      <c r="D1634" s="345"/>
      <c r="E1634" s="346"/>
      <c r="F1634" s="346"/>
    </row>
    <row r="1635" spans="2:6" x14ac:dyDescent="0.25">
      <c r="B1635" s="344"/>
      <c r="C1635" s="344"/>
      <c r="D1635" s="345"/>
      <c r="E1635" s="346"/>
      <c r="F1635" s="346"/>
    </row>
    <row r="1636" spans="2:6" x14ac:dyDescent="0.25">
      <c r="B1636" s="344"/>
      <c r="C1636" s="344"/>
      <c r="D1636" s="345"/>
      <c r="E1636" s="346"/>
      <c r="F1636" s="346"/>
    </row>
    <row r="1637" spans="2:6" x14ac:dyDescent="0.25">
      <c r="B1637" s="344"/>
      <c r="C1637" s="344"/>
      <c r="D1637" s="345"/>
      <c r="E1637" s="346"/>
      <c r="F1637" s="346"/>
    </row>
    <row r="1638" spans="2:6" x14ac:dyDescent="0.25">
      <c r="B1638" s="344"/>
      <c r="C1638" s="344"/>
      <c r="D1638" s="345"/>
      <c r="E1638" s="346"/>
      <c r="F1638" s="346"/>
    </row>
    <row r="1639" spans="2:6" x14ac:dyDescent="0.25">
      <c r="B1639" s="344"/>
      <c r="C1639" s="344"/>
      <c r="D1639" s="345"/>
      <c r="E1639" s="346"/>
      <c r="F1639" s="346"/>
    </row>
    <row r="1640" spans="2:6" x14ac:dyDescent="0.25">
      <c r="B1640" s="344"/>
      <c r="C1640" s="344"/>
      <c r="D1640" s="345"/>
      <c r="E1640" s="346"/>
      <c r="F1640" s="346"/>
    </row>
    <row r="1641" spans="2:6" x14ac:dyDescent="0.25">
      <c r="B1641" s="344"/>
      <c r="C1641" s="344"/>
      <c r="D1641" s="345"/>
      <c r="E1641" s="346"/>
      <c r="F1641" s="346"/>
    </row>
    <row r="1642" spans="2:6" x14ac:dyDescent="0.25">
      <c r="B1642" s="344"/>
      <c r="C1642" s="344"/>
      <c r="D1642" s="345"/>
      <c r="E1642" s="346"/>
      <c r="F1642" s="346"/>
    </row>
    <row r="1643" spans="2:6" x14ac:dyDescent="0.25">
      <c r="B1643" s="344"/>
      <c r="C1643" s="344"/>
      <c r="D1643" s="345"/>
      <c r="E1643" s="346"/>
      <c r="F1643" s="346"/>
    </row>
    <row r="1644" spans="2:6" x14ac:dyDescent="0.25">
      <c r="B1644" s="344"/>
      <c r="C1644" s="344"/>
      <c r="D1644" s="345"/>
      <c r="E1644" s="346"/>
      <c r="F1644" s="346"/>
    </row>
    <row r="1645" spans="2:6" x14ac:dyDescent="0.25">
      <c r="B1645" s="344"/>
      <c r="C1645" s="344"/>
      <c r="D1645" s="345"/>
      <c r="E1645" s="346"/>
      <c r="F1645" s="346"/>
    </row>
    <row r="1646" spans="2:6" x14ac:dyDescent="0.25">
      <c r="B1646" s="344"/>
      <c r="C1646" s="344"/>
      <c r="D1646" s="345"/>
      <c r="E1646" s="346"/>
      <c r="F1646" s="346"/>
    </row>
    <row r="1647" spans="2:6" x14ac:dyDescent="0.25">
      <c r="B1647" s="344"/>
      <c r="C1647" s="344"/>
      <c r="D1647" s="345"/>
      <c r="E1647" s="346"/>
      <c r="F1647" s="346"/>
    </row>
    <row r="1648" spans="2:6" x14ac:dyDescent="0.25">
      <c r="B1648" s="344"/>
      <c r="C1648" s="344"/>
      <c r="D1648" s="345"/>
      <c r="E1648" s="346"/>
      <c r="F1648" s="346"/>
    </row>
    <row r="1649" spans="2:6" x14ac:dyDescent="0.25">
      <c r="B1649" s="344"/>
      <c r="C1649" s="344"/>
      <c r="D1649" s="345"/>
      <c r="E1649" s="346"/>
      <c r="F1649" s="346"/>
    </row>
    <row r="1650" spans="2:6" x14ac:dyDescent="0.25">
      <c r="B1650" s="344"/>
      <c r="C1650" s="344"/>
      <c r="D1650" s="345"/>
      <c r="E1650" s="346"/>
      <c r="F1650" s="346"/>
    </row>
    <row r="1651" spans="2:6" x14ac:dyDescent="0.25">
      <c r="B1651" s="344"/>
      <c r="C1651" s="344"/>
      <c r="D1651" s="345"/>
      <c r="E1651" s="346"/>
      <c r="F1651" s="346"/>
    </row>
    <row r="1652" spans="2:6" x14ac:dyDescent="0.25">
      <c r="B1652" s="344"/>
      <c r="C1652" s="344"/>
      <c r="D1652" s="345"/>
      <c r="E1652" s="346"/>
      <c r="F1652" s="346"/>
    </row>
    <row r="1653" spans="2:6" x14ac:dyDescent="0.25">
      <c r="B1653" s="344"/>
      <c r="C1653" s="344"/>
      <c r="D1653" s="345"/>
      <c r="E1653" s="346"/>
      <c r="F1653" s="346"/>
    </row>
    <row r="1654" spans="2:6" x14ac:dyDescent="0.25">
      <c r="B1654" s="344"/>
      <c r="C1654" s="344"/>
      <c r="D1654" s="345"/>
      <c r="E1654" s="346"/>
      <c r="F1654" s="346"/>
    </row>
    <row r="1655" spans="2:6" x14ac:dyDescent="0.25">
      <c r="B1655" s="344"/>
      <c r="C1655" s="344"/>
      <c r="D1655" s="345"/>
      <c r="E1655" s="346"/>
      <c r="F1655" s="346"/>
    </row>
    <row r="1656" spans="2:6" x14ac:dyDescent="0.25">
      <c r="B1656" s="344"/>
      <c r="C1656" s="344"/>
      <c r="D1656" s="345"/>
      <c r="E1656" s="346"/>
      <c r="F1656" s="346"/>
    </row>
    <row r="1657" spans="2:6" x14ac:dyDescent="0.25">
      <c r="B1657" s="344"/>
      <c r="C1657" s="344"/>
      <c r="D1657" s="345"/>
      <c r="E1657" s="346"/>
      <c r="F1657" s="346"/>
    </row>
    <row r="1658" spans="2:6" x14ac:dyDescent="0.25">
      <c r="B1658" s="344"/>
      <c r="C1658" s="344"/>
      <c r="D1658" s="345"/>
      <c r="E1658" s="346"/>
      <c r="F1658" s="346"/>
    </row>
    <row r="1659" spans="2:6" x14ac:dyDescent="0.25">
      <c r="B1659" s="344"/>
      <c r="C1659" s="344"/>
      <c r="D1659" s="345"/>
      <c r="E1659" s="346"/>
      <c r="F1659" s="346"/>
    </row>
    <row r="1660" spans="2:6" x14ac:dyDescent="0.25">
      <c r="B1660" s="344"/>
      <c r="C1660" s="344"/>
      <c r="D1660" s="345"/>
      <c r="E1660" s="346"/>
      <c r="F1660" s="346"/>
    </row>
    <row r="1661" spans="2:6" x14ac:dyDescent="0.25">
      <c r="B1661" s="344"/>
      <c r="C1661" s="344"/>
      <c r="D1661" s="345"/>
      <c r="E1661" s="346"/>
      <c r="F1661" s="346"/>
    </row>
    <row r="1662" spans="2:6" x14ac:dyDescent="0.25">
      <c r="B1662" s="344"/>
      <c r="C1662" s="344"/>
      <c r="D1662" s="345"/>
      <c r="E1662" s="346"/>
      <c r="F1662" s="346"/>
    </row>
    <row r="1663" spans="2:6" x14ac:dyDescent="0.25">
      <c r="B1663" s="344"/>
      <c r="C1663" s="344"/>
      <c r="D1663" s="345"/>
      <c r="E1663" s="346"/>
      <c r="F1663" s="346"/>
    </row>
    <row r="1664" spans="2:6" x14ac:dyDescent="0.25">
      <c r="B1664" s="344"/>
      <c r="C1664" s="344"/>
      <c r="D1664" s="345"/>
      <c r="E1664" s="346"/>
      <c r="F1664" s="346"/>
    </row>
    <row r="1665" spans="2:6" x14ac:dyDescent="0.25">
      <c r="B1665" s="344"/>
      <c r="C1665" s="344"/>
      <c r="D1665" s="345"/>
      <c r="E1665" s="346"/>
      <c r="F1665" s="346"/>
    </row>
    <row r="1666" spans="2:6" x14ac:dyDescent="0.25">
      <c r="B1666" s="344"/>
      <c r="C1666" s="344"/>
      <c r="D1666" s="345"/>
      <c r="E1666" s="346"/>
      <c r="F1666" s="346"/>
    </row>
    <row r="1667" spans="2:6" x14ac:dyDescent="0.25">
      <c r="B1667" s="344"/>
      <c r="C1667" s="344"/>
      <c r="D1667" s="345"/>
      <c r="E1667" s="346"/>
      <c r="F1667" s="346"/>
    </row>
    <row r="1668" spans="2:6" x14ac:dyDescent="0.25">
      <c r="B1668" s="344"/>
      <c r="C1668" s="344"/>
      <c r="D1668" s="345"/>
      <c r="E1668" s="346"/>
      <c r="F1668" s="346"/>
    </row>
    <row r="1669" spans="2:6" x14ac:dyDescent="0.25">
      <c r="B1669" s="344"/>
      <c r="C1669" s="344"/>
      <c r="D1669" s="345"/>
      <c r="E1669" s="346"/>
      <c r="F1669" s="346"/>
    </row>
    <row r="1670" spans="2:6" x14ac:dyDescent="0.25">
      <c r="B1670" s="344"/>
      <c r="C1670" s="344"/>
      <c r="D1670" s="345"/>
      <c r="E1670" s="346"/>
      <c r="F1670" s="346"/>
    </row>
    <row r="1671" spans="2:6" x14ac:dyDescent="0.25">
      <c r="B1671" s="344"/>
      <c r="C1671" s="344"/>
      <c r="D1671" s="345"/>
      <c r="E1671" s="346"/>
      <c r="F1671" s="346"/>
    </row>
    <row r="1672" spans="2:6" x14ac:dyDescent="0.25">
      <c r="B1672" s="344"/>
      <c r="C1672" s="344"/>
      <c r="D1672" s="345"/>
      <c r="E1672" s="346"/>
      <c r="F1672" s="346"/>
    </row>
    <row r="1673" spans="2:6" x14ac:dyDescent="0.25">
      <c r="B1673" s="344"/>
      <c r="C1673" s="344"/>
      <c r="D1673" s="345"/>
      <c r="E1673" s="346"/>
      <c r="F1673" s="346"/>
    </row>
    <row r="1674" spans="2:6" x14ac:dyDescent="0.25">
      <c r="B1674" s="344"/>
      <c r="C1674" s="344"/>
      <c r="D1674" s="345"/>
      <c r="E1674" s="346"/>
      <c r="F1674" s="346"/>
    </row>
    <row r="1675" spans="2:6" x14ac:dyDescent="0.25">
      <c r="B1675" s="344"/>
      <c r="C1675" s="344"/>
      <c r="D1675" s="345"/>
      <c r="E1675" s="346"/>
      <c r="F1675" s="346"/>
    </row>
    <row r="1676" spans="2:6" x14ac:dyDescent="0.25">
      <c r="B1676" s="344"/>
      <c r="C1676" s="344"/>
      <c r="D1676" s="345"/>
      <c r="E1676" s="346"/>
      <c r="F1676" s="346"/>
    </row>
    <row r="1677" spans="2:6" x14ac:dyDescent="0.25">
      <c r="B1677" s="344"/>
      <c r="C1677" s="344"/>
      <c r="D1677" s="345"/>
      <c r="E1677" s="346"/>
      <c r="F1677" s="346"/>
    </row>
    <row r="1678" spans="2:6" x14ac:dyDescent="0.25">
      <c r="B1678" s="344"/>
      <c r="C1678" s="344"/>
      <c r="D1678" s="345"/>
      <c r="E1678" s="346"/>
      <c r="F1678" s="346"/>
    </row>
    <row r="1679" spans="2:6" x14ac:dyDescent="0.25">
      <c r="B1679" s="344"/>
      <c r="C1679" s="344"/>
      <c r="D1679" s="345"/>
      <c r="E1679" s="346"/>
      <c r="F1679" s="346"/>
    </row>
    <row r="1680" spans="2:6" x14ac:dyDescent="0.25">
      <c r="B1680" s="344"/>
      <c r="C1680" s="344"/>
      <c r="D1680" s="345"/>
      <c r="E1680" s="346"/>
      <c r="F1680" s="346"/>
    </row>
    <row r="1681" spans="2:6" x14ac:dyDescent="0.25">
      <c r="B1681" s="344"/>
      <c r="C1681" s="344"/>
      <c r="D1681" s="345"/>
      <c r="E1681" s="346"/>
      <c r="F1681" s="346"/>
    </row>
    <row r="1682" spans="2:6" x14ac:dyDescent="0.25">
      <c r="B1682" s="344"/>
      <c r="C1682" s="344"/>
      <c r="D1682" s="345"/>
      <c r="E1682" s="346"/>
      <c r="F1682" s="346"/>
    </row>
    <row r="1683" spans="2:6" x14ac:dyDescent="0.25">
      <c r="B1683" s="344"/>
      <c r="C1683" s="344"/>
      <c r="D1683" s="345"/>
      <c r="E1683" s="346"/>
      <c r="F1683" s="346"/>
    </row>
    <row r="1684" spans="2:6" x14ac:dyDescent="0.25">
      <c r="B1684" s="344"/>
      <c r="C1684" s="344"/>
      <c r="D1684" s="345"/>
      <c r="E1684" s="346"/>
      <c r="F1684" s="346"/>
    </row>
    <row r="1685" spans="2:6" x14ac:dyDescent="0.25">
      <c r="B1685" s="344"/>
      <c r="C1685" s="344"/>
      <c r="D1685" s="345"/>
      <c r="E1685" s="346"/>
      <c r="F1685" s="346"/>
    </row>
    <row r="1686" spans="2:6" x14ac:dyDescent="0.25">
      <c r="B1686" s="344"/>
      <c r="C1686" s="344"/>
      <c r="D1686" s="345"/>
      <c r="E1686" s="346"/>
      <c r="F1686" s="346"/>
    </row>
    <row r="1687" spans="2:6" x14ac:dyDescent="0.25">
      <c r="B1687" s="344"/>
      <c r="C1687" s="344"/>
      <c r="D1687" s="345"/>
      <c r="E1687" s="346"/>
      <c r="F1687" s="346"/>
    </row>
    <row r="1688" spans="2:6" x14ac:dyDescent="0.25">
      <c r="B1688" s="344"/>
      <c r="C1688" s="344"/>
      <c r="D1688" s="345"/>
      <c r="E1688" s="346"/>
      <c r="F1688" s="346"/>
    </row>
    <row r="1689" spans="2:6" x14ac:dyDescent="0.25">
      <c r="B1689" s="344"/>
      <c r="C1689" s="344"/>
      <c r="D1689" s="345"/>
      <c r="E1689" s="346"/>
      <c r="F1689" s="346"/>
    </row>
    <row r="1690" spans="2:6" x14ac:dyDescent="0.25">
      <c r="B1690" s="344"/>
      <c r="C1690" s="344"/>
      <c r="D1690" s="345"/>
      <c r="E1690" s="346"/>
      <c r="F1690" s="346"/>
    </row>
    <row r="1691" spans="2:6" x14ac:dyDescent="0.25">
      <c r="B1691" s="344"/>
      <c r="C1691" s="344"/>
      <c r="D1691" s="345"/>
      <c r="E1691" s="346"/>
      <c r="F1691" s="346"/>
    </row>
    <row r="1692" spans="2:6" x14ac:dyDescent="0.25">
      <c r="B1692" s="344"/>
      <c r="C1692" s="344"/>
      <c r="D1692" s="345"/>
      <c r="E1692" s="346"/>
      <c r="F1692" s="346"/>
    </row>
    <row r="1693" spans="2:6" x14ac:dyDescent="0.25">
      <c r="B1693" s="344"/>
      <c r="C1693" s="344"/>
      <c r="D1693" s="345"/>
      <c r="E1693" s="346"/>
      <c r="F1693" s="346"/>
    </row>
    <row r="1694" spans="2:6" x14ac:dyDescent="0.25">
      <c r="B1694" s="344"/>
      <c r="C1694" s="344"/>
      <c r="D1694" s="345"/>
      <c r="E1694" s="346"/>
      <c r="F1694" s="346"/>
    </row>
    <row r="1695" spans="2:6" x14ac:dyDescent="0.25">
      <c r="B1695" s="344"/>
      <c r="C1695" s="344"/>
      <c r="D1695" s="345"/>
      <c r="E1695" s="346"/>
      <c r="F1695" s="346"/>
    </row>
    <row r="1696" spans="2:6" x14ac:dyDescent="0.25">
      <c r="B1696" s="344"/>
      <c r="C1696" s="344"/>
      <c r="D1696" s="345"/>
      <c r="E1696" s="346"/>
      <c r="F1696" s="346"/>
    </row>
    <row r="1697" spans="2:6" x14ac:dyDescent="0.25">
      <c r="B1697" s="344"/>
      <c r="C1697" s="344"/>
      <c r="D1697" s="345"/>
      <c r="E1697" s="346"/>
      <c r="F1697" s="346"/>
    </row>
    <row r="1698" spans="2:6" x14ac:dyDescent="0.25">
      <c r="B1698" s="344"/>
      <c r="C1698" s="344"/>
      <c r="D1698" s="345"/>
      <c r="E1698" s="346"/>
      <c r="F1698" s="346"/>
    </row>
    <row r="1699" spans="2:6" x14ac:dyDescent="0.25">
      <c r="B1699" s="344"/>
      <c r="C1699" s="344"/>
      <c r="D1699" s="345"/>
      <c r="E1699" s="346"/>
      <c r="F1699" s="346"/>
    </row>
    <row r="1700" spans="2:6" x14ac:dyDescent="0.25">
      <c r="B1700" s="344"/>
      <c r="C1700" s="344"/>
      <c r="D1700" s="345"/>
      <c r="E1700" s="346"/>
      <c r="F1700" s="346"/>
    </row>
    <row r="1701" spans="2:6" x14ac:dyDescent="0.25">
      <c r="B1701" s="344"/>
      <c r="C1701" s="344"/>
      <c r="D1701" s="345"/>
      <c r="E1701" s="346"/>
      <c r="F1701" s="346"/>
    </row>
    <row r="1702" spans="2:6" x14ac:dyDescent="0.25">
      <c r="B1702" s="344"/>
      <c r="C1702" s="344"/>
      <c r="D1702" s="345"/>
      <c r="E1702" s="346"/>
      <c r="F1702" s="346"/>
    </row>
    <row r="1703" spans="2:6" x14ac:dyDescent="0.25">
      <c r="B1703" s="344"/>
      <c r="C1703" s="344"/>
      <c r="D1703" s="345"/>
      <c r="E1703" s="346"/>
      <c r="F1703" s="346"/>
    </row>
    <row r="1704" spans="2:6" x14ac:dyDescent="0.25">
      <c r="B1704" s="344"/>
      <c r="C1704" s="344"/>
      <c r="D1704" s="345"/>
      <c r="E1704" s="346"/>
      <c r="F1704" s="346"/>
    </row>
    <row r="1705" spans="2:6" x14ac:dyDescent="0.25">
      <c r="B1705" s="344"/>
      <c r="C1705" s="344"/>
      <c r="D1705" s="345"/>
      <c r="E1705" s="346"/>
      <c r="F1705" s="346"/>
    </row>
    <row r="1706" spans="2:6" x14ac:dyDescent="0.25">
      <c r="B1706" s="344"/>
      <c r="C1706" s="344"/>
      <c r="D1706" s="345"/>
      <c r="E1706" s="346"/>
      <c r="F1706" s="346"/>
    </row>
    <row r="1707" spans="2:6" x14ac:dyDescent="0.25">
      <c r="B1707" s="344"/>
      <c r="C1707" s="344"/>
      <c r="D1707" s="345"/>
      <c r="E1707" s="346"/>
      <c r="F1707" s="346"/>
    </row>
    <row r="1708" spans="2:6" x14ac:dyDescent="0.25">
      <c r="B1708" s="344"/>
      <c r="C1708" s="344"/>
      <c r="D1708" s="345"/>
      <c r="E1708" s="346"/>
      <c r="F1708" s="346"/>
    </row>
    <row r="1709" spans="2:6" x14ac:dyDescent="0.25">
      <c r="B1709" s="344"/>
      <c r="C1709" s="344"/>
      <c r="D1709" s="345"/>
      <c r="E1709" s="346"/>
      <c r="F1709" s="346"/>
    </row>
    <row r="1710" spans="2:6" x14ac:dyDescent="0.25">
      <c r="B1710" s="344"/>
      <c r="C1710" s="344"/>
      <c r="D1710" s="345"/>
      <c r="E1710" s="346"/>
      <c r="F1710" s="346"/>
    </row>
    <row r="1711" spans="2:6" x14ac:dyDescent="0.25">
      <c r="B1711" s="344"/>
      <c r="C1711" s="344"/>
      <c r="D1711" s="345"/>
      <c r="E1711" s="346"/>
      <c r="F1711" s="346"/>
    </row>
    <row r="1712" spans="2:6" x14ac:dyDescent="0.25">
      <c r="B1712" s="344"/>
      <c r="C1712" s="344"/>
      <c r="D1712" s="345"/>
      <c r="E1712" s="346"/>
      <c r="F1712" s="346"/>
    </row>
    <row r="1713" spans="2:6" x14ac:dyDescent="0.25">
      <c r="B1713" s="344"/>
      <c r="C1713" s="344"/>
      <c r="D1713" s="345"/>
      <c r="E1713" s="346"/>
      <c r="F1713" s="346"/>
    </row>
    <row r="1714" spans="2:6" x14ac:dyDescent="0.25">
      <c r="B1714" s="344"/>
      <c r="C1714" s="344"/>
      <c r="D1714" s="345"/>
      <c r="E1714" s="346"/>
      <c r="F1714" s="346"/>
    </row>
    <row r="1715" spans="2:6" x14ac:dyDescent="0.25">
      <c r="B1715" s="344"/>
      <c r="C1715" s="344"/>
      <c r="D1715" s="345"/>
      <c r="E1715" s="346"/>
      <c r="F1715" s="346"/>
    </row>
    <row r="1716" spans="2:6" x14ac:dyDescent="0.25">
      <c r="B1716" s="344"/>
      <c r="C1716" s="344"/>
      <c r="D1716" s="345"/>
      <c r="E1716" s="346"/>
      <c r="F1716" s="346"/>
    </row>
    <row r="1717" spans="2:6" x14ac:dyDescent="0.25">
      <c r="B1717" s="344"/>
      <c r="C1717" s="344"/>
      <c r="D1717" s="345"/>
      <c r="E1717" s="346"/>
      <c r="F1717" s="346"/>
    </row>
    <row r="1718" spans="2:6" x14ac:dyDescent="0.25">
      <c r="B1718" s="344"/>
      <c r="C1718" s="344"/>
      <c r="D1718" s="345"/>
      <c r="E1718" s="346"/>
      <c r="F1718" s="346"/>
    </row>
    <row r="1719" spans="2:6" x14ac:dyDescent="0.25">
      <c r="B1719" s="344"/>
      <c r="C1719" s="344"/>
      <c r="D1719" s="345"/>
      <c r="E1719" s="346"/>
      <c r="F1719" s="346"/>
    </row>
    <row r="1720" spans="2:6" x14ac:dyDescent="0.25">
      <c r="B1720" s="344"/>
      <c r="C1720" s="344"/>
      <c r="D1720" s="345"/>
      <c r="E1720" s="346"/>
      <c r="F1720" s="346"/>
    </row>
    <row r="1721" spans="2:6" x14ac:dyDescent="0.25">
      <c r="B1721" s="344"/>
      <c r="C1721" s="344"/>
      <c r="D1721" s="345"/>
      <c r="E1721" s="346"/>
      <c r="F1721" s="346"/>
    </row>
    <row r="1722" spans="2:6" x14ac:dyDescent="0.25">
      <c r="B1722" s="344"/>
      <c r="C1722" s="344"/>
      <c r="D1722" s="345"/>
      <c r="E1722" s="346"/>
      <c r="F1722" s="346"/>
    </row>
    <row r="1723" spans="2:6" x14ac:dyDescent="0.25">
      <c r="B1723" s="344"/>
      <c r="C1723" s="344"/>
      <c r="D1723" s="345"/>
      <c r="E1723" s="346"/>
      <c r="F1723" s="346"/>
    </row>
    <row r="1724" spans="2:6" x14ac:dyDescent="0.25">
      <c r="B1724" s="344"/>
      <c r="C1724" s="344"/>
      <c r="D1724" s="345"/>
      <c r="E1724" s="346"/>
      <c r="F1724" s="346"/>
    </row>
    <row r="1725" spans="2:6" x14ac:dyDescent="0.25">
      <c r="B1725" s="344"/>
      <c r="C1725" s="344"/>
      <c r="D1725" s="345"/>
      <c r="E1725" s="346"/>
      <c r="F1725" s="346"/>
    </row>
    <row r="1726" spans="2:6" x14ac:dyDescent="0.25">
      <c r="B1726" s="344"/>
      <c r="C1726" s="344"/>
      <c r="D1726" s="345"/>
      <c r="E1726" s="346"/>
      <c r="F1726" s="346"/>
    </row>
    <row r="1727" spans="2:6" x14ac:dyDescent="0.25">
      <c r="B1727" s="344"/>
      <c r="C1727" s="344"/>
      <c r="D1727" s="345"/>
      <c r="E1727" s="346"/>
      <c r="F1727" s="346"/>
    </row>
    <row r="1728" spans="2:6" x14ac:dyDescent="0.25">
      <c r="B1728" s="344"/>
      <c r="C1728" s="344"/>
      <c r="D1728" s="345"/>
      <c r="E1728" s="346"/>
      <c r="F1728" s="346"/>
    </row>
    <row r="1729" spans="2:6" x14ac:dyDescent="0.25">
      <c r="B1729" s="344"/>
      <c r="C1729" s="344"/>
      <c r="D1729" s="345"/>
      <c r="E1729" s="346"/>
      <c r="F1729" s="346"/>
    </row>
    <row r="1730" spans="2:6" x14ac:dyDescent="0.25">
      <c r="B1730" s="344"/>
      <c r="C1730" s="344"/>
      <c r="D1730" s="345"/>
      <c r="E1730" s="346"/>
      <c r="F1730" s="346"/>
    </row>
    <row r="1731" spans="2:6" x14ac:dyDescent="0.25">
      <c r="B1731" s="344"/>
      <c r="C1731" s="344"/>
      <c r="D1731" s="345"/>
      <c r="E1731" s="346"/>
      <c r="F1731" s="346"/>
    </row>
    <row r="1732" spans="2:6" x14ac:dyDescent="0.25">
      <c r="B1732" s="344"/>
      <c r="C1732" s="344"/>
      <c r="D1732" s="345"/>
      <c r="E1732" s="346"/>
      <c r="F1732" s="346"/>
    </row>
    <row r="1733" spans="2:6" x14ac:dyDescent="0.25">
      <c r="B1733" s="344"/>
      <c r="C1733" s="344"/>
      <c r="D1733" s="345"/>
      <c r="E1733" s="346"/>
      <c r="F1733" s="346"/>
    </row>
    <row r="1734" spans="2:6" x14ac:dyDescent="0.25">
      <c r="B1734" s="344"/>
      <c r="C1734" s="344"/>
      <c r="D1734" s="345"/>
      <c r="E1734" s="346"/>
      <c r="F1734" s="346"/>
    </row>
    <row r="1735" spans="2:6" x14ac:dyDescent="0.25">
      <c r="B1735" s="344"/>
      <c r="C1735" s="344"/>
      <c r="D1735" s="345"/>
      <c r="E1735" s="346"/>
      <c r="F1735" s="346"/>
    </row>
    <row r="1736" spans="2:6" x14ac:dyDescent="0.25">
      <c r="B1736" s="344"/>
      <c r="C1736" s="344"/>
      <c r="D1736" s="345"/>
      <c r="E1736" s="346"/>
      <c r="F1736" s="346"/>
    </row>
    <row r="1737" spans="2:6" x14ac:dyDescent="0.25">
      <c r="B1737" s="344"/>
      <c r="C1737" s="344"/>
      <c r="D1737" s="345"/>
      <c r="E1737" s="346"/>
      <c r="F1737" s="346"/>
    </row>
    <row r="1738" spans="2:6" x14ac:dyDescent="0.25">
      <c r="B1738" s="344"/>
      <c r="C1738" s="344"/>
      <c r="D1738" s="345"/>
      <c r="E1738" s="346"/>
      <c r="F1738" s="346"/>
    </row>
    <row r="1739" spans="2:6" x14ac:dyDescent="0.25">
      <c r="B1739" s="344"/>
      <c r="C1739" s="344"/>
      <c r="D1739" s="345"/>
      <c r="E1739" s="346"/>
      <c r="F1739" s="346"/>
    </row>
    <row r="1740" spans="2:6" x14ac:dyDescent="0.25">
      <c r="B1740" s="344"/>
      <c r="C1740" s="344"/>
      <c r="D1740" s="345"/>
      <c r="E1740" s="346"/>
      <c r="F1740" s="346"/>
    </row>
    <row r="1741" spans="2:6" x14ac:dyDescent="0.25">
      <c r="B1741" s="344"/>
      <c r="C1741" s="344"/>
      <c r="D1741" s="345"/>
      <c r="E1741" s="346"/>
      <c r="F1741" s="346"/>
    </row>
    <row r="1742" spans="2:6" x14ac:dyDescent="0.25">
      <c r="B1742" s="344"/>
      <c r="C1742" s="344"/>
      <c r="D1742" s="345"/>
      <c r="E1742" s="346"/>
      <c r="F1742" s="346"/>
    </row>
    <row r="1743" spans="2:6" x14ac:dyDescent="0.25">
      <c r="B1743" s="344"/>
      <c r="C1743" s="344"/>
      <c r="D1743" s="345"/>
      <c r="E1743" s="346"/>
      <c r="F1743" s="346"/>
    </row>
    <row r="1744" spans="2:6" x14ac:dyDescent="0.25">
      <c r="B1744" s="344"/>
      <c r="C1744" s="344"/>
      <c r="D1744" s="345"/>
      <c r="E1744" s="346"/>
      <c r="F1744" s="346"/>
    </row>
    <row r="1745" spans="2:6" x14ac:dyDescent="0.25">
      <c r="B1745" s="344"/>
      <c r="C1745" s="344"/>
      <c r="D1745" s="345"/>
      <c r="E1745" s="346"/>
      <c r="F1745" s="346"/>
    </row>
    <row r="1746" spans="2:6" x14ac:dyDescent="0.25">
      <c r="B1746" s="344"/>
      <c r="C1746" s="344"/>
      <c r="D1746" s="345"/>
      <c r="E1746" s="346"/>
      <c r="F1746" s="346"/>
    </row>
    <row r="1747" spans="2:6" x14ac:dyDescent="0.25">
      <c r="B1747" s="344"/>
      <c r="C1747" s="344"/>
      <c r="D1747" s="345"/>
      <c r="E1747" s="346"/>
      <c r="F1747" s="346"/>
    </row>
    <row r="1748" spans="2:6" x14ac:dyDescent="0.25">
      <c r="B1748" s="344"/>
      <c r="C1748" s="344"/>
      <c r="D1748" s="345"/>
      <c r="E1748" s="346"/>
      <c r="F1748" s="346"/>
    </row>
    <row r="1749" spans="2:6" x14ac:dyDescent="0.25">
      <c r="B1749" s="344"/>
      <c r="C1749" s="344"/>
      <c r="D1749" s="345"/>
      <c r="E1749" s="346"/>
      <c r="F1749" s="346"/>
    </row>
    <row r="1750" spans="2:6" x14ac:dyDescent="0.25">
      <c r="B1750" s="344"/>
      <c r="C1750" s="344"/>
      <c r="D1750" s="345"/>
      <c r="E1750" s="346"/>
      <c r="F1750" s="346"/>
    </row>
    <row r="1751" spans="2:6" x14ac:dyDescent="0.25">
      <c r="B1751" s="344"/>
      <c r="C1751" s="344"/>
      <c r="D1751" s="345"/>
      <c r="E1751" s="346"/>
      <c r="F1751" s="346"/>
    </row>
    <row r="1752" spans="2:6" x14ac:dyDescent="0.25">
      <c r="B1752" s="344"/>
      <c r="C1752" s="344"/>
      <c r="D1752" s="345"/>
      <c r="E1752" s="346"/>
      <c r="F1752" s="346"/>
    </row>
    <row r="1753" spans="2:6" x14ac:dyDescent="0.25">
      <c r="B1753" s="344"/>
      <c r="C1753" s="344"/>
      <c r="D1753" s="345"/>
      <c r="E1753" s="346"/>
      <c r="F1753" s="346"/>
    </row>
    <row r="1754" spans="2:6" x14ac:dyDescent="0.25">
      <c r="B1754" s="344"/>
      <c r="C1754" s="344"/>
      <c r="D1754" s="345"/>
      <c r="E1754" s="346"/>
      <c r="F1754" s="346"/>
    </row>
    <row r="1755" spans="2:6" x14ac:dyDescent="0.25">
      <c r="B1755" s="344"/>
      <c r="C1755" s="344"/>
      <c r="D1755" s="345"/>
      <c r="E1755" s="346"/>
      <c r="F1755" s="346"/>
    </row>
    <row r="1756" spans="2:6" x14ac:dyDescent="0.25">
      <c r="B1756" s="344"/>
      <c r="C1756" s="344"/>
      <c r="D1756" s="345"/>
      <c r="E1756" s="346"/>
      <c r="F1756" s="346"/>
    </row>
    <row r="1757" spans="2:6" x14ac:dyDescent="0.25">
      <c r="B1757" s="344"/>
      <c r="C1757" s="344"/>
      <c r="D1757" s="345"/>
      <c r="E1757" s="346"/>
      <c r="F1757" s="346"/>
    </row>
    <row r="1758" spans="2:6" x14ac:dyDescent="0.25">
      <c r="B1758" s="344"/>
      <c r="C1758" s="344"/>
      <c r="D1758" s="345"/>
      <c r="E1758" s="346"/>
      <c r="F1758" s="346"/>
    </row>
    <row r="1759" spans="2:6" x14ac:dyDescent="0.25">
      <c r="B1759" s="344"/>
      <c r="C1759" s="344"/>
      <c r="D1759" s="345"/>
      <c r="E1759" s="346"/>
      <c r="F1759" s="346"/>
    </row>
    <row r="1760" spans="2:6" x14ac:dyDescent="0.25">
      <c r="B1760" s="344"/>
      <c r="C1760" s="344"/>
      <c r="D1760" s="345"/>
      <c r="E1760" s="346"/>
      <c r="F1760" s="346"/>
    </row>
    <row r="1761" spans="2:6" x14ac:dyDescent="0.25">
      <c r="B1761" s="344"/>
      <c r="C1761" s="344"/>
      <c r="D1761" s="345"/>
      <c r="E1761" s="346"/>
      <c r="F1761" s="346"/>
    </row>
    <row r="1762" spans="2:6" x14ac:dyDescent="0.25">
      <c r="B1762" s="344"/>
      <c r="C1762" s="344"/>
      <c r="D1762" s="345"/>
      <c r="E1762" s="346"/>
      <c r="F1762" s="346"/>
    </row>
    <row r="1763" spans="2:6" x14ac:dyDescent="0.25">
      <c r="B1763" s="344"/>
      <c r="C1763" s="344"/>
      <c r="D1763" s="345"/>
      <c r="E1763" s="346"/>
      <c r="F1763" s="346"/>
    </row>
    <row r="1764" spans="2:6" x14ac:dyDescent="0.25">
      <c r="B1764" s="344"/>
      <c r="C1764" s="344"/>
      <c r="D1764" s="345"/>
      <c r="E1764" s="346"/>
      <c r="F1764" s="346"/>
    </row>
    <row r="1765" spans="2:6" x14ac:dyDescent="0.25">
      <c r="B1765" s="344"/>
      <c r="C1765" s="344"/>
      <c r="D1765" s="345"/>
      <c r="E1765" s="346"/>
      <c r="F1765" s="346"/>
    </row>
    <row r="1766" spans="2:6" x14ac:dyDescent="0.25">
      <c r="B1766" s="344"/>
      <c r="C1766" s="344"/>
      <c r="D1766" s="345"/>
      <c r="E1766" s="346"/>
      <c r="F1766" s="346"/>
    </row>
    <row r="1767" spans="2:6" x14ac:dyDescent="0.25">
      <c r="B1767" s="344"/>
      <c r="C1767" s="344"/>
      <c r="D1767" s="345"/>
      <c r="E1767" s="346"/>
      <c r="F1767" s="346"/>
    </row>
    <row r="1768" spans="2:6" x14ac:dyDescent="0.25">
      <c r="B1768" s="344"/>
      <c r="C1768" s="344"/>
      <c r="D1768" s="345"/>
      <c r="E1768" s="346"/>
      <c r="F1768" s="346"/>
    </row>
    <row r="1769" spans="2:6" x14ac:dyDescent="0.25">
      <c r="B1769" s="344"/>
      <c r="C1769" s="344"/>
      <c r="D1769" s="345"/>
      <c r="E1769" s="346"/>
      <c r="F1769" s="346"/>
    </row>
    <row r="1770" spans="2:6" x14ac:dyDescent="0.25">
      <c r="B1770" s="344"/>
      <c r="C1770" s="344"/>
      <c r="D1770" s="345"/>
      <c r="E1770" s="346"/>
      <c r="F1770" s="346"/>
    </row>
    <row r="1771" spans="2:6" x14ac:dyDescent="0.25">
      <c r="B1771" s="344"/>
      <c r="C1771" s="344"/>
      <c r="D1771" s="345"/>
      <c r="E1771" s="346"/>
      <c r="F1771" s="346"/>
    </row>
    <row r="1772" spans="2:6" x14ac:dyDescent="0.25">
      <c r="B1772" s="344"/>
      <c r="C1772" s="344"/>
      <c r="D1772" s="345"/>
      <c r="E1772" s="346"/>
      <c r="F1772" s="346"/>
    </row>
    <row r="1773" spans="2:6" x14ac:dyDescent="0.25">
      <c r="B1773" s="344"/>
      <c r="C1773" s="344"/>
      <c r="D1773" s="345"/>
      <c r="E1773" s="346"/>
      <c r="F1773" s="346"/>
    </row>
    <row r="1774" spans="2:6" x14ac:dyDescent="0.25">
      <c r="B1774" s="344"/>
      <c r="C1774" s="344"/>
      <c r="D1774" s="345"/>
      <c r="E1774" s="346"/>
      <c r="F1774" s="346"/>
    </row>
    <row r="1775" spans="2:6" x14ac:dyDescent="0.25">
      <c r="B1775" s="344"/>
      <c r="C1775" s="344"/>
      <c r="D1775" s="345"/>
      <c r="E1775" s="346"/>
      <c r="F1775" s="346"/>
    </row>
    <row r="1776" spans="2:6" x14ac:dyDescent="0.25">
      <c r="B1776" s="344"/>
      <c r="C1776" s="344"/>
      <c r="D1776" s="345"/>
      <c r="E1776" s="346"/>
      <c r="F1776" s="346"/>
    </row>
    <row r="1777" spans="2:6" x14ac:dyDescent="0.25">
      <c r="B1777" s="344"/>
      <c r="C1777" s="344"/>
      <c r="D1777" s="345"/>
      <c r="E1777" s="346"/>
      <c r="F1777" s="346"/>
    </row>
    <row r="1778" spans="2:6" x14ac:dyDescent="0.25">
      <c r="B1778" s="344"/>
      <c r="C1778" s="344"/>
      <c r="D1778" s="345"/>
      <c r="E1778" s="346"/>
      <c r="F1778" s="346"/>
    </row>
    <row r="1779" spans="2:6" x14ac:dyDescent="0.25">
      <c r="B1779" s="344"/>
      <c r="C1779" s="344"/>
      <c r="D1779" s="345"/>
      <c r="E1779" s="346"/>
      <c r="F1779" s="346"/>
    </row>
    <row r="1780" spans="2:6" x14ac:dyDescent="0.25">
      <c r="B1780" s="344"/>
      <c r="C1780" s="344"/>
      <c r="D1780" s="345"/>
      <c r="E1780" s="346"/>
      <c r="F1780" s="346"/>
    </row>
    <row r="1781" spans="2:6" x14ac:dyDescent="0.25">
      <c r="B1781" s="344"/>
      <c r="C1781" s="344"/>
      <c r="D1781" s="345"/>
      <c r="E1781" s="346"/>
      <c r="F1781" s="346"/>
    </row>
    <row r="1782" spans="2:6" x14ac:dyDescent="0.25">
      <c r="B1782" s="344"/>
      <c r="C1782" s="344"/>
      <c r="D1782" s="345"/>
      <c r="E1782" s="346"/>
      <c r="F1782" s="346"/>
    </row>
    <row r="1783" spans="2:6" x14ac:dyDescent="0.25">
      <c r="B1783" s="344"/>
      <c r="C1783" s="344"/>
      <c r="D1783" s="345"/>
      <c r="E1783" s="346"/>
      <c r="F1783" s="346"/>
    </row>
    <row r="1784" spans="2:6" x14ac:dyDescent="0.25">
      <c r="B1784" s="344"/>
      <c r="C1784" s="344"/>
      <c r="D1784" s="345"/>
      <c r="E1784" s="346"/>
      <c r="F1784" s="346"/>
    </row>
    <row r="1785" spans="2:6" x14ac:dyDescent="0.25">
      <c r="B1785" s="344"/>
      <c r="C1785" s="344"/>
      <c r="D1785" s="345"/>
      <c r="E1785" s="346"/>
      <c r="F1785" s="346"/>
    </row>
    <row r="1786" spans="2:6" x14ac:dyDescent="0.25">
      <c r="B1786" s="344"/>
      <c r="C1786" s="344"/>
      <c r="D1786" s="345"/>
      <c r="E1786" s="346"/>
      <c r="F1786" s="346"/>
    </row>
    <row r="1787" spans="2:6" x14ac:dyDescent="0.25">
      <c r="B1787" s="344"/>
      <c r="C1787" s="344"/>
      <c r="D1787" s="345"/>
      <c r="E1787" s="346"/>
      <c r="F1787" s="346"/>
    </row>
    <row r="1788" spans="2:6" x14ac:dyDescent="0.25">
      <c r="B1788" s="344"/>
      <c r="C1788" s="344"/>
      <c r="D1788" s="345"/>
      <c r="E1788" s="346"/>
      <c r="F1788" s="346"/>
    </row>
    <row r="1789" spans="2:6" x14ac:dyDescent="0.25">
      <c r="B1789" s="344"/>
      <c r="C1789" s="344"/>
      <c r="D1789" s="345"/>
      <c r="E1789" s="346"/>
      <c r="F1789" s="346"/>
    </row>
    <row r="1790" spans="2:6" x14ac:dyDescent="0.25">
      <c r="B1790" s="344"/>
      <c r="C1790" s="344"/>
      <c r="D1790" s="345"/>
      <c r="E1790" s="346"/>
      <c r="F1790" s="346"/>
    </row>
    <row r="1791" spans="2:6" x14ac:dyDescent="0.25">
      <c r="B1791" s="344"/>
      <c r="C1791" s="344"/>
      <c r="D1791" s="345"/>
      <c r="E1791" s="346"/>
      <c r="F1791" s="346"/>
    </row>
    <row r="1792" spans="2:6" x14ac:dyDescent="0.25">
      <c r="B1792" s="344"/>
      <c r="C1792" s="344"/>
      <c r="D1792" s="345"/>
      <c r="E1792" s="346"/>
      <c r="F1792" s="346"/>
    </row>
    <row r="1793" spans="2:6" x14ac:dyDescent="0.25">
      <c r="B1793" s="344"/>
      <c r="C1793" s="344"/>
      <c r="D1793" s="345"/>
      <c r="E1793" s="346"/>
      <c r="F1793" s="346"/>
    </row>
    <row r="1794" spans="2:6" x14ac:dyDescent="0.25">
      <c r="B1794" s="344"/>
      <c r="C1794" s="344"/>
      <c r="D1794" s="345"/>
      <c r="E1794" s="346"/>
      <c r="F1794" s="346"/>
    </row>
    <row r="1795" spans="2:6" x14ac:dyDescent="0.25">
      <c r="B1795" s="344"/>
      <c r="C1795" s="344"/>
      <c r="D1795" s="345"/>
      <c r="E1795" s="346"/>
      <c r="F1795" s="346"/>
    </row>
    <row r="1796" spans="2:6" x14ac:dyDescent="0.25">
      <c r="B1796" s="344"/>
      <c r="C1796" s="344"/>
      <c r="D1796" s="345"/>
      <c r="E1796" s="346"/>
      <c r="F1796" s="346"/>
    </row>
    <row r="1797" spans="2:6" x14ac:dyDescent="0.25">
      <c r="B1797" s="344"/>
      <c r="C1797" s="344"/>
      <c r="D1797" s="345"/>
      <c r="E1797" s="346"/>
      <c r="F1797" s="346"/>
    </row>
    <row r="1798" spans="2:6" x14ac:dyDescent="0.25">
      <c r="B1798" s="344"/>
      <c r="C1798" s="344"/>
      <c r="D1798" s="345"/>
      <c r="E1798" s="346"/>
      <c r="F1798" s="346"/>
    </row>
    <row r="1799" spans="2:6" x14ac:dyDescent="0.25">
      <c r="B1799" s="344"/>
      <c r="C1799" s="344"/>
      <c r="D1799" s="345"/>
      <c r="E1799" s="346"/>
      <c r="F1799" s="346"/>
    </row>
    <row r="1800" spans="2:6" x14ac:dyDescent="0.25">
      <c r="B1800" s="344"/>
      <c r="C1800" s="344"/>
      <c r="D1800" s="345"/>
      <c r="E1800" s="346"/>
      <c r="F1800" s="346"/>
    </row>
    <row r="1801" spans="2:6" x14ac:dyDescent="0.25">
      <c r="B1801" s="344"/>
      <c r="C1801" s="344"/>
      <c r="D1801" s="345"/>
      <c r="E1801" s="346"/>
      <c r="F1801" s="346"/>
    </row>
    <row r="1802" spans="2:6" x14ac:dyDescent="0.25">
      <c r="B1802" s="344"/>
      <c r="C1802" s="344"/>
      <c r="D1802" s="345"/>
      <c r="E1802" s="346"/>
      <c r="F1802" s="346"/>
    </row>
    <row r="1803" spans="2:6" x14ac:dyDescent="0.25">
      <c r="B1803" s="344"/>
      <c r="C1803" s="344"/>
      <c r="D1803" s="345"/>
      <c r="E1803" s="346"/>
      <c r="F1803" s="346"/>
    </row>
    <row r="1804" spans="2:6" x14ac:dyDescent="0.25">
      <c r="B1804" s="344"/>
      <c r="C1804" s="344"/>
      <c r="D1804" s="345"/>
      <c r="E1804" s="346"/>
      <c r="F1804" s="346"/>
    </row>
    <row r="1805" spans="2:6" x14ac:dyDescent="0.25">
      <c r="B1805" s="344"/>
      <c r="C1805" s="344"/>
      <c r="D1805" s="345"/>
      <c r="E1805" s="346"/>
      <c r="F1805" s="346"/>
    </row>
    <row r="1806" spans="2:6" x14ac:dyDescent="0.25">
      <c r="B1806" s="344"/>
      <c r="C1806" s="344"/>
      <c r="D1806" s="345"/>
      <c r="E1806" s="346"/>
      <c r="F1806" s="346"/>
    </row>
    <row r="1807" spans="2:6" x14ac:dyDescent="0.25">
      <c r="B1807" s="344"/>
      <c r="C1807" s="344"/>
      <c r="D1807" s="345"/>
      <c r="E1807" s="346"/>
      <c r="F1807" s="346"/>
    </row>
    <row r="1808" spans="2:6" x14ac:dyDescent="0.25">
      <c r="B1808" s="344"/>
      <c r="C1808" s="344"/>
      <c r="D1808" s="345"/>
      <c r="E1808" s="346"/>
      <c r="F1808" s="346"/>
    </row>
    <row r="1809" spans="2:6" x14ac:dyDescent="0.25">
      <c r="B1809" s="344"/>
      <c r="C1809" s="344"/>
      <c r="D1809" s="345"/>
      <c r="E1809" s="346"/>
      <c r="F1809" s="346"/>
    </row>
    <row r="1810" spans="2:6" x14ac:dyDescent="0.25">
      <c r="B1810" s="344"/>
      <c r="C1810" s="344"/>
      <c r="D1810" s="345"/>
      <c r="E1810" s="346"/>
      <c r="F1810" s="346"/>
    </row>
    <row r="1811" spans="2:6" x14ac:dyDescent="0.25">
      <c r="B1811" s="344"/>
      <c r="C1811" s="344"/>
      <c r="D1811" s="345"/>
      <c r="E1811" s="346"/>
      <c r="F1811" s="346"/>
    </row>
    <row r="1812" spans="2:6" x14ac:dyDescent="0.25">
      <c r="B1812" s="344"/>
      <c r="C1812" s="344"/>
      <c r="D1812" s="345"/>
      <c r="E1812" s="346"/>
      <c r="F1812" s="346"/>
    </row>
    <row r="1813" spans="2:6" x14ac:dyDescent="0.25">
      <c r="B1813" s="344"/>
      <c r="C1813" s="344"/>
      <c r="D1813" s="345"/>
      <c r="E1813" s="346"/>
      <c r="F1813" s="346"/>
    </row>
    <row r="1814" spans="2:6" x14ac:dyDescent="0.25">
      <c r="B1814" s="344"/>
      <c r="C1814" s="344"/>
      <c r="D1814" s="345"/>
      <c r="E1814" s="346"/>
      <c r="F1814" s="346"/>
    </row>
    <row r="1815" spans="2:6" x14ac:dyDescent="0.25">
      <c r="B1815" s="344"/>
      <c r="C1815" s="344"/>
      <c r="D1815" s="345"/>
      <c r="E1815" s="346"/>
      <c r="F1815" s="346"/>
    </row>
    <row r="1816" spans="2:6" x14ac:dyDescent="0.25">
      <c r="B1816" s="344"/>
      <c r="C1816" s="344"/>
      <c r="D1816" s="345"/>
      <c r="E1816" s="346"/>
      <c r="F1816" s="346"/>
    </row>
    <row r="1817" spans="2:6" x14ac:dyDescent="0.25">
      <c r="B1817" s="344"/>
      <c r="C1817" s="344"/>
      <c r="D1817" s="345"/>
      <c r="E1817" s="346"/>
      <c r="F1817" s="346"/>
    </row>
    <row r="1818" spans="2:6" x14ac:dyDescent="0.25">
      <c r="B1818" s="344"/>
      <c r="C1818" s="344"/>
      <c r="D1818" s="345"/>
      <c r="E1818" s="346"/>
      <c r="F1818" s="346"/>
    </row>
    <row r="1819" spans="2:6" x14ac:dyDescent="0.25">
      <c r="B1819" s="344"/>
      <c r="C1819" s="344"/>
      <c r="D1819" s="345"/>
      <c r="E1819" s="346"/>
      <c r="F1819" s="346"/>
    </row>
    <row r="1820" spans="2:6" x14ac:dyDescent="0.25">
      <c r="B1820" s="344"/>
      <c r="C1820" s="344"/>
      <c r="D1820" s="345"/>
      <c r="E1820" s="346"/>
      <c r="F1820" s="346"/>
    </row>
    <row r="1821" spans="2:6" x14ac:dyDescent="0.25">
      <c r="B1821" s="344"/>
      <c r="C1821" s="344"/>
      <c r="D1821" s="345"/>
      <c r="E1821" s="346"/>
      <c r="F1821" s="346"/>
    </row>
    <row r="1822" spans="2:6" x14ac:dyDescent="0.25">
      <c r="B1822" s="344"/>
      <c r="C1822" s="344"/>
      <c r="D1822" s="345"/>
      <c r="E1822" s="346"/>
      <c r="F1822" s="346"/>
    </row>
    <row r="1823" spans="2:6" x14ac:dyDescent="0.25">
      <c r="B1823" s="344"/>
      <c r="C1823" s="344"/>
      <c r="D1823" s="345"/>
      <c r="E1823" s="346"/>
      <c r="F1823" s="346"/>
    </row>
    <row r="1824" spans="2:6" x14ac:dyDescent="0.25">
      <c r="B1824" s="344"/>
      <c r="C1824" s="344"/>
      <c r="D1824" s="345"/>
      <c r="E1824" s="346"/>
      <c r="F1824" s="346"/>
    </row>
    <row r="1825" spans="2:6" x14ac:dyDescent="0.25">
      <c r="B1825" s="344"/>
      <c r="C1825" s="344"/>
      <c r="D1825" s="345"/>
      <c r="E1825" s="346"/>
      <c r="F1825" s="346"/>
    </row>
    <row r="1826" spans="2:6" x14ac:dyDescent="0.25">
      <c r="B1826" s="344"/>
      <c r="C1826" s="344"/>
      <c r="D1826" s="345"/>
      <c r="E1826" s="346"/>
      <c r="F1826" s="346"/>
    </row>
    <row r="1827" spans="2:6" x14ac:dyDescent="0.25">
      <c r="B1827" s="344"/>
      <c r="C1827" s="344"/>
      <c r="D1827" s="345"/>
      <c r="E1827" s="346"/>
      <c r="F1827" s="346"/>
    </row>
    <row r="1828" spans="2:6" x14ac:dyDescent="0.25">
      <c r="B1828" s="344"/>
      <c r="C1828" s="344"/>
      <c r="D1828" s="345"/>
      <c r="E1828" s="346"/>
      <c r="F1828" s="346"/>
    </row>
    <row r="1829" spans="2:6" x14ac:dyDescent="0.25">
      <c r="B1829" s="344"/>
      <c r="C1829" s="344"/>
      <c r="D1829" s="345"/>
      <c r="E1829" s="346"/>
      <c r="F1829" s="346"/>
    </row>
    <row r="1830" spans="2:6" x14ac:dyDescent="0.25">
      <c r="B1830" s="344"/>
      <c r="C1830" s="344"/>
      <c r="D1830" s="345"/>
      <c r="E1830" s="346"/>
      <c r="F1830" s="346"/>
    </row>
    <row r="1831" spans="2:6" x14ac:dyDescent="0.25">
      <c r="B1831" s="344"/>
      <c r="C1831" s="344"/>
      <c r="D1831" s="345"/>
      <c r="E1831" s="346"/>
      <c r="F1831" s="346"/>
    </row>
    <row r="1832" spans="2:6" x14ac:dyDescent="0.25">
      <c r="B1832" s="344"/>
      <c r="C1832" s="344"/>
      <c r="D1832" s="345"/>
      <c r="E1832" s="346"/>
      <c r="F1832" s="346"/>
    </row>
    <row r="1833" spans="2:6" x14ac:dyDescent="0.25">
      <c r="B1833" s="344"/>
      <c r="C1833" s="344"/>
      <c r="D1833" s="345"/>
      <c r="E1833" s="346"/>
      <c r="F1833" s="346"/>
    </row>
    <row r="1834" spans="2:6" x14ac:dyDescent="0.25">
      <c r="B1834" s="344"/>
      <c r="C1834" s="344"/>
      <c r="D1834" s="345"/>
      <c r="E1834" s="346"/>
      <c r="F1834" s="346"/>
    </row>
    <row r="1835" spans="2:6" x14ac:dyDescent="0.25">
      <c r="B1835" s="344"/>
      <c r="C1835" s="344"/>
      <c r="D1835" s="345"/>
      <c r="E1835" s="346"/>
      <c r="F1835" s="346"/>
    </row>
    <row r="1836" spans="2:6" x14ac:dyDescent="0.25">
      <c r="B1836" s="344"/>
      <c r="C1836" s="344"/>
      <c r="D1836" s="345"/>
      <c r="E1836" s="346"/>
      <c r="F1836" s="346"/>
    </row>
    <row r="1837" spans="2:6" x14ac:dyDescent="0.25">
      <c r="B1837" s="344"/>
      <c r="C1837" s="344"/>
      <c r="D1837" s="345"/>
      <c r="E1837" s="346"/>
      <c r="F1837" s="346"/>
    </row>
    <row r="1838" spans="2:6" x14ac:dyDescent="0.25">
      <c r="B1838" s="344"/>
      <c r="C1838" s="344"/>
      <c r="D1838" s="345"/>
      <c r="E1838" s="346"/>
      <c r="F1838" s="346"/>
    </row>
    <row r="1839" spans="2:6" x14ac:dyDescent="0.25">
      <c r="B1839" s="344"/>
      <c r="C1839" s="344"/>
      <c r="D1839" s="345"/>
      <c r="E1839" s="346"/>
      <c r="F1839" s="346"/>
    </row>
    <row r="1840" spans="2:6" x14ac:dyDescent="0.25">
      <c r="B1840" s="344"/>
      <c r="C1840" s="344"/>
      <c r="D1840" s="345"/>
      <c r="E1840" s="346"/>
      <c r="F1840" s="346"/>
    </row>
    <row r="1841" spans="2:6" x14ac:dyDescent="0.25">
      <c r="B1841" s="344"/>
      <c r="C1841" s="344"/>
      <c r="D1841" s="345"/>
      <c r="E1841" s="346"/>
      <c r="F1841" s="346"/>
    </row>
    <row r="1842" spans="2:6" x14ac:dyDescent="0.25">
      <c r="B1842" s="344"/>
      <c r="C1842" s="344"/>
      <c r="D1842" s="345"/>
      <c r="E1842" s="346"/>
      <c r="F1842" s="346"/>
    </row>
    <row r="1843" spans="2:6" x14ac:dyDescent="0.25">
      <c r="B1843" s="344"/>
      <c r="C1843" s="344"/>
      <c r="D1843" s="345"/>
      <c r="E1843" s="346"/>
      <c r="F1843" s="346"/>
    </row>
    <row r="1844" spans="2:6" x14ac:dyDescent="0.25">
      <c r="B1844" s="344"/>
      <c r="C1844" s="344"/>
      <c r="D1844" s="345"/>
      <c r="E1844" s="346"/>
      <c r="F1844" s="346"/>
    </row>
    <row r="1845" spans="2:6" x14ac:dyDescent="0.25">
      <c r="B1845" s="344"/>
      <c r="C1845" s="344"/>
      <c r="D1845" s="345"/>
      <c r="E1845" s="346"/>
      <c r="F1845" s="346"/>
    </row>
    <row r="1846" spans="2:6" x14ac:dyDescent="0.25">
      <c r="B1846" s="344"/>
      <c r="C1846" s="344"/>
      <c r="D1846" s="345"/>
      <c r="E1846" s="346"/>
      <c r="F1846" s="346"/>
    </row>
    <row r="1847" spans="2:6" x14ac:dyDescent="0.25">
      <c r="B1847" s="344"/>
      <c r="C1847" s="344"/>
      <c r="D1847" s="345"/>
      <c r="E1847" s="346"/>
      <c r="F1847" s="346"/>
    </row>
    <row r="1848" spans="2:6" x14ac:dyDescent="0.25">
      <c r="B1848" s="344"/>
      <c r="C1848" s="344"/>
      <c r="D1848" s="345"/>
      <c r="E1848" s="346"/>
      <c r="F1848" s="346"/>
    </row>
    <row r="1849" spans="2:6" x14ac:dyDescent="0.25">
      <c r="B1849" s="344"/>
      <c r="C1849" s="344"/>
      <c r="D1849" s="345"/>
      <c r="E1849" s="346"/>
      <c r="F1849" s="346"/>
    </row>
    <row r="1850" spans="2:6" x14ac:dyDescent="0.25">
      <c r="B1850" s="344"/>
      <c r="C1850" s="344"/>
      <c r="D1850" s="345"/>
      <c r="E1850" s="346"/>
      <c r="F1850" s="346"/>
    </row>
    <row r="1851" spans="2:6" x14ac:dyDescent="0.25">
      <c r="B1851" s="344"/>
      <c r="C1851" s="344"/>
      <c r="D1851" s="345"/>
      <c r="E1851" s="346"/>
      <c r="F1851" s="346"/>
    </row>
    <row r="1852" spans="2:6" x14ac:dyDescent="0.25">
      <c r="B1852" s="344"/>
      <c r="C1852" s="344"/>
      <c r="D1852" s="345"/>
      <c r="E1852" s="346"/>
      <c r="F1852" s="346"/>
    </row>
    <row r="1853" spans="2:6" x14ac:dyDescent="0.25">
      <c r="B1853" s="344"/>
      <c r="C1853" s="344"/>
      <c r="D1853" s="345"/>
      <c r="E1853" s="346"/>
      <c r="F1853" s="346"/>
    </row>
    <row r="1854" spans="2:6" x14ac:dyDescent="0.25">
      <c r="B1854" s="344"/>
      <c r="C1854" s="344"/>
      <c r="D1854" s="345"/>
      <c r="E1854" s="346"/>
      <c r="F1854" s="346"/>
    </row>
    <row r="1855" spans="2:6" x14ac:dyDescent="0.25">
      <c r="B1855" s="344"/>
      <c r="C1855" s="344"/>
      <c r="D1855" s="345"/>
      <c r="E1855" s="346"/>
      <c r="F1855" s="346"/>
    </row>
    <row r="1856" spans="2:6" x14ac:dyDescent="0.25">
      <c r="B1856" s="344"/>
      <c r="C1856" s="344"/>
      <c r="D1856" s="345"/>
      <c r="E1856" s="346"/>
      <c r="F1856" s="346"/>
    </row>
    <row r="1857" spans="2:6" x14ac:dyDescent="0.25">
      <c r="B1857" s="344"/>
      <c r="C1857" s="344"/>
      <c r="D1857" s="345"/>
      <c r="E1857" s="346"/>
      <c r="F1857" s="346"/>
    </row>
    <row r="1858" spans="2:6" x14ac:dyDescent="0.25">
      <c r="B1858" s="344"/>
      <c r="C1858" s="344"/>
      <c r="D1858" s="345"/>
      <c r="E1858" s="346"/>
      <c r="F1858" s="346"/>
    </row>
    <row r="1859" spans="2:6" x14ac:dyDescent="0.25">
      <c r="B1859" s="344"/>
      <c r="C1859" s="344"/>
      <c r="D1859" s="345"/>
      <c r="E1859" s="346"/>
      <c r="F1859" s="346"/>
    </row>
    <row r="1860" spans="2:6" x14ac:dyDescent="0.25">
      <c r="B1860" s="344"/>
      <c r="C1860" s="344"/>
      <c r="D1860" s="345"/>
      <c r="E1860" s="346"/>
      <c r="F1860" s="346"/>
    </row>
    <row r="1861" spans="2:6" x14ac:dyDescent="0.25">
      <c r="B1861" s="344"/>
      <c r="C1861" s="344"/>
      <c r="D1861" s="345"/>
      <c r="E1861" s="346"/>
      <c r="F1861" s="346"/>
    </row>
    <row r="1862" spans="2:6" x14ac:dyDescent="0.25">
      <c r="B1862" s="344"/>
      <c r="C1862" s="344"/>
      <c r="D1862" s="345"/>
      <c r="E1862" s="346"/>
      <c r="F1862" s="346"/>
    </row>
    <row r="1863" spans="2:6" x14ac:dyDescent="0.25">
      <c r="B1863" s="344"/>
      <c r="C1863" s="344"/>
      <c r="D1863" s="345"/>
      <c r="E1863" s="346"/>
      <c r="F1863" s="346"/>
    </row>
    <row r="1864" spans="2:6" x14ac:dyDescent="0.25">
      <c r="B1864" s="344"/>
      <c r="C1864" s="344"/>
      <c r="D1864" s="345"/>
      <c r="E1864" s="346"/>
      <c r="F1864" s="346"/>
    </row>
    <row r="1865" spans="2:6" x14ac:dyDescent="0.25">
      <c r="B1865" s="344"/>
      <c r="C1865" s="344"/>
      <c r="D1865" s="345"/>
      <c r="E1865" s="346"/>
      <c r="F1865" s="346"/>
    </row>
    <row r="1866" spans="2:6" x14ac:dyDescent="0.25">
      <c r="B1866" s="344"/>
      <c r="C1866" s="344"/>
      <c r="D1866" s="345"/>
      <c r="E1866" s="346"/>
      <c r="F1866" s="346"/>
    </row>
    <row r="1867" spans="2:6" x14ac:dyDescent="0.25">
      <c r="B1867" s="344"/>
      <c r="C1867" s="344"/>
      <c r="D1867" s="345"/>
      <c r="E1867" s="346"/>
      <c r="F1867" s="346"/>
    </row>
    <row r="1868" spans="2:6" x14ac:dyDescent="0.25">
      <c r="B1868" s="344"/>
      <c r="C1868" s="344"/>
      <c r="D1868" s="345"/>
      <c r="E1868" s="346"/>
      <c r="F1868" s="346"/>
    </row>
    <row r="1869" spans="2:6" x14ac:dyDescent="0.25">
      <c r="B1869" s="344"/>
      <c r="C1869" s="344"/>
      <c r="D1869" s="345"/>
      <c r="E1869" s="346"/>
      <c r="F1869" s="346"/>
    </row>
    <row r="1870" spans="2:6" x14ac:dyDescent="0.25">
      <c r="B1870" s="344"/>
      <c r="C1870" s="344"/>
      <c r="D1870" s="345"/>
      <c r="E1870" s="346"/>
      <c r="F1870" s="346"/>
    </row>
    <row r="1871" spans="2:6" x14ac:dyDescent="0.25">
      <c r="B1871" s="344"/>
      <c r="C1871" s="344"/>
      <c r="D1871" s="345"/>
      <c r="E1871" s="346"/>
      <c r="F1871" s="346"/>
    </row>
    <row r="1872" spans="2:6" x14ac:dyDescent="0.25">
      <c r="B1872" s="344"/>
      <c r="C1872" s="344"/>
      <c r="D1872" s="345"/>
      <c r="E1872" s="346"/>
      <c r="F1872" s="346"/>
    </row>
    <row r="1873" spans="2:6" x14ac:dyDescent="0.25">
      <c r="B1873" s="344"/>
      <c r="C1873" s="344"/>
      <c r="D1873" s="345"/>
      <c r="E1873" s="346"/>
      <c r="F1873" s="346"/>
    </row>
    <row r="1874" spans="2:6" x14ac:dyDescent="0.25">
      <c r="B1874" s="344"/>
      <c r="C1874" s="344"/>
      <c r="D1874" s="345"/>
      <c r="E1874" s="346"/>
      <c r="F1874" s="346"/>
    </row>
    <row r="1875" spans="2:6" x14ac:dyDescent="0.25">
      <c r="B1875" s="344"/>
      <c r="C1875" s="344"/>
      <c r="D1875" s="345"/>
      <c r="E1875" s="346"/>
      <c r="F1875" s="346"/>
    </row>
    <row r="1876" spans="2:6" x14ac:dyDescent="0.25">
      <c r="B1876" s="344"/>
      <c r="C1876" s="344"/>
      <c r="D1876" s="345"/>
      <c r="E1876" s="346"/>
      <c r="F1876" s="346"/>
    </row>
    <row r="1877" spans="2:6" x14ac:dyDescent="0.25">
      <c r="B1877" s="344"/>
      <c r="C1877" s="344"/>
      <c r="D1877" s="345"/>
      <c r="E1877" s="346"/>
      <c r="F1877" s="346"/>
    </row>
    <row r="1878" spans="2:6" x14ac:dyDescent="0.25">
      <c r="B1878" s="344"/>
      <c r="C1878" s="344"/>
      <c r="D1878" s="345"/>
      <c r="E1878" s="346"/>
      <c r="F1878" s="346"/>
    </row>
    <row r="1879" spans="2:6" x14ac:dyDescent="0.25">
      <c r="B1879" s="344"/>
      <c r="C1879" s="344"/>
      <c r="D1879" s="345"/>
      <c r="E1879" s="346"/>
      <c r="F1879" s="346"/>
    </row>
    <row r="1880" spans="2:6" x14ac:dyDescent="0.25">
      <c r="B1880" s="344"/>
      <c r="C1880" s="344"/>
      <c r="D1880" s="345"/>
      <c r="E1880" s="346"/>
      <c r="F1880" s="346"/>
    </row>
    <row r="1881" spans="2:6" x14ac:dyDescent="0.25">
      <c r="B1881" s="344"/>
      <c r="C1881" s="344"/>
      <c r="D1881" s="345"/>
      <c r="E1881" s="346"/>
      <c r="F1881" s="346"/>
    </row>
    <row r="1882" spans="2:6" x14ac:dyDescent="0.25">
      <c r="B1882" s="344"/>
      <c r="C1882" s="344"/>
      <c r="D1882" s="345"/>
      <c r="E1882" s="346"/>
      <c r="F1882" s="346"/>
    </row>
    <row r="1883" spans="2:6" x14ac:dyDescent="0.25">
      <c r="B1883" s="344"/>
      <c r="C1883" s="344"/>
      <c r="D1883" s="345"/>
      <c r="E1883" s="346"/>
      <c r="F1883" s="346"/>
    </row>
    <row r="1884" spans="2:6" x14ac:dyDescent="0.25">
      <c r="B1884" s="344"/>
      <c r="C1884" s="344"/>
      <c r="D1884" s="345"/>
      <c r="E1884" s="346"/>
      <c r="F1884" s="346"/>
    </row>
    <row r="1885" spans="2:6" x14ac:dyDescent="0.25">
      <c r="B1885" s="344"/>
      <c r="C1885" s="344"/>
      <c r="D1885" s="345"/>
      <c r="E1885" s="346"/>
      <c r="F1885" s="346"/>
    </row>
    <row r="1886" spans="2:6" x14ac:dyDescent="0.25">
      <c r="B1886" s="344"/>
      <c r="C1886" s="344"/>
      <c r="D1886" s="345"/>
      <c r="E1886" s="346"/>
      <c r="F1886" s="346"/>
    </row>
    <row r="1887" spans="2:6" x14ac:dyDescent="0.25">
      <c r="B1887" s="344"/>
      <c r="C1887" s="344"/>
      <c r="D1887" s="345"/>
      <c r="E1887" s="346"/>
      <c r="F1887" s="346"/>
    </row>
    <row r="1888" spans="2:6" x14ac:dyDescent="0.25">
      <c r="B1888" s="344"/>
      <c r="C1888" s="344"/>
      <c r="D1888" s="345"/>
      <c r="E1888" s="346"/>
      <c r="F1888" s="346"/>
    </row>
    <row r="1889" spans="2:6" x14ac:dyDescent="0.25">
      <c r="B1889" s="344"/>
      <c r="C1889" s="344"/>
      <c r="D1889" s="345"/>
      <c r="E1889" s="346"/>
      <c r="F1889" s="346"/>
    </row>
    <row r="1890" spans="2:6" x14ac:dyDescent="0.25">
      <c r="B1890" s="344"/>
      <c r="C1890" s="344"/>
      <c r="D1890" s="345"/>
      <c r="E1890" s="346"/>
      <c r="F1890" s="346"/>
    </row>
    <row r="1891" spans="2:6" x14ac:dyDescent="0.25">
      <c r="B1891" s="344"/>
      <c r="C1891" s="344"/>
      <c r="D1891" s="345"/>
      <c r="E1891" s="346"/>
      <c r="F1891" s="346"/>
    </row>
    <row r="1892" spans="2:6" x14ac:dyDescent="0.25">
      <c r="B1892" s="344"/>
      <c r="C1892" s="344"/>
      <c r="D1892" s="345"/>
      <c r="E1892" s="346"/>
      <c r="F1892" s="346"/>
    </row>
    <row r="1893" spans="2:6" x14ac:dyDescent="0.25">
      <c r="B1893" s="344"/>
      <c r="C1893" s="344"/>
      <c r="D1893" s="345"/>
      <c r="E1893" s="346"/>
      <c r="F1893" s="346"/>
    </row>
    <row r="1894" spans="2:6" x14ac:dyDescent="0.25">
      <c r="B1894" s="344"/>
      <c r="C1894" s="344"/>
      <c r="D1894" s="345"/>
      <c r="E1894" s="346"/>
      <c r="F1894" s="346"/>
    </row>
    <row r="1895" spans="2:6" x14ac:dyDescent="0.25">
      <c r="B1895" s="344"/>
      <c r="C1895" s="344"/>
      <c r="D1895" s="345"/>
      <c r="E1895" s="346"/>
      <c r="F1895" s="346"/>
    </row>
    <row r="1896" spans="2:6" x14ac:dyDescent="0.25">
      <c r="B1896" s="344"/>
      <c r="C1896" s="344"/>
      <c r="D1896" s="345"/>
      <c r="E1896" s="346"/>
      <c r="F1896" s="346"/>
    </row>
    <row r="1897" spans="2:6" x14ac:dyDescent="0.25">
      <c r="B1897" s="344"/>
      <c r="C1897" s="344"/>
      <c r="D1897" s="345"/>
      <c r="E1897" s="346"/>
      <c r="F1897" s="346"/>
    </row>
    <row r="1898" spans="2:6" x14ac:dyDescent="0.25">
      <c r="B1898" s="344"/>
      <c r="C1898" s="344"/>
      <c r="D1898" s="345"/>
      <c r="E1898" s="346"/>
      <c r="F1898" s="346"/>
    </row>
    <row r="1899" spans="2:6" x14ac:dyDescent="0.25">
      <c r="B1899" s="344"/>
      <c r="C1899" s="344"/>
      <c r="D1899" s="345"/>
      <c r="E1899" s="346"/>
      <c r="F1899" s="346"/>
    </row>
    <row r="1900" spans="2:6" x14ac:dyDescent="0.25">
      <c r="B1900" s="344"/>
      <c r="C1900" s="344"/>
      <c r="D1900" s="345"/>
      <c r="E1900" s="346"/>
      <c r="F1900" s="346"/>
    </row>
    <row r="1901" spans="2:6" x14ac:dyDescent="0.25">
      <c r="B1901" s="344"/>
      <c r="C1901" s="344"/>
      <c r="D1901" s="345"/>
      <c r="E1901" s="346"/>
      <c r="F1901" s="346"/>
    </row>
    <row r="1902" spans="2:6" x14ac:dyDescent="0.25">
      <c r="B1902" s="344"/>
      <c r="C1902" s="344"/>
      <c r="D1902" s="345"/>
      <c r="E1902" s="346"/>
      <c r="F1902" s="346"/>
    </row>
    <row r="1903" spans="2:6" x14ac:dyDescent="0.25">
      <c r="B1903" s="344"/>
      <c r="C1903" s="344"/>
      <c r="D1903" s="345"/>
      <c r="E1903" s="346"/>
      <c r="F1903" s="346"/>
    </row>
    <row r="1904" spans="2:6" x14ac:dyDescent="0.25">
      <c r="B1904" s="344"/>
      <c r="C1904" s="344"/>
      <c r="D1904" s="345"/>
      <c r="E1904" s="346"/>
      <c r="F1904" s="346"/>
    </row>
    <row r="1905" spans="2:6" x14ac:dyDescent="0.25">
      <c r="B1905" s="344"/>
      <c r="C1905" s="344"/>
      <c r="D1905" s="345"/>
      <c r="E1905" s="346"/>
      <c r="F1905" s="346"/>
    </row>
    <row r="1906" spans="2:6" x14ac:dyDescent="0.25">
      <c r="B1906" s="344"/>
      <c r="C1906" s="344"/>
      <c r="D1906" s="345"/>
      <c r="E1906" s="346"/>
      <c r="F1906" s="346"/>
    </row>
    <row r="1907" spans="2:6" x14ac:dyDescent="0.25">
      <c r="B1907" s="344"/>
      <c r="C1907" s="344"/>
      <c r="D1907" s="345"/>
      <c r="E1907" s="346"/>
      <c r="F1907" s="346"/>
    </row>
    <row r="1908" spans="2:6" x14ac:dyDescent="0.25">
      <c r="B1908" s="344"/>
      <c r="C1908" s="344"/>
      <c r="D1908" s="345"/>
      <c r="E1908" s="346"/>
      <c r="F1908" s="346"/>
    </row>
    <row r="1909" spans="2:6" x14ac:dyDescent="0.25">
      <c r="B1909" s="344"/>
      <c r="C1909" s="344"/>
      <c r="D1909" s="345"/>
      <c r="E1909" s="346"/>
      <c r="F1909" s="346"/>
    </row>
    <row r="1910" spans="2:6" x14ac:dyDescent="0.25">
      <c r="B1910" s="344"/>
      <c r="C1910" s="344"/>
      <c r="D1910" s="345"/>
      <c r="E1910" s="346"/>
      <c r="F1910" s="346"/>
    </row>
    <row r="1911" spans="2:6" x14ac:dyDescent="0.25">
      <c r="B1911" s="344"/>
      <c r="C1911" s="344"/>
      <c r="D1911" s="345"/>
      <c r="E1911" s="346"/>
      <c r="F1911" s="346"/>
    </row>
    <row r="1912" spans="2:6" x14ac:dyDescent="0.25">
      <c r="B1912" s="344"/>
      <c r="C1912" s="344"/>
      <c r="D1912" s="345"/>
      <c r="E1912" s="346"/>
      <c r="F1912" s="346"/>
    </row>
    <row r="1913" spans="2:6" x14ac:dyDescent="0.25">
      <c r="B1913" s="344"/>
      <c r="C1913" s="344"/>
      <c r="D1913" s="345"/>
      <c r="E1913" s="346"/>
      <c r="F1913" s="346"/>
    </row>
    <row r="1914" spans="2:6" x14ac:dyDescent="0.25">
      <c r="B1914" s="344"/>
      <c r="C1914" s="344"/>
      <c r="D1914" s="345"/>
      <c r="E1914" s="346"/>
      <c r="F1914" s="346"/>
    </row>
    <row r="1915" spans="2:6" x14ac:dyDescent="0.25">
      <c r="B1915" s="344"/>
      <c r="C1915" s="344"/>
      <c r="D1915" s="345"/>
      <c r="E1915" s="346"/>
      <c r="F1915" s="346"/>
    </row>
    <row r="1916" spans="2:6" x14ac:dyDescent="0.25">
      <c r="B1916" s="344"/>
      <c r="C1916" s="344"/>
      <c r="D1916" s="345"/>
      <c r="E1916" s="346"/>
      <c r="F1916" s="346"/>
    </row>
    <row r="1917" spans="2:6" x14ac:dyDescent="0.25">
      <c r="B1917" s="344"/>
      <c r="C1917" s="344"/>
      <c r="D1917" s="345"/>
      <c r="E1917" s="346"/>
      <c r="F1917" s="346"/>
    </row>
    <row r="1918" spans="2:6" x14ac:dyDescent="0.25">
      <c r="B1918" s="344"/>
      <c r="C1918" s="344"/>
      <c r="D1918" s="345"/>
      <c r="E1918" s="346"/>
      <c r="F1918" s="346"/>
    </row>
    <row r="1919" spans="2:6" x14ac:dyDescent="0.25">
      <c r="B1919" s="344"/>
      <c r="C1919" s="344"/>
      <c r="D1919" s="345"/>
      <c r="E1919" s="346"/>
      <c r="F1919" s="346"/>
    </row>
    <row r="1920" spans="2:6" x14ac:dyDescent="0.25">
      <c r="B1920" s="344"/>
      <c r="C1920" s="344"/>
      <c r="D1920" s="345"/>
      <c r="E1920" s="346"/>
      <c r="F1920" s="346"/>
    </row>
    <row r="1921" spans="2:6" x14ac:dyDescent="0.25">
      <c r="B1921" s="344"/>
      <c r="C1921" s="344"/>
      <c r="D1921" s="345"/>
      <c r="E1921" s="346"/>
      <c r="F1921" s="346"/>
    </row>
    <row r="1922" spans="2:6" x14ac:dyDescent="0.25">
      <c r="B1922" s="344"/>
      <c r="C1922" s="344"/>
      <c r="D1922" s="345"/>
      <c r="E1922" s="346"/>
      <c r="F1922" s="346"/>
    </row>
    <row r="1923" spans="2:6" x14ac:dyDescent="0.25">
      <c r="B1923" s="344"/>
      <c r="C1923" s="344"/>
      <c r="D1923" s="345"/>
      <c r="E1923" s="346"/>
      <c r="F1923" s="346"/>
    </row>
    <row r="1924" spans="2:6" x14ac:dyDescent="0.25">
      <c r="B1924" s="344"/>
      <c r="C1924" s="344"/>
      <c r="D1924" s="345"/>
      <c r="E1924" s="346"/>
      <c r="F1924" s="346"/>
    </row>
    <row r="1925" spans="2:6" x14ac:dyDescent="0.25">
      <c r="B1925" s="344"/>
      <c r="C1925" s="344"/>
      <c r="D1925" s="345"/>
      <c r="E1925" s="346"/>
      <c r="F1925" s="346"/>
    </row>
    <row r="1926" spans="2:6" x14ac:dyDescent="0.25">
      <c r="B1926" s="344"/>
      <c r="C1926" s="344"/>
      <c r="D1926" s="345"/>
      <c r="E1926" s="346"/>
      <c r="F1926" s="346"/>
    </row>
    <row r="1927" spans="2:6" x14ac:dyDescent="0.25">
      <c r="B1927" s="344"/>
      <c r="C1927" s="344"/>
      <c r="D1927" s="345"/>
      <c r="E1927" s="346"/>
      <c r="F1927" s="346"/>
    </row>
    <row r="1928" spans="2:6" x14ac:dyDescent="0.25">
      <c r="B1928" s="344"/>
      <c r="C1928" s="344"/>
      <c r="D1928" s="345"/>
      <c r="E1928" s="346"/>
      <c r="F1928" s="346"/>
    </row>
    <row r="1929" spans="2:6" x14ac:dyDescent="0.25">
      <c r="B1929" s="344"/>
      <c r="C1929" s="344"/>
      <c r="D1929" s="345"/>
      <c r="E1929" s="346"/>
      <c r="F1929" s="346"/>
    </row>
    <row r="1930" spans="2:6" x14ac:dyDescent="0.25">
      <c r="B1930" s="344"/>
      <c r="C1930" s="344"/>
      <c r="D1930" s="345"/>
      <c r="E1930" s="346"/>
      <c r="F1930" s="346"/>
    </row>
    <row r="1931" spans="2:6" x14ac:dyDescent="0.25">
      <c r="B1931" s="344"/>
      <c r="C1931" s="344"/>
      <c r="D1931" s="345"/>
      <c r="E1931" s="346"/>
      <c r="F1931" s="346"/>
    </row>
    <row r="1932" spans="2:6" x14ac:dyDescent="0.25">
      <c r="B1932" s="344"/>
      <c r="C1932" s="344"/>
      <c r="D1932" s="345"/>
      <c r="E1932" s="346"/>
      <c r="F1932" s="346"/>
    </row>
    <row r="1933" spans="2:6" x14ac:dyDescent="0.25">
      <c r="B1933" s="344"/>
      <c r="C1933" s="344"/>
      <c r="D1933" s="345"/>
      <c r="E1933" s="346"/>
      <c r="F1933" s="346"/>
    </row>
    <row r="1934" spans="2:6" x14ac:dyDescent="0.25">
      <c r="B1934" s="344"/>
      <c r="C1934" s="344"/>
      <c r="D1934" s="345"/>
      <c r="E1934" s="346"/>
      <c r="F1934" s="346"/>
    </row>
    <row r="1935" spans="2:6" x14ac:dyDescent="0.25">
      <c r="B1935" s="344"/>
      <c r="C1935" s="344"/>
      <c r="D1935" s="345"/>
      <c r="E1935" s="346"/>
      <c r="F1935" s="346"/>
    </row>
    <row r="1936" spans="2:6" x14ac:dyDescent="0.25">
      <c r="B1936" s="344"/>
      <c r="C1936" s="344"/>
      <c r="D1936" s="345"/>
      <c r="E1936" s="346"/>
      <c r="F1936" s="346"/>
    </row>
    <row r="1937" spans="2:6" x14ac:dyDescent="0.25">
      <c r="B1937" s="344"/>
      <c r="C1937" s="344"/>
      <c r="D1937" s="345"/>
      <c r="E1937" s="346"/>
      <c r="F1937" s="346"/>
    </row>
    <row r="1938" spans="2:6" x14ac:dyDescent="0.25">
      <c r="B1938" s="344"/>
      <c r="C1938" s="344"/>
      <c r="D1938" s="345"/>
      <c r="E1938" s="346"/>
      <c r="F1938" s="346"/>
    </row>
    <row r="1939" spans="2:6" x14ac:dyDescent="0.25">
      <c r="B1939" s="344"/>
      <c r="C1939" s="344"/>
      <c r="D1939" s="345"/>
      <c r="E1939" s="346"/>
      <c r="F1939" s="346"/>
    </row>
    <row r="1940" spans="2:6" x14ac:dyDescent="0.25">
      <c r="B1940" s="344"/>
      <c r="C1940" s="344"/>
      <c r="D1940" s="345"/>
      <c r="E1940" s="346"/>
      <c r="F1940" s="346"/>
    </row>
    <row r="1941" spans="2:6" x14ac:dyDescent="0.25">
      <c r="B1941" s="344"/>
      <c r="C1941" s="344"/>
      <c r="D1941" s="345"/>
      <c r="E1941" s="346"/>
      <c r="F1941" s="346"/>
    </row>
    <row r="1942" spans="2:6" x14ac:dyDescent="0.25">
      <c r="B1942" s="344"/>
      <c r="C1942" s="344"/>
      <c r="D1942" s="345"/>
      <c r="E1942" s="346"/>
      <c r="F1942" s="346"/>
    </row>
    <row r="1943" spans="2:6" x14ac:dyDescent="0.25">
      <c r="B1943" s="344"/>
      <c r="C1943" s="344"/>
      <c r="D1943" s="345"/>
      <c r="E1943" s="346"/>
      <c r="F1943" s="346"/>
    </row>
    <row r="1944" spans="2:6" x14ac:dyDescent="0.25">
      <c r="B1944" s="344"/>
      <c r="C1944" s="344"/>
      <c r="D1944" s="345"/>
      <c r="E1944" s="346"/>
      <c r="F1944" s="346"/>
    </row>
    <row r="1945" spans="2:6" x14ac:dyDescent="0.25">
      <c r="B1945" s="344"/>
      <c r="C1945" s="344"/>
      <c r="D1945" s="345"/>
      <c r="E1945" s="346"/>
      <c r="F1945" s="346"/>
    </row>
    <row r="1946" spans="2:6" x14ac:dyDescent="0.25">
      <c r="B1946" s="344"/>
      <c r="C1946" s="344"/>
      <c r="D1946" s="345"/>
      <c r="E1946" s="346"/>
      <c r="F1946" s="346"/>
    </row>
    <row r="1947" spans="2:6" x14ac:dyDescent="0.25">
      <c r="B1947" s="344"/>
      <c r="C1947" s="344"/>
      <c r="D1947" s="345"/>
      <c r="E1947" s="346"/>
      <c r="F1947" s="346"/>
    </row>
    <row r="1948" spans="2:6" x14ac:dyDescent="0.25">
      <c r="B1948" s="344"/>
      <c r="C1948" s="344"/>
      <c r="D1948" s="345"/>
      <c r="E1948" s="346"/>
      <c r="F1948" s="346"/>
    </row>
    <row r="1949" spans="2:6" x14ac:dyDescent="0.25">
      <c r="B1949" s="344"/>
      <c r="C1949" s="344"/>
      <c r="D1949" s="345"/>
      <c r="E1949" s="346"/>
      <c r="F1949" s="346"/>
    </row>
    <row r="1950" spans="2:6" x14ac:dyDescent="0.25">
      <c r="B1950" s="344"/>
      <c r="C1950" s="344"/>
      <c r="D1950" s="345"/>
      <c r="E1950" s="346"/>
      <c r="F1950" s="346"/>
    </row>
    <row r="1951" spans="2:6" x14ac:dyDescent="0.25">
      <c r="B1951" s="344"/>
      <c r="C1951" s="344"/>
      <c r="D1951" s="345"/>
      <c r="E1951" s="346"/>
      <c r="F1951" s="346"/>
    </row>
    <row r="1952" spans="2:6" x14ac:dyDescent="0.25">
      <c r="B1952" s="344"/>
      <c r="C1952" s="344"/>
      <c r="D1952" s="345"/>
      <c r="E1952" s="346"/>
      <c r="F1952" s="346"/>
    </row>
    <row r="1953" spans="2:6" x14ac:dyDescent="0.25">
      <c r="B1953" s="344"/>
      <c r="C1953" s="344"/>
      <c r="D1953" s="345"/>
      <c r="E1953" s="346"/>
      <c r="F1953" s="346"/>
    </row>
    <row r="1954" spans="2:6" x14ac:dyDescent="0.25">
      <c r="B1954" s="344"/>
      <c r="C1954" s="344"/>
      <c r="D1954" s="345"/>
      <c r="E1954" s="346"/>
      <c r="F1954" s="346"/>
    </row>
    <row r="1955" spans="2:6" x14ac:dyDescent="0.25">
      <c r="B1955" s="344"/>
      <c r="C1955" s="344"/>
      <c r="D1955" s="345"/>
      <c r="E1955" s="346"/>
      <c r="F1955" s="346"/>
    </row>
    <row r="1956" spans="2:6" x14ac:dyDescent="0.25">
      <c r="B1956" s="344"/>
      <c r="C1956" s="344"/>
      <c r="D1956" s="345"/>
      <c r="E1956" s="346"/>
      <c r="F1956" s="346"/>
    </row>
    <row r="1957" spans="2:6" x14ac:dyDescent="0.25">
      <c r="B1957" s="344"/>
      <c r="C1957" s="344"/>
      <c r="D1957" s="345"/>
      <c r="E1957" s="346"/>
      <c r="F1957" s="346"/>
    </row>
    <row r="1958" spans="2:6" x14ac:dyDescent="0.25">
      <c r="B1958" s="344"/>
      <c r="C1958" s="344"/>
      <c r="D1958" s="345"/>
      <c r="E1958" s="346"/>
      <c r="F1958" s="346"/>
    </row>
    <row r="1959" spans="2:6" x14ac:dyDescent="0.25">
      <c r="B1959" s="344"/>
      <c r="C1959" s="344"/>
      <c r="D1959" s="345"/>
      <c r="E1959" s="346"/>
      <c r="F1959" s="346"/>
    </row>
    <row r="1960" spans="2:6" x14ac:dyDescent="0.25">
      <c r="B1960" s="344"/>
      <c r="C1960" s="344"/>
      <c r="D1960" s="345"/>
      <c r="E1960" s="346"/>
      <c r="F1960" s="346"/>
    </row>
    <row r="1961" spans="2:6" x14ac:dyDescent="0.25">
      <c r="B1961" s="344"/>
      <c r="C1961" s="344"/>
      <c r="D1961" s="345"/>
      <c r="E1961" s="346"/>
      <c r="F1961" s="346"/>
    </row>
    <row r="1962" spans="2:6" x14ac:dyDescent="0.25">
      <c r="B1962" s="344"/>
      <c r="C1962" s="344"/>
      <c r="D1962" s="345"/>
      <c r="E1962" s="346"/>
      <c r="F1962" s="346"/>
    </row>
    <row r="1963" spans="2:6" x14ac:dyDescent="0.25">
      <c r="B1963" s="344"/>
      <c r="C1963" s="344"/>
      <c r="D1963" s="345"/>
      <c r="E1963" s="346"/>
      <c r="F1963" s="346"/>
    </row>
    <row r="1964" spans="2:6" x14ac:dyDescent="0.25">
      <c r="B1964" s="344"/>
      <c r="C1964" s="344"/>
      <c r="D1964" s="345"/>
      <c r="E1964" s="346"/>
      <c r="F1964" s="346"/>
    </row>
    <row r="1965" spans="2:6" x14ac:dyDescent="0.25">
      <c r="B1965" s="344"/>
      <c r="C1965" s="344"/>
      <c r="D1965" s="345"/>
      <c r="E1965" s="346"/>
      <c r="F1965" s="346"/>
    </row>
    <row r="1966" spans="2:6" x14ac:dyDescent="0.25">
      <c r="B1966" s="344"/>
      <c r="C1966" s="344"/>
      <c r="D1966" s="345"/>
      <c r="E1966" s="346"/>
      <c r="F1966" s="346"/>
    </row>
    <row r="1967" spans="2:6" x14ac:dyDescent="0.25">
      <c r="B1967" s="344"/>
      <c r="C1967" s="344"/>
      <c r="D1967" s="345"/>
      <c r="E1967" s="346"/>
      <c r="F1967" s="346"/>
    </row>
    <row r="1968" spans="2:6" x14ac:dyDescent="0.25">
      <c r="B1968" s="344"/>
      <c r="C1968" s="344"/>
      <c r="D1968" s="345"/>
      <c r="E1968" s="346"/>
      <c r="F1968" s="346"/>
    </row>
    <row r="1969" spans="2:6" x14ac:dyDescent="0.25">
      <c r="B1969" s="344"/>
      <c r="C1969" s="344"/>
      <c r="D1969" s="345"/>
      <c r="E1969" s="346"/>
      <c r="F1969" s="346"/>
    </row>
    <row r="1970" spans="2:6" x14ac:dyDescent="0.25">
      <c r="B1970" s="344"/>
      <c r="C1970" s="344"/>
      <c r="D1970" s="345"/>
      <c r="E1970" s="346"/>
      <c r="F1970" s="346"/>
    </row>
    <row r="1971" spans="2:6" x14ac:dyDescent="0.25">
      <c r="B1971" s="344"/>
      <c r="C1971" s="344"/>
      <c r="D1971" s="345"/>
      <c r="E1971" s="346"/>
      <c r="F1971" s="346"/>
    </row>
    <row r="1972" spans="2:6" x14ac:dyDescent="0.25">
      <c r="B1972" s="344"/>
      <c r="C1972" s="344"/>
      <c r="D1972" s="345"/>
      <c r="E1972" s="346"/>
      <c r="F1972" s="346"/>
    </row>
    <row r="1973" spans="2:6" x14ac:dyDescent="0.25">
      <c r="B1973" s="344"/>
      <c r="C1973" s="344"/>
      <c r="D1973" s="345"/>
      <c r="E1973" s="346"/>
      <c r="F1973" s="346"/>
    </row>
    <row r="1974" spans="2:6" x14ac:dyDescent="0.25">
      <c r="B1974" s="344"/>
      <c r="C1974" s="344"/>
      <c r="D1974" s="345"/>
      <c r="E1974" s="346"/>
      <c r="F1974" s="346"/>
    </row>
    <row r="1975" spans="2:6" x14ac:dyDescent="0.25">
      <c r="B1975" s="344"/>
      <c r="C1975" s="344"/>
      <c r="D1975" s="345"/>
      <c r="E1975" s="346"/>
      <c r="F1975" s="346"/>
    </row>
    <row r="1976" spans="2:6" x14ac:dyDescent="0.25">
      <c r="B1976" s="344"/>
      <c r="C1976" s="344"/>
      <c r="D1976" s="345"/>
      <c r="E1976" s="346"/>
      <c r="F1976" s="346"/>
    </row>
    <row r="1977" spans="2:6" x14ac:dyDescent="0.25">
      <c r="B1977" s="344"/>
      <c r="C1977" s="344"/>
      <c r="D1977" s="345"/>
      <c r="E1977" s="346"/>
      <c r="F1977" s="346"/>
    </row>
    <row r="1978" spans="2:6" x14ac:dyDescent="0.25">
      <c r="B1978" s="344"/>
      <c r="C1978" s="344"/>
      <c r="D1978" s="345"/>
      <c r="E1978" s="346"/>
      <c r="F1978" s="346"/>
    </row>
    <row r="1979" spans="2:6" x14ac:dyDescent="0.25">
      <c r="B1979" s="344"/>
      <c r="C1979" s="344"/>
      <c r="D1979" s="345"/>
      <c r="E1979" s="346"/>
      <c r="F1979" s="346"/>
    </row>
    <row r="1980" spans="2:6" x14ac:dyDescent="0.25">
      <c r="B1980" s="344"/>
      <c r="C1980" s="344"/>
      <c r="D1980" s="345"/>
      <c r="E1980" s="346"/>
      <c r="F1980" s="346"/>
    </row>
    <row r="1981" spans="2:6" x14ac:dyDescent="0.25">
      <c r="B1981" s="344"/>
      <c r="C1981" s="344"/>
      <c r="D1981" s="345"/>
      <c r="E1981" s="346"/>
      <c r="F1981" s="346"/>
    </row>
    <row r="1982" spans="2:6" x14ac:dyDescent="0.25">
      <c r="B1982" s="344"/>
      <c r="C1982" s="344"/>
      <c r="D1982" s="345"/>
      <c r="E1982" s="346"/>
      <c r="F1982" s="346"/>
    </row>
    <row r="1983" spans="2:6" x14ac:dyDescent="0.25">
      <c r="B1983" s="344"/>
      <c r="C1983" s="344"/>
      <c r="D1983" s="345"/>
      <c r="E1983" s="346"/>
      <c r="F1983" s="346"/>
    </row>
    <row r="1984" spans="2:6" x14ac:dyDescent="0.25">
      <c r="B1984" s="344"/>
      <c r="C1984" s="344"/>
      <c r="D1984" s="345"/>
      <c r="E1984" s="346"/>
      <c r="F1984" s="346"/>
    </row>
    <row r="1985" spans="2:6" x14ac:dyDescent="0.25">
      <c r="B1985" s="344"/>
      <c r="C1985" s="344"/>
      <c r="D1985" s="345"/>
      <c r="E1985" s="346"/>
      <c r="F1985" s="346"/>
    </row>
    <row r="1986" spans="2:6" x14ac:dyDescent="0.25">
      <c r="B1986" s="344"/>
      <c r="C1986" s="344"/>
      <c r="D1986" s="345"/>
      <c r="E1986" s="346"/>
      <c r="F1986" s="346"/>
    </row>
    <row r="1987" spans="2:6" x14ac:dyDescent="0.25">
      <c r="B1987" s="344"/>
      <c r="C1987" s="344"/>
      <c r="D1987" s="345"/>
      <c r="E1987" s="346"/>
      <c r="F1987" s="346"/>
    </row>
    <row r="1988" spans="2:6" x14ac:dyDescent="0.25">
      <c r="B1988" s="344"/>
      <c r="C1988" s="344"/>
      <c r="D1988" s="345"/>
      <c r="E1988" s="346"/>
      <c r="F1988" s="346"/>
    </row>
    <row r="1989" spans="2:6" x14ac:dyDescent="0.25">
      <c r="B1989" s="344"/>
      <c r="C1989" s="344"/>
      <c r="D1989" s="345"/>
      <c r="E1989" s="346"/>
      <c r="F1989" s="346"/>
    </row>
    <row r="1990" spans="2:6" x14ac:dyDescent="0.25">
      <c r="B1990" s="344"/>
      <c r="C1990" s="344"/>
      <c r="D1990" s="345"/>
      <c r="E1990" s="346"/>
      <c r="F1990" s="346"/>
    </row>
    <row r="1991" spans="2:6" x14ac:dyDescent="0.25">
      <c r="B1991" s="344"/>
      <c r="C1991" s="344"/>
      <c r="D1991" s="345"/>
      <c r="E1991" s="346"/>
      <c r="F1991" s="346"/>
    </row>
    <row r="1992" spans="2:6" x14ac:dyDescent="0.25">
      <c r="B1992" s="344"/>
      <c r="C1992" s="344"/>
      <c r="D1992" s="345"/>
      <c r="E1992" s="346"/>
      <c r="F1992" s="346"/>
    </row>
    <row r="1993" spans="2:6" x14ac:dyDescent="0.25">
      <c r="B1993" s="344"/>
      <c r="C1993" s="344"/>
      <c r="D1993" s="345"/>
      <c r="E1993" s="346"/>
      <c r="F1993" s="346"/>
    </row>
    <row r="1994" spans="2:6" x14ac:dyDescent="0.25">
      <c r="B1994" s="344"/>
      <c r="C1994" s="344"/>
      <c r="D1994" s="345"/>
      <c r="E1994" s="346"/>
      <c r="F1994" s="346"/>
    </row>
    <row r="1995" spans="2:6" x14ac:dyDescent="0.25">
      <c r="B1995" s="344"/>
      <c r="C1995" s="344"/>
      <c r="D1995" s="345"/>
      <c r="E1995" s="346"/>
      <c r="F1995" s="346"/>
    </row>
    <row r="1996" spans="2:6" x14ac:dyDescent="0.25">
      <c r="B1996" s="344"/>
      <c r="C1996" s="344"/>
      <c r="D1996" s="345"/>
      <c r="E1996" s="346"/>
      <c r="F1996" s="346"/>
    </row>
    <row r="1997" spans="2:6" x14ac:dyDescent="0.25">
      <c r="B1997" s="344"/>
      <c r="C1997" s="344"/>
      <c r="D1997" s="345"/>
      <c r="E1997" s="346"/>
      <c r="F1997" s="346"/>
    </row>
    <row r="1998" spans="2:6" x14ac:dyDescent="0.25">
      <c r="B1998" s="344"/>
      <c r="C1998" s="344"/>
      <c r="D1998" s="345"/>
      <c r="E1998" s="346"/>
      <c r="F1998" s="346"/>
    </row>
    <row r="1999" spans="2:6" x14ac:dyDescent="0.25">
      <c r="B1999" s="344"/>
      <c r="C1999" s="344"/>
      <c r="D1999" s="345"/>
      <c r="E1999" s="346"/>
      <c r="F1999" s="346"/>
    </row>
    <row r="2000" spans="2:6" x14ac:dyDescent="0.25">
      <c r="B2000" s="344"/>
      <c r="C2000" s="344"/>
      <c r="D2000" s="345"/>
      <c r="E2000" s="346"/>
      <c r="F2000" s="346"/>
    </row>
    <row r="2001" spans="2:6" x14ac:dyDescent="0.25">
      <c r="B2001" s="344"/>
      <c r="C2001" s="344"/>
      <c r="D2001" s="345"/>
      <c r="E2001" s="346"/>
      <c r="F2001" s="346"/>
    </row>
    <row r="2002" spans="2:6" x14ac:dyDescent="0.25">
      <c r="B2002" s="344"/>
      <c r="C2002" s="344"/>
      <c r="D2002" s="345"/>
      <c r="E2002" s="346"/>
      <c r="F2002" s="346"/>
    </row>
    <row r="2003" spans="2:6" x14ac:dyDescent="0.25">
      <c r="B2003" s="344"/>
      <c r="C2003" s="344"/>
      <c r="D2003" s="345"/>
      <c r="E2003" s="346"/>
      <c r="F2003" s="346"/>
    </row>
    <row r="2004" spans="2:6" x14ac:dyDescent="0.25">
      <c r="B2004" s="344"/>
      <c r="C2004" s="344"/>
      <c r="D2004" s="345"/>
      <c r="E2004" s="346"/>
      <c r="F2004" s="346"/>
    </row>
    <row r="2005" spans="2:6" x14ac:dyDescent="0.25">
      <c r="B2005" s="344"/>
      <c r="C2005" s="344"/>
      <c r="D2005" s="345"/>
      <c r="E2005" s="346"/>
      <c r="F2005" s="346"/>
    </row>
    <row r="2006" spans="2:6" x14ac:dyDescent="0.25">
      <c r="B2006" s="344"/>
      <c r="C2006" s="344"/>
      <c r="D2006" s="345"/>
      <c r="E2006" s="346"/>
      <c r="F2006" s="346"/>
    </row>
    <row r="2007" spans="2:6" x14ac:dyDescent="0.25">
      <c r="B2007" s="344"/>
      <c r="C2007" s="344"/>
      <c r="D2007" s="345"/>
      <c r="E2007" s="346"/>
      <c r="F2007" s="346"/>
    </row>
    <row r="2008" spans="2:6" x14ac:dyDescent="0.25">
      <c r="B2008" s="344"/>
      <c r="C2008" s="344"/>
      <c r="D2008" s="345"/>
      <c r="E2008" s="346"/>
      <c r="F2008" s="346"/>
    </row>
    <row r="2009" spans="2:6" x14ac:dyDescent="0.25">
      <c r="B2009" s="344"/>
      <c r="C2009" s="344"/>
      <c r="D2009" s="345"/>
      <c r="E2009" s="346"/>
      <c r="F2009" s="346"/>
    </row>
    <row r="2010" spans="2:6" x14ac:dyDescent="0.25">
      <c r="B2010" s="344"/>
      <c r="C2010" s="344"/>
      <c r="D2010" s="345"/>
      <c r="E2010" s="346"/>
      <c r="F2010" s="346"/>
    </row>
    <row r="2011" spans="2:6" x14ac:dyDescent="0.25">
      <c r="B2011" s="344"/>
      <c r="C2011" s="344"/>
      <c r="D2011" s="345"/>
      <c r="E2011" s="346"/>
      <c r="F2011" s="346"/>
    </row>
  </sheetData>
  <dataValidations disablePrompts="1" count="1">
    <dataValidation allowBlank="1" showErrorMessage="1" promptTitle="Meter Size" prompt="Select correct meter size." sqref="D11:D2011" xr:uid="{00000000-0002-0000-0700-000000000000}"/>
  </dataValidations>
  <pageMargins left="0" right="0" top="0" bottom="0" header="0.2" footer="0.2"/>
  <pageSetup paperSize="5" scale="46" fitToWidth="0" fitToHeight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03C7-2814-499B-81CC-420FA7F55C8C}">
  <sheetPr codeName="Sheet6">
    <tabColor rgb="FFFFFF00"/>
  </sheetPr>
  <dimension ref="B2:S125"/>
  <sheetViews>
    <sheetView zoomScale="80" zoomScaleNormal="80" workbookViewId="0">
      <selection activeCell="F18" sqref="F18"/>
    </sheetView>
  </sheetViews>
  <sheetFormatPr defaultRowHeight="12.75" x14ac:dyDescent="0.2"/>
  <cols>
    <col min="1" max="1" width="1.109375" style="452" customWidth="1"/>
    <col min="2" max="2" width="41.6640625" style="452" customWidth="1"/>
    <col min="3" max="18" width="11.109375" style="452" customWidth="1"/>
    <col min="19" max="16384" width="8.88671875" style="452"/>
  </cols>
  <sheetData>
    <row r="2" spans="2:19" x14ac:dyDescent="0.2">
      <c r="D2" s="460">
        <v>1</v>
      </c>
      <c r="E2" s="460">
        <f>D2+1</f>
        <v>2</v>
      </c>
      <c r="F2" s="460">
        <f t="shared" ref="F2:J2" si="0">E2+1</f>
        <v>3</v>
      </c>
      <c r="G2" s="460">
        <f t="shared" si="0"/>
        <v>4</v>
      </c>
      <c r="H2" s="460">
        <f t="shared" si="0"/>
        <v>5</v>
      </c>
      <c r="I2" s="460">
        <f t="shared" si="0"/>
        <v>6</v>
      </c>
      <c r="J2" s="460">
        <f t="shared" si="0"/>
        <v>7</v>
      </c>
      <c r="K2" s="460">
        <v>8</v>
      </c>
      <c r="M2" s="727" t="s">
        <v>549</v>
      </c>
      <c r="O2" s="460" t="s">
        <v>554</v>
      </c>
      <c r="S2" s="460"/>
    </row>
    <row r="3" spans="2:19" s="455" customFormat="1" x14ac:dyDescent="0.2">
      <c r="D3" s="460" t="s">
        <v>543</v>
      </c>
      <c r="E3" s="460" t="s">
        <v>242</v>
      </c>
      <c r="F3" s="460" t="s">
        <v>609</v>
      </c>
      <c r="G3" s="460" t="s">
        <v>618</v>
      </c>
      <c r="H3" s="460" t="s">
        <v>611</v>
      </c>
      <c r="I3" s="460" t="s">
        <v>613</v>
      </c>
      <c r="J3" s="460" t="s">
        <v>650</v>
      </c>
      <c r="K3" s="460" t="s">
        <v>651</v>
      </c>
      <c r="L3" s="630" t="s">
        <v>546</v>
      </c>
      <c r="M3" s="727"/>
      <c r="N3" s="460" t="s">
        <v>553</v>
      </c>
      <c r="O3" s="460" t="s">
        <v>555</v>
      </c>
      <c r="P3" s="460" t="s">
        <v>556</v>
      </c>
      <c r="Q3" s="460" t="s">
        <v>562</v>
      </c>
      <c r="R3" s="460" t="s">
        <v>484</v>
      </c>
    </row>
    <row r="4" spans="2:19" s="455" customFormat="1" x14ac:dyDescent="0.2">
      <c r="B4" s="461"/>
      <c r="C4" s="631" t="s">
        <v>542</v>
      </c>
      <c r="D4" s="631" t="s">
        <v>544</v>
      </c>
      <c r="E4" s="631" t="s">
        <v>608</v>
      </c>
      <c r="F4" s="631" t="s">
        <v>610</v>
      </c>
      <c r="G4" s="631" t="s">
        <v>608</v>
      </c>
      <c r="H4" s="631" t="s">
        <v>612</v>
      </c>
      <c r="I4" s="631" t="s">
        <v>614</v>
      </c>
      <c r="J4" s="631" t="s">
        <v>612</v>
      </c>
      <c r="K4" s="631" t="s">
        <v>652</v>
      </c>
      <c r="L4" s="632" t="s">
        <v>547</v>
      </c>
      <c r="M4" s="461" t="s">
        <v>547</v>
      </c>
      <c r="N4" s="631" t="s">
        <v>547</v>
      </c>
      <c r="O4" s="631" t="s">
        <v>547</v>
      </c>
      <c r="P4" s="631" t="s">
        <v>557</v>
      </c>
      <c r="Q4" s="631" t="s">
        <v>563</v>
      </c>
      <c r="R4" s="631" t="s">
        <v>33</v>
      </c>
    </row>
    <row r="5" spans="2:19" s="455" customFormat="1" ht="3" customHeight="1" x14ac:dyDescent="0.2">
      <c r="C5" s="460"/>
      <c r="D5" s="460"/>
      <c r="L5" s="630"/>
      <c r="N5" s="460"/>
      <c r="O5" s="460"/>
      <c r="P5" s="460"/>
      <c r="Q5" s="460"/>
      <c r="R5" s="460"/>
    </row>
    <row r="6" spans="2:19" x14ac:dyDescent="0.2">
      <c r="B6" s="455" t="s">
        <v>529</v>
      </c>
      <c r="L6" s="633"/>
      <c r="Q6" s="634"/>
    </row>
    <row r="7" spans="2:19" x14ac:dyDescent="0.2">
      <c r="B7" s="458" t="s">
        <v>530</v>
      </c>
      <c r="C7" s="635">
        <f>PFIS!C9+PFIS!C12</f>
        <v>284942.63</v>
      </c>
      <c r="D7" s="635"/>
      <c r="E7" s="635"/>
      <c r="F7" s="635"/>
      <c r="G7" s="635">
        <f>[1]Restatements!$I$12</f>
        <v>7140.0374999999767</v>
      </c>
      <c r="H7" s="635"/>
      <c r="I7" s="635"/>
      <c r="J7" s="635"/>
      <c r="K7" s="635"/>
      <c r="L7" s="635">
        <f t="shared" ref="L7:L9" si="1">SUM(C7:K7)</f>
        <v>292082.66749999998</v>
      </c>
      <c r="M7" s="453">
        <f>-L41+C52+M39</f>
        <v>586182.36197034456</v>
      </c>
      <c r="N7" s="635">
        <f>L7+M7</f>
        <v>878265.02947034454</v>
      </c>
      <c r="O7" s="453">
        <f>O35+O36+O34</f>
        <v>36498.053716154536</v>
      </c>
      <c r="P7" s="635">
        <f>N7+O7</f>
        <v>914763.08318649908</v>
      </c>
      <c r="Q7" s="636">
        <f>PFIS!L9+PFIS!L12</f>
        <v>914339.65062093933</v>
      </c>
      <c r="R7" s="453">
        <f>P7-Q7</f>
        <v>423.43256555974949</v>
      </c>
    </row>
    <row r="8" spans="2:19" x14ac:dyDescent="0.2">
      <c r="B8" s="458" t="s">
        <v>531</v>
      </c>
      <c r="C8" s="453">
        <f>PFIS!C14</f>
        <v>1101.76</v>
      </c>
      <c r="D8" s="453"/>
      <c r="E8" s="635"/>
      <c r="F8" s="635"/>
      <c r="G8" s="635"/>
      <c r="H8" s="635"/>
      <c r="I8" s="635"/>
      <c r="J8" s="635"/>
      <c r="K8" s="635"/>
      <c r="L8" s="453">
        <f t="shared" si="1"/>
        <v>1101.76</v>
      </c>
      <c r="M8" s="453"/>
      <c r="N8" s="453">
        <f t="shared" ref="N8:P9" si="2">L8+M8</f>
        <v>1101.76</v>
      </c>
      <c r="O8" s="453"/>
      <c r="P8" s="453">
        <f t="shared" si="2"/>
        <v>1101.76</v>
      </c>
      <c r="Q8" s="637">
        <f>PFIS!L14</f>
        <v>1101.76</v>
      </c>
      <c r="R8" s="453">
        <f>P8-Q8</f>
        <v>0</v>
      </c>
    </row>
    <row r="9" spans="2:19" x14ac:dyDescent="0.2">
      <c r="B9" s="458" t="s">
        <v>532</v>
      </c>
      <c r="C9" s="453">
        <f>PFIS!C13</f>
        <v>14140.9</v>
      </c>
      <c r="D9" s="453">
        <f>[1]Restatements!$E$16</f>
        <v>-14140.9</v>
      </c>
      <c r="E9" s="635"/>
      <c r="F9" s="635"/>
      <c r="G9" s="635"/>
      <c r="H9" s="635"/>
      <c r="I9" s="635"/>
      <c r="J9" s="635"/>
      <c r="K9" s="635"/>
      <c r="L9" s="453">
        <f t="shared" si="1"/>
        <v>0</v>
      </c>
      <c r="M9" s="453"/>
      <c r="N9" s="453">
        <f t="shared" si="2"/>
        <v>0</v>
      </c>
      <c r="O9" s="453"/>
      <c r="P9" s="453">
        <f t="shared" si="2"/>
        <v>0</v>
      </c>
      <c r="Q9" s="637">
        <f>PFIS!L13</f>
        <v>0</v>
      </c>
      <c r="R9" s="453">
        <f>P9-Q9</f>
        <v>0</v>
      </c>
    </row>
    <row r="10" spans="2:19" s="455" customFormat="1" x14ac:dyDescent="0.2">
      <c r="B10" s="459" t="s">
        <v>533</v>
      </c>
      <c r="C10" s="474">
        <f>SUM(C7:C9)</f>
        <v>300185.29000000004</v>
      </c>
      <c r="D10" s="474">
        <f t="shared" ref="D10:L10" si="3">SUM(D7:D9)</f>
        <v>-14140.9</v>
      </c>
      <c r="E10" s="474">
        <f t="shared" si="3"/>
        <v>0</v>
      </c>
      <c r="F10" s="474">
        <f t="shared" si="3"/>
        <v>0</v>
      </c>
      <c r="G10" s="474">
        <f t="shared" si="3"/>
        <v>7140.0374999999767</v>
      </c>
      <c r="H10" s="474">
        <f t="shared" si="3"/>
        <v>0</v>
      </c>
      <c r="I10" s="474">
        <f t="shared" si="3"/>
        <v>0</v>
      </c>
      <c r="J10" s="474">
        <f t="shared" si="3"/>
        <v>0</v>
      </c>
      <c r="K10" s="474"/>
      <c r="L10" s="474">
        <f t="shared" si="3"/>
        <v>293184.42749999999</v>
      </c>
      <c r="M10" s="474">
        <f t="shared" ref="M10:R10" si="4">SUM(M7:M9)</f>
        <v>586182.36197034456</v>
      </c>
      <c r="N10" s="474">
        <f t="shared" si="4"/>
        <v>879366.78947034455</v>
      </c>
      <c r="O10" s="474">
        <f t="shared" si="4"/>
        <v>36498.053716154536</v>
      </c>
      <c r="P10" s="474">
        <f t="shared" si="4"/>
        <v>915864.84318649909</v>
      </c>
      <c r="Q10" s="638">
        <f t="shared" si="4"/>
        <v>915441.41062093934</v>
      </c>
      <c r="R10" s="474">
        <f t="shared" si="4"/>
        <v>423.43256555974949</v>
      </c>
    </row>
    <row r="11" spans="2:19" ht="6.75" customHeight="1" x14ac:dyDescent="0.2">
      <c r="C11" s="453"/>
      <c r="D11" s="453"/>
      <c r="E11" s="453"/>
      <c r="F11" s="453"/>
      <c r="G11" s="453"/>
      <c r="H11" s="453"/>
      <c r="I11" s="453"/>
      <c r="J11" s="453"/>
      <c r="K11" s="453"/>
      <c r="L11" s="453"/>
      <c r="M11" s="453"/>
      <c r="N11" s="453"/>
      <c r="O11" s="453"/>
      <c r="P11" s="453"/>
      <c r="Q11" s="637"/>
      <c r="R11" s="453"/>
    </row>
    <row r="12" spans="2:19" x14ac:dyDescent="0.2">
      <c r="B12" s="455" t="s">
        <v>528</v>
      </c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637"/>
      <c r="R12" s="453"/>
    </row>
    <row r="13" spans="2:19" x14ac:dyDescent="0.2">
      <c r="B13" s="458" t="s">
        <v>520</v>
      </c>
      <c r="C13" s="453">
        <f>PFIS!C18+PFIS!C19</f>
        <v>23082.35</v>
      </c>
      <c r="D13" s="453"/>
      <c r="E13" s="635"/>
      <c r="F13" s="635"/>
      <c r="G13" s="635"/>
      <c r="H13" s="635"/>
      <c r="I13" s="635"/>
      <c r="J13" s="635"/>
      <c r="K13" s="635"/>
      <c r="L13" s="453">
        <f t="shared" ref="L13:L15" si="5">SUM(C13:K13)</f>
        <v>23082.35</v>
      </c>
      <c r="M13" s="453"/>
      <c r="N13" s="453">
        <f t="shared" ref="N13:P15" si="6">L13+M13</f>
        <v>23082.35</v>
      </c>
      <c r="O13" s="453"/>
      <c r="P13" s="453">
        <f t="shared" si="6"/>
        <v>23082.35</v>
      </c>
      <c r="Q13" s="637">
        <f>PFIS!L18+PFIS!L19</f>
        <v>23082.35</v>
      </c>
      <c r="R13" s="453">
        <f>P13-Q13</f>
        <v>0</v>
      </c>
    </row>
    <row r="14" spans="2:19" x14ac:dyDescent="0.2">
      <c r="B14" s="458" t="s">
        <v>234</v>
      </c>
      <c r="C14" s="453">
        <f>PFIS!C20</f>
        <v>10663.4</v>
      </c>
      <c r="D14" s="453"/>
      <c r="E14" s="635"/>
      <c r="F14" s="635"/>
      <c r="G14" s="635"/>
      <c r="H14" s="635"/>
      <c r="I14" s="635"/>
      <c r="J14" s="635"/>
      <c r="K14" s="635"/>
      <c r="L14" s="453">
        <f t="shared" si="5"/>
        <v>10663.4</v>
      </c>
      <c r="M14" s="453"/>
      <c r="N14" s="453">
        <f t="shared" si="6"/>
        <v>10663.4</v>
      </c>
      <c r="O14" s="453"/>
      <c r="P14" s="453">
        <f t="shared" si="6"/>
        <v>10663.4</v>
      </c>
      <c r="Q14" s="637">
        <f>PFIS!L20</f>
        <v>10663.4</v>
      </c>
      <c r="R14" s="453">
        <f>P14-Q14</f>
        <v>0</v>
      </c>
    </row>
    <row r="15" spans="2:19" x14ac:dyDescent="0.2">
      <c r="B15" s="458" t="s">
        <v>541</v>
      </c>
      <c r="C15" s="453">
        <f>PFIS!C41</f>
        <v>1772.78</v>
      </c>
      <c r="D15" s="453"/>
      <c r="E15" s="635"/>
      <c r="F15" s="635"/>
      <c r="G15" s="635"/>
      <c r="H15" s="635"/>
      <c r="I15" s="635"/>
      <c r="J15" s="635"/>
      <c r="K15" s="635"/>
      <c r="L15" s="453">
        <f t="shared" si="5"/>
        <v>1772.78</v>
      </c>
      <c r="M15" s="453"/>
      <c r="N15" s="453">
        <f t="shared" si="6"/>
        <v>1772.78</v>
      </c>
      <c r="O15" s="453"/>
      <c r="P15" s="453">
        <f t="shared" si="6"/>
        <v>1772.78</v>
      </c>
      <c r="Q15" s="637">
        <f>PFIS!L41</f>
        <v>1772.78</v>
      </c>
      <c r="R15" s="453">
        <f>P15-Q15</f>
        <v>0</v>
      </c>
    </row>
    <row r="16" spans="2:19" ht="3" customHeight="1" x14ac:dyDescent="0.2">
      <c r="B16" s="458"/>
      <c r="C16" s="453"/>
      <c r="D16" s="453"/>
      <c r="E16" s="453"/>
      <c r="F16" s="453"/>
      <c r="G16" s="453"/>
      <c r="H16" s="453"/>
      <c r="I16" s="453"/>
      <c r="J16" s="453"/>
      <c r="K16" s="453"/>
      <c r="L16" s="453">
        <f>SUM(C16:J16)</f>
        <v>0</v>
      </c>
      <c r="M16" s="453"/>
      <c r="N16" s="453"/>
      <c r="O16" s="453"/>
      <c r="P16" s="453"/>
      <c r="Q16" s="637"/>
      <c r="R16" s="453"/>
    </row>
    <row r="17" spans="2:18" x14ac:dyDescent="0.2">
      <c r="B17" s="458" t="s">
        <v>179</v>
      </c>
      <c r="C17" s="453">
        <f>PFIS!C21</f>
        <v>35914.92</v>
      </c>
      <c r="D17" s="453"/>
      <c r="E17" s="635"/>
      <c r="F17" s="635"/>
      <c r="G17" s="635"/>
      <c r="H17" s="635"/>
      <c r="I17" s="635"/>
      <c r="J17" s="635"/>
      <c r="K17" s="635">
        <f>'[1]Pro Forma'!$G$25</f>
        <v>216</v>
      </c>
      <c r="L17" s="453">
        <f>SUM(C17:K17)</f>
        <v>36130.92</v>
      </c>
      <c r="M17" s="453"/>
      <c r="N17" s="453">
        <f t="shared" ref="N17:P26" si="7">L17+M17</f>
        <v>36130.92</v>
      </c>
      <c r="O17" s="453"/>
      <c r="P17" s="453">
        <f t="shared" si="7"/>
        <v>36130.92</v>
      </c>
      <c r="Q17" s="637">
        <f>PFIS!L21</f>
        <v>36130.92</v>
      </c>
      <c r="R17" s="453">
        <f t="shared" ref="R17:R26" si="8">P17-Q17</f>
        <v>0</v>
      </c>
    </row>
    <row r="18" spans="2:18" x14ac:dyDescent="0.2">
      <c r="B18" s="458" t="s">
        <v>534</v>
      </c>
      <c r="C18" s="453">
        <f>PFIS!C22+PFIS!C23</f>
        <v>4243.13</v>
      </c>
      <c r="D18" s="453"/>
      <c r="E18" s="635"/>
      <c r="F18" s="635"/>
      <c r="G18" s="635"/>
      <c r="H18" s="635"/>
      <c r="I18" s="635"/>
      <c r="J18" s="635">
        <f>'[1]RA6 - PFAS'!$H$13</f>
        <v>-1002.08</v>
      </c>
      <c r="K18" s="453"/>
      <c r="L18" s="453">
        <f t="shared" ref="L18:L26" si="9">SUM(C18:K18)</f>
        <v>3241.05</v>
      </c>
      <c r="M18" s="453"/>
      <c r="N18" s="453">
        <f t="shared" si="7"/>
        <v>3241.05</v>
      </c>
      <c r="O18" s="453"/>
      <c r="P18" s="453">
        <f t="shared" si="7"/>
        <v>3241.05</v>
      </c>
      <c r="Q18" s="637">
        <f>PFIS!L22+PFIS!L23</f>
        <v>3241.05</v>
      </c>
      <c r="R18" s="453">
        <f t="shared" si="8"/>
        <v>0</v>
      </c>
    </row>
    <row r="19" spans="2:18" x14ac:dyDescent="0.2">
      <c r="B19" s="458" t="s">
        <v>535</v>
      </c>
      <c r="C19" s="453">
        <f>SUM(PFIS!C24:C27)</f>
        <v>2689.92</v>
      </c>
      <c r="D19" s="453"/>
      <c r="E19" s="635"/>
      <c r="F19" s="635"/>
      <c r="G19" s="635"/>
      <c r="H19" s="635"/>
      <c r="I19" s="635"/>
      <c r="J19" s="635"/>
      <c r="K19" s="635"/>
      <c r="L19" s="453">
        <f t="shared" si="9"/>
        <v>2689.92</v>
      </c>
      <c r="M19" s="453"/>
      <c r="N19" s="453">
        <f t="shared" si="7"/>
        <v>2689.92</v>
      </c>
      <c r="O19" s="453"/>
      <c r="P19" s="453">
        <f t="shared" si="7"/>
        <v>2689.92</v>
      </c>
      <c r="Q19" s="637">
        <f>SUM(PFIS!L24:L27)</f>
        <v>2689.92</v>
      </c>
      <c r="R19" s="453">
        <f t="shared" si="8"/>
        <v>0</v>
      </c>
    </row>
    <row r="20" spans="2:18" x14ac:dyDescent="0.2">
      <c r="B20" s="458" t="s">
        <v>180</v>
      </c>
      <c r="C20" s="453">
        <f>PFIS!C28</f>
        <v>26466.95</v>
      </c>
      <c r="D20" s="453">
        <f>[1]Restatements!$E$32</f>
        <v>-26466.95</v>
      </c>
      <c r="E20" s="635"/>
      <c r="F20" s="635"/>
      <c r="G20" s="635"/>
      <c r="H20" s="635"/>
      <c r="I20" s="635"/>
      <c r="J20" s="635"/>
      <c r="K20" s="635"/>
      <c r="L20" s="453">
        <f t="shared" si="9"/>
        <v>0</v>
      </c>
      <c r="M20" s="453"/>
      <c r="N20" s="453">
        <f t="shared" si="7"/>
        <v>0</v>
      </c>
      <c r="O20" s="453"/>
      <c r="P20" s="453">
        <f t="shared" si="7"/>
        <v>0</v>
      </c>
      <c r="Q20" s="637">
        <f>PFIS!L28</f>
        <v>0</v>
      </c>
      <c r="R20" s="453">
        <f t="shared" si="8"/>
        <v>0</v>
      </c>
    </row>
    <row r="21" spans="2:18" x14ac:dyDescent="0.2">
      <c r="B21" s="458" t="s">
        <v>536</v>
      </c>
      <c r="C21" s="453">
        <f>PFIS!C29+PFIS!C30+PFIS!C31</f>
        <v>-524.40000000000009</v>
      </c>
      <c r="D21" s="453"/>
      <c r="E21" s="635"/>
      <c r="F21" s="635"/>
      <c r="G21" s="635"/>
      <c r="H21" s="635"/>
      <c r="I21" s="635"/>
      <c r="J21" s="635"/>
      <c r="K21" s="635"/>
      <c r="L21" s="453">
        <f t="shared" si="9"/>
        <v>-524.40000000000009</v>
      </c>
      <c r="M21" s="453"/>
      <c r="N21" s="453">
        <f t="shared" si="7"/>
        <v>-524.40000000000009</v>
      </c>
      <c r="O21" s="453"/>
      <c r="P21" s="453">
        <f t="shared" si="7"/>
        <v>-524.40000000000009</v>
      </c>
      <c r="Q21" s="637">
        <f>PFIS!L29+PFIS!L30+PFIS!L31</f>
        <v>-524.40000000000009</v>
      </c>
      <c r="R21" s="453">
        <f t="shared" si="8"/>
        <v>0</v>
      </c>
    </row>
    <row r="22" spans="2:18" x14ac:dyDescent="0.2">
      <c r="B22" s="458" t="s">
        <v>538</v>
      </c>
      <c r="C22" s="453">
        <f>PFIS!C33</f>
        <v>0</v>
      </c>
      <c r="D22" s="453"/>
      <c r="E22" s="635"/>
      <c r="F22" s="635"/>
      <c r="G22" s="635"/>
      <c r="H22" s="635"/>
      <c r="I22" s="453">
        <f>'[1]Pro Forma'!$F$37</f>
        <v>22484.333333333332</v>
      </c>
      <c r="J22" s="635"/>
      <c r="K22" s="635"/>
      <c r="L22" s="453">
        <f t="shared" si="9"/>
        <v>22484.333333333332</v>
      </c>
      <c r="M22" s="453"/>
      <c r="N22" s="453">
        <f t="shared" si="7"/>
        <v>22484.333333333332</v>
      </c>
      <c r="O22" s="453"/>
      <c r="P22" s="453">
        <f t="shared" si="7"/>
        <v>22484.333333333332</v>
      </c>
      <c r="Q22" s="637">
        <f>PFIS!L33</f>
        <v>22484.333333333332</v>
      </c>
      <c r="R22" s="453">
        <f t="shared" si="8"/>
        <v>0</v>
      </c>
    </row>
    <row r="23" spans="2:18" x14ac:dyDescent="0.2">
      <c r="B23" s="458" t="s">
        <v>539</v>
      </c>
      <c r="C23" s="453">
        <f>SUM(PFIS!C34:C35)</f>
        <v>7950.8799999999992</v>
      </c>
      <c r="D23" s="453"/>
      <c r="E23" s="635"/>
      <c r="F23" s="635"/>
      <c r="G23" s="635"/>
      <c r="H23" s="635"/>
      <c r="I23" s="635"/>
      <c r="J23" s="635"/>
      <c r="K23" s="635"/>
      <c r="L23" s="453">
        <f t="shared" si="9"/>
        <v>7950.8799999999992</v>
      </c>
      <c r="M23" s="453"/>
      <c r="N23" s="453">
        <f t="shared" si="7"/>
        <v>7950.8799999999992</v>
      </c>
      <c r="O23" s="453"/>
      <c r="P23" s="453">
        <f t="shared" si="7"/>
        <v>7950.8799999999992</v>
      </c>
      <c r="Q23" s="637">
        <f>SUM(PFIS!L34:L35)</f>
        <v>7950.8799999999992</v>
      </c>
      <c r="R23" s="453">
        <f t="shared" si="8"/>
        <v>0</v>
      </c>
    </row>
    <row r="24" spans="2:18" x14ac:dyDescent="0.2">
      <c r="B24" s="458" t="s">
        <v>195</v>
      </c>
      <c r="C24" s="453">
        <f>PFIS!C37</f>
        <v>31730.980000000003</v>
      </c>
      <c r="D24" s="453"/>
      <c r="E24" s="635"/>
      <c r="F24" s="635"/>
      <c r="G24" s="635"/>
      <c r="H24" s="635"/>
      <c r="I24" s="635"/>
      <c r="J24" s="635"/>
      <c r="K24" s="635"/>
      <c r="L24" s="453">
        <f t="shared" si="9"/>
        <v>31730.980000000003</v>
      </c>
      <c r="M24" s="453"/>
      <c r="N24" s="453">
        <f t="shared" si="7"/>
        <v>31730.980000000003</v>
      </c>
      <c r="O24" s="453"/>
      <c r="P24" s="453">
        <f t="shared" si="7"/>
        <v>31730.980000000003</v>
      </c>
      <c r="Q24" s="637">
        <f>PFIS!L37</f>
        <v>31730.980000000003</v>
      </c>
      <c r="R24" s="453">
        <f t="shared" si="8"/>
        <v>0</v>
      </c>
    </row>
    <row r="25" spans="2:18" x14ac:dyDescent="0.2">
      <c r="B25" s="458" t="s">
        <v>540</v>
      </c>
      <c r="C25" s="453">
        <f>PFIS!C40</f>
        <v>8566.2900000000009</v>
      </c>
      <c r="D25" s="453"/>
      <c r="E25" s="635"/>
      <c r="F25" s="635"/>
      <c r="G25" s="635"/>
      <c r="H25" s="635"/>
      <c r="I25" s="635"/>
      <c r="J25" s="635"/>
      <c r="K25" s="635"/>
      <c r="L25" s="453">
        <f t="shared" si="9"/>
        <v>8566.2900000000009</v>
      </c>
      <c r="M25" s="453"/>
      <c r="N25" s="453">
        <f t="shared" si="7"/>
        <v>8566.2900000000009</v>
      </c>
      <c r="O25" s="453"/>
      <c r="P25" s="453">
        <f t="shared" si="7"/>
        <v>8566.2900000000009</v>
      </c>
      <c r="Q25" s="637">
        <f>PFIS!L40</f>
        <v>8566.2900000000009</v>
      </c>
      <c r="R25" s="453">
        <f t="shared" si="8"/>
        <v>0</v>
      </c>
    </row>
    <row r="26" spans="2:18" x14ac:dyDescent="0.2">
      <c r="B26" s="458" t="s">
        <v>243</v>
      </c>
      <c r="C26" s="453">
        <f>PFIS!C43</f>
        <v>191796.5</v>
      </c>
      <c r="D26" s="453"/>
      <c r="E26" s="635"/>
      <c r="F26" s="635"/>
      <c r="G26" s="635"/>
      <c r="H26" s="453">
        <f>'[1]Pro Forma'!$E$47</f>
        <v>-17634.961753246767</v>
      </c>
      <c r="I26" s="635"/>
      <c r="J26" s="635"/>
      <c r="K26" s="635"/>
      <c r="L26" s="453">
        <f t="shared" si="9"/>
        <v>174161.53824675322</v>
      </c>
      <c r="M26" s="453"/>
      <c r="N26" s="453">
        <f t="shared" si="7"/>
        <v>174161.53824675322</v>
      </c>
      <c r="O26" s="453"/>
      <c r="P26" s="453">
        <f t="shared" si="7"/>
        <v>174161.53824675322</v>
      </c>
      <c r="Q26" s="637">
        <f>PFIS!L43</f>
        <v>174161.53824675322</v>
      </c>
      <c r="R26" s="453">
        <f t="shared" si="8"/>
        <v>0</v>
      </c>
    </row>
    <row r="27" spans="2:18" ht="3" customHeight="1" x14ac:dyDescent="0.2">
      <c r="B27" s="458"/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3"/>
      <c r="O27" s="453"/>
      <c r="P27" s="453"/>
      <c r="Q27" s="637"/>
      <c r="R27" s="453"/>
    </row>
    <row r="28" spans="2:18" x14ac:dyDescent="0.2">
      <c r="B28" s="452" t="s">
        <v>522</v>
      </c>
      <c r="C28" s="474">
        <f t="shared" ref="C28:R28" si="10">SUM(C13:C26)</f>
        <v>344353.7</v>
      </c>
      <c r="D28" s="474">
        <f t="shared" si="10"/>
        <v>-26466.95</v>
      </c>
      <c r="E28" s="474">
        <f t="shared" si="10"/>
        <v>0</v>
      </c>
      <c r="F28" s="474">
        <f t="shared" si="10"/>
        <v>0</v>
      </c>
      <c r="G28" s="474">
        <f t="shared" si="10"/>
        <v>0</v>
      </c>
      <c r="H28" s="474">
        <f t="shared" si="10"/>
        <v>-17634.961753246767</v>
      </c>
      <c r="I28" s="474">
        <f t="shared" si="10"/>
        <v>22484.333333333332</v>
      </c>
      <c r="J28" s="474">
        <f t="shared" si="10"/>
        <v>-1002.08</v>
      </c>
      <c r="K28" s="474"/>
      <c r="L28" s="474">
        <f t="shared" si="10"/>
        <v>321950.04158008657</v>
      </c>
      <c r="M28" s="474">
        <f t="shared" si="10"/>
        <v>0</v>
      </c>
      <c r="N28" s="474">
        <f t="shared" si="10"/>
        <v>321950.04158008657</v>
      </c>
      <c r="O28" s="474">
        <f t="shared" si="10"/>
        <v>0</v>
      </c>
      <c r="P28" s="474">
        <f t="shared" si="10"/>
        <v>321950.04158008657</v>
      </c>
      <c r="Q28" s="638">
        <f t="shared" si="10"/>
        <v>321950.04158008657</v>
      </c>
      <c r="R28" s="474">
        <f t="shared" si="10"/>
        <v>0</v>
      </c>
    </row>
    <row r="29" spans="2:18" ht="3" customHeight="1" x14ac:dyDescent="0.2"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637"/>
      <c r="R29" s="453"/>
    </row>
    <row r="30" spans="2:18" x14ac:dyDescent="0.2">
      <c r="B30" s="452" t="s">
        <v>521</v>
      </c>
      <c r="C30" s="453">
        <f>PFIS!C38</f>
        <v>247277.56</v>
      </c>
      <c r="D30" s="453"/>
      <c r="E30" s="635"/>
      <c r="F30" s="453">
        <f>[1]Restatements!$G$42+[1]Restatements!$H$42</f>
        <v>7782.3352996387421</v>
      </c>
      <c r="G30" s="635"/>
      <c r="H30" s="635"/>
      <c r="I30" s="635"/>
      <c r="J30" s="453"/>
      <c r="K30" s="635"/>
      <c r="L30" s="453">
        <f>SUM(C30:J30)</f>
        <v>255059.89529963874</v>
      </c>
      <c r="M30" s="453"/>
      <c r="N30" s="453">
        <f>L30+M30</f>
        <v>255059.89529963874</v>
      </c>
      <c r="O30" s="453"/>
      <c r="P30" s="453">
        <f>N30+O30</f>
        <v>255059.89529963874</v>
      </c>
      <c r="Q30" s="637">
        <f>PFIS!L38</f>
        <v>255059.89529963874</v>
      </c>
      <c r="R30" s="453">
        <f>P30-Q30</f>
        <v>0</v>
      </c>
    </row>
    <row r="31" spans="2:18" ht="3" customHeight="1" x14ac:dyDescent="0.2"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637"/>
      <c r="R31" s="453"/>
    </row>
    <row r="32" spans="2:18" x14ac:dyDescent="0.2">
      <c r="B32" s="452" t="s">
        <v>564</v>
      </c>
      <c r="C32" s="474">
        <f>SUM(C28:C31)</f>
        <v>591631.26</v>
      </c>
      <c r="D32" s="474">
        <f t="shared" ref="D32:L32" si="11">SUM(D28:D31)</f>
        <v>-26466.95</v>
      </c>
      <c r="E32" s="474">
        <f t="shared" si="11"/>
        <v>0</v>
      </c>
      <c r="F32" s="474">
        <f t="shared" si="11"/>
        <v>7782.3352996387421</v>
      </c>
      <c r="G32" s="474">
        <f t="shared" si="11"/>
        <v>0</v>
      </c>
      <c r="H32" s="474">
        <f t="shared" si="11"/>
        <v>-17634.961753246767</v>
      </c>
      <c r="I32" s="474">
        <f t="shared" si="11"/>
        <v>22484.333333333332</v>
      </c>
      <c r="J32" s="474">
        <f t="shared" si="11"/>
        <v>-1002.08</v>
      </c>
      <c r="K32" s="474"/>
      <c r="L32" s="474">
        <f t="shared" si="11"/>
        <v>577009.93687972531</v>
      </c>
      <c r="M32" s="474">
        <f t="shared" ref="M32:R32" si="12">SUM(M28:M31)</f>
        <v>0</v>
      </c>
      <c r="N32" s="474">
        <f t="shared" si="12"/>
        <v>577009.93687972531</v>
      </c>
      <c r="O32" s="474">
        <f t="shared" si="12"/>
        <v>0</v>
      </c>
      <c r="P32" s="474">
        <f t="shared" si="12"/>
        <v>577009.93687972531</v>
      </c>
      <c r="Q32" s="638">
        <f t="shared" si="12"/>
        <v>577009.93687972531</v>
      </c>
      <c r="R32" s="474">
        <f t="shared" si="12"/>
        <v>0</v>
      </c>
    </row>
    <row r="33" spans="2:18" ht="7.5" customHeight="1" x14ac:dyDescent="0.2"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637"/>
      <c r="R33" s="453"/>
    </row>
    <row r="34" spans="2:18" x14ac:dyDescent="0.2">
      <c r="B34" s="452" t="s">
        <v>25</v>
      </c>
      <c r="C34" s="453">
        <f>PFIS!C39</f>
        <v>14547.13</v>
      </c>
      <c r="D34" s="453"/>
      <c r="E34" s="635"/>
      <c r="F34" s="635"/>
      <c r="G34" s="635"/>
      <c r="H34" s="635"/>
      <c r="I34" s="635"/>
      <c r="J34" s="635"/>
      <c r="K34" s="635"/>
      <c r="L34" s="453">
        <f>SUM(C34:J34)</f>
        <v>14547.13</v>
      </c>
      <c r="M34" s="453"/>
      <c r="N34" s="453">
        <f>L34+M34</f>
        <v>14547.13</v>
      </c>
      <c r="O34" s="453">
        <f>C124-N34</f>
        <v>31511.712963849044</v>
      </c>
      <c r="P34" s="453">
        <f>N34+O34</f>
        <v>46058.842963849042</v>
      </c>
      <c r="Q34" s="637">
        <f>PFIS!L39</f>
        <v>46058.842963849042</v>
      </c>
      <c r="R34" s="453">
        <f>P34-Q34</f>
        <v>0</v>
      </c>
    </row>
    <row r="35" spans="2:18" x14ac:dyDescent="0.2">
      <c r="B35" s="456" t="s">
        <v>242</v>
      </c>
      <c r="C35" s="453">
        <f>PFIS!C36</f>
        <v>-139.5</v>
      </c>
      <c r="D35" s="453"/>
      <c r="E35" s="453">
        <f>[1]Restatements!$F$40</f>
        <v>1564.21315</v>
      </c>
      <c r="F35" s="635"/>
      <c r="G35" s="635"/>
      <c r="H35" s="635"/>
      <c r="I35" s="635"/>
      <c r="J35" s="635"/>
      <c r="K35" s="635"/>
      <c r="L35" s="453">
        <f>SUM(C35:J35)</f>
        <v>1424.71315</v>
      </c>
      <c r="M35" s="453"/>
      <c r="N35" s="453">
        <f>L35+M35</f>
        <v>1424.71315</v>
      </c>
      <c r="O35" s="453">
        <f>C123-N35</f>
        <v>3154.6110659324954</v>
      </c>
      <c r="P35" s="453">
        <f>N35+O35</f>
        <v>4579.3242159324955</v>
      </c>
      <c r="Q35" s="637">
        <f>PFIS!L36</f>
        <v>4579.3242159324955</v>
      </c>
      <c r="R35" s="453">
        <f>P35-Q35</f>
        <v>0</v>
      </c>
    </row>
    <row r="36" spans="2:18" x14ac:dyDescent="0.2">
      <c r="B36" s="456" t="s">
        <v>537</v>
      </c>
      <c r="C36" s="453">
        <f>PFIS!C32</f>
        <v>0</v>
      </c>
      <c r="D36" s="453"/>
      <c r="E36" s="635"/>
      <c r="F36" s="635"/>
      <c r="G36" s="635"/>
      <c r="H36" s="635"/>
      <c r="I36" s="635"/>
      <c r="J36" s="635"/>
      <c r="K36" s="635"/>
      <c r="L36" s="453">
        <f>SUM(C36:J36)</f>
        <v>0</v>
      </c>
      <c r="M36" s="453"/>
      <c r="N36" s="453">
        <f>L36+M36</f>
        <v>0</v>
      </c>
      <c r="O36" s="453">
        <f>C122-N36</f>
        <v>1831.7296863729982</v>
      </c>
      <c r="P36" s="453">
        <f>N36+O36</f>
        <v>1831.7296863729982</v>
      </c>
      <c r="Q36" s="637">
        <f>PFIS!L32</f>
        <v>1831.7296863729982</v>
      </c>
      <c r="R36" s="453">
        <f>P36-Q36</f>
        <v>0</v>
      </c>
    </row>
    <row r="37" spans="2:18" x14ac:dyDescent="0.2">
      <c r="B37" s="456" t="s">
        <v>565</v>
      </c>
      <c r="C37" s="639">
        <f>SUM(C34:C36)</f>
        <v>14407.63</v>
      </c>
      <c r="D37" s="639">
        <f t="shared" ref="D37:R37" si="13">SUM(D34:D36)</f>
        <v>0</v>
      </c>
      <c r="E37" s="639">
        <f t="shared" si="13"/>
        <v>1564.21315</v>
      </c>
      <c r="F37" s="639">
        <f t="shared" si="13"/>
        <v>0</v>
      </c>
      <c r="G37" s="639">
        <f t="shared" si="13"/>
        <v>0</v>
      </c>
      <c r="H37" s="639">
        <f t="shared" si="13"/>
        <v>0</v>
      </c>
      <c r="I37" s="639">
        <f t="shared" si="13"/>
        <v>0</v>
      </c>
      <c r="J37" s="639">
        <f t="shared" si="13"/>
        <v>0</v>
      </c>
      <c r="K37" s="639"/>
      <c r="L37" s="639">
        <f t="shared" si="13"/>
        <v>15971.843149999999</v>
      </c>
      <c r="M37" s="639">
        <f t="shared" si="13"/>
        <v>0</v>
      </c>
      <c r="N37" s="639">
        <f t="shared" si="13"/>
        <v>15971.843149999999</v>
      </c>
      <c r="O37" s="639">
        <f>SUM(O34:O36)</f>
        <v>36498.053716154544</v>
      </c>
      <c r="P37" s="639">
        <f t="shared" si="13"/>
        <v>52469.896866154537</v>
      </c>
      <c r="Q37" s="640">
        <f t="shared" si="13"/>
        <v>52469.896866154537</v>
      </c>
      <c r="R37" s="639">
        <f t="shared" si="13"/>
        <v>0</v>
      </c>
    </row>
    <row r="38" spans="2:18" x14ac:dyDescent="0.2">
      <c r="B38" s="456"/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637"/>
      <c r="R38" s="453"/>
    </row>
    <row r="39" spans="2:18" x14ac:dyDescent="0.2">
      <c r="B39" s="452" t="s">
        <v>526</v>
      </c>
      <c r="C39" s="453">
        <f>PFIS!C48</f>
        <v>-115643.17</v>
      </c>
      <c r="D39" s="453"/>
      <c r="E39" s="635"/>
      <c r="F39" s="635"/>
      <c r="G39" s="635"/>
      <c r="H39" s="635"/>
      <c r="I39" s="635"/>
      <c r="J39" s="635"/>
      <c r="K39" s="635"/>
      <c r="L39" s="453">
        <f>SUM(C39:J39)</f>
        <v>-115643.17</v>
      </c>
      <c r="M39" s="453">
        <f>C91-L39</f>
        <v>161136.25598460299</v>
      </c>
      <c r="N39" s="453">
        <f>L39+M39</f>
        <v>45493.085984602993</v>
      </c>
      <c r="O39" s="453"/>
      <c r="P39" s="453">
        <f>N39+O39</f>
        <v>45493.085984602993</v>
      </c>
      <c r="Q39" s="637">
        <f>PFIS!L48</f>
        <v>45069.653419043294</v>
      </c>
      <c r="R39" s="453">
        <f>P39-Q39</f>
        <v>423.43256555969856</v>
      </c>
    </row>
    <row r="40" spans="2:18" ht="6.75" customHeight="1" x14ac:dyDescent="0.2"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637"/>
      <c r="R40" s="453"/>
    </row>
    <row r="41" spans="2:18" ht="13.5" thickBot="1" x14ac:dyDescent="0.25">
      <c r="B41" s="452" t="s">
        <v>545</v>
      </c>
      <c r="C41" s="641">
        <f>C10-C32-C34-C39-C36-C35</f>
        <v>-190210.43</v>
      </c>
      <c r="D41" s="641">
        <f t="shared" ref="D41:R41" si="14">D10-D32-D34-D39-D36-D35</f>
        <v>12326.050000000001</v>
      </c>
      <c r="E41" s="641">
        <f t="shared" si="14"/>
        <v>-1564.21315</v>
      </c>
      <c r="F41" s="641">
        <f t="shared" si="14"/>
        <v>-7782.3352996387421</v>
      </c>
      <c r="G41" s="641">
        <f t="shared" si="14"/>
        <v>7140.0374999999767</v>
      </c>
      <c r="H41" s="641">
        <f t="shared" si="14"/>
        <v>17634.961753246767</v>
      </c>
      <c r="I41" s="641">
        <f t="shared" si="14"/>
        <v>-22484.333333333332</v>
      </c>
      <c r="J41" s="641">
        <f t="shared" si="14"/>
        <v>1002.08</v>
      </c>
      <c r="K41" s="641"/>
      <c r="L41" s="641">
        <f t="shared" si="14"/>
        <v>-184154.18252972534</v>
      </c>
      <c r="M41" s="641">
        <f t="shared" si="14"/>
        <v>425046.1059857416</v>
      </c>
      <c r="N41" s="641">
        <f t="shared" si="14"/>
        <v>240891.92345601626</v>
      </c>
      <c r="O41" s="641">
        <f t="shared" si="14"/>
        <v>0</v>
      </c>
      <c r="P41" s="641">
        <f t="shared" si="14"/>
        <v>240891.92345601629</v>
      </c>
      <c r="Q41" s="642">
        <f t="shared" si="14"/>
        <v>240891.92345601623</v>
      </c>
      <c r="R41" s="641">
        <f t="shared" si="14"/>
        <v>5.0931703299283981E-11</v>
      </c>
    </row>
    <row r="42" spans="2:18" ht="13.5" thickTop="1" x14ac:dyDescent="0.2">
      <c r="B42" s="452" t="s">
        <v>524</v>
      </c>
      <c r="C42" s="643"/>
      <c r="D42" s="643"/>
      <c r="E42" s="643"/>
      <c r="F42" s="643"/>
      <c r="G42" s="643"/>
      <c r="H42" s="643"/>
      <c r="I42" s="643"/>
      <c r="J42" s="643"/>
      <c r="K42" s="643"/>
      <c r="L42" s="643">
        <f>-C50*C86</f>
        <v>-69751.266656795488</v>
      </c>
      <c r="M42" s="643"/>
      <c r="N42" s="643"/>
      <c r="O42" s="643"/>
      <c r="P42" s="643">
        <f>L42</f>
        <v>-69751.266656795488</v>
      </c>
      <c r="Q42" s="643">
        <f>P42</f>
        <v>-69751.266656795488</v>
      </c>
      <c r="R42" s="643"/>
    </row>
    <row r="43" spans="2:18" x14ac:dyDescent="0.2">
      <c r="B43" s="452" t="s">
        <v>591</v>
      </c>
      <c r="C43" s="643"/>
      <c r="D43" s="643"/>
      <c r="E43" s="643"/>
      <c r="F43" s="643"/>
      <c r="G43" s="643"/>
      <c r="H43" s="643"/>
      <c r="I43" s="643"/>
      <c r="J43" s="643"/>
      <c r="K43" s="643"/>
      <c r="L43" s="643">
        <f>L41+L42</f>
        <v>-253905.44918652083</v>
      </c>
      <c r="M43" s="643"/>
      <c r="N43" s="643"/>
      <c r="O43" s="643"/>
      <c r="P43" s="643">
        <f>P41+P42</f>
        <v>171140.6567992208</v>
      </c>
      <c r="Q43" s="643">
        <f>Q41+Q42</f>
        <v>171140.65679922074</v>
      </c>
      <c r="R43" s="643"/>
    </row>
    <row r="44" spans="2:18" x14ac:dyDescent="0.2">
      <c r="B44" s="452" t="s">
        <v>590</v>
      </c>
      <c r="C44" s="643"/>
      <c r="D44" s="643"/>
      <c r="E44" s="643"/>
      <c r="F44" s="643"/>
      <c r="G44" s="643"/>
      <c r="H44" s="643"/>
      <c r="I44" s="643"/>
      <c r="J44" s="643"/>
      <c r="K44" s="643"/>
      <c r="L44" s="462">
        <f>L43/$C$50</f>
        <v>-9.0962120898161219E-2</v>
      </c>
      <c r="M44" s="643"/>
      <c r="N44" s="643"/>
      <c r="O44" s="643"/>
      <c r="P44" s="462">
        <f>P43/$C$50</f>
        <v>6.1311473086682639E-2</v>
      </c>
      <c r="Q44" s="462">
        <f>Q43/$C$50</f>
        <v>6.1311473086682618E-2</v>
      </c>
      <c r="R44" s="643"/>
    </row>
    <row r="45" spans="2:18" x14ac:dyDescent="0.2">
      <c r="B45" s="452" t="s">
        <v>592</v>
      </c>
      <c r="C45" s="643"/>
      <c r="D45" s="643"/>
      <c r="E45" s="643"/>
      <c r="F45" s="643"/>
      <c r="G45" s="643"/>
      <c r="H45" s="643"/>
      <c r="I45" s="643"/>
      <c r="J45" s="643"/>
      <c r="K45" s="643"/>
      <c r="L45" s="463">
        <f>L43*(0.21/(1-0.21))</f>
        <v>-67493.853581227042</v>
      </c>
      <c r="M45" s="643"/>
      <c r="N45" s="643"/>
      <c r="O45" s="643"/>
      <c r="P45" s="463">
        <f>P43*(0.21/(1-0.21))</f>
        <v>45493.085984602993</v>
      </c>
      <c r="Q45" s="463">
        <f>Q43*(0.21/(1-0.21))</f>
        <v>45493.085984602978</v>
      </c>
      <c r="R45" s="643"/>
    </row>
    <row r="46" spans="2:18" ht="7.5" customHeight="1" x14ac:dyDescent="0.2">
      <c r="C46" s="643"/>
      <c r="D46" s="643"/>
      <c r="E46" s="643"/>
      <c r="F46" s="643"/>
      <c r="G46" s="643"/>
      <c r="H46" s="643"/>
      <c r="I46" s="643"/>
      <c r="J46" s="643"/>
      <c r="K46" s="643"/>
      <c r="L46" s="643"/>
      <c r="M46" s="643"/>
      <c r="N46" s="643"/>
      <c r="O46" s="643"/>
      <c r="P46" s="643"/>
      <c r="Q46" s="644"/>
      <c r="R46" s="643"/>
    </row>
    <row r="47" spans="2:18" s="455" customFormat="1" x14ac:dyDescent="0.2">
      <c r="B47" s="455" t="s">
        <v>582</v>
      </c>
      <c r="C47" s="643">
        <f t="shared" ref="C47:R47" si="15">C32+C39+C41</f>
        <v>285777.66000000003</v>
      </c>
      <c r="D47" s="643">
        <f t="shared" si="15"/>
        <v>-14140.9</v>
      </c>
      <c r="E47" s="643">
        <f t="shared" si="15"/>
        <v>-1564.21315</v>
      </c>
      <c r="F47" s="643">
        <f t="shared" si="15"/>
        <v>0</v>
      </c>
      <c r="G47" s="643"/>
      <c r="H47" s="643">
        <f t="shared" si="15"/>
        <v>0</v>
      </c>
      <c r="I47" s="643">
        <f t="shared" si="15"/>
        <v>0</v>
      </c>
      <c r="J47" s="643">
        <f t="shared" si="15"/>
        <v>0</v>
      </c>
      <c r="K47" s="643"/>
      <c r="L47" s="643">
        <f t="shared" si="15"/>
        <v>277212.58435000002</v>
      </c>
      <c r="M47" s="643">
        <f t="shared" si="15"/>
        <v>586182.36197034456</v>
      </c>
      <c r="N47" s="643">
        <f t="shared" si="15"/>
        <v>863394.94632034458</v>
      </c>
      <c r="O47" s="643">
        <f t="shared" si="15"/>
        <v>0</v>
      </c>
      <c r="P47" s="643">
        <f t="shared" si="15"/>
        <v>863394.94632034469</v>
      </c>
      <c r="Q47" s="643">
        <f t="shared" si="15"/>
        <v>862971.51375478483</v>
      </c>
      <c r="R47" s="643">
        <f t="shared" si="15"/>
        <v>423.43256555974949</v>
      </c>
    </row>
    <row r="48" spans="2:18" s="455" customFormat="1" x14ac:dyDescent="0.2">
      <c r="B48" s="455" t="s">
        <v>583</v>
      </c>
      <c r="C48" s="643">
        <f t="shared" ref="C48:R48" si="16">C47+C37</f>
        <v>300185.29000000004</v>
      </c>
      <c r="D48" s="643">
        <f t="shared" si="16"/>
        <v>-14140.9</v>
      </c>
      <c r="E48" s="643">
        <f t="shared" si="16"/>
        <v>0</v>
      </c>
      <c r="F48" s="643">
        <f t="shared" si="16"/>
        <v>0</v>
      </c>
      <c r="G48" s="643"/>
      <c r="H48" s="643">
        <f t="shared" si="16"/>
        <v>0</v>
      </c>
      <c r="I48" s="643">
        <f t="shared" si="16"/>
        <v>0</v>
      </c>
      <c r="J48" s="643">
        <f t="shared" si="16"/>
        <v>0</v>
      </c>
      <c r="K48" s="643"/>
      <c r="L48" s="643">
        <f t="shared" si="16"/>
        <v>293184.42749999999</v>
      </c>
      <c r="M48" s="643">
        <f t="shared" si="16"/>
        <v>586182.36197034456</v>
      </c>
      <c r="N48" s="643">
        <f t="shared" si="16"/>
        <v>879366.78947034455</v>
      </c>
      <c r="O48" s="643">
        <f t="shared" si="16"/>
        <v>36498.053716154544</v>
      </c>
      <c r="P48" s="643">
        <f t="shared" si="16"/>
        <v>915864.8431864992</v>
      </c>
      <c r="Q48" s="643">
        <f t="shared" si="16"/>
        <v>915441.41062093934</v>
      </c>
      <c r="R48" s="643">
        <f t="shared" si="16"/>
        <v>423.43256555974949</v>
      </c>
    </row>
    <row r="49" spans="2:7" ht="7.5" customHeight="1" x14ac:dyDescent="0.2"/>
    <row r="50" spans="2:7" x14ac:dyDescent="0.2">
      <c r="B50" s="452" t="s">
        <v>178</v>
      </c>
      <c r="C50" s="453">
        <f>PFIS!I61</f>
        <v>2791331.673881996</v>
      </c>
    </row>
    <row r="51" spans="2:7" x14ac:dyDescent="0.2">
      <c r="B51" s="452" t="s">
        <v>523</v>
      </c>
      <c r="C51" s="645">
        <f>'Capital Structure'!I53</f>
        <v>8.6300000000000002E-2</v>
      </c>
    </row>
    <row r="52" spans="2:7" x14ac:dyDescent="0.2">
      <c r="B52" s="452" t="s">
        <v>548</v>
      </c>
      <c r="C52" s="639">
        <f>C50*C51</f>
        <v>240891.92345601626</v>
      </c>
    </row>
    <row r="54" spans="2:7" x14ac:dyDescent="0.2">
      <c r="B54" s="452" t="s">
        <v>550</v>
      </c>
      <c r="C54" s="645">
        <f>'Capital Structure'!I53-Cost_of_Debt</f>
        <v>6.1311473086682632E-2</v>
      </c>
    </row>
    <row r="55" spans="2:7" x14ac:dyDescent="0.2">
      <c r="B55" s="452" t="s">
        <v>551</v>
      </c>
      <c r="C55" s="639">
        <f>C54*C50</f>
        <v>171140.65679922077</v>
      </c>
    </row>
    <row r="56" spans="2:7" x14ac:dyDescent="0.2">
      <c r="B56" s="452" t="s">
        <v>552</v>
      </c>
      <c r="C56" s="453">
        <f>C55*(0.21/(1-0.21))</f>
        <v>45493.085984602985</v>
      </c>
    </row>
    <row r="59" spans="2:7" x14ac:dyDescent="0.2">
      <c r="B59" s="494" t="s">
        <v>558</v>
      </c>
      <c r="C59" s="646"/>
    </row>
    <row r="60" spans="2:7" x14ac:dyDescent="0.2">
      <c r="B60" s="452" t="s">
        <v>559</v>
      </c>
      <c r="C60" s="647">
        <f>'Int Sync, NTG, Rev Req'!E41</f>
        <v>2.004008016032064E-3</v>
      </c>
      <c r="D60" s="648"/>
      <c r="F60" s="649"/>
      <c r="G60" s="649"/>
    </row>
    <row r="61" spans="2:7" x14ac:dyDescent="0.2">
      <c r="B61" s="452" t="s">
        <v>560</v>
      </c>
      <c r="C61" s="647">
        <f>'Int Sync, NTG, Rev Req'!E43</f>
        <v>5.0251256281407036E-3</v>
      </c>
      <c r="D61" s="648"/>
    </row>
    <row r="62" spans="2:7" x14ac:dyDescent="0.2">
      <c r="B62" s="452" t="s">
        <v>561</v>
      </c>
      <c r="C62" s="647">
        <f>'Int Sync, NTG, Rev Req'!E44</f>
        <v>5.2953006707310672E-2</v>
      </c>
      <c r="D62" s="648"/>
    </row>
    <row r="63" spans="2:7" x14ac:dyDescent="0.2">
      <c r="B63" s="452" t="s">
        <v>566</v>
      </c>
      <c r="C63" s="650">
        <f>SUM(C60:C62)</f>
        <v>5.9982140351483443E-2</v>
      </c>
      <c r="D63" s="647"/>
    </row>
    <row r="64" spans="2:7" x14ac:dyDescent="0.2">
      <c r="B64" s="452" t="s">
        <v>567</v>
      </c>
      <c r="C64" s="651">
        <f>C63/(1-C63)</f>
        <v>6.3809575249890949E-2</v>
      </c>
    </row>
    <row r="67" spans="2:15" x14ac:dyDescent="0.2">
      <c r="B67" s="494" t="s">
        <v>568</v>
      </c>
      <c r="C67" s="646"/>
    </row>
    <row r="68" spans="2:15" x14ac:dyDescent="0.2">
      <c r="B68" s="452" t="s">
        <v>579</v>
      </c>
      <c r="C68" s="453">
        <f>SUM(C7:C8)</f>
        <v>286044.39</v>
      </c>
    </row>
    <row r="69" spans="2:15" x14ac:dyDescent="0.2">
      <c r="B69" s="452" t="s">
        <v>580</v>
      </c>
      <c r="C69" s="453">
        <f>P10-C68</f>
        <v>629820.45318649907</v>
      </c>
    </row>
    <row r="70" spans="2:15" x14ac:dyDescent="0.2">
      <c r="B70" s="452" t="s">
        <v>581</v>
      </c>
      <c r="C70" s="474">
        <f>C68+C69</f>
        <v>915864.84318649909</v>
      </c>
    </row>
    <row r="71" spans="2:15" x14ac:dyDescent="0.2">
      <c r="B71" s="452" t="s">
        <v>569</v>
      </c>
      <c r="C71" s="453">
        <f>-C70*C63</f>
        <v>-54935.533567001963</v>
      </c>
    </row>
    <row r="72" spans="2:15" x14ac:dyDescent="0.2">
      <c r="B72" s="452" t="s">
        <v>570</v>
      </c>
      <c r="C72" s="453">
        <f>-P28</f>
        <v>-321950.04158008657</v>
      </c>
    </row>
    <row r="73" spans="2:15" x14ac:dyDescent="0.2">
      <c r="B73" s="452" t="s">
        <v>571</v>
      </c>
      <c r="C73" s="453">
        <f>-P30</f>
        <v>-255059.89529963874</v>
      </c>
    </row>
    <row r="74" spans="2:15" x14ac:dyDescent="0.2">
      <c r="B74" s="455" t="s">
        <v>573</v>
      </c>
      <c r="C74" s="474">
        <f>SUM(C70:C73)</f>
        <v>283919.37273977185</v>
      </c>
      <c r="D74" s="455"/>
      <c r="E74" s="455"/>
      <c r="F74" s="455"/>
      <c r="G74" s="455"/>
      <c r="H74" s="455"/>
      <c r="I74" s="455"/>
      <c r="J74" s="455"/>
      <c r="K74" s="455"/>
      <c r="L74" s="455"/>
      <c r="M74" s="455"/>
      <c r="N74" s="455"/>
      <c r="O74" s="455"/>
    </row>
    <row r="75" spans="2:15" x14ac:dyDescent="0.2">
      <c r="B75" s="452" t="s">
        <v>574</v>
      </c>
      <c r="C75" s="453">
        <f>-C50*Cost_of_Debt</f>
        <v>-69751.266656795488</v>
      </c>
    </row>
    <row r="76" spans="2:15" x14ac:dyDescent="0.2">
      <c r="B76" s="455" t="s">
        <v>577</v>
      </c>
      <c r="C76" s="474">
        <f>C74+C75</f>
        <v>214168.10608297636</v>
      </c>
      <c r="D76" s="455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</row>
    <row r="77" spans="2:15" x14ac:dyDescent="0.2">
      <c r="B77" s="452" t="s">
        <v>575</v>
      </c>
      <c r="C77" s="453">
        <f>-C76*0.21</f>
        <v>-44975.302277425035</v>
      </c>
    </row>
    <row r="78" spans="2:15" x14ac:dyDescent="0.2">
      <c r="B78" s="455" t="s">
        <v>576</v>
      </c>
      <c r="C78" s="474">
        <f>C76+C77</f>
        <v>169192.80380555132</v>
      </c>
      <c r="D78" s="455"/>
      <c r="E78" s="455"/>
      <c r="F78" s="455"/>
      <c r="G78" s="455"/>
      <c r="H78" s="455"/>
      <c r="I78" s="455"/>
      <c r="J78" s="455"/>
      <c r="K78" s="455"/>
      <c r="L78" s="455"/>
      <c r="M78" s="455"/>
      <c r="N78" s="455"/>
      <c r="O78" s="455"/>
    </row>
    <row r="79" spans="2:15" x14ac:dyDescent="0.2">
      <c r="B79" s="452" t="s">
        <v>578</v>
      </c>
      <c r="C79" s="453">
        <f>C55</f>
        <v>171140.65679922077</v>
      </c>
    </row>
    <row r="80" spans="2:15" x14ac:dyDescent="0.2">
      <c r="B80" s="452" t="s">
        <v>33</v>
      </c>
      <c r="C80" s="453">
        <f>P78-P79</f>
        <v>0</v>
      </c>
    </row>
    <row r="84" spans="2:3" x14ac:dyDescent="0.2">
      <c r="B84" s="494" t="s">
        <v>584</v>
      </c>
      <c r="C84" s="652"/>
    </row>
    <row r="85" spans="2:3" x14ac:dyDescent="0.2">
      <c r="B85" s="452" t="s">
        <v>178</v>
      </c>
      <c r="C85" s="453">
        <f>C50</f>
        <v>2791331.673881996</v>
      </c>
    </row>
    <row r="86" spans="2:3" x14ac:dyDescent="0.2">
      <c r="B86" s="452" t="s">
        <v>49</v>
      </c>
      <c r="C86" s="653">
        <f>Cost_of_Debt</f>
        <v>2.498852691331737E-2</v>
      </c>
    </row>
    <row r="87" spans="2:3" x14ac:dyDescent="0.2">
      <c r="B87" s="452" t="s">
        <v>585</v>
      </c>
      <c r="C87" s="453">
        <f>C85*C86</f>
        <v>69751.266656795488</v>
      </c>
    </row>
    <row r="88" spans="2:3" x14ac:dyDescent="0.2">
      <c r="B88" s="452" t="s">
        <v>586</v>
      </c>
      <c r="C88" s="653">
        <f>'Capital Structure'!I53</f>
        <v>8.6300000000000002E-2</v>
      </c>
    </row>
    <row r="89" spans="2:3" x14ac:dyDescent="0.2">
      <c r="B89" s="452" t="s">
        <v>572</v>
      </c>
      <c r="C89" s="453">
        <f>C85*C88</f>
        <v>240891.92345601626</v>
      </c>
    </row>
    <row r="90" spans="2:3" x14ac:dyDescent="0.2">
      <c r="B90" s="452" t="s">
        <v>587</v>
      </c>
      <c r="C90" s="453">
        <f>C89-C87</f>
        <v>171140.65679922077</v>
      </c>
    </row>
    <row r="91" spans="2:3" x14ac:dyDescent="0.2">
      <c r="B91" s="452" t="s">
        <v>527</v>
      </c>
      <c r="C91" s="453">
        <f>C90*(0.21/(1-0.21))</f>
        <v>45493.085984602985</v>
      </c>
    </row>
    <row r="92" spans="2:3" x14ac:dyDescent="0.2">
      <c r="B92" s="452" t="s">
        <v>588</v>
      </c>
      <c r="C92" s="639">
        <f>C90+C91</f>
        <v>216633.74278382375</v>
      </c>
    </row>
    <row r="93" spans="2:3" ht="3" customHeight="1" x14ac:dyDescent="0.2"/>
    <row r="94" spans="2:3" x14ac:dyDescent="0.2">
      <c r="B94" s="452" t="s">
        <v>589</v>
      </c>
    </row>
    <row r="96" spans="2:3" x14ac:dyDescent="0.2">
      <c r="B96" s="455" t="s">
        <v>429</v>
      </c>
    </row>
    <row r="97" spans="2:3" x14ac:dyDescent="0.2">
      <c r="B97" s="458" t="s">
        <v>598</v>
      </c>
      <c r="C97" s="457">
        <f>PFIS!I69</f>
        <v>2791331.673881996</v>
      </c>
    </row>
    <row r="98" spans="2:3" x14ac:dyDescent="0.2">
      <c r="B98" s="458" t="s">
        <v>49</v>
      </c>
      <c r="C98" s="654">
        <f>Cost_of_Debt</f>
        <v>2.498852691331737E-2</v>
      </c>
    </row>
    <row r="99" spans="2:3" x14ac:dyDescent="0.2">
      <c r="B99" s="458" t="s">
        <v>66</v>
      </c>
      <c r="C99" s="639">
        <f>C97*C98</f>
        <v>69751.266656795488</v>
      </c>
    </row>
    <row r="100" spans="2:3" x14ac:dyDescent="0.2">
      <c r="B100" s="458" t="s">
        <v>593</v>
      </c>
      <c r="C100" s="453">
        <f>PFIS!F47</f>
        <v>0</v>
      </c>
    </row>
    <row r="101" spans="2:3" x14ac:dyDescent="0.2">
      <c r="B101" s="458" t="s">
        <v>599</v>
      </c>
      <c r="C101" s="639">
        <f>C99-C100</f>
        <v>69751.266656795488</v>
      </c>
    </row>
    <row r="103" spans="2:3" x14ac:dyDescent="0.2">
      <c r="B103" s="455" t="s">
        <v>595</v>
      </c>
    </row>
    <row r="104" spans="2:3" x14ac:dyDescent="0.2">
      <c r="B104" s="458" t="s">
        <v>600</v>
      </c>
      <c r="C104" s="453">
        <f>PFIS!I46</f>
        <v>-300561.12892080029</v>
      </c>
    </row>
    <row r="105" spans="2:3" x14ac:dyDescent="0.2">
      <c r="B105" s="458" t="s">
        <v>66</v>
      </c>
      <c r="C105" s="453">
        <f>-C99</f>
        <v>-69751.266656795488</v>
      </c>
    </row>
    <row r="106" spans="2:3" x14ac:dyDescent="0.2">
      <c r="B106" s="458" t="s">
        <v>594</v>
      </c>
      <c r="C106" s="639">
        <f>C104+C105</f>
        <v>-370312.3955775958</v>
      </c>
    </row>
    <row r="107" spans="2:3" x14ac:dyDescent="0.2">
      <c r="B107" s="458" t="s">
        <v>596</v>
      </c>
      <c r="C107" s="453">
        <f>MAX(0,C106*0.21)</f>
        <v>0</v>
      </c>
    </row>
    <row r="108" spans="2:3" x14ac:dyDescent="0.2">
      <c r="B108" s="458" t="s">
        <v>597</v>
      </c>
      <c r="C108" s="457">
        <f>PFIS!F48</f>
        <v>-115643.17</v>
      </c>
    </row>
    <row r="110" spans="2:3" x14ac:dyDescent="0.2">
      <c r="B110" s="455" t="s">
        <v>218</v>
      </c>
    </row>
    <row r="111" spans="2:3" x14ac:dyDescent="0.2">
      <c r="B111" s="458" t="s">
        <v>598</v>
      </c>
      <c r="C111" s="457">
        <f>C97</f>
        <v>2791331.673881996</v>
      </c>
    </row>
    <row r="112" spans="2:3" x14ac:dyDescent="0.2">
      <c r="B112" s="458" t="s">
        <v>601</v>
      </c>
      <c r="C112" s="645">
        <f>'Capital Structure'!I53</f>
        <v>8.6300000000000002E-2</v>
      </c>
    </row>
    <row r="113" spans="2:4" x14ac:dyDescent="0.2">
      <c r="B113" s="458" t="s">
        <v>548</v>
      </c>
      <c r="C113" s="457">
        <f>C111*C112</f>
        <v>240891.92345601626</v>
      </c>
    </row>
    <row r="114" spans="2:4" x14ac:dyDescent="0.2">
      <c r="B114" s="458" t="s">
        <v>602</v>
      </c>
      <c r="C114" s="457">
        <f>SUM(PFIS!I18:I31,PFIS!I33:I35,PFIS!I37:I38,PFIS!I40:I43)</f>
        <v>577009.93687972531</v>
      </c>
    </row>
    <row r="115" spans="2:4" x14ac:dyDescent="0.2">
      <c r="B115" s="458" t="s">
        <v>603</v>
      </c>
      <c r="C115" s="464">
        <f>C113+C114</f>
        <v>817901.86033574154</v>
      </c>
    </row>
    <row r="116" spans="2:4" x14ac:dyDescent="0.2">
      <c r="B116" s="458" t="s">
        <v>604</v>
      </c>
      <c r="C116" s="453">
        <f>(C113-C99)*(0.21/(1-0.21))</f>
        <v>45493.085984602985</v>
      </c>
    </row>
    <row r="117" spans="2:4" x14ac:dyDescent="0.2">
      <c r="B117" s="458" t="s">
        <v>582</v>
      </c>
      <c r="C117" s="464">
        <f>C115+C116</f>
        <v>863394.94632034458</v>
      </c>
    </row>
    <row r="118" spans="2:4" x14ac:dyDescent="0.2">
      <c r="B118" s="458" t="s">
        <v>605</v>
      </c>
      <c r="C118" s="454">
        <f>SUM('Int Sync, NTG, Rev Req'!D42:D44,0.002)/(1-SUM('Int Sync, NTG, Rev Req'!D42:D44,0.002))</f>
        <v>6.077160526567027E-2</v>
      </c>
    </row>
    <row r="119" spans="2:4" x14ac:dyDescent="0.2">
      <c r="B119" s="458" t="s">
        <v>606</v>
      </c>
      <c r="C119" s="464">
        <f>C117*C118</f>
        <v>52469.896866154551</v>
      </c>
    </row>
    <row r="120" spans="2:4" x14ac:dyDescent="0.2">
      <c r="B120" s="458" t="s">
        <v>607</v>
      </c>
      <c r="C120" s="457">
        <f>C117+C119</f>
        <v>915864.84318649909</v>
      </c>
    </row>
    <row r="121" spans="2:4" x14ac:dyDescent="0.2">
      <c r="D121" s="473"/>
    </row>
    <row r="122" spans="2:4" x14ac:dyDescent="0.2">
      <c r="B122" s="458" t="s">
        <v>510</v>
      </c>
      <c r="C122" s="453">
        <f>C120*0.002</f>
        <v>1831.7296863729982</v>
      </c>
    </row>
    <row r="123" spans="2:4" x14ac:dyDescent="0.2">
      <c r="B123" s="458" t="s">
        <v>525</v>
      </c>
      <c r="C123" s="453">
        <f>C120*0.005</f>
        <v>4579.3242159324955</v>
      </c>
    </row>
    <row r="124" spans="2:4" x14ac:dyDescent="0.2">
      <c r="B124" s="458" t="s">
        <v>561</v>
      </c>
      <c r="C124" s="453">
        <f>C120*0.05029</f>
        <v>46058.842963849042</v>
      </c>
    </row>
    <row r="125" spans="2:4" x14ac:dyDescent="0.2">
      <c r="B125" s="458" t="s">
        <v>616</v>
      </c>
      <c r="C125" s="474">
        <f>SUM(C122:C124)</f>
        <v>52469.896866154537</v>
      </c>
    </row>
  </sheetData>
  <mergeCells count="1">
    <mergeCell ref="M2:M3"/>
  </mergeCells>
  <conditionalFormatting sqref="C80">
    <cfRule type="cellIs" dxfId="2" priority="3" operator="equal">
      <formula>0</formula>
    </cfRule>
  </conditionalFormatting>
  <conditionalFormatting sqref="R7:R9">
    <cfRule type="cellIs" dxfId="1" priority="2" operator="equal">
      <formula>0</formula>
    </cfRule>
  </conditionalFormatting>
  <conditionalFormatting sqref="R13:R48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ignoredErrors>
    <ignoredError sqref="C85:C94 C119:C125 C95:C115 E2:J2" unlockedFormula="1"/>
    <ignoredError sqref="C117" formula="1" unlockedFormula="1"/>
    <ignoredError sqref="C118" formula="1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/>
  <dimension ref="B1:O56"/>
  <sheetViews>
    <sheetView showGridLines="0" topLeftCell="G1" workbookViewId="0">
      <selection activeCell="M35" sqref="M35"/>
    </sheetView>
  </sheetViews>
  <sheetFormatPr defaultColWidth="3.21875" defaultRowHeight="15.75" x14ac:dyDescent="0.25"/>
  <cols>
    <col min="1" max="1" width="3.21875" style="101"/>
    <col min="2" max="2" width="13" style="101" bestFit="1" customWidth="1"/>
    <col min="3" max="3" width="15.33203125" style="101" customWidth="1"/>
    <col min="4" max="6" width="10.5546875" style="101" customWidth="1"/>
    <col min="7" max="7" width="3.88671875" style="101" customWidth="1"/>
    <col min="8" max="9" width="6.109375" style="101" customWidth="1"/>
    <col min="10" max="10" width="30" style="101" bestFit="1" customWidth="1"/>
    <col min="11" max="11" width="17.5546875" style="101" bestFit="1" customWidth="1"/>
    <col min="12" max="12" width="16.21875" style="101" bestFit="1" customWidth="1"/>
    <col min="13" max="13" width="14.44140625" style="101" bestFit="1" customWidth="1"/>
    <col min="14" max="14" width="3.21875" style="101"/>
    <col min="15" max="15" width="40.44140625" style="101" bestFit="1" customWidth="1"/>
    <col min="16" max="16384" width="3.21875" style="101"/>
  </cols>
  <sheetData>
    <row r="1" spans="2:15" ht="16.5" thickBot="1" x14ac:dyDescent="0.3">
      <c r="G1" s="398"/>
      <c r="N1" s="398"/>
    </row>
    <row r="2" spans="2:15" ht="15.75" customHeight="1" x14ac:dyDescent="0.25">
      <c r="B2" s="743" t="s">
        <v>490</v>
      </c>
      <c r="C2" s="744"/>
      <c r="D2" s="744"/>
      <c r="E2" s="744"/>
      <c r="F2" s="745"/>
      <c r="G2" s="398"/>
      <c r="H2" s="765" t="s">
        <v>165</v>
      </c>
      <c r="I2" s="766"/>
      <c r="J2" s="766"/>
      <c r="K2" s="766"/>
      <c r="L2" s="766"/>
      <c r="M2" s="767"/>
      <c r="N2" s="398"/>
      <c r="O2" s="749" t="s">
        <v>415</v>
      </c>
    </row>
    <row r="3" spans="2:15" ht="15.75" customHeight="1" thickBot="1" x14ac:dyDescent="0.3">
      <c r="B3" s="746"/>
      <c r="C3" s="747"/>
      <c r="D3" s="747"/>
      <c r="E3" s="747"/>
      <c r="F3" s="748"/>
      <c r="G3" s="398"/>
      <c r="H3" s="768"/>
      <c r="I3" s="769"/>
      <c r="J3" s="769"/>
      <c r="K3" s="769"/>
      <c r="L3" s="769"/>
      <c r="M3" s="770"/>
      <c r="N3" s="398"/>
      <c r="O3" s="750"/>
    </row>
    <row r="4" spans="2:15" x14ac:dyDescent="0.25">
      <c r="B4" s="125"/>
      <c r="C4" s="126"/>
      <c r="D4" s="730" t="s">
        <v>340</v>
      </c>
      <c r="E4" s="731"/>
      <c r="F4" s="732"/>
      <c r="G4" s="398"/>
      <c r="H4" s="733" t="s">
        <v>170</v>
      </c>
      <c r="I4" s="734"/>
      <c r="J4" s="737" t="s">
        <v>138</v>
      </c>
      <c r="K4" s="733" t="s">
        <v>168</v>
      </c>
      <c r="L4" s="728" t="s">
        <v>166</v>
      </c>
      <c r="M4" s="728" t="s">
        <v>208</v>
      </c>
      <c r="N4" s="398"/>
      <c r="O4" s="399" t="s">
        <v>406</v>
      </c>
    </row>
    <row r="5" spans="2:15" x14ac:dyDescent="0.25">
      <c r="B5" s="275"/>
      <c r="C5" s="276"/>
      <c r="D5" s="278">
        <f>5/8</f>
        <v>0.625</v>
      </c>
      <c r="E5" s="277">
        <f>3/4</f>
        <v>0.75</v>
      </c>
      <c r="F5" s="279">
        <f>1</f>
        <v>1</v>
      </c>
      <c r="G5" s="398"/>
      <c r="H5" s="735"/>
      <c r="I5" s="736"/>
      <c r="J5" s="738"/>
      <c r="K5" s="735"/>
      <c r="L5" s="729"/>
      <c r="M5" s="729"/>
      <c r="N5" s="398"/>
      <c r="O5" s="400" t="s">
        <v>411</v>
      </c>
    </row>
    <row r="6" spans="2:15" ht="15" customHeight="1" thickBot="1" x14ac:dyDescent="0.3">
      <c r="B6" s="288" t="s">
        <v>389</v>
      </c>
      <c r="C6" s="291" t="s">
        <v>253</v>
      </c>
      <c r="D6" s="280" t="s">
        <v>390</v>
      </c>
      <c r="E6" s="281" t="s">
        <v>391</v>
      </c>
      <c r="F6" s="281" t="s">
        <v>392</v>
      </c>
      <c r="G6" s="398"/>
      <c r="H6" s="739" t="s">
        <v>169</v>
      </c>
      <c r="I6" s="740"/>
      <c r="J6" s="70" t="s">
        <v>137</v>
      </c>
      <c r="K6" s="388" t="s">
        <v>167</v>
      </c>
      <c r="L6" s="71" t="s">
        <v>96</v>
      </c>
      <c r="M6" s="72" t="s">
        <v>136</v>
      </c>
      <c r="N6" s="398"/>
      <c r="O6" s="401" t="s">
        <v>416</v>
      </c>
    </row>
    <row r="7" spans="2:15" x14ac:dyDescent="0.25">
      <c r="B7" s="289">
        <v>0.625</v>
      </c>
      <c r="C7" s="103">
        <v>20</v>
      </c>
      <c r="D7" s="282">
        <f t="shared" ref="D7:D21" si="0">C7/$C$7</f>
        <v>1</v>
      </c>
      <c r="E7" s="283">
        <f t="shared" ref="E7:E21" si="1">D7/$D$8</f>
        <v>0.66666666666666663</v>
      </c>
      <c r="F7" s="283">
        <f t="shared" ref="F7:F21" si="2">D7/$D$9</f>
        <v>0.4</v>
      </c>
      <c r="G7" s="398"/>
      <c r="H7" s="741">
        <v>301</v>
      </c>
      <c r="I7" s="742"/>
      <c r="J7" s="73" t="s">
        <v>135</v>
      </c>
      <c r="K7" s="74">
        <v>9.9999999999999901E+299</v>
      </c>
      <c r="L7" s="75"/>
      <c r="M7" s="76" t="s">
        <v>132</v>
      </c>
      <c r="N7" s="398"/>
      <c r="O7" s="402" t="s">
        <v>414</v>
      </c>
    </row>
    <row r="8" spans="2:15" x14ac:dyDescent="0.25">
      <c r="B8" s="290">
        <v>0.75</v>
      </c>
      <c r="C8" s="103">
        <v>30</v>
      </c>
      <c r="D8" s="284">
        <f t="shared" si="0"/>
        <v>1.5</v>
      </c>
      <c r="E8" s="285">
        <f t="shared" si="1"/>
        <v>1</v>
      </c>
      <c r="F8" s="285">
        <f t="shared" si="2"/>
        <v>0.6</v>
      </c>
      <c r="G8" s="398"/>
      <c r="H8" s="741">
        <v>302</v>
      </c>
      <c r="I8" s="742"/>
      <c r="J8" s="73" t="s">
        <v>134</v>
      </c>
      <c r="K8" s="74">
        <v>9.9999999999999901E+299</v>
      </c>
      <c r="L8" s="75"/>
      <c r="M8" s="76" t="s">
        <v>132</v>
      </c>
      <c r="N8" s="398"/>
      <c r="O8" s="403" t="s">
        <v>413</v>
      </c>
    </row>
    <row r="9" spans="2:15" ht="16.5" thickBot="1" x14ac:dyDescent="0.3">
      <c r="B9" s="290">
        <v>1</v>
      </c>
      <c r="C9" s="103">
        <v>50</v>
      </c>
      <c r="D9" s="284">
        <f t="shared" si="0"/>
        <v>2.5</v>
      </c>
      <c r="E9" s="285">
        <f t="shared" si="1"/>
        <v>1.6666666666666667</v>
      </c>
      <c r="F9" s="285">
        <f t="shared" si="2"/>
        <v>1</v>
      </c>
      <c r="G9" s="398"/>
      <c r="H9" s="741">
        <v>303</v>
      </c>
      <c r="I9" s="742"/>
      <c r="J9" s="73" t="s">
        <v>133</v>
      </c>
      <c r="K9" s="74">
        <v>9.9999999999999901E+299</v>
      </c>
      <c r="L9" s="75"/>
      <c r="M9" s="76" t="s">
        <v>132</v>
      </c>
      <c r="N9" s="398"/>
      <c r="O9" s="404" t="s">
        <v>412</v>
      </c>
    </row>
    <row r="10" spans="2:15" x14ac:dyDescent="0.25">
      <c r="B10" s="290">
        <v>1.5</v>
      </c>
      <c r="C10" s="103">
        <v>100</v>
      </c>
      <c r="D10" s="284">
        <f t="shared" si="0"/>
        <v>5</v>
      </c>
      <c r="E10" s="285">
        <f t="shared" si="1"/>
        <v>3.3333333333333335</v>
      </c>
      <c r="F10" s="285">
        <f t="shared" si="2"/>
        <v>2</v>
      </c>
      <c r="G10" s="398"/>
      <c r="H10" s="741">
        <v>304</v>
      </c>
      <c r="I10" s="742"/>
      <c r="J10" s="73" t="s">
        <v>111</v>
      </c>
      <c r="K10" s="387">
        <v>35</v>
      </c>
      <c r="L10" s="75"/>
      <c r="M10" s="77">
        <v>2.86E-2</v>
      </c>
      <c r="N10" s="398"/>
      <c r="O10" s="304"/>
    </row>
    <row r="11" spans="2:15" x14ac:dyDescent="0.25">
      <c r="B11" s="290">
        <v>2</v>
      </c>
      <c r="C11" s="103">
        <v>160</v>
      </c>
      <c r="D11" s="284">
        <f t="shared" si="0"/>
        <v>8</v>
      </c>
      <c r="E11" s="285">
        <f t="shared" si="1"/>
        <v>5.333333333333333</v>
      </c>
      <c r="F11" s="285">
        <f t="shared" si="2"/>
        <v>3.2</v>
      </c>
      <c r="G11" s="398"/>
      <c r="H11" s="741">
        <v>305</v>
      </c>
      <c r="I11" s="742"/>
      <c r="J11" s="73" t="s">
        <v>131</v>
      </c>
      <c r="K11" s="387">
        <v>50</v>
      </c>
      <c r="L11" s="75"/>
      <c r="M11" s="77">
        <v>0.02</v>
      </c>
      <c r="N11" s="398"/>
    </row>
    <row r="12" spans="2:15" x14ac:dyDescent="0.25">
      <c r="B12" s="290">
        <v>3</v>
      </c>
      <c r="C12" s="103">
        <v>300</v>
      </c>
      <c r="D12" s="284">
        <f t="shared" si="0"/>
        <v>15</v>
      </c>
      <c r="E12" s="285">
        <f t="shared" si="1"/>
        <v>10</v>
      </c>
      <c r="F12" s="285">
        <f t="shared" si="2"/>
        <v>6</v>
      </c>
      <c r="G12" s="398"/>
      <c r="H12" s="741">
        <v>306</v>
      </c>
      <c r="I12" s="742"/>
      <c r="J12" s="73" t="s">
        <v>130</v>
      </c>
      <c r="K12" s="387">
        <v>35</v>
      </c>
      <c r="L12" s="75"/>
      <c r="M12" s="77">
        <v>2.76E-2</v>
      </c>
      <c r="N12" s="398"/>
    </row>
    <row r="13" spans="2:15" x14ac:dyDescent="0.25">
      <c r="B13" s="290">
        <v>4</v>
      </c>
      <c r="C13" s="103">
        <v>500</v>
      </c>
      <c r="D13" s="284">
        <f t="shared" si="0"/>
        <v>25</v>
      </c>
      <c r="E13" s="285">
        <f t="shared" si="1"/>
        <v>16.666666666666668</v>
      </c>
      <c r="F13" s="285">
        <f t="shared" si="2"/>
        <v>10</v>
      </c>
      <c r="G13" s="398"/>
      <c r="H13" s="741">
        <v>307</v>
      </c>
      <c r="I13" s="742"/>
      <c r="J13" s="73" t="s">
        <v>129</v>
      </c>
      <c r="K13" s="387">
        <v>25</v>
      </c>
      <c r="L13" s="75"/>
      <c r="M13" s="77">
        <v>0.04</v>
      </c>
      <c r="N13" s="398"/>
    </row>
    <row r="14" spans="2:15" x14ac:dyDescent="0.25">
      <c r="B14" s="290">
        <v>6</v>
      </c>
      <c r="C14" s="103">
        <v>1000</v>
      </c>
      <c r="D14" s="284">
        <f t="shared" si="0"/>
        <v>50</v>
      </c>
      <c r="E14" s="285">
        <f t="shared" si="1"/>
        <v>33.333333333333336</v>
      </c>
      <c r="F14" s="285">
        <f t="shared" si="2"/>
        <v>20</v>
      </c>
      <c r="G14" s="398"/>
      <c r="H14" s="741">
        <v>308</v>
      </c>
      <c r="I14" s="742"/>
      <c r="J14" s="73" t="s">
        <v>128</v>
      </c>
      <c r="K14" s="387">
        <v>25</v>
      </c>
      <c r="L14" s="75"/>
      <c r="M14" s="77">
        <v>0.04</v>
      </c>
      <c r="N14" s="398"/>
    </row>
    <row r="15" spans="2:15" x14ac:dyDescent="0.25">
      <c r="B15" s="290">
        <v>8</v>
      </c>
      <c r="C15" s="103">
        <v>1600</v>
      </c>
      <c r="D15" s="284">
        <f t="shared" si="0"/>
        <v>80</v>
      </c>
      <c r="E15" s="285">
        <f t="shared" si="1"/>
        <v>53.333333333333336</v>
      </c>
      <c r="F15" s="285">
        <f t="shared" si="2"/>
        <v>32</v>
      </c>
      <c r="G15" s="398"/>
      <c r="H15" s="741">
        <v>309</v>
      </c>
      <c r="I15" s="742"/>
      <c r="J15" s="73" t="s">
        <v>127</v>
      </c>
      <c r="K15" s="387">
        <v>50</v>
      </c>
      <c r="L15" s="75"/>
      <c r="M15" s="77">
        <v>0.02</v>
      </c>
      <c r="N15" s="398"/>
    </row>
    <row r="16" spans="2:15" x14ac:dyDescent="0.25">
      <c r="B16" s="290">
        <v>10</v>
      </c>
      <c r="C16" s="103">
        <v>2300</v>
      </c>
      <c r="D16" s="284">
        <f t="shared" si="0"/>
        <v>115</v>
      </c>
      <c r="E16" s="285">
        <f t="shared" si="1"/>
        <v>76.666666666666671</v>
      </c>
      <c r="F16" s="285">
        <f t="shared" si="2"/>
        <v>46</v>
      </c>
      <c r="G16" s="398"/>
      <c r="H16" s="741">
        <v>310</v>
      </c>
      <c r="I16" s="742"/>
      <c r="J16" s="73" t="s">
        <v>126</v>
      </c>
      <c r="K16" s="387">
        <v>10</v>
      </c>
      <c r="L16" s="75"/>
      <c r="M16" s="77">
        <v>0.1</v>
      </c>
      <c r="N16" s="398"/>
    </row>
    <row r="17" spans="2:14" x14ac:dyDescent="0.25">
      <c r="B17" s="290">
        <v>12</v>
      </c>
      <c r="C17" s="103">
        <v>4300</v>
      </c>
      <c r="D17" s="284">
        <f t="shared" si="0"/>
        <v>215</v>
      </c>
      <c r="E17" s="285">
        <f t="shared" si="1"/>
        <v>143.33333333333334</v>
      </c>
      <c r="F17" s="285">
        <f t="shared" si="2"/>
        <v>86</v>
      </c>
      <c r="G17" s="398"/>
      <c r="H17" s="741"/>
      <c r="I17" s="742"/>
      <c r="J17" s="73"/>
      <c r="K17" s="387"/>
      <c r="L17" s="75"/>
      <c r="M17" s="76"/>
      <c r="N17" s="398"/>
    </row>
    <row r="18" spans="2:14" x14ac:dyDescent="0.25">
      <c r="B18" s="290">
        <v>14</v>
      </c>
      <c r="C18" s="102">
        <v>6400</v>
      </c>
      <c r="D18" s="286">
        <f t="shared" si="0"/>
        <v>320</v>
      </c>
      <c r="E18" s="287">
        <f t="shared" si="1"/>
        <v>213.33333333333334</v>
      </c>
      <c r="F18" s="287">
        <f t="shared" si="2"/>
        <v>128</v>
      </c>
      <c r="G18" s="398"/>
      <c r="H18" s="741"/>
      <c r="I18" s="742"/>
      <c r="J18" s="70" t="s">
        <v>125</v>
      </c>
      <c r="K18" s="387"/>
      <c r="L18" s="75"/>
      <c r="M18" s="76"/>
      <c r="N18" s="398"/>
    </row>
    <row r="19" spans="2:14" x14ac:dyDescent="0.25">
      <c r="B19" s="290">
        <v>16</v>
      </c>
      <c r="C19" s="102">
        <v>9160</v>
      </c>
      <c r="D19" s="286">
        <f t="shared" si="0"/>
        <v>458</v>
      </c>
      <c r="E19" s="287">
        <f t="shared" si="1"/>
        <v>305.33333333333331</v>
      </c>
      <c r="F19" s="287">
        <f t="shared" si="2"/>
        <v>183.2</v>
      </c>
      <c r="G19" s="398"/>
      <c r="H19" s="741">
        <v>304</v>
      </c>
      <c r="I19" s="742"/>
      <c r="J19" s="73" t="s">
        <v>111</v>
      </c>
      <c r="K19" s="387">
        <v>35</v>
      </c>
      <c r="L19" s="75"/>
      <c r="M19" s="77">
        <v>2.86E-2</v>
      </c>
      <c r="N19" s="398"/>
    </row>
    <row r="20" spans="2:14" x14ac:dyDescent="0.25">
      <c r="B20" s="290">
        <v>18</v>
      </c>
      <c r="C20" s="102">
        <v>14650</v>
      </c>
      <c r="D20" s="286">
        <f t="shared" si="0"/>
        <v>732.5</v>
      </c>
      <c r="E20" s="287">
        <f t="shared" si="1"/>
        <v>488.33333333333331</v>
      </c>
      <c r="F20" s="287">
        <f t="shared" si="2"/>
        <v>293</v>
      </c>
      <c r="G20" s="398"/>
      <c r="H20" s="741">
        <v>311</v>
      </c>
      <c r="I20" s="742"/>
      <c r="J20" s="73" t="s">
        <v>124</v>
      </c>
      <c r="K20" s="387">
        <v>20</v>
      </c>
      <c r="L20" s="75"/>
      <c r="M20" s="78">
        <v>0.05</v>
      </c>
      <c r="N20" s="398"/>
    </row>
    <row r="21" spans="2:14" x14ac:dyDescent="0.25">
      <c r="B21" s="290">
        <v>20</v>
      </c>
      <c r="C21" s="102">
        <v>18500</v>
      </c>
      <c r="D21" s="286">
        <f t="shared" si="0"/>
        <v>925</v>
      </c>
      <c r="E21" s="287">
        <f t="shared" si="1"/>
        <v>616.66666666666663</v>
      </c>
      <c r="F21" s="287">
        <f t="shared" si="2"/>
        <v>370</v>
      </c>
      <c r="G21" s="398"/>
      <c r="H21" s="741">
        <v>311</v>
      </c>
      <c r="I21" s="742"/>
      <c r="J21" s="73" t="s">
        <v>123</v>
      </c>
      <c r="K21" s="387">
        <v>25</v>
      </c>
      <c r="L21" s="75"/>
      <c r="M21" s="78">
        <v>0.04</v>
      </c>
      <c r="N21" s="398"/>
    </row>
    <row r="22" spans="2:14" x14ac:dyDescent="0.25">
      <c r="G22" s="398"/>
      <c r="H22" s="741"/>
      <c r="I22" s="742"/>
      <c r="J22" s="73"/>
      <c r="K22" s="387"/>
      <c r="L22" s="75"/>
      <c r="M22" s="76"/>
      <c r="N22" s="398"/>
    </row>
    <row r="23" spans="2:14" x14ac:dyDescent="0.25">
      <c r="G23" s="398"/>
      <c r="H23" s="741"/>
      <c r="I23" s="742"/>
      <c r="J23" s="70" t="s">
        <v>122</v>
      </c>
      <c r="K23" s="387"/>
      <c r="L23" s="75"/>
      <c r="M23" s="76"/>
      <c r="N23" s="398"/>
    </row>
    <row r="24" spans="2:14" x14ac:dyDescent="0.25">
      <c r="G24" s="398"/>
      <c r="H24" s="741">
        <v>304</v>
      </c>
      <c r="I24" s="742"/>
      <c r="J24" s="73" t="s">
        <v>111</v>
      </c>
      <c r="K24" s="387">
        <v>35</v>
      </c>
      <c r="L24" s="75"/>
      <c r="M24" s="77">
        <v>2.86E-2</v>
      </c>
      <c r="N24" s="398"/>
    </row>
    <row r="25" spans="2:14" x14ac:dyDescent="0.25">
      <c r="G25" s="398"/>
      <c r="H25" s="741">
        <v>320</v>
      </c>
      <c r="I25" s="742"/>
      <c r="J25" s="73" t="s">
        <v>121</v>
      </c>
      <c r="K25" s="387">
        <v>20</v>
      </c>
      <c r="L25" s="75"/>
      <c r="M25" s="77">
        <v>0.05</v>
      </c>
      <c r="N25" s="398"/>
    </row>
    <row r="26" spans="2:14" x14ac:dyDescent="0.25">
      <c r="G26" s="398"/>
      <c r="H26" s="741"/>
      <c r="I26" s="742"/>
      <c r="J26" s="73"/>
      <c r="K26" s="387"/>
      <c r="L26" s="75"/>
      <c r="M26" s="76"/>
      <c r="N26" s="398"/>
    </row>
    <row r="27" spans="2:14" x14ac:dyDescent="0.25">
      <c r="G27" s="398"/>
      <c r="H27" s="741"/>
      <c r="I27" s="742"/>
      <c r="J27" s="70" t="s">
        <v>120</v>
      </c>
      <c r="K27" s="387"/>
      <c r="L27" s="75"/>
      <c r="M27" s="76"/>
      <c r="N27" s="398"/>
    </row>
    <row r="28" spans="2:14" x14ac:dyDescent="0.25">
      <c r="G28" s="398"/>
      <c r="H28" s="741">
        <v>304</v>
      </c>
      <c r="I28" s="742"/>
      <c r="J28" s="73" t="s">
        <v>111</v>
      </c>
      <c r="K28" s="387">
        <v>35</v>
      </c>
      <c r="L28" s="75"/>
      <c r="M28" s="77">
        <v>2.86E-2</v>
      </c>
      <c r="N28" s="398"/>
    </row>
    <row r="29" spans="2:14" x14ac:dyDescent="0.25">
      <c r="G29" s="398"/>
      <c r="H29" s="741">
        <v>330</v>
      </c>
      <c r="I29" s="742"/>
      <c r="J29" s="73" t="s">
        <v>119</v>
      </c>
      <c r="K29" s="387">
        <v>30</v>
      </c>
      <c r="L29" s="75"/>
      <c r="M29" s="77">
        <v>3.3300000000000003E-2</v>
      </c>
      <c r="N29" s="398"/>
    </row>
    <row r="30" spans="2:14" x14ac:dyDescent="0.25">
      <c r="G30" s="398"/>
      <c r="H30" s="741">
        <v>331</v>
      </c>
      <c r="I30" s="742"/>
      <c r="J30" s="73" t="s">
        <v>118</v>
      </c>
      <c r="K30" s="387">
        <v>50</v>
      </c>
      <c r="L30" s="75"/>
      <c r="M30" s="77">
        <v>0.02</v>
      </c>
      <c r="N30" s="398"/>
    </row>
    <row r="31" spans="2:14" x14ac:dyDescent="0.25">
      <c r="G31" s="398"/>
      <c r="H31" s="741">
        <v>331</v>
      </c>
      <c r="I31" s="742"/>
      <c r="J31" s="73" t="s">
        <v>117</v>
      </c>
      <c r="K31" s="387">
        <v>50</v>
      </c>
      <c r="L31" s="75"/>
      <c r="M31" s="77">
        <v>0.02</v>
      </c>
      <c r="N31" s="398"/>
    </row>
    <row r="32" spans="2:14" x14ac:dyDescent="0.25">
      <c r="G32" s="398"/>
      <c r="H32" s="741">
        <v>333</v>
      </c>
      <c r="I32" s="742"/>
      <c r="J32" s="73" t="s">
        <v>116</v>
      </c>
      <c r="K32" s="387">
        <v>30</v>
      </c>
      <c r="L32" s="75"/>
      <c r="M32" s="77">
        <v>3.3300000000000003E-2</v>
      </c>
      <c r="N32" s="398"/>
    </row>
    <row r="33" spans="7:14" x14ac:dyDescent="0.25">
      <c r="G33" s="398"/>
      <c r="H33" s="741">
        <v>334</v>
      </c>
      <c r="I33" s="742"/>
      <c r="J33" s="73" t="s">
        <v>115</v>
      </c>
      <c r="K33" s="387">
        <v>20</v>
      </c>
      <c r="L33" s="75"/>
      <c r="M33" s="77">
        <v>0.05</v>
      </c>
      <c r="N33" s="398"/>
    </row>
    <row r="34" spans="7:14" x14ac:dyDescent="0.25">
      <c r="G34" s="398"/>
      <c r="H34" s="741">
        <v>334</v>
      </c>
      <c r="I34" s="742"/>
      <c r="J34" s="73" t="s">
        <v>114</v>
      </c>
      <c r="K34" s="387">
        <v>30</v>
      </c>
      <c r="L34" s="75"/>
      <c r="M34" s="77">
        <v>3.3300000000000003E-2</v>
      </c>
      <c r="N34" s="398"/>
    </row>
    <row r="35" spans="7:14" x14ac:dyDescent="0.25">
      <c r="G35" s="398"/>
      <c r="H35" s="741">
        <v>335</v>
      </c>
      <c r="I35" s="742"/>
      <c r="J35" s="73" t="s">
        <v>113</v>
      </c>
      <c r="K35" s="387">
        <v>40</v>
      </c>
      <c r="L35" s="75"/>
      <c r="M35" s="77">
        <v>2.5000000000000001E-2</v>
      </c>
      <c r="N35" s="398"/>
    </row>
    <row r="36" spans="7:14" x14ac:dyDescent="0.25">
      <c r="G36" s="398"/>
      <c r="H36" s="741"/>
      <c r="I36" s="742"/>
      <c r="J36" s="73"/>
      <c r="K36" s="387"/>
      <c r="L36" s="75"/>
      <c r="M36" s="76"/>
      <c r="N36" s="398"/>
    </row>
    <row r="37" spans="7:14" x14ac:dyDescent="0.25">
      <c r="G37" s="398"/>
      <c r="H37" s="741"/>
      <c r="I37" s="742"/>
      <c r="J37" s="70" t="s">
        <v>112</v>
      </c>
      <c r="K37" s="387"/>
      <c r="L37" s="75"/>
      <c r="M37" s="76"/>
      <c r="N37" s="398"/>
    </row>
    <row r="38" spans="7:14" x14ac:dyDescent="0.25">
      <c r="G38" s="398"/>
      <c r="H38" s="741">
        <v>304</v>
      </c>
      <c r="I38" s="742"/>
      <c r="J38" s="73" t="s">
        <v>111</v>
      </c>
      <c r="K38" s="387">
        <v>35</v>
      </c>
      <c r="L38" s="75"/>
      <c r="M38" s="77">
        <v>2.86E-2</v>
      </c>
      <c r="N38" s="398"/>
    </row>
    <row r="39" spans="7:14" x14ac:dyDescent="0.25">
      <c r="G39" s="398"/>
      <c r="H39" s="741">
        <v>339</v>
      </c>
      <c r="I39" s="742"/>
      <c r="J39" s="73" t="s">
        <v>110</v>
      </c>
      <c r="K39" s="387">
        <v>40</v>
      </c>
      <c r="L39" s="75"/>
      <c r="M39" s="77">
        <v>2.5000000000000001E-2</v>
      </c>
      <c r="N39" s="398"/>
    </row>
    <row r="40" spans="7:14" x14ac:dyDescent="0.25">
      <c r="G40" s="398"/>
      <c r="H40" s="741">
        <v>340</v>
      </c>
      <c r="I40" s="742"/>
      <c r="J40" s="73" t="s">
        <v>109</v>
      </c>
      <c r="K40" s="387">
        <v>20</v>
      </c>
      <c r="L40" s="75"/>
      <c r="M40" s="77">
        <v>0.05</v>
      </c>
      <c r="N40" s="398"/>
    </row>
    <row r="41" spans="7:14" x14ac:dyDescent="0.25">
      <c r="G41" s="398"/>
      <c r="H41" s="741">
        <v>340</v>
      </c>
      <c r="I41" s="742"/>
      <c r="J41" s="73" t="s">
        <v>172</v>
      </c>
      <c r="K41" s="387">
        <v>5</v>
      </c>
      <c r="L41" s="75"/>
      <c r="M41" s="78">
        <v>0.2</v>
      </c>
      <c r="N41" s="398"/>
    </row>
    <row r="42" spans="7:14" x14ac:dyDescent="0.25">
      <c r="G42" s="398"/>
      <c r="H42" s="741">
        <v>341</v>
      </c>
      <c r="I42" s="742"/>
      <c r="J42" s="73" t="s">
        <v>108</v>
      </c>
      <c r="K42" s="387">
        <v>7</v>
      </c>
      <c r="L42" s="75"/>
      <c r="M42" s="78">
        <v>0.14299999999999999</v>
      </c>
      <c r="N42" s="398"/>
    </row>
    <row r="43" spans="7:14" x14ac:dyDescent="0.25">
      <c r="G43" s="398"/>
      <c r="H43" s="741">
        <v>342</v>
      </c>
      <c r="I43" s="742"/>
      <c r="J43" s="73" t="s">
        <v>107</v>
      </c>
      <c r="K43" s="387">
        <v>20</v>
      </c>
      <c r="L43" s="75"/>
      <c r="M43" s="78">
        <v>0.05</v>
      </c>
      <c r="N43" s="398"/>
    </row>
    <row r="44" spans="7:14" x14ac:dyDescent="0.25">
      <c r="G44" s="398"/>
      <c r="H44" s="741">
        <v>343</v>
      </c>
      <c r="I44" s="742"/>
      <c r="J44" s="73" t="s">
        <v>106</v>
      </c>
      <c r="K44" s="387">
        <v>15</v>
      </c>
      <c r="L44" s="75"/>
      <c r="M44" s="77">
        <v>6.6699999999999995E-2</v>
      </c>
      <c r="N44" s="398"/>
    </row>
    <row r="45" spans="7:14" x14ac:dyDescent="0.25">
      <c r="G45" s="398"/>
      <c r="H45" s="741">
        <v>344</v>
      </c>
      <c r="I45" s="742"/>
      <c r="J45" s="73" t="s">
        <v>105</v>
      </c>
      <c r="K45" s="387">
        <v>15</v>
      </c>
      <c r="L45" s="75"/>
      <c r="M45" s="77">
        <v>6.6699999999999995E-2</v>
      </c>
      <c r="N45" s="398"/>
    </row>
    <row r="46" spans="7:14" x14ac:dyDescent="0.25">
      <c r="G46" s="398"/>
      <c r="H46" s="741">
        <v>345</v>
      </c>
      <c r="I46" s="742"/>
      <c r="J46" s="73" t="s">
        <v>104</v>
      </c>
      <c r="K46" s="387">
        <v>10</v>
      </c>
      <c r="L46" s="75"/>
      <c r="M46" s="77">
        <v>0.1</v>
      </c>
      <c r="N46" s="398"/>
    </row>
    <row r="47" spans="7:14" x14ac:dyDescent="0.25">
      <c r="G47" s="398"/>
      <c r="H47" s="741">
        <v>346</v>
      </c>
      <c r="I47" s="742"/>
      <c r="J47" s="73" t="s">
        <v>103</v>
      </c>
      <c r="K47" s="387">
        <v>10</v>
      </c>
      <c r="L47" s="75"/>
      <c r="M47" s="78">
        <v>0.1</v>
      </c>
      <c r="N47" s="398"/>
    </row>
    <row r="48" spans="7:14" x14ac:dyDescent="0.25">
      <c r="G48" s="398"/>
      <c r="H48" s="741">
        <v>347</v>
      </c>
      <c r="I48" s="742"/>
      <c r="J48" s="73" t="s">
        <v>102</v>
      </c>
      <c r="K48" s="387">
        <v>10</v>
      </c>
      <c r="L48" s="75"/>
      <c r="M48" s="78">
        <v>0.1</v>
      </c>
      <c r="N48" s="398"/>
    </row>
    <row r="49" spans="7:14" x14ac:dyDescent="0.25">
      <c r="G49" s="398"/>
      <c r="H49" s="741">
        <v>348</v>
      </c>
      <c r="I49" s="742"/>
      <c r="J49" s="73" t="s">
        <v>101</v>
      </c>
      <c r="K49" s="387">
        <v>10</v>
      </c>
      <c r="L49" s="75"/>
      <c r="M49" s="78">
        <v>0.1</v>
      </c>
      <c r="N49" s="398"/>
    </row>
    <row r="50" spans="7:14" x14ac:dyDescent="0.25">
      <c r="G50" s="398"/>
      <c r="H50" s="741">
        <v>348</v>
      </c>
      <c r="I50" s="742"/>
      <c r="J50" s="73" t="s">
        <v>100</v>
      </c>
      <c r="K50" s="387">
        <v>6</v>
      </c>
      <c r="L50" s="75"/>
      <c r="M50" s="78">
        <v>0.16669999999999999</v>
      </c>
      <c r="N50" s="398"/>
    </row>
    <row r="51" spans="7:14" x14ac:dyDescent="0.25">
      <c r="G51" s="398"/>
      <c r="H51" s="751"/>
      <c r="I51" s="752"/>
      <c r="J51" s="79"/>
      <c r="K51" s="390"/>
      <c r="L51" s="80"/>
      <c r="M51" s="80"/>
      <c r="N51" s="398"/>
    </row>
    <row r="52" spans="7:14" x14ac:dyDescent="0.25">
      <c r="G52" s="398"/>
      <c r="H52" s="753" t="s">
        <v>171</v>
      </c>
      <c r="I52" s="754"/>
      <c r="J52" s="754"/>
      <c r="K52" s="754"/>
      <c r="L52" s="754"/>
      <c r="M52" s="755"/>
      <c r="N52" s="398"/>
    </row>
    <row r="53" spans="7:14" x14ac:dyDescent="0.25">
      <c r="G53" s="398"/>
      <c r="H53" s="756"/>
      <c r="I53" s="757"/>
      <c r="J53" s="757"/>
      <c r="K53" s="757"/>
      <c r="L53" s="757"/>
      <c r="M53" s="758"/>
      <c r="N53" s="398"/>
    </row>
    <row r="54" spans="7:14" x14ac:dyDescent="0.25">
      <c r="G54" s="398"/>
      <c r="H54" s="759" t="s">
        <v>150</v>
      </c>
      <c r="I54" s="760"/>
      <c r="J54" s="760"/>
      <c r="K54" s="760"/>
      <c r="L54" s="760"/>
      <c r="M54" s="761"/>
      <c r="N54" s="398"/>
    </row>
    <row r="55" spans="7:14" x14ac:dyDescent="0.25">
      <c r="G55" s="398"/>
      <c r="H55" s="762"/>
      <c r="I55" s="763"/>
      <c r="J55" s="763"/>
      <c r="K55" s="763"/>
      <c r="L55" s="763"/>
      <c r="M55" s="764"/>
      <c r="N55" s="398"/>
    </row>
    <row r="56" spans="7:14" x14ac:dyDescent="0.25">
      <c r="H56" s="389"/>
      <c r="I56" s="389"/>
      <c r="J56" s="389"/>
      <c r="K56" s="389"/>
      <c r="L56" s="389"/>
      <c r="M56" s="389"/>
    </row>
  </sheetData>
  <mergeCells count="57">
    <mergeCell ref="O2:O3"/>
    <mergeCell ref="H51:I51"/>
    <mergeCell ref="H52:M53"/>
    <mergeCell ref="H54:M55"/>
    <mergeCell ref="H2:M3"/>
    <mergeCell ref="H50:I50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1:I21"/>
    <mergeCell ref="B2:F3"/>
    <mergeCell ref="H46:I46"/>
    <mergeCell ref="H47:I47"/>
    <mergeCell ref="H48:I48"/>
    <mergeCell ref="H49:I49"/>
    <mergeCell ref="H41:I41"/>
    <mergeCell ref="H42:I42"/>
    <mergeCell ref="H43:I43"/>
    <mergeCell ref="H44:I44"/>
    <mergeCell ref="H45:I45"/>
    <mergeCell ref="H36:I36"/>
    <mergeCell ref="H37:I37"/>
    <mergeCell ref="H38:I38"/>
    <mergeCell ref="H39:I39"/>
    <mergeCell ref="H40:I40"/>
    <mergeCell ref="H31:I31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H11:I11"/>
    <mergeCell ref="H12:I12"/>
    <mergeCell ref="H13:I13"/>
    <mergeCell ref="H14:I14"/>
    <mergeCell ref="H15:I15"/>
    <mergeCell ref="H6:I6"/>
    <mergeCell ref="H7:I7"/>
    <mergeCell ref="H8:I8"/>
    <mergeCell ref="H9:I9"/>
    <mergeCell ref="H10:I10"/>
    <mergeCell ref="M4:M5"/>
    <mergeCell ref="D4:F4"/>
    <mergeCell ref="H4:I5"/>
    <mergeCell ref="J4:J5"/>
    <mergeCell ref="K4:K5"/>
    <mergeCell ref="L4:L5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21361C17CA3B4CA767DCFA95C949F6" ma:contentTypeVersion="19" ma:contentTypeDescription="" ma:contentTypeScope="" ma:versionID="68871d9860c87e35de75547e5eeb07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Pending</CaseStatus>
    <OpenedDate xmlns="dc463f71-b30c-4ab2-9473-d307f9d35888">2025-03-17T07:00:00+00:00</OpenedDate>
    <SignificantOrder xmlns="dc463f71-b30c-4ab2-9473-d307f9d35888">false</SignificantOrder>
    <Date1 xmlns="dc463f71-b30c-4ab2-9473-d307f9d35888">2025-03-17T07:00:00+00:00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250186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A14D3D5-752A-43DE-8327-A822CC1F8D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D91A35-F568-44B0-AEA4-D84AD11DE8A2}"/>
</file>

<file path=customXml/itemProps3.xml><?xml version="1.0" encoding="utf-8"?>
<ds:datastoreItem xmlns:ds="http://schemas.openxmlformats.org/officeDocument/2006/customXml" ds:itemID="{537E65DE-C481-429C-9BF6-7F767BB7527E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3223201-7B9B-4F08-8DB3-AED94CF75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Inputs</vt:lpstr>
      <vt:lpstr>Output</vt:lpstr>
      <vt:lpstr>PFIS</vt:lpstr>
      <vt:lpstr>Capital Structure</vt:lpstr>
      <vt:lpstr>Int Sync, NTG, Rev Req</vt:lpstr>
      <vt:lpstr>Rate Design</vt:lpstr>
      <vt:lpstr>Rate Data Calculations</vt:lpstr>
      <vt:lpstr>Revenue Requirement Proof</vt:lpstr>
      <vt:lpstr>Resources</vt:lpstr>
      <vt:lpstr>Bad_Debt_Percent</vt:lpstr>
      <vt:lpstr>BO_Tax_Rate</vt:lpstr>
      <vt:lpstr>Cost_of_Debt</vt:lpstr>
      <vt:lpstr>Endof_TestYear</vt:lpstr>
      <vt:lpstr>FIT_Rate</vt:lpstr>
      <vt:lpstr>'Capital Structure'!Print_Area</vt:lpstr>
      <vt:lpstr>'Int Sync, NTG, Rev Req'!Print_Area</vt:lpstr>
      <vt:lpstr>Output!Print_Area</vt:lpstr>
      <vt:lpstr>PFIS!Print_Area</vt:lpstr>
      <vt:lpstr>Prof_Int_Exp_Adj</vt:lpstr>
      <vt:lpstr>Proforma_Interest_Expense</vt:lpstr>
      <vt:lpstr>TestEOY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2019-10-22T18:43:48Z</dcterms:created>
  <dcterms:modified xsi:type="dcterms:W3CDTF">2025-03-17T20:39:21Z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0x0101006E56B4D1795A2E4DB2F0B01679ED314A000021361C17CA3B4CA767DCFA95C949F6</vt:lpwstr>
  </property>
</Properties>
</file>