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Txhous10fps03rf\orport01fps01\PUBLIC\Evan Burmester\WUTC\Wenatchee\"/>
    </mc:Choice>
  </mc:AlternateContent>
  <xr:revisionPtr revIDLastSave="0" documentId="8_{DEA286D4-E5E8-4615-B79E-A48E685C123F}" xr6:coauthVersionLast="47" xr6:coauthVersionMax="47" xr10:uidLastSave="{00000000-0000-0000-0000-000000000000}"/>
  <bookViews>
    <workbookView xWindow="38280" yWindow="-8805" windowWidth="21840" windowHeight="38040"/>
  </bookViews>
  <sheets>
    <sheet name="2024 Fee" sheetId="5" r:id="rId1"/>
    <sheet name="Residential" sheetId="11" r:id="rId2"/>
    <sheet name="Commercial" sheetId="12" r:id="rId3"/>
    <sheet name="Lookup" sheetId="10" state="hidden" r:id="rId4"/>
  </sheets>
  <externalReferences>
    <externalReference r:id="rId5"/>
    <externalReference r:id="rId6"/>
    <externalReference r:id="rId7"/>
  </externalReferences>
  <definedNames>
    <definedName name="_xlnm._FilterDatabase" localSheetId="3" hidden="1">Lookup!$A$1:$A$4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8" i="5" l="1"/>
  <c r="Q49" i="5"/>
  <c r="E18" i="5"/>
  <c r="H18" i="5"/>
  <c r="E17" i="5"/>
  <c r="E16" i="5"/>
  <c r="H16" i="5"/>
  <c r="M60" i="5"/>
  <c r="M59" i="5"/>
  <c r="M58" i="5"/>
  <c r="M54" i="5"/>
  <c r="M53" i="5"/>
  <c r="M50" i="5"/>
  <c r="M48" i="5"/>
  <c r="M46" i="5"/>
  <c r="M45" i="5"/>
  <c r="M30" i="5"/>
  <c r="M29" i="5"/>
  <c r="M26" i="5"/>
  <c r="M25" i="5"/>
  <c r="M22" i="5"/>
  <c r="M15" i="5"/>
  <c r="M14" i="5"/>
  <c r="E33" i="5"/>
  <c r="E32" i="5"/>
  <c r="E31" i="5"/>
  <c r="E30" i="5"/>
  <c r="E29" i="5"/>
  <c r="E26" i="5"/>
  <c r="E25" i="5"/>
  <c r="E22" i="5"/>
  <c r="E15" i="5"/>
  <c r="E14" i="5"/>
  <c r="E77" i="5"/>
  <c r="E76" i="5"/>
  <c r="E75" i="5"/>
  <c r="E74" i="5"/>
  <c r="E73" i="5"/>
  <c r="E72" i="5"/>
  <c r="E67" i="5"/>
  <c r="E66" i="5"/>
  <c r="E65" i="5"/>
  <c r="E60" i="5"/>
  <c r="E59" i="5"/>
  <c r="E58" i="5"/>
  <c r="E54" i="5"/>
  <c r="E53" i="5"/>
  <c r="F60" i="5"/>
  <c r="B60" i="5"/>
  <c r="D60" i="5"/>
  <c r="D50" i="5"/>
  <c r="E50" i="5"/>
  <c r="F50" i="5"/>
  <c r="B50" i="5"/>
  <c r="F89" i="5"/>
  <c r="F88" i="5"/>
  <c r="F87" i="5"/>
  <c r="H87" i="5"/>
  <c r="F86" i="5"/>
  <c r="H86" i="5"/>
  <c r="F85" i="5"/>
  <c r="H85" i="5"/>
  <c r="H83" i="5"/>
  <c r="F82" i="5"/>
  <c r="H82" i="5"/>
  <c r="F81" i="5"/>
  <c r="H81" i="5"/>
  <c r="H80" i="5"/>
  <c r="F79" i="5"/>
  <c r="H79" i="5"/>
  <c r="F78" i="5"/>
  <c r="H78" i="5"/>
  <c r="D77" i="5"/>
  <c r="D76" i="5"/>
  <c r="D75" i="5"/>
  <c r="D74" i="5"/>
  <c r="D73" i="5"/>
  <c r="D72" i="5"/>
  <c r="D71" i="5"/>
  <c r="H71" i="5"/>
  <c r="D70" i="5"/>
  <c r="H70" i="5"/>
  <c r="D69" i="5"/>
  <c r="H69" i="5"/>
  <c r="D68" i="5"/>
  <c r="H68" i="5"/>
  <c r="D67" i="5"/>
  <c r="D66" i="5"/>
  <c r="D65" i="5"/>
  <c r="D64" i="5"/>
  <c r="H64" i="5"/>
  <c r="D63" i="5"/>
  <c r="H63" i="5"/>
  <c r="D62" i="5"/>
  <c r="H62" i="5"/>
  <c r="D61" i="5"/>
  <c r="H61" i="5"/>
  <c r="D59" i="5"/>
  <c r="D58" i="5"/>
  <c r="D57" i="5"/>
  <c r="H57" i="5"/>
  <c r="D56" i="5"/>
  <c r="H56" i="5"/>
  <c r="D55" i="5"/>
  <c r="H55" i="5"/>
  <c r="D54" i="5"/>
  <c r="H54" i="5"/>
  <c r="D53" i="5"/>
  <c r="D52" i="5"/>
  <c r="H52" i="5"/>
  <c r="D51" i="5"/>
  <c r="H51" i="5"/>
  <c r="D49" i="5"/>
  <c r="H49" i="5"/>
  <c r="D48" i="5"/>
  <c r="D47" i="5"/>
  <c r="H47" i="5"/>
  <c r="E41" i="5"/>
  <c r="E48" i="5"/>
  <c r="E46" i="5"/>
  <c r="E45" i="5"/>
  <c r="D45" i="5"/>
  <c r="B45" i="5"/>
  <c r="D46" i="5"/>
  <c r="D44" i="5"/>
  <c r="H44" i="5"/>
  <c r="D43" i="5"/>
  <c r="H43" i="5"/>
  <c r="D42" i="5"/>
  <c r="H42" i="5"/>
  <c r="D40" i="5"/>
  <c r="H40" i="5"/>
  <c r="D39" i="5"/>
  <c r="H39" i="5"/>
  <c r="D38" i="5"/>
  <c r="H38" i="5"/>
  <c r="D37" i="5"/>
  <c r="H37" i="5"/>
  <c r="B52" i="5"/>
  <c r="B71" i="5"/>
  <c r="B66" i="5"/>
  <c r="B65" i="5"/>
  <c r="B58" i="5"/>
  <c r="B57" i="5"/>
  <c r="B56" i="5"/>
  <c r="B44" i="5"/>
  <c r="B43" i="5"/>
  <c r="B38" i="5"/>
  <c r="B42" i="5"/>
  <c r="B62" i="5"/>
  <c r="B75" i="5"/>
  <c r="B70" i="5"/>
  <c r="B49" i="5"/>
  <c r="B47" i="5"/>
  <c r="B40" i="5"/>
  <c r="E90" i="12"/>
  <c r="H90" i="12"/>
  <c r="E89" i="12"/>
  <c r="H89" i="12"/>
  <c r="E88" i="12"/>
  <c r="H88" i="12"/>
  <c r="E87" i="12"/>
  <c r="H87" i="12"/>
  <c r="E86" i="12"/>
  <c r="H86" i="12"/>
  <c r="H85" i="12"/>
  <c r="H84" i="12"/>
  <c r="E84" i="12"/>
  <c r="E83" i="12"/>
  <c r="H83" i="12"/>
  <c r="H82" i="12"/>
  <c r="E81" i="12"/>
  <c r="H81" i="12"/>
  <c r="E80" i="12"/>
  <c r="E91" i="12"/>
  <c r="H79" i="12"/>
  <c r="D78" i="12"/>
  <c r="H78" i="12"/>
  <c r="H77" i="12"/>
  <c r="D76" i="12"/>
  <c r="H76" i="12"/>
  <c r="D75" i="12"/>
  <c r="H75" i="12"/>
  <c r="H74" i="12"/>
  <c r="D74" i="12"/>
  <c r="D73" i="12"/>
  <c r="H73" i="12"/>
  <c r="D72" i="12"/>
  <c r="H72" i="12"/>
  <c r="D71" i="12"/>
  <c r="H71" i="12"/>
  <c r="H70" i="12"/>
  <c r="D70" i="12"/>
  <c r="D69" i="12"/>
  <c r="H69" i="12"/>
  <c r="D68" i="12"/>
  <c r="H68" i="12"/>
  <c r="H67" i="12"/>
  <c r="H66" i="12"/>
  <c r="H65" i="12"/>
  <c r="G65" i="12"/>
  <c r="D65" i="12"/>
  <c r="H64" i="12"/>
  <c r="D63" i="12"/>
  <c r="H63" i="12"/>
  <c r="D62" i="12"/>
  <c r="H62" i="12"/>
  <c r="H61" i="12"/>
  <c r="D60" i="12"/>
  <c r="H60" i="12"/>
  <c r="H59" i="12"/>
  <c r="D59" i="12"/>
  <c r="H58" i="12"/>
  <c r="D58" i="12"/>
  <c r="H57" i="12"/>
  <c r="D57" i="12"/>
  <c r="H56" i="12"/>
  <c r="D55" i="12"/>
  <c r="H55" i="12"/>
  <c r="D54" i="12"/>
  <c r="H54" i="12"/>
  <c r="D53" i="12"/>
  <c r="H53" i="12"/>
  <c r="H52" i="12"/>
  <c r="H51" i="12"/>
  <c r="H50" i="12"/>
  <c r="H49" i="12"/>
  <c r="D49" i="12"/>
  <c r="H48" i="12"/>
  <c r="D48" i="12"/>
  <c r="H47" i="12"/>
  <c r="D47" i="12"/>
  <c r="D46" i="12"/>
  <c r="H46" i="12"/>
  <c r="H45" i="12"/>
  <c r="H44" i="12"/>
  <c r="H43" i="12"/>
  <c r="D43" i="12"/>
  <c r="H42" i="12"/>
  <c r="H41" i="12"/>
  <c r="H40" i="12"/>
  <c r="H39" i="12"/>
  <c r="H38" i="12"/>
  <c r="D37" i="12"/>
  <c r="H37" i="12"/>
  <c r="D36" i="12"/>
  <c r="H36" i="12"/>
  <c r="H35" i="12"/>
  <c r="D35" i="12"/>
  <c r="G34" i="12"/>
  <c r="H34" i="12"/>
  <c r="D34" i="12"/>
  <c r="H33" i="12"/>
  <c r="G33" i="12"/>
  <c r="G91" i="12"/>
  <c r="D33" i="12"/>
  <c r="H32" i="12"/>
  <c r="D32" i="12"/>
  <c r="H31" i="12"/>
  <c r="H30" i="12"/>
  <c r="H29" i="12"/>
  <c r="H28" i="12"/>
  <c r="D28" i="12"/>
  <c r="H27" i="12"/>
  <c r="D27" i="12"/>
  <c r="D26" i="12"/>
  <c r="H26" i="12"/>
  <c r="H25" i="12"/>
  <c r="D25" i="12"/>
  <c r="H24" i="12"/>
  <c r="D24" i="12"/>
  <c r="H23" i="12"/>
  <c r="D23" i="12"/>
  <c r="D22" i="12"/>
  <c r="H22" i="12"/>
  <c r="H21" i="12"/>
  <c r="D21" i="12"/>
  <c r="H20" i="12"/>
  <c r="D19" i="12"/>
  <c r="H19" i="12"/>
  <c r="H18" i="12"/>
  <c r="D18" i="12"/>
  <c r="H17" i="12"/>
  <c r="H16" i="12"/>
  <c r="H15" i="12"/>
  <c r="H14" i="12"/>
  <c r="D13" i="12"/>
  <c r="H13" i="12"/>
  <c r="H12" i="12"/>
  <c r="D12" i="12"/>
  <c r="D91" i="12"/>
  <c r="G44" i="11"/>
  <c r="E44" i="11"/>
  <c r="D43" i="11"/>
  <c r="H43" i="11"/>
  <c r="D42" i="11"/>
  <c r="H42" i="11"/>
  <c r="D41" i="11"/>
  <c r="H41" i="11"/>
  <c r="D40" i="11"/>
  <c r="H40" i="11"/>
  <c r="D39" i="11"/>
  <c r="H39" i="11"/>
  <c r="D38" i="11"/>
  <c r="H38" i="11"/>
  <c r="D37" i="11"/>
  <c r="H37" i="11"/>
  <c r="D36" i="11"/>
  <c r="H36" i="11"/>
  <c r="D35" i="11"/>
  <c r="H35" i="11"/>
  <c r="D34" i="11"/>
  <c r="H34" i="11"/>
  <c r="D33" i="11"/>
  <c r="H33" i="11"/>
  <c r="H32" i="11"/>
  <c r="D31" i="11"/>
  <c r="H31" i="11"/>
  <c r="H30" i="11"/>
  <c r="D29" i="11"/>
  <c r="H29" i="11"/>
  <c r="H28" i="11"/>
  <c r="D27" i="11"/>
  <c r="H27" i="11"/>
  <c r="D26" i="11"/>
  <c r="H26" i="11"/>
  <c r="D25" i="11"/>
  <c r="H25" i="11"/>
  <c r="D24" i="11"/>
  <c r="H24" i="11"/>
  <c r="D23" i="11"/>
  <c r="H23" i="11"/>
  <c r="D22" i="11"/>
  <c r="H22" i="11"/>
  <c r="D21" i="11"/>
  <c r="H21" i="11"/>
  <c r="D20" i="11"/>
  <c r="H20" i="11"/>
  <c r="H19" i="11"/>
  <c r="H18" i="11"/>
  <c r="H17" i="11"/>
  <c r="H16" i="11"/>
  <c r="H15" i="11"/>
  <c r="H14" i="11"/>
  <c r="H13" i="11"/>
  <c r="H12" i="11"/>
  <c r="D11" i="5"/>
  <c r="H11" i="5"/>
  <c r="D12" i="5"/>
  <c r="H12" i="5"/>
  <c r="D13" i="5"/>
  <c r="H13" i="5"/>
  <c r="D14" i="5"/>
  <c r="D15" i="5"/>
  <c r="D19" i="5"/>
  <c r="H19" i="5"/>
  <c r="D21" i="5"/>
  <c r="H21" i="5"/>
  <c r="D22" i="5"/>
  <c r="D23" i="5"/>
  <c r="H23" i="5"/>
  <c r="D24" i="5"/>
  <c r="H24" i="5"/>
  <c r="D25" i="5"/>
  <c r="D26" i="5"/>
  <c r="D27" i="5"/>
  <c r="H27" i="5"/>
  <c r="D28" i="5"/>
  <c r="H28" i="5"/>
  <c r="D29" i="5"/>
  <c r="D30" i="5"/>
  <c r="D31" i="5"/>
  <c r="D32" i="5"/>
  <c r="D33" i="5"/>
  <c r="B39" i="5"/>
  <c r="B41" i="5"/>
  <c r="H41" i="5"/>
  <c r="B46" i="5"/>
  <c r="B48" i="5"/>
  <c r="B51" i="5"/>
  <c r="B53" i="5"/>
  <c r="B54" i="5"/>
  <c r="B59" i="5"/>
  <c r="B61" i="5"/>
  <c r="B64" i="5"/>
  <c r="B67" i="5"/>
  <c r="B69" i="5"/>
  <c r="B73" i="5"/>
  <c r="B74" i="5"/>
  <c r="B76" i="5"/>
  <c r="B77" i="5"/>
  <c r="H84" i="5"/>
  <c r="H89" i="5"/>
  <c r="H20" i="5"/>
  <c r="H17" i="5"/>
  <c r="H29" i="5"/>
  <c r="H14" i="5"/>
  <c r="H33" i="5"/>
  <c r="H50" i="5"/>
  <c r="H60" i="5"/>
  <c r="H31" i="5"/>
  <c r="H65" i="5"/>
  <c r="H22" i="5"/>
  <c r="H74" i="5"/>
  <c r="H26" i="5"/>
  <c r="H25" i="5"/>
  <c r="H58" i="5"/>
  <c r="H77" i="5"/>
  <c r="H32" i="5"/>
  <c r="H30" i="5"/>
  <c r="H15" i="5"/>
  <c r="H67" i="5"/>
  <c r="H76" i="5"/>
  <c r="H75" i="5"/>
  <c r="H73" i="5"/>
  <c r="H72" i="5"/>
  <c r="H66" i="5"/>
  <c r="H59" i="5"/>
  <c r="H53" i="5"/>
  <c r="H45" i="5"/>
  <c r="H46" i="5"/>
  <c r="H48" i="5"/>
  <c r="D34" i="5"/>
  <c r="B68" i="5"/>
  <c r="H88" i="5"/>
  <c r="H80" i="12"/>
  <c r="H92" i="12"/>
  <c r="D90" i="5"/>
  <c r="B72" i="5"/>
  <c r="B63" i="5"/>
  <c r="B55" i="5"/>
  <c r="B37" i="5"/>
  <c r="H45" i="11"/>
  <c r="D44" i="11"/>
  <c r="H34" i="5"/>
  <c r="H90" i="5"/>
  <c r="H92" i="5"/>
  <c r="H5" i="5"/>
  <c r="I20" i="5"/>
  <c r="N20" i="5"/>
  <c r="O20" i="5"/>
  <c r="K20" i="5"/>
  <c r="I17" i="5"/>
  <c r="N17" i="5"/>
  <c r="O17" i="5"/>
  <c r="I18" i="5"/>
  <c r="I45" i="5"/>
  <c r="N45" i="5"/>
  <c r="O45" i="5"/>
  <c r="I16" i="5"/>
  <c r="I76" i="5"/>
  <c r="K76" i="5"/>
  <c r="I62" i="5"/>
  <c r="N62" i="5"/>
  <c r="O62" i="5"/>
  <c r="I49" i="5"/>
  <c r="N49" i="5"/>
  <c r="O49" i="5"/>
  <c r="I59" i="5"/>
  <c r="K59" i="5"/>
  <c r="I27" i="5"/>
  <c r="N27" i="5"/>
  <c r="O27" i="5"/>
  <c r="I42" i="5"/>
  <c r="N42" i="5"/>
  <c r="O42" i="5"/>
  <c r="I37" i="5"/>
  <c r="N37" i="5"/>
  <c r="O37" i="5"/>
  <c r="I13" i="5"/>
  <c r="N13" i="5"/>
  <c r="O13" i="5"/>
  <c r="I89" i="5"/>
  <c r="N89" i="5"/>
  <c r="O89" i="5"/>
  <c r="I26" i="5"/>
  <c r="N26" i="5"/>
  <c r="O26" i="5"/>
  <c r="I25" i="5"/>
  <c r="N25" i="5"/>
  <c r="O25" i="5"/>
  <c r="I79" i="5"/>
  <c r="K79" i="5"/>
  <c r="I63" i="5"/>
  <c r="N63" i="5"/>
  <c r="O63" i="5"/>
  <c r="I87" i="5"/>
  <c r="N87" i="5"/>
  <c r="O87" i="5"/>
  <c r="I60" i="5"/>
  <c r="N60" i="5"/>
  <c r="O60" i="5"/>
  <c r="I44" i="5"/>
  <c r="K44" i="5"/>
  <c r="I50" i="5"/>
  <c r="N50" i="5"/>
  <c r="O50" i="5"/>
  <c r="I55" i="5"/>
  <c r="N55" i="5"/>
  <c r="O55" i="5"/>
  <c r="I11" i="5"/>
  <c r="N11" i="5"/>
  <c r="O11" i="5"/>
  <c r="I57" i="5"/>
  <c r="K57" i="5"/>
  <c r="I30" i="5"/>
  <c r="K30" i="5"/>
  <c r="I77" i="5"/>
  <c r="K77" i="5"/>
  <c r="I24" i="5"/>
  <c r="K24" i="5"/>
  <c r="I51" i="5"/>
  <c r="N51" i="5"/>
  <c r="O51" i="5"/>
  <c r="I69" i="5"/>
  <c r="K69" i="5"/>
  <c r="I78" i="5"/>
  <c r="K78" i="5"/>
  <c r="I19" i="5"/>
  <c r="K19" i="5"/>
  <c r="I67" i="5"/>
  <c r="K67" i="5"/>
  <c r="I73" i="5"/>
  <c r="N73" i="5"/>
  <c r="O73" i="5"/>
  <c r="I29" i="5"/>
  <c r="N29" i="5"/>
  <c r="O29" i="5"/>
  <c r="I80" i="5"/>
  <c r="N80" i="5"/>
  <c r="O80" i="5"/>
  <c r="I22" i="5"/>
  <c r="N22" i="5"/>
  <c r="O22" i="5"/>
  <c r="I46" i="5"/>
  <c r="K46" i="5"/>
  <c r="I38" i="5"/>
  <c r="K38" i="5"/>
  <c r="I81" i="5"/>
  <c r="K81" i="5"/>
  <c r="I61" i="5"/>
  <c r="K61" i="5"/>
  <c r="I43" i="5"/>
  <c r="N43" i="5"/>
  <c r="O43" i="5"/>
  <c r="I86" i="5"/>
  <c r="K86" i="5"/>
  <c r="I21" i="5"/>
  <c r="K21" i="5"/>
  <c r="I85" i="5"/>
  <c r="N85" i="5"/>
  <c r="O85" i="5"/>
  <c r="K45" i="5"/>
  <c r="I74" i="5"/>
  <c r="K74" i="5"/>
  <c r="I83" i="5"/>
  <c r="N83" i="5"/>
  <c r="O83" i="5"/>
  <c r="I40" i="5"/>
  <c r="N40" i="5"/>
  <c r="O40" i="5"/>
  <c r="I28" i="5"/>
  <c r="K28" i="5"/>
  <c r="I14" i="5"/>
  <c r="N14" i="5"/>
  <c r="O14" i="5"/>
  <c r="I23" i="5"/>
  <c r="K23" i="5"/>
  <c r="I88" i="5"/>
  <c r="I39" i="5"/>
  <c r="N39" i="5"/>
  <c r="O39" i="5"/>
  <c r="I84" i="5"/>
  <c r="N84" i="5"/>
  <c r="O84" i="5"/>
  <c r="I15" i="5"/>
  <c r="K15" i="5"/>
  <c r="I48" i="5"/>
  <c r="N48" i="5"/>
  <c r="O48" i="5"/>
  <c r="I47" i="5"/>
  <c r="N47" i="5"/>
  <c r="O47" i="5"/>
  <c r="I58" i="5"/>
  <c r="N58" i="5"/>
  <c r="O58" i="5"/>
  <c r="I64" i="5"/>
  <c r="K64" i="5"/>
  <c r="I52" i="5"/>
  <c r="I54" i="5"/>
  <c r="I72" i="5"/>
  <c r="K72" i="5"/>
  <c r="I75" i="5"/>
  <c r="N75" i="5"/>
  <c r="O75" i="5"/>
  <c r="I71" i="5"/>
  <c r="N71" i="5"/>
  <c r="O71" i="5"/>
  <c r="I12" i="5"/>
  <c r="N12" i="5"/>
  <c r="O12" i="5"/>
  <c r="I56" i="5"/>
  <c r="Q56" i="5"/>
  <c r="I70" i="5"/>
  <c r="K70" i="5"/>
  <c r="I68" i="5"/>
  <c r="N68" i="5"/>
  <c r="O68" i="5"/>
  <c r="I82" i="5"/>
  <c r="N82" i="5"/>
  <c r="O82" i="5"/>
  <c r="N76" i="5"/>
  <c r="O76" i="5"/>
  <c r="K37" i="5"/>
  <c r="N46" i="5"/>
  <c r="O46" i="5"/>
  <c r="K60" i="5"/>
  <c r="K85" i="5"/>
  <c r="K52" i="5"/>
  <c r="N23" i="5"/>
  <c r="O23" i="5"/>
  <c r="K80" i="5"/>
  <c r="N64" i="5"/>
  <c r="O64" i="5"/>
  <c r="I32" i="5"/>
  <c r="N32" i="5"/>
  <c r="O32" i="5"/>
  <c r="N24" i="5"/>
  <c r="O24" i="5"/>
  <c r="K43" i="5"/>
  <c r="I65" i="5"/>
  <c r="K89" i="5"/>
  <c r="K17" i="5"/>
  <c r="K68" i="5"/>
  <c r="N18" i="5"/>
  <c r="O18" i="5"/>
  <c r="K18" i="5"/>
  <c r="N38" i="5"/>
  <c r="O38" i="5"/>
  <c r="N69" i="5"/>
  <c r="O69" i="5"/>
  <c r="N56" i="5"/>
  <c r="O56" i="5"/>
  <c r="K82" i="5"/>
  <c r="K55" i="5"/>
  <c r="N74" i="5"/>
  <c r="O74" i="5"/>
  <c r="K84" i="5"/>
  <c r="N72" i="5"/>
  <c r="O72" i="5"/>
  <c r="N15" i="5"/>
  <c r="O15" i="5"/>
  <c r="K13" i="5"/>
  <c r="N44" i="5"/>
  <c r="O44" i="5"/>
  <c r="Q52" i="5"/>
  <c r="N81" i="5"/>
  <c r="O81" i="5"/>
  <c r="K51" i="5"/>
  <c r="I53" i="5"/>
  <c r="N53" i="5"/>
  <c r="O53" i="5"/>
  <c r="N52" i="5"/>
  <c r="O52" i="5"/>
  <c r="K11" i="5"/>
  <c r="N19" i="5"/>
  <c r="N21" i="5"/>
  <c r="O21" i="5"/>
  <c r="K22" i="5"/>
  <c r="K26" i="5"/>
  <c r="N79" i="5"/>
  <c r="O79" i="5"/>
  <c r="K50" i="5"/>
  <c r="K25" i="5"/>
  <c r="K62" i="5"/>
  <c r="K39" i="5"/>
  <c r="N57" i="5"/>
  <c r="O57" i="5"/>
  <c r="K75" i="5"/>
  <c r="K49" i="5"/>
  <c r="N67" i="5"/>
  <c r="O67" i="5"/>
  <c r="K83" i="5"/>
  <c r="K40" i="5"/>
  <c r="N61" i="5"/>
  <c r="O61" i="5"/>
  <c r="K48" i="5"/>
  <c r="K12" i="5"/>
  <c r="N28" i="5"/>
  <c r="O28" i="5"/>
  <c r="N59" i="5"/>
  <c r="O59" i="5"/>
  <c r="K71" i="5"/>
  <c r="N16" i="5"/>
  <c r="O16" i="5"/>
  <c r="K16" i="5"/>
  <c r="K73" i="5"/>
  <c r="N77" i="5"/>
  <c r="O77" i="5"/>
  <c r="K87" i="5"/>
  <c r="K27" i="5"/>
  <c r="N88" i="5"/>
  <c r="O88" i="5"/>
  <c r="K88" i="5"/>
  <c r="K56" i="5"/>
  <c r="N30" i="5"/>
  <c r="O30" i="5"/>
  <c r="I31" i="5"/>
  <c r="K31" i="5"/>
  <c r="K58" i="5"/>
  <c r="K47" i="5"/>
  <c r="N86" i="5"/>
  <c r="O86" i="5"/>
  <c r="K29" i="5"/>
  <c r="K14" i="5"/>
  <c r="K42" i="5"/>
  <c r="K63" i="5"/>
  <c r="N70" i="5"/>
  <c r="O70" i="5"/>
  <c r="K65" i="5"/>
  <c r="I66" i="5"/>
  <c r="N65" i="5"/>
  <c r="O65" i="5"/>
  <c r="K32" i="5"/>
  <c r="I33" i="5"/>
  <c r="N33" i="5"/>
  <c r="O33" i="5"/>
  <c r="O19" i="5"/>
  <c r="N78" i="5"/>
  <c r="O78" i="5"/>
  <c r="K53" i="5"/>
  <c r="N31" i="5"/>
  <c r="O31" i="5"/>
  <c r="N54" i="5"/>
  <c r="O54" i="5"/>
  <c r="K54" i="5"/>
  <c r="K33" i="5"/>
  <c r="K34" i="5"/>
  <c r="K66" i="5"/>
  <c r="N66" i="5"/>
  <c r="O66" i="5"/>
  <c r="K90" i="5"/>
  <c r="K92" i="5"/>
  <c r="K94" i="5"/>
  <c r="I3" i="5"/>
</calcChain>
</file>

<file path=xl/sharedStrings.xml><?xml version="1.0" encoding="utf-8"?>
<sst xmlns="http://schemas.openxmlformats.org/spreadsheetml/2006/main" count="264" uniqueCount="148">
  <si>
    <t>SERVICE</t>
  </si>
  <si>
    <t>NO. OF PICKUPS</t>
  </si>
  <si>
    <t>RATE</t>
  </si>
  <si>
    <t>ANNUAL POUNDS</t>
  </si>
  <si>
    <t>1 yard container</t>
  </si>
  <si>
    <t>2 yard container</t>
  </si>
  <si>
    <t>3 yard container</t>
  </si>
  <si>
    <t>4 yard container</t>
  </si>
  <si>
    <t>6 yard container</t>
  </si>
  <si>
    <t>8 yard container</t>
  </si>
  <si>
    <t>20 yard box</t>
  </si>
  <si>
    <t>30 yard box</t>
  </si>
  <si>
    <t>25 yard box (comp.)</t>
  </si>
  <si>
    <t>30 yard box (comp.)</t>
  </si>
  <si>
    <t>TOTAL COMMERCIAL</t>
  </si>
  <si>
    <t>1 can</t>
  </si>
  <si>
    <t>90 gallon tote</t>
  </si>
  <si>
    <t>TOTAL RESIDENTIAL</t>
  </si>
  <si>
    <t>35 gallon tote</t>
  </si>
  <si>
    <t>64 gallon tote</t>
  </si>
  <si>
    <t>40 yard box (comp.)</t>
  </si>
  <si>
    <t>2-64 gallons totes</t>
  </si>
  <si>
    <t>2-90 gallon totes</t>
  </si>
  <si>
    <t>3-90 gallon totes</t>
  </si>
  <si>
    <t>1-20 Gal</t>
  </si>
  <si>
    <t>2-35 gallon tote</t>
  </si>
  <si>
    <t>LBS./CONTAINER</t>
  </si>
  <si>
    <t>2 - 90 gallon totes</t>
  </si>
  <si>
    <t>15 yard box</t>
  </si>
  <si>
    <t>40 yard box</t>
  </si>
  <si>
    <t>50 yard box</t>
  </si>
  <si>
    <t>1.5 yard container</t>
  </si>
  <si>
    <t>2 - 1.5 yard container</t>
  </si>
  <si>
    <t>2 - 6 yard container</t>
  </si>
  <si>
    <t>2 - 8 yard container</t>
  </si>
  <si>
    <t>3 - 8 yard container</t>
  </si>
  <si>
    <t>3 - 90 gallon totes</t>
  </si>
  <si>
    <t>4 - 90 gallon totes</t>
  </si>
  <si>
    <t>9 - 90 gallon totes</t>
  </si>
  <si>
    <t>4 - 2 yard container</t>
  </si>
  <si>
    <t>15 yard box (comp.)</t>
  </si>
  <si>
    <t>4-90 gallon totes</t>
  </si>
  <si>
    <t>5 - 90 gallon totes</t>
  </si>
  <si>
    <t>WASTE MANAGEMENT OF GR. WENATCHEE</t>
  </si>
  <si>
    <t>months</t>
  </si>
  <si>
    <t>price/lb.</t>
  </si>
  <si>
    <t>USOA</t>
  </si>
  <si>
    <t>Total</t>
  </si>
  <si>
    <t>Proposed Fee/</t>
  </si>
  <si>
    <t># of</t>
  </si>
  <si>
    <t>Lbs./</t>
  </si>
  <si>
    <t>Annual</t>
  </si>
  <si>
    <t>Acc't or</t>
  </si>
  <si>
    <t>Total Fee</t>
  </si>
  <si>
    <t>Current</t>
  </si>
  <si>
    <t>%</t>
  </si>
  <si>
    <t>SERVICE DESCRIPTION</t>
  </si>
  <si>
    <t>pickup</t>
  </si>
  <si>
    <t>pickups</t>
  </si>
  <si>
    <t>Lbs.</t>
  </si>
  <si>
    <t>pick up</t>
  </si>
  <si>
    <t>Collected</t>
  </si>
  <si>
    <t>Rate</t>
  </si>
  <si>
    <t>Difference</t>
  </si>
  <si>
    <t>Diff.</t>
  </si>
  <si>
    <t>EOW</t>
  </si>
  <si>
    <t>Weekly</t>
  </si>
  <si>
    <t>M</t>
  </si>
  <si>
    <t>32 gallon tote</t>
  </si>
  <si>
    <t>2 - 32 gallon tote</t>
  </si>
  <si>
    <t>3 - 32 gallon tote</t>
  </si>
  <si>
    <t>10 yard box</t>
  </si>
  <si>
    <t>2-3 yard container</t>
  </si>
  <si>
    <t>2 - 4 yard container</t>
  </si>
  <si>
    <t>25 yard box</t>
  </si>
  <si>
    <t>Commercial Pickup</t>
  </si>
  <si>
    <t>On Call</t>
  </si>
  <si>
    <t>*Immaterial difference</t>
  </si>
  <si>
    <t>2 x Week</t>
  </si>
  <si>
    <t>3 x Week</t>
  </si>
  <si>
    <t>Bag (extra)</t>
  </si>
  <si>
    <t>2 cans</t>
  </si>
  <si>
    <t>3 cans</t>
  </si>
  <si>
    <t>4 cans</t>
  </si>
  <si>
    <t>5 cans</t>
  </si>
  <si>
    <t>6 cans</t>
  </si>
  <si>
    <t>64 gallon tote (Bear proof)</t>
  </si>
  <si>
    <t>1.25 yard container</t>
  </si>
  <si>
    <t>1.3 yard container</t>
  </si>
  <si>
    <t>2 - 2 yard container</t>
  </si>
  <si>
    <t>9 - 4 yard container</t>
  </si>
  <si>
    <t>3 - 6 yard container</t>
  </si>
  <si>
    <t>6 - 90 gallon totes</t>
  </si>
  <si>
    <t>Containers</t>
  </si>
  <si>
    <t>10 yard box (comp.)</t>
  </si>
  <si>
    <t>20 yard box (comp.)</t>
  </si>
  <si>
    <t>2024 DOUGLAS COUNTY SOLID WASTE COLLECTION FEE</t>
  </si>
  <si>
    <t>Total 2024 Fee</t>
  </si>
  <si>
    <t>DOUGLAS COUNTY SOLID WASTE REPORTING FORM</t>
  </si>
  <si>
    <t>ATTACHMENT B</t>
  </si>
  <si>
    <r>
      <t xml:space="preserve">RESIDENTIAL SOURCES - </t>
    </r>
    <r>
      <rPr>
        <b/>
        <sz val="16"/>
        <color indexed="10"/>
        <rFont val="Arial"/>
        <family val="2"/>
      </rPr>
      <t>Unincorporated Douglas County ONLY</t>
    </r>
  </si>
  <si>
    <r>
      <rPr>
        <sz val="12"/>
        <rFont val="Arial"/>
        <family val="2"/>
      </rPr>
      <t>Solid Waste Collection Company:</t>
    </r>
    <r>
      <rPr>
        <sz val="11"/>
        <rFont val="Arial"/>
        <family val="2"/>
      </rPr>
      <t xml:space="preserve">  </t>
    </r>
    <r>
      <rPr>
        <b/>
        <sz val="14"/>
        <rFont val="Arial"/>
        <family val="2"/>
      </rPr>
      <t>Waste Management</t>
    </r>
  </si>
  <si>
    <r>
      <rPr>
        <sz val="12"/>
        <rFont val="Arial"/>
        <family val="2"/>
      </rPr>
      <t xml:space="preserve">Reporting Period: </t>
    </r>
    <r>
      <rPr>
        <sz val="10"/>
        <rFont val="Arial"/>
      </rPr>
      <t xml:space="preserve"> </t>
    </r>
    <r>
      <rPr>
        <b/>
        <sz val="14"/>
        <rFont val="Arial"/>
        <family val="2"/>
      </rPr>
      <t>Jan. 1 - Dec. 31, 2024</t>
    </r>
  </si>
  <si>
    <t>NO. OF ACCOUNTS</t>
  </si>
  <si>
    <t>Yardage</t>
  </si>
  <si>
    <t>1-20 gallon</t>
  </si>
  <si>
    <t>2-32 gallon tote</t>
  </si>
  <si>
    <t>3-32 gallon tote</t>
  </si>
  <si>
    <t>2-64 gallon tote</t>
  </si>
  <si>
    <t>3-64 gallon tote</t>
  </si>
  <si>
    <t>2-90 gallon tote</t>
  </si>
  <si>
    <t>3-90 gallon tote</t>
  </si>
  <si>
    <t>4-90 gallon tote</t>
  </si>
  <si>
    <t>Updated to reflect the correct LBS/Container.</t>
  </si>
  <si>
    <t>B</t>
  </si>
  <si>
    <t>Pounds were changed 1/26/17 by Dawn Prewett to match the weights UTC</t>
  </si>
  <si>
    <t>ATTACHMENT A</t>
  </si>
  <si>
    <r>
      <t xml:space="preserve">COMMERCIAL SOURCES - </t>
    </r>
    <r>
      <rPr>
        <b/>
        <sz val="16"/>
        <color indexed="10"/>
        <rFont val="Arial"/>
        <family val="2"/>
      </rPr>
      <t>I</t>
    </r>
    <r>
      <rPr>
        <b/>
        <sz val="16"/>
        <color indexed="10"/>
        <rFont val="Arial"/>
        <family val="2"/>
      </rPr>
      <t>ncorporated Douglas County ONLY</t>
    </r>
  </si>
  <si>
    <r>
      <t xml:space="preserve">Solid Waste Collection Company: </t>
    </r>
    <r>
      <rPr>
        <b/>
        <sz val="14"/>
        <rFont val="Arial"/>
        <family val="2"/>
      </rPr>
      <t>Waste Management</t>
    </r>
  </si>
  <si>
    <r>
      <rPr>
        <sz val="12"/>
        <rFont val="Arial"/>
        <family val="2"/>
      </rPr>
      <t>Reporting Period:</t>
    </r>
    <r>
      <rPr>
        <b/>
        <sz val="12"/>
        <rFont val="Arial"/>
        <family val="2"/>
      </rPr>
      <t xml:space="preserve">  </t>
    </r>
    <r>
      <rPr>
        <b/>
        <sz val="14"/>
        <rFont val="Arial"/>
        <family val="2"/>
      </rPr>
      <t>Jan. 1 - Dec. 31, 2024</t>
    </r>
  </si>
  <si>
    <t>1.50 yard container</t>
  </si>
  <si>
    <t>2-1.50 yard container</t>
  </si>
  <si>
    <t>2-2 yard container</t>
  </si>
  <si>
    <t>3-2 yard container</t>
  </si>
  <si>
    <t>4-2 yard container</t>
  </si>
  <si>
    <t>5-3 yard container</t>
  </si>
  <si>
    <t>6-3 yard container</t>
  </si>
  <si>
    <t>4 yard compactor</t>
  </si>
  <si>
    <t>2-4 yard container</t>
  </si>
  <si>
    <t>9-4 yard container</t>
  </si>
  <si>
    <t>2-6 yard container</t>
  </si>
  <si>
    <t>3-6 yard container</t>
  </si>
  <si>
    <t>5-6 yard container</t>
  </si>
  <si>
    <t>2-8 yard container</t>
  </si>
  <si>
    <t>3-8 yard container</t>
  </si>
  <si>
    <t>1 Can</t>
  </si>
  <si>
    <t>4-32g can</t>
  </si>
  <si>
    <t>5-90 gallon tote</t>
  </si>
  <si>
    <t>6-90 gallon tote</t>
  </si>
  <si>
    <t>8-90 gallon tote</t>
  </si>
  <si>
    <t>9-90 gallon tote</t>
  </si>
  <si>
    <t xml:space="preserve">15 yard box </t>
  </si>
  <si>
    <t xml:space="preserve">15 yard box (comp.) </t>
  </si>
  <si>
    <t>A  =</t>
  </si>
  <si>
    <t>6 - 3 yard container</t>
  </si>
  <si>
    <t>4 - 32 gallon tote</t>
  </si>
  <si>
    <t>5 - 32 gallon tote</t>
  </si>
  <si>
    <t>6 - 32 gallon tote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</si>
</sst>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7" formatCode="&quot;$&quot;#,##0.00_);\(&quot;$&quot;#,##0.00\)"/>
    <numFmt numFmtId="44" formatCode="_(&quot;$&quot;* #,##0.00_);_(&quot;$&quot;* \(#,##0.00\);_(&quot;$&quot;* &quot;-&quot;??_);_(@_)"/>
    <numFmt numFmtId="170" formatCode="_-&quot;$&quot;* #,##0.00_-;\-&quot;$&quot;* #,##0.00_-;_-&quot;$&quot;* &quot;-&quot;??_-;_-@_-"/>
    <numFmt numFmtId="171" formatCode="_-* #,##0.00_-;\-* #,##0.00_-;_-* &quot;-&quot;??_-;_-@_-"/>
    <numFmt numFmtId="178" formatCode="0.0%"/>
    <numFmt numFmtId="179" formatCode="_-&quot;$&quot;* #,##0_-;\-&quot;$&quot;* #,##0_-;_-&quot;$&quot;* &quot;-&quot;??_-;_-@_-"/>
    <numFmt numFmtId="184" formatCode="_(&quot;$&quot;* #,##0_);_(&quot;$&quot;* \(#,##0\);_(&quot;$&quot;* &quot;-&quot;??_);_(@_)"/>
    <numFmt numFmtId="186" formatCode="&quot;$&quot;#,##0.00000_);\(&quot;$&quot;#,##0.00000\)"/>
  </numFmts>
  <fonts count="26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sz val="12"/>
      <name val="Courier"/>
      <family val="3"/>
    </font>
    <font>
      <b/>
      <sz val="12"/>
      <color indexed="10"/>
      <name val="Arial"/>
      <family val="2"/>
    </font>
    <font>
      <u/>
      <sz val="12"/>
      <name val="Arial"/>
      <family val="2"/>
    </font>
    <font>
      <b/>
      <u val="double"/>
      <sz val="12"/>
      <name val="Arial"/>
      <family val="2"/>
    </font>
    <font>
      <u val="singleAccounting"/>
      <sz val="12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b/>
      <sz val="22"/>
      <name val="Arial"/>
      <family val="2"/>
    </font>
    <font>
      <b/>
      <sz val="16"/>
      <color indexed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3"/>
      <name val="Arial"/>
      <family val="2"/>
    </font>
    <font>
      <sz val="12"/>
      <color rgb="FFC00000"/>
      <name val="Arial"/>
      <family val="2"/>
    </font>
    <font>
      <b/>
      <sz val="12"/>
      <color rgb="FFC00000"/>
      <name val="Arial"/>
      <family val="2"/>
    </font>
    <font>
      <u/>
      <sz val="12"/>
      <color rgb="FFC00000"/>
      <name val="Arial"/>
      <family val="2"/>
    </font>
    <font>
      <sz val="12"/>
      <color rgb="FFFF0000"/>
      <name val="Arial"/>
      <family val="2"/>
    </font>
    <font>
      <b/>
      <u val="double"/>
      <sz val="12"/>
      <color rgb="FFFF0000"/>
      <name val="Arial"/>
      <family val="2"/>
    </font>
    <font>
      <b/>
      <sz val="12"/>
      <color rgb="FFFF0000"/>
      <name val="Courier"/>
      <family val="3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gray125">
        <bgColor rgb="FFFFFF00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6">
    <xf numFmtId="0" fontId="0" fillId="0" borderId="0"/>
    <xf numFmtId="171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78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 applyAlignment="1">
      <alignment horizontal="center"/>
    </xf>
    <xf numFmtId="0" fontId="3" fillId="0" borderId="2" xfId="0" applyFont="1" applyBorder="1" applyAlignment="1" applyProtection="1"/>
    <xf numFmtId="0" fontId="3" fillId="0" borderId="3" xfId="0" applyFont="1" applyBorder="1" applyAlignment="1" applyProtection="1">
      <alignment horizontal="center"/>
    </xf>
    <xf numFmtId="0" fontId="2" fillId="0" borderId="3" xfId="0" applyFont="1" applyBorder="1" applyProtection="1"/>
    <xf numFmtId="0" fontId="2" fillId="0" borderId="4" xfId="0" applyFont="1" applyBorder="1" applyAlignment="1" applyProtection="1">
      <alignment horizontal="center"/>
    </xf>
    <xf numFmtId="0" fontId="4" fillId="0" borderId="0" xfId="0" applyFont="1" applyProtection="1"/>
    <xf numFmtId="0" fontId="2" fillId="0" borderId="0" xfId="0" applyFont="1"/>
    <xf numFmtId="0" fontId="4" fillId="0" borderId="0" xfId="0" applyFont="1"/>
    <xf numFmtId="178" fontId="4" fillId="0" borderId="0" xfId="5" applyNumberFormat="1" applyFont="1"/>
    <xf numFmtId="179" fontId="4" fillId="0" borderId="0" xfId="2" applyNumberFormat="1" applyFont="1"/>
    <xf numFmtId="0" fontId="19" fillId="0" borderId="0" xfId="0" applyFont="1"/>
    <xf numFmtId="0" fontId="5" fillId="0" borderId="0" xfId="0" applyFont="1" applyAlignment="1"/>
    <xf numFmtId="0" fontId="2" fillId="0" borderId="5" xfId="0" applyFont="1" applyBorder="1" applyAlignment="1" applyProtection="1"/>
    <xf numFmtId="0" fontId="2" fillId="0" borderId="6" xfId="0" applyFont="1" applyBorder="1" applyAlignment="1" applyProtection="1">
      <alignment horizontal="center"/>
    </xf>
    <xf numFmtId="0" fontId="2" fillId="0" borderId="6" xfId="0" applyFont="1" applyBorder="1" applyProtection="1"/>
    <xf numFmtId="0" fontId="2" fillId="0" borderId="7" xfId="0" applyFont="1" applyBorder="1" applyAlignment="1" applyProtection="1">
      <alignment horizontal="center"/>
    </xf>
    <xf numFmtId="0" fontId="6" fillId="0" borderId="0" xfId="0" applyFont="1" applyProtection="1">
      <protection locked="0"/>
    </xf>
    <xf numFmtId="0" fontId="4" fillId="0" borderId="0" xfId="0" applyFont="1" applyAlignment="1" applyProtection="1"/>
    <xf numFmtId="0" fontId="4" fillId="0" borderId="0" xfId="0" applyFont="1" applyAlignment="1" applyProtection="1">
      <alignment horizontal="center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20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  <protection locked="0"/>
    </xf>
    <xf numFmtId="179" fontId="2" fillId="0" borderId="0" xfId="2" applyNumberFormat="1" applyFont="1" applyAlignment="1">
      <alignment horizontal="center"/>
    </xf>
    <xf numFmtId="0" fontId="2" fillId="0" borderId="0" xfId="0" quotePrefix="1" applyFont="1" applyAlignment="1">
      <alignment horizontal="center"/>
    </xf>
    <xf numFmtId="0" fontId="5" fillId="0" borderId="0" xfId="0" applyFont="1" applyBorder="1" applyAlignment="1" applyProtection="1"/>
    <xf numFmtId="0" fontId="5" fillId="0" borderId="0" xfId="0" applyFont="1" applyBorder="1" applyAlignment="1" applyProtection="1">
      <alignment horizontal="center"/>
    </xf>
    <xf numFmtId="0" fontId="5" fillId="0" borderId="0" xfId="0" applyFont="1" applyBorder="1" applyProtection="1"/>
    <xf numFmtId="0" fontId="8" fillId="0" borderId="0" xfId="0" applyFont="1" applyBorder="1" applyAlignment="1" applyProtection="1">
      <alignment horizontal="center"/>
    </xf>
    <xf numFmtId="178" fontId="8" fillId="0" borderId="0" xfId="5" applyNumberFormat="1" applyFont="1" applyBorder="1"/>
    <xf numFmtId="179" fontId="5" fillId="0" borderId="0" xfId="2" applyNumberFormat="1" applyFont="1" applyBorder="1" applyAlignment="1">
      <alignment horizontal="center"/>
    </xf>
    <xf numFmtId="0" fontId="21" fillId="0" borderId="0" xfId="0" applyFont="1" applyBorder="1"/>
    <xf numFmtId="0" fontId="5" fillId="0" borderId="0" xfId="0" applyFont="1" applyBorder="1" applyAlignment="1">
      <alignment horizontal="center"/>
    </xf>
    <xf numFmtId="0" fontId="8" fillId="0" borderId="0" xfId="0" applyFont="1" applyBorder="1"/>
    <xf numFmtId="37" fontId="4" fillId="0" borderId="0" xfId="0" applyNumberFormat="1" applyFont="1" applyProtection="1"/>
    <xf numFmtId="37" fontId="22" fillId="0" borderId="0" xfId="0" applyNumberFormat="1" applyFont="1" applyProtection="1"/>
    <xf numFmtId="170" fontId="4" fillId="0" borderId="0" xfId="2" applyNumberFormat="1" applyFont="1"/>
    <xf numFmtId="170" fontId="4" fillId="0" borderId="0" xfId="2" applyFont="1"/>
    <xf numFmtId="44" fontId="4" fillId="0" borderId="0" xfId="0" applyNumberFormat="1" applyFont="1"/>
    <xf numFmtId="10" fontId="4" fillId="0" borderId="0" xfId="5" applyNumberFormat="1" applyFont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 applyProtection="1"/>
    <xf numFmtId="37" fontId="22" fillId="0" borderId="0" xfId="0" applyNumberFormat="1" applyFont="1" applyBorder="1" applyProtection="1"/>
    <xf numFmtId="0" fontId="4" fillId="0" borderId="0" xfId="0" applyFont="1" applyBorder="1" applyAlignment="1" applyProtection="1">
      <alignment horizontal="center"/>
    </xf>
    <xf numFmtId="178" fontId="4" fillId="0" borderId="0" xfId="5" applyNumberFormat="1" applyFont="1" applyBorder="1"/>
    <xf numFmtId="0" fontId="19" fillId="0" borderId="0" xfId="0" applyFont="1" applyBorder="1"/>
    <xf numFmtId="170" fontId="4" fillId="0" borderId="0" xfId="2" applyFont="1" applyBorder="1"/>
    <xf numFmtId="44" fontId="4" fillId="0" borderId="0" xfId="0" applyNumberFormat="1" applyFont="1" applyBorder="1"/>
    <xf numFmtId="10" fontId="4" fillId="0" borderId="0" xfId="5" applyNumberFormat="1" applyFont="1" applyBorder="1"/>
    <xf numFmtId="0" fontId="4" fillId="0" borderId="0" xfId="0" applyFont="1" applyBorder="1" applyAlignment="1" applyProtection="1"/>
    <xf numFmtId="37" fontId="4" fillId="0" borderId="0" xfId="0" applyNumberFormat="1" applyFont="1" applyBorder="1" applyProtection="1"/>
    <xf numFmtId="7" fontId="4" fillId="0" borderId="0" xfId="0" applyNumberFormat="1" applyFont="1" applyBorder="1" applyProtection="1"/>
    <xf numFmtId="179" fontId="4" fillId="0" borderId="0" xfId="2" applyNumberFormat="1" applyFont="1" applyBorder="1"/>
    <xf numFmtId="7" fontId="4" fillId="0" borderId="0" xfId="0" applyNumberFormat="1" applyFont="1" applyProtection="1"/>
    <xf numFmtId="37" fontId="4" fillId="0" borderId="0" xfId="0" applyNumberFormat="1" applyFont="1"/>
    <xf numFmtId="0" fontId="4" fillId="0" borderId="0" xfId="0" applyFont="1" applyAlignment="1">
      <alignment horizontal="center"/>
    </xf>
    <xf numFmtId="37" fontId="8" fillId="0" borderId="0" xfId="0" applyNumberFormat="1" applyFont="1" applyProtection="1"/>
    <xf numFmtId="0" fontId="4" fillId="0" borderId="0" xfId="0" applyFont="1" applyAlignment="1"/>
    <xf numFmtId="179" fontId="10" fillId="0" borderId="0" xfId="2" applyNumberFormat="1" applyFont="1"/>
    <xf numFmtId="170" fontId="2" fillId="0" borderId="0" xfId="2" applyFont="1"/>
    <xf numFmtId="0" fontId="20" fillId="0" borderId="0" xfId="0" applyFont="1"/>
    <xf numFmtId="44" fontId="2" fillId="0" borderId="0" xfId="0" applyNumberFormat="1" applyFont="1"/>
    <xf numFmtId="10" fontId="2" fillId="0" borderId="0" xfId="5" applyNumberFormat="1" applyFont="1"/>
    <xf numFmtId="37" fontId="9" fillId="0" borderId="0" xfId="0" applyNumberFormat="1" applyFont="1" applyProtection="1"/>
    <xf numFmtId="0" fontId="9" fillId="0" borderId="0" xfId="0" applyFont="1" applyAlignment="1" applyProtection="1">
      <alignment horizontal="center"/>
    </xf>
    <xf numFmtId="178" fontId="9" fillId="0" borderId="0" xfId="5" applyNumberFormat="1" applyFont="1"/>
    <xf numFmtId="179" fontId="9" fillId="0" borderId="0" xfId="2" applyNumberFormat="1" applyFont="1"/>
    <xf numFmtId="37" fontId="23" fillId="0" borderId="0" xfId="0" applyNumberFormat="1" applyFont="1" applyProtection="1"/>
    <xf numFmtId="0" fontId="9" fillId="0" borderId="0" xfId="0" applyFont="1" applyProtection="1"/>
    <xf numFmtId="170" fontId="9" fillId="0" borderId="0" xfId="2" applyNumberFormat="1" applyFont="1"/>
    <xf numFmtId="1" fontId="4" fillId="0" borderId="0" xfId="0" applyNumberFormat="1" applyFont="1" applyProtection="1"/>
    <xf numFmtId="184" fontId="7" fillId="2" borderId="8" xfId="0" applyNumberFormat="1" applyFont="1" applyFill="1" applyBorder="1" applyProtection="1"/>
    <xf numFmtId="37" fontId="2" fillId="0" borderId="0" xfId="0" applyNumberFormat="1" applyFont="1"/>
    <xf numFmtId="37" fontId="9" fillId="0" borderId="0" xfId="0" applyNumberFormat="1" applyFont="1"/>
    <xf numFmtId="179" fontId="2" fillId="0" borderId="0" xfId="2" applyNumberFormat="1" applyFont="1"/>
    <xf numFmtId="171" fontId="0" fillId="0" borderId="0" xfId="1" applyFont="1"/>
    <xf numFmtId="184" fontId="2" fillId="0" borderId="0" xfId="0" applyNumberFormat="1" applyFont="1" applyAlignment="1" applyProtection="1">
      <alignment horizontal="center"/>
    </xf>
    <xf numFmtId="37" fontId="8" fillId="0" borderId="0" xfId="0" applyNumberFormat="1" applyFont="1"/>
    <xf numFmtId="186" fontId="24" fillId="3" borderId="8" xfId="0" applyNumberFormat="1" applyFont="1" applyFill="1" applyBorder="1" applyProtection="1">
      <protection locked="0"/>
    </xf>
    <xf numFmtId="170" fontId="4" fillId="0" borderId="0" xfId="0" applyNumberFormat="1" applyFont="1"/>
    <xf numFmtId="14" fontId="4" fillId="0" borderId="0" xfId="0" applyNumberFormat="1" applyFont="1"/>
    <xf numFmtId="4" fontId="4" fillId="0" borderId="0" xfId="0" applyNumberFormat="1" applyFont="1"/>
    <xf numFmtId="0" fontId="11" fillId="0" borderId="0" xfId="0" applyFont="1" applyAlignment="1">
      <alignment horizontal="center"/>
    </xf>
    <xf numFmtId="0" fontId="0" fillId="0" borderId="0" xfId="0" applyAlignment="1">
      <alignment horizontal="centerContinuous"/>
    </xf>
    <xf numFmtId="0" fontId="15" fillId="0" borderId="0" xfId="0" applyFont="1"/>
    <xf numFmtId="0" fontId="15" fillId="0" borderId="0" xfId="0" applyFont="1" applyAlignment="1">
      <alignment horizontal="right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15" fillId="0" borderId="11" xfId="0" applyFont="1" applyBorder="1"/>
    <xf numFmtId="0" fontId="15" fillId="0" borderId="12" xfId="0" applyFont="1" applyBorder="1"/>
    <xf numFmtId="0" fontId="0" fillId="0" borderId="12" xfId="0" applyBorder="1"/>
    <xf numFmtId="3" fontId="16" fillId="0" borderId="13" xfId="0" applyNumberFormat="1" applyFont="1" applyBorder="1" applyAlignment="1">
      <alignment horizontal="center" vertical="center"/>
    </xf>
    <xf numFmtId="3" fontId="16" fillId="0" borderId="12" xfId="0" applyNumberFormat="1" applyFont="1" applyBorder="1" applyAlignment="1">
      <alignment horizontal="center" vertical="center"/>
    </xf>
    <xf numFmtId="3" fontId="16" fillId="0" borderId="1" xfId="0" applyNumberFormat="1" applyFont="1" applyBorder="1" applyAlignment="1">
      <alignment horizontal="center" vertical="center"/>
    </xf>
    <xf numFmtId="0" fontId="15" fillId="0" borderId="14" xfId="0" applyFont="1" applyBorder="1"/>
    <xf numFmtId="0" fontId="15" fillId="0" borderId="15" xfId="0" applyFont="1" applyBorder="1"/>
    <xf numFmtId="0" fontId="0" fillId="0" borderId="15" xfId="0" applyBorder="1"/>
    <xf numFmtId="3" fontId="16" fillId="0" borderId="15" xfId="0" applyNumberFormat="1" applyFont="1" applyBorder="1" applyAlignment="1">
      <alignment horizontal="center" vertical="center"/>
    </xf>
    <xf numFmtId="0" fontId="15" fillId="0" borderId="16" xfId="0" applyFont="1" applyBorder="1"/>
    <xf numFmtId="3" fontId="16" fillId="0" borderId="17" xfId="0" applyNumberFormat="1" applyFont="1" applyBorder="1" applyAlignment="1">
      <alignment horizontal="center" vertical="center"/>
    </xf>
    <xf numFmtId="3" fontId="16" fillId="0" borderId="0" xfId="0" applyNumberFormat="1" applyFont="1" applyAlignment="1">
      <alignment horizontal="center" vertical="center"/>
    </xf>
    <xf numFmtId="0" fontId="2" fillId="0" borderId="18" xfId="0" applyFont="1" applyBorder="1" applyAlignment="1">
      <alignment horizontal="centerContinuous"/>
    </xf>
    <xf numFmtId="0" fontId="16" fillId="0" borderId="10" xfId="0" applyFont="1" applyBorder="1" applyAlignment="1">
      <alignment horizontal="centerContinuous"/>
    </xf>
    <xf numFmtId="3" fontId="16" fillId="0" borderId="9" xfId="0" applyNumberFormat="1" applyFont="1" applyBorder="1" applyAlignment="1">
      <alignment horizontal="center" vertical="center"/>
    </xf>
    <xf numFmtId="3" fontId="16" fillId="0" borderId="10" xfId="0" applyNumberFormat="1" applyFont="1" applyBorder="1" applyAlignment="1">
      <alignment horizontal="center" vertical="center"/>
    </xf>
    <xf numFmtId="3" fontId="0" fillId="0" borderId="9" xfId="0" applyNumberFormat="1" applyBorder="1"/>
    <xf numFmtId="0" fontId="0" fillId="0" borderId="9" xfId="0" applyBorder="1"/>
    <xf numFmtId="0" fontId="15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4" fontId="0" fillId="0" borderId="0" xfId="0" applyNumberFormat="1" applyAlignment="1">
      <alignment horizontal="centerContinuous"/>
    </xf>
    <xf numFmtId="4" fontId="0" fillId="0" borderId="0" xfId="0" applyNumberFormat="1"/>
    <xf numFmtId="0" fontId="1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17" fillId="0" borderId="0" xfId="0" applyFont="1"/>
    <xf numFmtId="0" fontId="16" fillId="0" borderId="0" xfId="0" applyFont="1"/>
    <xf numFmtId="0" fontId="18" fillId="0" borderId="21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16" fillId="0" borderId="13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4" fillId="0" borderId="23" xfId="0" applyFont="1" applyBorder="1"/>
    <xf numFmtId="0" fontId="4" fillId="0" borderId="25" xfId="0" applyFont="1" applyBorder="1"/>
    <xf numFmtId="0" fontId="16" fillId="0" borderId="26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3" fontId="16" fillId="0" borderId="26" xfId="0" applyNumberFormat="1" applyFont="1" applyBorder="1" applyAlignment="1">
      <alignment horizontal="center" vertical="center"/>
    </xf>
    <xf numFmtId="3" fontId="16" fillId="0" borderId="25" xfId="0" applyNumberFormat="1" applyFont="1" applyBorder="1" applyAlignment="1">
      <alignment horizontal="center" vertical="center"/>
    </xf>
    <xf numFmtId="3" fontId="16" fillId="0" borderId="27" xfId="0" applyNumberFormat="1" applyFont="1" applyBorder="1" applyAlignment="1">
      <alignment horizontal="center" vertical="center"/>
    </xf>
    <xf numFmtId="0" fontId="4" fillId="0" borderId="14" xfId="0" applyFont="1" applyBorder="1"/>
    <xf numFmtId="0" fontId="4" fillId="0" borderId="15" xfId="0" applyFont="1" applyBorder="1"/>
    <xf numFmtId="0" fontId="16" fillId="0" borderId="1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Continuous"/>
    </xf>
    <xf numFmtId="0" fontId="16" fillId="0" borderId="9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3" fontId="16" fillId="0" borderId="9" xfId="0" applyNumberFormat="1" applyFont="1" applyBorder="1" applyAlignment="1">
      <alignment horizontal="center"/>
    </xf>
    <xf numFmtId="0" fontId="16" fillId="0" borderId="29" xfId="0" applyFont="1" applyBorder="1"/>
    <xf numFmtId="0" fontId="16" fillId="0" borderId="31" xfId="0" applyFont="1" applyBorder="1"/>
    <xf numFmtId="4" fontId="1" fillId="0" borderId="0" xfId="0" applyNumberFormat="1" applyFont="1" applyAlignment="1">
      <alignment horizontal="centerContinuous"/>
    </xf>
    <xf numFmtId="171" fontId="4" fillId="0" borderId="0" xfId="1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15" fillId="0" borderId="14" xfId="0" applyFont="1" applyBorder="1"/>
    <xf numFmtId="0" fontId="15" fillId="0" borderId="15" xfId="0" applyFont="1" applyBorder="1"/>
    <xf numFmtId="3" fontId="11" fillId="4" borderId="19" xfId="0" applyNumberFormat="1" applyFont="1" applyFill="1" applyBorder="1" applyAlignment="1">
      <alignment horizontal="center" vertical="center"/>
    </xf>
    <xf numFmtId="3" fontId="11" fillId="4" borderId="20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3" fontId="11" fillId="4" borderId="32" xfId="0" applyNumberFormat="1" applyFont="1" applyFill="1" applyBorder="1" applyAlignment="1">
      <alignment horizontal="center" vertical="center"/>
    </xf>
    <xf numFmtId="0" fontId="11" fillId="4" borderId="33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11" fillId="4" borderId="31" xfId="0" applyFont="1" applyFill="1" applyBorder="1" applyAlignment="1">
      <alignment horizontal="center" vertical="center"/>
    </xf>
    <xf numFmtId="3" fontId="16" fillId="0" borderId="14" xfId="0" applyNumberFormat="1" applyFont="1" applyBorder="1" applyAlignment="1">
      <alignment horizontal="center" vertical="center"/>
    </xf>
    <xf numFmtId="3" fontId="16" fillId="0" borderId="27" xfId="0" applyNumberFormat="1" applyFont="1" applyBorder="1" applyAlignment="1">
      <alignment horizontal="center" vertical="center"/>
    </xf>
    <xf numFmtId="0" fontId="4" fillId="0" borderId="28" xfId="0" applyFont="1" applyBorder="1"/>
    <xf numFmtId="0" fontId="4" fillId="0" borderId="29" xfId="0" applyFont="1" applyBorder="1"/>
    <xf numFmtId="0" fontId="4" fillId="0" borderId="14" xfId="0" applyFont="1" applyBorder="1"/>
    <xf numFmtId="0" fontId="4" fillId="0" borderId="15" xfId="0" applyFont="1" applyBorder="1"/>
    <xf numFmtId="0" fontId="4" fillId="0" borderId="0" xfId="0" applyFont="1" applyAlignment="1">
      <alignment horizontal="center"/>
    </xf>
    <xf numFmtId="0" fontId="18" fillId="0" borderId="10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3" fontId="16" fillId="0" borderId="23" xfId="0" applyNumberFormat="1" applyFont="1" applyBorder="1" applyAlignment="1">
      <alignment horizontal="center" vertical="center"/>
    </xf>
    <xf numFmtId="3" fontId="16" fillId="0" borderId="24" xfId="0" applyNumberFormat="1" applyFont="1" applyBorder="1" applyAlignment="1">
      <alignment horizontal="center" vertical="center"/>
    </xf>
  </cellXfs>
  <cellStyles count="6">
    <cellStyle name="Comma" xfId="1" builtinId="3"/>
    <cellStyle name="Currency" xfId="2" builtinId="4"/>
    <cellStyle name="Currency 2" xfId="3"/>
    <cellStyle name="Normal" xfId="0" builtinId="0"/>
    <cellStyle name="Normal 2" xfId="4"/>
    <cellStyle name="Percent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burmest\OneDrive%20-%20Waste%20Management\Documents\Copy%20of%202024%20WM%20Unincorporated%20Residential%20Sources%20B%20-%20Copy%20Revis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burmest\OneDrive%20-%20Waste%20Management\Documents\Doug%20County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mgmt-my.sharepoint.com/personal/eburmest_wm_com/Documents/Documents/Doug%20County%20RO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20">
          <cell r="D20">
            <v>56</v>
          </cell>
        </row>
        <row r="21">
          <cell r="D21">
            <v>2</v>
          </cell>
        </row>
        <row r="22">
          <cell r="D22">
            <v>98</v>
          </cell>
        </row>
        <row r="23">
          <cell r="D23">
            <v>38</v>
          </cell>
        </row>
        <row r="24">
          <cell r="D24">
            <v>1</v>
          </cell>
        </row>
        <row r="26">
          <cell r="D26">
            <v>8</v>
          </cell>
        </row>
        <row r="27">
          <cell r="D27">
            <v>1005</v>
          </cell>
        </row>
        <row r="29">
          <cell r="D29">
            <v>2</v>
          </cell>
        </row>
        <row r="31">
          <cell r="D31">
            <v>10</v>
          </cell>
        </row>
        <row r="33">
          <cell r="D33">
            <v>2162</v>
          </cell>
        </row>
        <row r="34">
          <cell r="D34">
            <v>23</v>
          </cell>
        </row>
        <row r="35">
          <cell r="D35">
            <v>13</v>
          </cell>
        </row>
        <row r="37">
          <cell r="D37">
            <v>12</v>
          </cell>
        </row>
        <row r="38">
          <cell r="D38">
            <v>2812</v>
          </cell>
        </row>
        <row r="39">
          <cell r="D39">
            <v>54</v>
          </cell>
        </row>
        <row r="40">
          <cell r="D40">
            <v>132</v>
          </cell>
        </row>
        <row r="41">
          <cell r="D41">
            <v>10</v>
          </cell>
        </row>
        <row r="42">
          <cell r="D42">
            <v>1</v>
          </cell>
        </row>
        <row r="43">
          <cell r="D43">
            <v>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 Pivot"/>
      <sheetName val="RO UTC Data"/>
      <sheetName val="RO Data"/>
      <sheetName val="Sheet2"/>
      <sheetName val="CM RS Billing"/>
      <sheetName val="CM RS Data"/>
      <sheetName val="Sheet3"/>
      <sheetName val="Sheet4"/>
      <sheetName val="Sheet8"/>
      <sheetName val="Sheet9"/>
      <sheetName val="Sheet1"/>
      <sheetName val="Billed Data"/>
      <sheetName val="Sheet7"/>
      <sheetName val="Sheet6"/>
      <sheetName val="Screen 5"/>
      <sheetName val="Sheet12"/>
      <sheetName val="Sheet14"/>
      <sheetName val="Sheet15"/>
      <sheetName val="Sheet16"/>
      <sheetName val="Sheet17"/>
      <sheetName val="Sheet18"/>
      <sheetName val="Sheet19"/>
      <sheetName val="Sheet11"/>
      <sheetName val="Billed Data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74">
          <cell r="R74">
            <v>28</v>
          </cell>
        </row>
        <row r="75">
          <cell r="R75">
            <v>40</v>
          </cell>
        </row>
        <row r="76">
          <cell r="R76">
            <v>16</v>
          </cell>
        </row>
        <row r="77">
          <cell r="R77">
            <v>29</v>
          </cell>
        </row>
        <row r="78">
          <cell r="R78">
            <v>3</v>
          </cell>
        </row>
        <row r="79">
          <cell r="R79">
            <v>29</v>
          </cell>
        </row>
        <row r="80">
          <cell r="R80">
            <v>75</v>
          </cell>
        </row>
        <row r="81">
          <cell r="R81">
            <v>2</v>
          </cell>
        </row>
        <row r="82">
          <cell r="R82">
            <v>56</v>
          </cell>
        </row>
        <row r="83">
          <cell r="R83">
            <v>1</v>
          </cell>
        </row>
        <row r="84">
          <cell r="R84">
            <v>1</v>
          </cell>
        </row>
        <row r="85">
          <cell r="R85">
            <v>2</v>
          </cell>
        </row>
        <row r="86">
          <cell r="R86">
            <v>1</v>
          </cell>
        </row>
        <row r="87">
          <cell r="R87">
            <v>1</v>
          </cell>
        </row>
        <row r="88">
          <cell r="R88">
            <v>4</v>
          </cell>
        </row>
        <row r="89">
          <cell r="R89">
            <v>1</v>
          </cell>
        </row>
        <row r="90">
          <cell r="R90">
            <v>5</v>
          </cell>
        </row>
        <row r="91">
          <cell r="R91">
            <v>30</v>
          </cell>
        </row>
        <row r="92">
          <cell r="R92">
            <v>24</v>
          </cell>
        </row>
        <row r="93">
          <cell r="R93">
            <v>0</v>
          </cell>
        </row>
        <row r="94">
          <cell r="R94">
            <v>14</v>
          </cell>
        </row>
        <row r="95">
          <cell r="R95">
            <v>1</v>
          </cell>
        </row>
        <row r="96">
          <cell r="R96">
            <v>1</v>
          </cell>
        </row>
        <row r="97">
          <cell r="R97">
            <v>3</v>
          </cell>
        </row>
        <row r="98">
          <cell r="R98">
            <v>2</v>
          </cell>
        </row>
        <row r="99">
          <cell r="R99">
            <v>43</v>
          </cell>
        </row>
        <row r="100">
          <cell r="R100">
            <v>0</v>
          </cell>
        </row>
        <row r="101">
          <cell r="R101">
            <v>24</v>
          </cell>
        </row>
        <row r="102">
          <cell r="R102">
            <v>2</v>
          </cell>
        </row>
        <row r="103">
          <cell r="R103">
            <v>1</v>
          </cell>
        </row>
        <row r="104">
          <cell r="R104">
            <v>0</v>
          </cell>
        </row>
        <row r="105">
          <cell r="R105">
            <v>1</v>
          </cell>
        </row>
        <row r="106">
          <cell r="R106">
            <v>28</v>
          </cell>
        </row>
        <row r="107">
          <cell r="R107">
            <v>2</v>
          </cell>
        </row>
        <row r="108">
          <cell r="R108">
            <v>7</v>
          </cell>
        </row>
        <row r="109">
          <cell r="R109">
            <v>1</v>
          </cell>
        </row>
        <row r="110">
          <cell r="R110">
            <v>1</v>
          </cell>
        </row>
        <row r="111">
          <cell r="R111">
            <v>32</v>
          </cell>
        </row>
        <row r="112">
          <cell r="R112">
            <v>3</v>
          </cell>
        </row>
        <row r="113">
          <cell r="R113">
            <v>3</v>
          </cell>
        </row>
        <row r="114">
          <cell r="R114">
            <v>2</v>
          </cell>
        </row>
        <row r="115">
          <cell r="R115">
            <v>1</v>
          </cell>
        </row>
        <row r="116">
          <cell r="R116">
            <v>1</v>
          </cell>
        </row>
        <row r="127">
          <cell r="R127">
            <v>5</v>
          </cell>
        </row>
        <row r="128">
          <cell r="R128">
            <v>98</v>
          </cell>
        </row>
        <row r="129">
          <cell r="R129">
            <v>1005</v>
          </cell>
        </row>
        <row r="130">
          <cell r="R130">
            <v>2162</v>
          </cell>
        </row>
        <row r="131">
          <cell r="R131">
            <v>2812</v>
          </cell>
        </row>
        <row r="132">
          <cell r="R132">
            <v>51</v>
          </cell>
        </row>
        <row r="133">
          <cell r="R133">
            <v>38</v>
          </cell>
        </row>
        <row r="134">
          <cell r="R134">
            <v>2</v>
          </cell>
        </row>
        <row r="135">
          <cell r="R135">
            <v>13</v>
          </cell>
        </row>
        <row r="136">
          <cell r="R136">
            <v>23</v>
          </cell>
        </row>
        <row r="137">
          <cell r="R137">
            <v>132</v>
          </cell>
        </row>
        <row r="138">
          <cell r="R138">
            <v>54</v>
          </cell>
        </row>
        <row r="139">
          <cell r="R139">
            <v>2</v>
          </cell>
        </row>
        <row r="140">
          <cell r="R140">
            <v>1</v>
          </cell>
        </row>
        <row r="141">
          <cell r="R141">
            <v>8</v>
          </cell>
        </row>
        <row r="142">
          <cell r="R142">
            <v>1</v>
          </cell>
        </row>
        <row r="143">
          <cell r="R143">
            <v>10</v>
          </cell>
        </row>
        <row r="144">
          <cell r="R144">
            <v>2</v>
          </cell>
        </row>
        <row r="145">
          <cell r="R145">
            <v>1</v>
          </cell>
        </row>
        <row r="147">
          <cell r="R147">
            <v>10</v>
          </cell>
        </row>
        <row r="148">
          <cell r="R148">
            <v>12</v>
          </cell>
        </row>
        <row r="160">
          <cell r="N160">
            <v>6374</v>
          </cell>
        </row>
      </sheetData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4"/>
      <sheetName val="Sheet3"/>
      <sheetName val="Sheet1"/>
      <sheetName val="Sheet2"/>
    </sheetNames>
    <sheetDataSet>
      <sheetData sheetId="0"/>
      <sheetData sheetId="1">
        <row r="7">
          <cell r="N7">
            <v>2</v>
          </cell>
        </row>
        <row r="8">
          <cell r="N8">
            <v>7</v>
          </cell>
        </row>
        <row r="9">
          <cell r="N9">
            <v>348</v>
          </cell>
        </row>
        <row r="10">
          <cell r="N10">
            <v>36</v>
          </cell>
        </row>
        <row r="11">
          <cell r="N11">
            <v>93</v>
          </cell>
        </row>
        <row r="12">
          <cell r="N12">
            <v>1671</v>
          </cell>
        </row>
        <row r="13">
          <cell r="N13">
            <v>12</v>
          </cell>
        </row>
        <row r="14">
          <cell r="N14">
            <v>117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5"/>
  <sheetViews>
    <sheetView tabSelected="1" workbookViewId="0"/>
  </sheetViews>
  <sheetFormatPr defaultColWidth="12.54296875" defaultRowHeight="15.5" x14ac:dyDescent="0.35"/>
  <cols>
    <col min="1" max="1" width="36.7265625" style="62" customWidth="1"/>
    <col min="2" max="2" width="15.7265625" style="60" bestFit="1" customWidth="1"/>
    <col min="3" max="3" width="6" style="10" customWidth="1"/>
    <col min="4" max="4" width="15.54296875" style="10" customWidth="1"/>
    <col min="5" max="5" width="9.26953125" style="10" customWidth="1"/>
    <col min="6" max="6" width="10.1796875" style="60" customWidth="1"/>
    <col min="7" max="7" width="3.7265625" style="10" customWidth="1"/>
    <col min="8" max="8" width="17.54296875" style="10" customWidth="1"/>
    <col min="9" max="9" width="18.81640625" style="10" customWidth="1"/>
    <col min="10" max="10" width="2.81640625" style="11" customWidth="1"/>
    <col min="11" max="11" width="15.54296875" style="12" customWidth="1"/>
    <col min="12" max="12" width="2.81640625" style="13" customWidth="1"/>
    <col min="13" max="13" width="12.54296875" style="10"/>
    <col min="14" max="14" width="13.7265625" style="10" bestFit="1" customWidth="1"/>
    <col min="15" max="15" width="13.453125" style="10" bestFit="1" customWidth="1"/>
    <col min="16" max="16" width="6.6328125" style="10" bestFit="1" customWidth="1"/>
    <col min="17" max="17" width="11" style="10" customWidth="1"/>
    <col min="18" max="18" width="17.453125" style="10" customWidth="1"/>
    <col min="19" max="16384" width="12.54296875" style="10"/>
  </cols>
  <sheetData>
    <row r="1" spans="1:16" ht="20" x14ac:dyDescent="0.4">
      <c r="A1" s="4" t="s">
        <v>43</v>
      </c>
      <c r="B1" s="5"/>
      <c r="C1" s="6"/>
      <c r="D1" s="6"/>
      <c r="E1" s="6"/>
      <c r="F1" s="7"/>
      <c r="G1" s="8"/>
      <c r="H1" s="9" t="s">
        <v>44</v>
      </c>
      <c r="I1" s="10">
        <v>12</v>
      </c>
      <c r="O1" s="14"/>
      <c r="P1" s="14"/>
    </row>
    <row r="2" spans="1:16" ht="16" thickBot="1" x14ac:dyDescent="0.4">
      <c r="A2" s="15" t="s">
        <v>96</v>
      </c>
      <c r="B2" s="16"/>
      <c r="C2" s="17"/>
      <c r="D2" s="17"/>
      <c r="E2" s="17"/>
      <c r="F2" s="18"/>
      <c r="G2" s="8"/>
      <c r="H2" s="19"/>
    </row>
    <row r="3" spans="1:16" x14ac:dyDescent="0.35">
      <c r="A3" s="20"/>
      <c r="B3" s="21"/>
      <c r="C3" s="8"/>
      <c r="D3" s="8"/>
      <c r="E3" s="8"/>
      <c r="F3" s="21"/>
      <c r="G3" s="8"/>
      <c r="H3" s="19"/>
      <c r="I3" s="84">
        <f>+K94</f>
        <v>422.96331909482251</v>
      </c>
    </row>
    <row r="4" spans="1:16" ht="16" thickBot="1" x14ac:dyDescent="0.4">
      <c r="A4" s="20"/>
      <c r="B4" s="21"/>
      <c r="C4" s="8"/>
      <c r="D4" s="8"/>
      <c r="E4" s="8"/>
      <c r="F4" s="21"/>
      <c r="G4" s="8"/>
      <c r="H4" s="19"/>
    </row>
    <row r="5" spans="1:16" ht="16" thickBot="1" x14ac:dyDescent="0.4">
      <c r="A5" s="22" t="s">
        <v>97</v>
      </c>
      <c r="B5" s="81"/>
      <c r="C5" s="8"/>
      <c r="D5" s="76">
        <v>220650.98</v>
      </c>
      <c r="E5" s="8"/>
      <c r="F5" s="21"/>
      <c r="G5" s="8"/>
      <c r="H5" s="83">
        <f>D5/H92</f>
        <v>5.2460964138766209E-3</v>
      </c>
      <c r="I5" s="10" t="s">
        <v>45</v>
      </c>
    </row>
    <row r="6" spans="1:16" x14ac:dyDescent="0.35">
      <c r="A6" s="20"/>
      <c r="B6" s="21"/>
      <c r="C6" s="8"/>
      <c r="D6" s="8"/>
      <c r="E6" s="8"/>
      <c r="F6" s="21"/>
      <c r="G6" s="8"/>
      <c r="H6" s="19"/>
      <c r="I6" s="3"/>
    </row>
    <row r="7" spans="1:16" x14ac:dyDescent="0.35">
      <c r="A7" s="22"/>
      <c r="B7" s="23"/>
      <c r="C7" s="24"/>
      <c r="D7" s="23">
        <v>2024</v>
      </c>
      <c r="E7" s="25" t="s">
        <v>46</v>
      </c>
      <c r="F7" s="21"/>
      <c r="G7" s="21"/>
      <c r="H7" s="23" t="s">
        <v>47</v>
      </c>
      <c r="I7" s="26" t="s">
        <v>48</v>
      </c>
      <c r="K7" s="27"/>
      <c r="M7" s="28">
        <v>2024</v>
      </c>
    </row>
    <row r="8" spans="1:16" x14ac:dyDescent="0.35">
      <c r="A8" s="22"/>
      <c r="B8" s="23"/>
      <c r="C8" s="24"/>
      <c r="D8" s="23" t="s">
        <v>49</v>
      </c>
      <c r="E8" s="23" t="s">
        <v>50</v>
      </c>
      <c r="F8" s="23" t="s">
        <v>49</v>
      </c>
      <c r="G8" s="21"/>
      <c r="H8" s="23" t="s">
        <v>51</v>
      </c>
      <c r="I8" s="26" t="s">
        <v>52</v>
      </c>
      <c r="K8" s="27" t="s">
        <v>53</v>
      </c>
      <c r="M8" s="3" t="s">
        <v>54</v>
      </c>
      <c r="N8" s="3"/>
      <c r="O8" s="3" t="s">
        <v>55</v>
      </c>
    </row>
    <row r="9" spans="1:16" s="37" customFormat="1" x14ac:dyDescent="0.35">
      <c r="A9" s="29" t="s">
        <v>56</v>
      </c>
      <c r="B9" s="30"/>
      <c r="C9" s="31"/>
      <c r="D9" s="30" t="s">
        <v>93</v>
      </c>
      <c r="E9" s="30" t="s">
        <v>57</v>
      </c>
      <c r="F9" s="30" t="s">
        <v>58</v>
      </c>
      <c r="G9" s="32"/>
      <c r="H9" s="30" t="s">
        <v>59</v>
      </c>
      <c r="I9" s="30" t="s">
        <v>60</v>
      </c>
      <c r="J9" s="33"/>
      <c r="K9" s="34" t="s">
        <v>61</v>
      </c>
      <c r="L9" s="35"/>
      <c r="M9" s="36" t="s">
        <v>62</v>
      </c>
      <c r="N9" s="36" t="s">
        <v>63</v>
      </c>
      <c r="O9" s="36" t="s">
        <v>64</v>
      </c>
    </row>
    <row r="10" spans="1:16" x14ac:dyDescent="0.35">
      <c r="A10" s="20"/>
      <c r="B10" s="21"/>
      <c r="C10" s="8"/>
      <c r="D10" s="8"/>
      <c r="E10" s="8"/>
      <c r="F10" s="21"/>
      <c r="G10" s="8"/>
      <c r="H10" s="8"/>
      <c r="I10" s="19"/>
    </row>
    <row r="11" spans="1:16" x14ac:dyDescent="0.35">
      <c r="A11" s="20" t="s">
        <v>24</v>
      </c>
      <c r="B11" s="21"/>
      <c r="C11" s="8"/>
      <c r="D11" s="38">
        <f>[1]Sheet1!$D$20</f>
        <v>56</v>
      </c>
      <c r="E11" s="39">
        <v>20</v>
      </c>
      <c r="F11" s="21">
        <v>52</v>
      </c>
      <c r="G11" s="75"/>
      <c r="H11" s="38">
        <f t="shared" ref="H11:H33" si="0">IF(D11=0,"",D11*E11*F11)</f>
        <v>58240</v>
      </c>
      <c r="I11" s="40">
        <f>ROUND(($H$5*H11)/D11/$I$1,2)</f>
        <v>0.45</v>
      </c>
      <c r="K11" s="12">
        <f>D11*I11*$I$1</f>
        <v>302.39999999999998</v>
      </c>
      <c r="M11" s="41">
        <v>0.46</v>
      </c>
      <c r="N11" s="42">
        <f>+I11-M11</f>
        <v>-1.0000000000000009E-2</v>
      </c>
      <c r="O11" s="43">
        <f>+N11/M11</f>
        <v>-2.1739130434782625E-2</v>
      </c>
    </row>
    <row r="12" spans="1:16" x14ac:dyDescent="0.35">
      <c r="A12" s="20" t="s">
        <v>68</v>
      </c>
      <c r="B12" s="21"/>
      <c r="C12" s="8"/>
      <c r="D12" s="38">
        <f>[1]Sheet1!$D$21</f>
        <v>2</v>
      </c>
      <c r="E12" s="39">
        <v>34</v>
      </c>
      <c r="F12" s="21">
        <v>12</v>
      </c>
      <c r="G12" s="75"/>
      <c r="H12" s="38">
        <f t="shared" si="0"/>
        <v>816</v>
      </c>
      <c r="I12" s="40">
        <f t="shared" ref="I12:I30" si="1">ROUND(($H$5*H12)/D12/$I$1,2)</f>
        <v>0.18</v>
      </c>
      <c r="K12" s="12">
        <f t="shared" ref="K12:K33" si="2">D12*I12*$I$1</f>
        <v>4.32</v>
      </c>
      <c r="M12" s="41">
        <v>0.18</v>
      </c>
      <c r="N12" s="42">
        <f t="shared" ref="N12:N33" si="3">+I12-M12</f>
        <v>0</v>
      </c>
      <c r="O12" s="43">
        <f t="shared" ref="O12:O33" si="4">+N12/M12</f>
        <v>0</v>
      </c>
    </row>
    <row r="13" spans="1:16" x14ac:dyDescent="0.35">
      <c r="A13" s="20" t="s">
        <v>68</v>
      </c>
      <c r="B13" s="21"/>
      <c r="C13" s="8"/>
      <c r="D13" s="38">
        <f>[1]Sheet1!$D$22</f>
        <v>98</v>
      </c>
      <c r="E13" s="39">
        <v>34</v>
      </c>
      <c r="F13" s="21">
        <v>52</v>
      </c>
      <c r="G13" s="75"/>
      <c r="H13" s="38">
        <f t="shared" si="0"/>
        <v>173264</v>
      </c>
      <c r="I13" s="40">
        <f t="shared" si="1"/>
        <v>0.77</v>
      </c>
      <c r="K13" s="12">
        <f t="shared" si="2"/>
        <v>905.5200000000001</v>
      </c>
      <c r="M13" s="41">
        <v>0.79</v>
      </c>
      <c r="N13" s="42">
        <f t="shared" si="3"/>
        <v>-2.0000000000000018E-2</v>
      </c>
      <c r="O13" s="43">
        <f t="shared" si="4"/>
        <v>-2.5316455696202552E-2</v>
      </c>
    </row>
    <row r="14" spans="1:16" x14ac:dyDescent="0.35">
      <c r="A14" s="20" t="s">
        <v>69</v>
      </c>
      <c r="B14" s="21"/>
      <c r="C14" s="8"/>
      <c r="D14" s="38">
        <f>[1]Sheet1!$D$23</f>
        <v>38</v>
      </c>
      <c r="E14" s="39">
        <f>Residential!G23</f>
        <v>68</v>
      </c>
      <c r="F14" s="21">
        <v>52</v>
      </c>
      <c r="G14" s="75"/>
      <c r="H14" s="38">
        <f t="shared" si="0"/>
        <v>134368</v>
      </c>
      <c r="I14" s="40">
        <f t="shared" si="1"/>
        <v>1.55</v>
      </c>
      <c r="K14" s="12">
        <f t="shared" si="2"/>
        <v>706.8</v>
      </c>
      <c r="M14" s="41">
        <f>M13*2</f>
        <v>1.58</v>
      </c>
      <c r="N14" s="42">
        <f t="shared" si="3"/>
        <v>-3.0000000000000027E-2</v>
      </c>
      <c r="O14" s="43">
        <f t="shared" si="4"/>
        <v>-1.8987341772151913E-2</v>
      </c>
    </row>
    <row r="15" spans="1:16" x14ac:dyDescent="0.35">
      <c r="A15" s="20" t="s">
        <v>70</v>
      </c>
      <c r="B15" s="21"/>
      <c r="C15" s="8"/>
      <c r="D15" s="38">
        <f>[1]Sheet1!$D$24</f>
        <v>1</v>
      </c>
      <c r="E15" s="39">
        <f>Residential!G24</f>
        <v>102</v>
      </c>
      <c r="F15" s="21">
        <v>52</v>
      </c>
      <c r="G15" s="75"/>
      <c r="H15" s="38">
        <f t="shared" si="0"/>
        <v>5304</v>
      </c>
      <c r="I15" s="40">
        <f t="shared" si="1"/>
        <v>2.3199999999999998</v>
      </c>
      <c r="K15" s="12">
        <f t="shared" si="2"/>
        <v>27.839999999999996</v>
      </c>
      <c r="M15" s="41">
        <f>M13*3</f>
        <v>2.37</v>
      </c>
      <c r="N15" s="42">
        <f t="shared" si="3"/>
        <v>-5.0000000000000266E-2</v>
      </c>
      <c r="O15" s="43">
        <f t="shared" si="4"/>
        <v>-2.109704641350222E-2</v>
      </c>
    </row>
    <row r="16" spans="1:16" x14ac:dyDescent="0.35">
      <c r="A16" s="20" t="s">
        <v>145</v>
      </c>
      <c r="B16" s="21"/>
      <c r="C16" s="8"/>
      <c r="D16" s="38">
        <v>0.01</v>
      </c>
      <c r="E16" s="39">
        <f>E13*4</f>
        <v>136</v>
      </c>
      <c r="F16" s="21">
        <v>52</v>
      </c>
      <c r="G16" s="75"/>
      <c r="H16" s="38">
        <f>IF(D16=0,"",D16*E16*F16)</f>
        <v>70.72</v>
      </c>
      <c r="I16" s="40">
        <f>ROUND(($H$5*H16)/D16/$I$1,2)</f>
        <v>3.09</v>
      </c>
      <c r="K16" s="12">
        <f>D16*I16*$I$1</f>
        <v>0.37080000000000002</v>
      </c>
      <c r="M16" s="41">
        <v>3.16</v>
      </c>
      <c r="N16" s="42">
        <f>+I16-M16</f>
        <v>-7.0000000000000284E-2</v>
      </c>
      <c r="O16" s="43">
        <f>+N16/M16</f>
        <v>-2.2151898734177305E-2</v>
      </c>
    </row>
    <row r="17" spans="1:16" x14ac:dyDescent="0.35">
      <c r="A17" s="20" t="s">
        <v>146</v>
      </c>
      <c r="B17" s="21"/>
      <c r="C17" s="8"/>
      <c r="D17" s="38">
        <v>0.01</v>
      </c>
      <c r="E17" s="39">
        <f>E13*5</f>
        <v>170</v>
      </c>
      <c r="F17" s="21">
        <v>52</v>
      </c>
      <c r="G17" s="75"/>
      <c r="H17" s="38">
        <f>IF(D17=0,"",D17*E17*F17)</f>
        <v>88.399999999999991</v>
      </c>
      <c r="I17" s="40">
        <f>ROUND(($H$5*H17)/D17/$I$1,2)</f>
        <v>3.86</v>
      </c>
      <c r="K17" s="12">
        <f>D17*I17*$I$1</f>
        <v>0.46320000000000006</v>
      </c>
      <c r="M17" s="41">
        <v>3.95</v>
      </c>
      <c r="N17" s="42">
        <f>+I17-M17</f>
        <v>-9.0000000000000302E-2</v>
      </c>
      <c r="O17" s="43">
        <f>+N17/M17</f>
        <v>-2.2784810126582355E-2</v>
      </c>
    </row>
    <row r="18" spans="1:16" x14ac:dyDescent="0.35">
      <c r="A18" s="20" t="s">
        <v>147</v>
      </c>
      <c r="B18" s="21"/>
      <c r="C18" s="8"/>
      <c r="D18" s="38">
        <v>0.01</v>
      </c>
      <c r="E18" s="39">
        <f>E13*6</f>
        <v>204</v>
      </c>
      <c r="F18" s="21">
        <v>52</v>
      </c>
      <c r="G18" s="75"/>
      <c r="H18" s="38">
        <f>IF(D18=0,"",D18*E18*F18)</f>
        <v>106.08</v>
      </c>
      <c r="I18" s="40">
        <f>ROUND(($H$5*H18)/D18/$I$1,2)</f>
        <v>4.6399999999999997</v>
      </c>
      <c r="K18" s="12">
        <f>D18*I18*$I$1</f>
        <v>0.55679999999999996</v>
      </c>
      <c r="M18" s="41">
        <v>4.74</v>
      </c>
      <c r="N18" s="42">
        <f>+I18-M18</f>
        <v>-0.10000000000000053</v>
      </c>
      <c r="O18" s="43">
        <f>+N18/M18</f>
        <v>-2.109704641350222E-2</v>
      </c>
    </row>
    <row r="19" spans="1:16" x14ac:dyDescent="0.35">
      <c r="A19" s="20" t="s">
        <v>18</v>
      </c>
      <c r="B19" s="21"/>
      <c r="C19" s="8"/>
      <c r="D19" s="38">
        <f>[1]Sheet1!$D$27</f>
        <v>1005</v>
      </c>
      <c r="E19" s="39">
        <v>34</v>
      </c>
      <c r="F19" s="21">
        <v>52</v>
      </c>
      <c r="G19" s="75"/>
      <c r="H19" s="38">
        <f t="shared" si="0"/>
        <v>1776840</v>
      </c>
      <c r="I19" s="40">
        <f t="shared" si="1"/>
        <v>0.77</v>
      </c>
      <c r="K19" s="12">
        <f t="shared" si="2"/>
        <v>9286.2000000000007</v>
      </c>
      <c r="M19" s="41">
        <v>0.79</v>
      </c>
      <c r="N19" s="42">
        <f t="shared" si="3"/>
        <v>-2.0000000000000018E-2</v>
      </c>
      <c r="O19" s="43">
        <f t="shared" si="4"/>
        <v>-2.5316455696202552E-2</v>
      </c>
    </row>
    <row r="20" spans="1:16" x14ac:dyDescent="0.35">
      <c r="A20" s="20" t="s">
        <v>18</v>
      </c>
      <c r="B20" s="21"/>
      <c r="C20" s="8"/>
      <c r="D20" s="38">
        <v>0.01</v>
      </c>
      <c r="E20" s="39">
        <v>34</v>
      </c>
      <c r="F20" s="21">
        <v>26</v>
      </c>
      <c r="G20" s="75"/>
      <c r="H20" s="38">
        <f>IF(D20=0,"",D20*E20*F20)</f>
        <v>8.84</v>
      </c>
      <c r="I20" s="40">
        <f>ROUND(($H$5*H20)/D20/$I$1,2)</f>
        <v>0.39</v>
      </c>
      <c r="K20" s="12">
        <f>D20*I20*$I$1</f>
        <v>4.6800000000000001E-2</v>
      </c>
      <c r="M20" s="41">
        <v>0.38</v>
      </c>
      <c r="N20" s="42">
        <f>+I20-M20</f>
        <v>1.0000000000000009E-2</v>
      </c>
      <c r="O20" s="43">
        <f>+N20/M20</f>
        <v>2.6315789473684233E-2</v>
      </c>
      <c r="P20" s="149"/>
    </row>
    <row r="21" spans="1:16" x14ac:dyDescent="0.35">
      <c r="A21" s="20" t="s">
        <v>18</v>
      </c>
      <c r="B21" s="21"/>
      <c r="C21" s="8"/>
      <c r="D21" s="38">
        <f>[1]Sheet1!$D$26</f>
        <v>8</v>
      </c>
      <c r="E21" s="39">
        <v>34</v>
      </c>
      <c r="F21" s="21">
        <v>12</v>
      </c>
      <c r="G21" s="75"/>
      <c r="H21" s="38">
        <f t="shared" si="0"/>
        <v>3264</v>
      </c>
      <c r="I21" s="40">
        <f t="shared" si="1"/>
        <v>0.18</v>
      </c>
      <c r="K21" s="12">
        <f t="shared" si="2"/>
        <v>17.28</v>
      </c>
      <c r="M21" s="41">
        <v>0.18</v>
      </c>
      <c r="N21" s="42">
        <f>+N19</f>
        <v>-2.0000000000000018E-2</v>
      </c>
      <c r="O21" s="43">
        <f t="shared" si="4"/>
        <v>-0.11111111111111122</v>
      </c>
    </row>
    <row r="22" spans="1:16" x14ac:dyDescent="0.35">
      <c r="A22" s="20" t="s">
        <v>25</v>
      </c>
      <c r="B22" s="21"/>
      <c r="C22" s="8"/>
      <c r="D22" s="38">
        <f>[1]Sheet1!$D$29</f>
        <v>2</v>
      </c>
      <c r="E22" s="39">
        <f>Residential!G30</f>
        <v>68</v>
      </c>
      <c r="F22" s="21">
        <v>52</v>
      </c>
      <c r="G22" s="75"/>
      <c r="H22" s="38">
        <f t="shared" si="0"/>
        <v>7072</v>
      </c>
      <c r="I22" s="40">
        <f t="shared" si="1"/>
        <v>1.55</v>
      </c>
      <c r="K22" s="12">
        <f t="shared" si="2"/>
        <v>37.200000000000003</v>
      </c>
      <c r="M22" s="41">
        <f>M19*2</f>
        <v>1.58</v>
      </c>
      <c r="N22" s="42">
        <f t="shared" si="3"/>
        <v>-3.0000000000000027E-2</v>
      </c>
      <c r="O22" s="43">
        <f t="shared" si="4"/>
        <v>-1.8987341772151913E-2</v>
      </c>
    </row>
    <row r="23" spans="1:16" x14ac:dyDescent="0.35">
      <c r="A23" s="20" t="s">
        <v>19</v>
      </c>
      <c r="B23" s="21"/>
      <c r="C23" s="8"/>
      <c r="D23" s="38">
        <f>[1]Sheet1!$D$33</f>
        <v>2162</v>
      </c>
      <c r="E23" s="39">
        <v>51</v>
      </c>
      <c r="F23" s="21">
        <v>52</v>
      </c>
      <c r="G23" s="75"/>
      <c r="H23" s="38">
        <f t="shared" si="0"/>
        <v>5733624</v>
      </c>
      <c r="I23" s="40">
        <f t="shared" si="1"/>
        <v>1.1599999999999999</v>
      </c>
      <c r="K23" s="12">
        <f t="shared" si="2"/>
        <v>30095.039999999994</v>
      </c>
      <c r="M23" s="41">
        <v>1.18</v>
      </c>
      <c r="N23" s="42">
        <f t="shared" si="3"/>
        <v>-2.0000000000000018E-2</v>
      </c>
      <c r="O23" s="43">
        <f t="shared" si="4"/>
        <v>-1.6949152542372899E-2</v>
      </c>
    </row>
    <row r="24" spans="1:16" x14ac:dyDescent="0.35">
      <c r="A24" s="20" t="s">
        <v>19</v>
      </c>
      <c r="B24" s="21"/>
      <c r="C24" s="8"/>
      <c r="D24" s="38">
        <f>[1]Sheet1!$D$31</f>
        <v>10</v>
      </c>
      <c r="E24" s="39">
        <v>51</v>
      </c>
      <c r="F24" s="21">
        <v>26</v>
      </c>
      <c r="G24" s="75"/>
      <c r="H24" s="38">
        <f t="shared" si="0"/>
        <v>13260</v>
      </c>
      <c r="I24" s="40">
        <f t="shared" si="1"/>
        <v>0.57999999999999996</v>
      </c>
      <c r="K24" s="12">
        <f t="shared" si="2"/>
        <v>69.599999999999994</v>
      </c>
      <c r="M24" s="41">
        <v>0.59</v>
      </c>
      <c r="N24" s="42">
        <f t="shared" si="3"/>
        <v>-1.0000000000000009E-2</v>
      </c>
      <c r="O24" s="43">
        <f t="shared" si="4"/>
        <v>-1.6949152542372899E-2</v>
      </c>
    </row>
    <row r="25" spans="1:16" x14ac:dyDescent="0.35">
      <c r="A25" s="20" t="s">
        <v>21</v>
      </c>
      <c r="B25" s="21"/>
      <c r="C25" s="8"/>
      <c r="D25" s="38">
        <f>[1]Sheet1!$D$35</f>
        <v>13</v>
      </c>
      <c r="E25" s="39">
        <f>Residential!G34</f>
        <v>102</v>
      </c>
      <c r="F25" s="21">
        <v>52</v>
      </c>
      <c r="G25" s="75"/>
      <c r="H25" s="38">
        <f t="shared" si="0"/>
        <v>68952</v>
      </c>
      <c r="I25" s="40">
        <f t="shared" si="1"/>
        <v>2.3199999999999998</v>
      </c>
      <c r="K25" s="12">
        <f t="shared" si="2"/>
        <v>361.91999999999996</v>
      </c>
      <c r="M25" s="41">
        <f>M23*2</f>
        <v>2.36</v>
      </c>
      <c r="N25" s="42">
        <f t="shared" si="3"/>
        <v>-4.0000000000000036E-2</v>
      </c>
      <c r="O25" s="43">
        <f t="shared" si="4"/>
        <v>-1.6949152542372899E-2</v>
      </c>
    </row>
    <row r="26" spans="1:16" x14ac:dyDescent="0.35">
      <c r="A26" s="20" t="s">
        <v>21</v>
      </c>
      <c r="B26" s="21"/>
      <c r="C26" s="8"/>
      <c r="D26" s="38">
        <f>[1]Sheet1!$D$34</f>
        <v>23</v>
      </c>
      <c r="E26" s="39">
        <f>Residential!G35</f>
        <v>102</v>
      </c>
      <c r="F26" s="21">
        <v>26</v>
      </c>
      <c r="G26" s="75"/>
      <c r="H26" s="38">
        <f t="shared" si="0"/>
        <v>60996</v>
      </c>
      <c r="I26" s="40">
        <f t="shared" si="1"/>
        <v>1.1599999999999999</v>
      </c>
      <c r="K26" s="12">
        <f t="shared" si="2"/>
        <v>320.15999999999997</v>
      </c>
      <c r="M26" s="41">
        <f>M24*2</f>
        <v>1.18</v>
      </c>
      <c r="N26" s="42">
        <f t="shared" si="3"/>
        <v>-2.0000000000000018E-2</v>
      </c>
      <c r="O26" s="43">
        <f t="shared" si="4"/>
        <v>-1.6949152542372899E-2</v>
      </c>
    </row>
    <row r="27" spans="1:16" x14ac:dyDescent="0.35">
      <c r="A27" s="20" t="s">
        <v>16</v>
      </c>
      <c r="B27" s="21"/>
      <c r="C27" s="8"/>
      <c r="D27" s="38">
        <f>[1]Sheet1!$D$38</f>
        <v>2812</v>
      </c>
      <c r="E27" s="39">
        <v>77</v>
      </c>
      <c r="F27" s="21">
        <v>52</v>
      </c>
      <c r="G27" s="75"/>
      <c r="H27" s="38">
        <f t="shared" si="0"/>
        <v>11259248</v>
      </c>
      <c r="I27" s="40">
        <f t="shared" si="1"/>
        <v>1.75</v>
      </c>
      <c r="K27" s="12">
        <f t="shared" si="2"/>
        <v>59052</v>
      </c>
      <c r="M27" s="41">
        <v>1.78</v>
      </c>
      <c r="N27" s="42">
        <f t="shared" si="3"/>
        <v>-3.0000000000000027E-2</v>
      </c>
      <c r="O27" s="43">
        <f t="shared" si="4"/>
        <v>-1.6853932584269676E-2</v>
      </c>
    </row>
    <row r="28" spans="1:16" x14ac:dyDescent="0.35">
      <c r="A28" s="20" t="s">
        <v>16</v>
      </c>
      <c r="B28" s="21"/>
      <c r="C28" s="8"/>
      <c r="D28" s="38">
        <f>[1]Sheet1!$D$37</f>
        <v>12</v>
      </c>
      <c r="E28" s="39">
        <v>77</v>
      </c>
      <c r="F28" s="21">
        <v>26</v>
      </c>
      <c r="G28" s="75"/>
      <c r="H28" s="38">
        <f t="shared" si="0"/>
        <v>24024</v>
      </c>
      <c r="I28" s="40">
        <f t="shared" si="1"/>
        <v>0.88</v>
      </c>
      <c r="K28" s="12">
        <f t="shared" si="2"/>
        <v>126.72</v>
      </c>
      <c r="M28" s="41">
        <v>0.89</v>
      </c>
      <c r="N28" s="42">
        <f t="shared" si="3"/>
        <v>-1.0000000000000009E-2</v>
      </c>
      <c r="O28" s="43">
        <f t="shared" si="4"/>
        <v>-1.1235955056179785E-2</v>
      </c>
    </row>
    <row r="29" spans="1:16" x14ac:dyDescent="0.35">
      <c r="A29" s="20" t="s">
        <v>22</v>
      </c>
      <c r="B29" s="21"/>
      <c r="C29" s="8"/>
      <c r="D29" s="38">
        <f>[1]Sheet1!$D$40</f>
        <v>132</v>
      </c>
      <c r="E29" s="39">
        <f>Residential!G39</f>
        <v>154</v>
      </c>
      <c r="F29" s="21">
        <v>52</v>
      </c>
      <c r="G29" s="75"/>
      <c r="H29" s="38">
        <f t="shared" si="0"/>
        <v>1057056</v>
      </c>
      <c r="I29" s="40">
        <f t="shared" si="1"/>
        <v>3.5</v>
      </c>
      <c r="K29" s="12">
        <f t="shared" si="2"/>
        <v>5544</v>
      </c>
      <c r="M29" s="41">
        <f>M27*2</f>
        <v>3.56</v>
      </c>
      <c r="N29" s="42">
        <f t="shared" si="3"/>
        <v>-6.0000000000000053E-2</v>
      </c>
      <c r="O29" s="43">
        <f t="shared" si="4"/>
        <v>-1.6853932584269676E-2</v>
      </c>
    </row>
    <row r="30" spans="1:16" x14ac:dyDescent="0.35">
      <c r="A30" s="20" t="s">
        <v>22</v>
      </c>
      <c r="B30" s="21"/>
      <c r="C30" s="8"/>
      <c r="D30" s="38">
        <f>[1]Sheet1!$D$39</f>
        <v>54</v>
      </c>
      <c r="E30" s="39">
        <f>Residential!G40</f>
        <v>154</v>
      </c>
      <c r="F30" s="21">
        <v>26</v>
      </c>
      <c r="G30" s="75"/>
      <c r="H30" s="38">
        <f t="shared" si="0"/>
        <v>216216</v>
      </c>
      <c r="I30" s="40">
        <f t="shared" si="1"/>
        <v>1.75</v>
      </c>
      <c r="K30" s="12">
        <f t="shared" si="2"/>
        <v>1134</v>
      </c>
      <c r="M30" s="41">
        <f>M28*2</f>
        <v>1.78</v>
      </c>
      <c r="N30" s="42">
        <f t="shared" si="3"/>
        <v>-3.0000000000000027E-2</v>
      </c>
      <c r="O30" s="43">
        <f t="shared" si="4"/>
        <v>-1.6853932584269676E-2</v>
      </c>
    </row>
    <row r="31" spans="1:16" x14ac:dyDescent="0.35">
      <c r="A31" s="20" t="s">
        <v>23</v>
      </c>
      <c r="B31" s="21"/>
      <c r="C31" s="8"/>
      <c r="D31" s="38">
        <f>[1]Sheet1!$D$41</f>
        <v>10</v>
      </c>
      <c r="E31" s="39">
        <f>Residential!G41</f>
        <v>231</v>
      </c>
      <c r="F31" s="21">
        <v>52</v>
      </c>
      <c r="G31" s="75"/>
      <c r="H31" s="38">
        <f t="shared" si="0"/>
        <v>120120</v>
      </c>
      <c r="I31" s="40">
        <f>+I28*3</f>
        <v>2.64</v>
      </c>
      <c r="K31" s="12">
        <f t="shared" si="2"/>
        <v>316.8</v>
      </c>
      <c r="M31" s="40">
        <v>2.67</v>
      </c>
      <c r="N31" s="42">
        <f t="shared" si="3"/>
        <v>-2.9999999999999805E-2</v>
      </c>
      <c r="O31" s="43">
        <f t="shared" si="4"/>
        <v>-1.1235955056179702E-2</v>
      </c>
    </row>
    <row r="32" spans="1:16" x14ac:dyDescent="0.35">
      <c r="A32" s="20" t="s">
        <v>41</v>
      </c>
      <c r="B32" s="21"/>
      <c r="C32" s="8"/>
      <c r="D32" s="38">
        <f>[1]Sheet1!$D$43</f>
        <v>2</v>
      </c>
      <c r="E32" s="39">
        <f>Residential!G42</f>
        <v>308</v>
      </c>
      <c r="F32" s="21">
        <v>52</v>
      </c>
      <c r="G32" s="75"/>
      <c r="H32" s="38">
        <f t="shared" si="0"/>
        <v>32032</v>
      </c>
      <c r="I32" s="40">
        <f>+I28*4</f>
        <v>3.52</v>
      </c>
      <c r="K32" s="12">
        <f t="shared" si="2"/>
        <v>84.48</v>
      </c>
      <c r="M32" s="40">
        <v>3.56</v>
      </c>
      <c r="N32" s="42">
        <f t="shared" si="3"/>
        <v>-4.0000000000000036E-2</v>
      </c>
      <c r="O32" s="43">
        <f t="shared" si="4"/>
        <v>-1.1235955056179785E-2</v>
      </c>
    </row>
    <row r="33" spans="1:19" ht="18.5" x14ac:dyDescent="0.65">
      <c r="A33" s="20" t="s">
        <v>41</v>
      </c>
      <c r="B33" s="21"/>
      <c r="C33" s="8"/>
      <c r="D33" s="61">
        <f>[1]Sheet1!$D$42</f>
        <v>1</v>
      </c>
      <c r="E33" s="39">
        <f>Residential!G43</f>
        <v>308</v>
      </c>
      <c r="F33" s="21">
        <v>26</v>
      </c>
      <c r="G33" s="75"/>
      <c r="H33" s="61">
        <f t="shared" si="0"/>
        <v>8008</v>
      </c>
      <c r="I33" s="40">
        <f>+I32</f>
        <v>3.52</v>
      </c>
      <c r="K33" s="63">
        <f t="shared" si="2"/>
        <v>42.24</v>
      </c>
      <c r="M33" s="40">
        <v>3.56</v>
      </c>
      <c r="N33" s="42">
        <f t="shared" si="3"/>
        <v>-4.0000000000000036E-2</v>
      </c>
      <c r="O33" s="43">
        <f t="shared" si="4"/>
        <v>-1.1235955056179785E-2</v>
      </c>
    </row>
    <row r="34" spans="1:19" s="9" customFormat="1" x14ac:dyDescent="0.35">
      <c r="A34" s="22"/>
      <c r="B34" s="23"/>
      <c r="C34" s="24"/>
      <c r="D34" s="68">
        <f>SUM(D11:D33)</f>
        <v>6441.04</v>
      </c>
      <c r="E34" s="72"/>
      <c r="F34" s="69"/>
      <c r="G34" s="73"/>
      <c r="H34" s="68">
        <f>SUM(H11:H33)</f>
        <v>20752978.039999999</v>
      </c>
      <c r="I34" s="74"/>
      <c r="J34" s="70"/>
      <c r="K34" s="71">
        <f>SUM(K11:K33)</f>
        <v>108435.95760000001</v>
      </c>
      <c r="L34" s="65"/>
      <c r="M34" s="64"/>
      <c r="N34" s="66"/>
      <c r="O34" s="67"/>
    </row>
    <row r="35" spans="1:19" s="44" customFormat="1" x14ac:dyDescent="0.35">
      <c r="A35" s="54"/>
      <c r="B35" s="48"/>
      <c r="C35" s="46"/>
      <c r="D35" s="55"/>
      <c r="E35" s="47"/>
      <c r="F35" s="48"/>
      <c r="G35" s="46"/>
      <c r="I35" s="56"/>
      <c r="J35" s="49"/>
      <c r="K35" s="57"/>
      <c r="L35" s="50"/>
      <c r="M35" s="51"/>
      <c r="N35" s="52"/>
      <c r="O35" s="53"/>
    </row>
    <row r="36" spans="1:19" x14ac:dyDescent="0.35">
      <c r="A36" s="20"/>
      <c r="B36" s="21"/>
      <c r="C36" s="8"/>
      <c r="D36" s="38"/>
      <c r="E36" s="39"/>
      <c r="F36" s="21"/>
      <c r="G36" s="8"/>
      <c r="H36" s="38"/>
      <c r="I36" s="58"/>
      <c r="M36" s="41"/>
      <c r="N36" s="42"/>
      <c r="O36" s="43"/>
    </row>
    <row r="37" spans="1:19" x14ac:dyDescent="0.35">
      <c r="A37" s="44" t="s">
        <v>4</v>
      </c>
      <c r="B37" s="45" t="str">
        <f>VLOOKUP('2024 Fee'!F37,Lookup!$A$1:$B$20,2,FALSE)</f>
        <v>EOW</v>
      </c>
      <c r="C37" s="8"/>
      <c r="D37" s="38">
        <f>Commercial!D12</f>
        <v>28</v>
      </c>
      <c r="E37" s="39">
        <v>175</v>
      </c>
      <c r="F37" s="21">
        <v>26</v>
      </c>
      <c r="G37" s="8"/>
      <c r="H37" s="38">
        <f t="shared" ref="H37:H75" si="5">IFERROR(IF(D37=0,"",D37*E37*F37),0)</f>
        <v>127400</v>
      </c>
      <c r="I37" s="41">
        <f t="shared" ref="I37:I77" si="6">IFERROR(ROUND(($H$5*H37)/D37/F37,2),0)</f>
        <v>0.92</v>
      </c>
      <c r="K37" s="12">
        <f t="shared" ref="K37:K75" si="7">IFERROR(D37*F37*I37,0)</f>
        <v>669.76</v>
      </c>
      <c r="M37" s="41">
        <v>0.94</v>
      </c>
      <c r="N37" s="42">
        <f t="shared" ref="N37:N75" si="8">+I37-M37</f>
        <v>-1.9999999999999907E-2</v>
      </c>
      <c r="O37" s="43">
        <f t="shared" ref="O37:O75" si="9">+N37/M37</f>
        <v>-2.1276595744680753E-2</v>
      </c>
      <c r="S37" s="59"/>
    </row>
    <row r="38" spans="1:19" x14ac:dyDescent="0.35">
      <c r="A38" s="44" t="s">
        <v>4</v>
      </c>
      <c r="B38" s="45" t="str">
        <f>VLOOKUP('2024 Fee'!F38,Lookup!$A$1:$B$20,2,FALSE)</f>
        <v>Weekly</v>
      </c>
      <c r="C38" s="8"/>
      <c r="D38" s="38">
        <f>Commercial!D13</f>
        <v>40</v>
      </c>
      <c r="E38" s="39">
        <v>175</v>
      </c>
      <c r="F38" s="21">
        <v>52</v>
      </c>
      <c r="G38" s="8"/>
      <c r="H38" s="38">
        <f t="shared" si="5"/>
        <v>364000</v>
      </c>
      <c r="I38" s="41">
        <f t="shared" si="6"/>
        <v>0.92</v>
      </c>
      <c r="K38" s="12">
        <f t="shared" si="7"/>
        <v>1913.6000000000001</v>
      </c>
      <c r="M38" s="41">
        <v>0.94</v>
      </c>
      <c r="N38" s="42">
        <f t="shared" si="8"/>
        <v>-1.9999999999999907E-2</v>
      </c>
      <c r="O38" s="43">
        <f t="shared" si="9"/>
        <v>-2.1276595744680753E-2</v>
      </c>
      <c r="Q38" s="42">
        <f>I38*3</f>
        <v>2.7600000000000002</v>
      </c>
      <c r="S38" s="59"/>
    </row>
    <row r="39" spans="1:19" x14ac:dyDescent="0.35">
      <c r="A39" s="44" t="s">
        <v>31</v>
      </c>
      <c r="B39" s="45" t="str">
        <f>VLOOKUP('2024 Fee'!F39,Lookup!$A$1:$B$20,2,FALSE)</f>
        <v>EOW</v>
      </c>
      <c r="C39" s="8"/>
      <c r="D39" s="38">
        <f>Commercial!D18</f>
        <v>16</v>
      </c>
      <c r="E39" s="39">
        <v>250</v>
      </c>
      <c r="F39" s="21">
        <v>26</v>
      </c>
      <c r="G39" s="8"/>
      <c r="H39" s="38">
        <f t="shared" si="5"/>
        <v>104000</v>
      </c>
      <c r="I39" s="41">
        <f t="shared" si="6"/>
        <v>1.31</v>
      </c>
      <c r="K39" s="12">
        <f t="shared" si="7"/>
        <v>544.96</v>
      </c>
      <c r="M39" s="41">
        <v>1.34</v>
      </c>
      <c r="N39" s="42">
        <f t="shared" si="8"/>
        <v>-3.0000000000000027E-2</v>
      </c>
      <c r="O39" s="43">
        <f t="shared" si="9"/>
        <v>-2.2388059701492557E-2</v>
      </c>
      <c r="S39" s="59"/>
    </row>
    <row r="40" spans="1:19" x14ac:dyDescent="0.35">
      <c r="A40" s="44" t="s">
        <v>31</v>
      </c>
      <c r="B40" s="45" t="str">
        <f>VLOOKUP('2024 Fee'!F40,Lookup!$A$1:$B$20,2,FALSE)</f>
        <v>Weekly</v>
      </c>
      <c r="C40" s="8"/>
      <c r="D40" s="38">
        <f>Commercial!D19</f>
        <v>29</v>
      </c>
      <c r="E40" s="39">
        <v>250</v>
      </c>
      <c r="F40" s="21">
        <v>52</v>
      </c>
      <c r="G40" s="8"/>
      <c r="H40" s="38">
        <f t="shared" si="5"/>
        <v>377000</v>
      </c>
      <c r="I40" s="41">
        <f t="shared" si="6"/>
        <v>1.31</v>
      </c>
      <c r="K40" s="12">
        <f t="shared" si="7"/>
        <v>1975.48</v>
      </c>
      <c r="M40" s="41">
        <v>1.34</v>
      </c>
      <c r="N40" s="42">
        <f t="shared" si="8"/>
        <v>-3.0000000000000027E-2</v>
      </c>
      <c r="O40" s="43">
        <f t="shared" si="9"/>
        <v>-2.2388059701492557E-2</v>
      </c>
      <c r="S40" s="59"/>
    </row>
    <row r="41" spans="1:19" x14ac:dyDescent="0.35">
      <c r="A41" s="44" t="s">
        <v>32</v>
      </c>
      <c r="B41" s="45" t="str">
        <f>VLOOKUP('2024 Fee'!F41,Lookup!$A$1:$B$20,2,FALSE)</f>
        <v>Weekly</v>
      </c>
      <c r="C41" s="8"/>
      <c r="D41" s="38">
        <v>0</v>
      </c>
      <c r="E41" s="39">
        <f>Commercial!G20</f>
        <v>500</v>
      </c>
      <c r="F41" s="21">
        <v>52</v>
      </c>
      <c r="G41" s="8"/>
      <c r="H41" s="38" t="str">
        <f t="shared" si="5"/>
        <v/>
      </c>
      <c r="I41" s="41"/>
      <c r="M41" s="41"/>
      <c r="N41" s="42"/>
      <c r="O41" s="43"/>
      <c r="S41" s="59"/>
    </row>
    <row r="42" spans="1:19" x14ac:dyDescent="0.35">
      <c r="A42" s="44" t="s">
        <v>5</v>
      </c>
      <c r="B42" s="45" t="str">
        <f>VLOOKUP('2024 Fee'!F42,Lookup!$A$1:$B$20,2,FALSE)</f>
        <v>EOW</v>
      </c>
      <c r="C42" s="8"/>
      <c r="D42" s="38">
        <f>Commercial!D21</f>
        <v>56</v>
      </c>
      <c r="E42" s="39">
        <v>324</v>
      </c>
      <c r="F42" s="21">
        <v>26</v>
      </c>
      <c r="G42" s="8"/>
      <c r="H42" s="38">
        <f t="shared" si="5"/>
        <v>471744</v>
      </c>
      <c r="I42" s="41">
        <f t="shared" si="6"/>
        <v>1.7</v>
      </c>
      <c r="K42" s="12">
        <f t="shared" si="7"/>
        <v>2475.1999999999998</v>
      </c>
      <c r="M42" s="41">
        <v>1.73</v>
      </c>
      <c r="N42" s="42">
        <f t="shared" si="8"/>
        <v>-3.0000000000000027E-2</v>
      </c>
      <c r="O42" s="43">
        <f t="shared" si="9"/>
        <v>-1.7341040462427761E-2</v>
      </c>
      <c r="S42" s="59"/>
    </row>
    <row r="43" spans="1:19" x14ac:dyDescent="0.35">
      <c r="A43" s="44" t="s">
        <v>5</v>
      </c>
      <c r="B43" s="45" t="str">
        <f>VLOOKUP('2024 Fee'!F43,Lookup!$A$1:$B$20,2,FALSE)</f>
        <v>Weekly</v>
      </c>
      <c r="C43" s="8"/>
      <c r="D43" s="38">
        <f>Commercial!D22</f>
        <v>75</v>
      </c>
      <c r="E43" s="39">
        <v>324</v>
      </c>
      <c r="F43" s="21">
        <v>52</v>
      </c>
      <c r="G43" s="8"/>
      <c r="H43" s="38">
        <f t="shared" si="5"/>
        <v>1263600</v>
      </c>
      <c r="I43" s="41">
        <f t="shared" si="6"/>
        <v>1.7</v>
      </c>
      <c r="K43" s="12">
        <f t="shared" si="7"/>
        <v>6630</v>
      </c>
      <c r="M43" s="41">
        <v>1.73</v>
      </c>
      <c r="N43" s="42">
        <f t="shared" si="8"/>
        <v>-3.0000000000000027E-2</v>
      </c>
      <c r="O43" s="43">
        <f t="shared" si="9"/>
        <v>-1.7341040462427761E-2</v>
      </c>
      <c r="S43" s="59"/>
    </row>
    <row r="44" spans="1:19" x14ac:dyDescent="0.35">
      <c r="A44" s="44" t="s">
        <v>5</v>
      </c>
      <c r="B44" s="45" t="str">
        <f>VLOOKUP('2024 Fee'!F44,Lookup!$A$1:$B$20,2,FALSE)</f>
        <v>2 x Week</v>
      </c>
      <c r="C44" s="8"/>
      <c r="D44" s="38">
        <f>Commercial!D23</f>
        <v>2</v>
      </c>
      <c r="E44" s="39">
        <v>324</v>
      </c>
      <c r="F44" s="21">
        <v>104</v>
      </c>
      <c r="G44" s="8"/>
      <c r="H44" s="38">
        <f t="shared" si="5"/>
        <v>67392</v>
      </c>
      <c r="I44" s="41">
        <f t="shared" si="6"/>
        <v>1.7</v>
      </c>
      <c r="K44" s="12">
        <f t="shared" si="7"/>
        <v>353.59999999999997</v>
      </c>
      <c r="M44" s="41">
        <v>1.73</v>
      </c>
      <c r="N44" s="42">
        <f t="shared" si="8"/>
        <v>-3.0000000000000027E-2</v>
      </c>
      <c r="O44" s="43">
        <f t="shared" si="9"/>
        <v>-1.7341040462427761E-2</v>
      </c>
      <c r="S44" s="59"/>
    </row>
    <row r="45" spans="1:19" x14ac:dyDescent="0.35">
      <c r="A45" s="44" t="s">
        <v>89</v>
      </c>
      <c r="B45" s="45" t="str">
        <f>VLOOKUP('2024 Fee'!F45,Lookup!$A$1:$B$20,2,FALSE)</f>
        <v>Weekly</v>
      </c>
      <c r="C45" s="8"/>
      <c r="D45" s="38">
        <f>Commercial!D24</f>
        <v>1</v>
      </c>
      <c r="E45" s="39">
        <f>Commercial!G24</f>
        <v>648</v>
      </c>
      <c r="F45" s="21">
        <v>52</v>
      </c>
      <c r="G45" s="8"/>
      <c r="H45" s="38">
        <f>IFERROR(IF(D45=0,"",D45*E45*F45),0)</f>
        <v>33696</v>
      </c>
      <c r="I45" s="41">
        <f>IFERROR(ROUND(($H$5*H45)/D45/F45,2),0)</f>
        <v>3.4</v>
      </c>
      <c r="K45" s="12">
        <f>IFERROR(D45*F45*I45,0)</f>
        <v>176.79999999999998</v>
      </c>
      <c r="M45" s="41">
        <f>M43*2</f>
        <v>3.46</v>
      </c>
      <c r="N45" s="42">
        <f>+I45-M45</f>
        <v>-6.0000000000000053E-2</v>
      </c>
      <c r="O45" s="43">
        <f>+N45/M45</f>
        <v>-1.7341040462427761E-2</v>
      </c>
      <c r="S45" s="59"/>
    </row>
    <row r="46" spans="1:19" x14ac:dyDescent="0.35">
      <c r="A46" s="44" t="s">
        <v>39</v>
      </c>
      <c r="B46" s="45" t="str">
        <f>VLOOKUP('2024 Fee'!F46,Lookup!$A$1:$B$20,2,FALSE)</f>
        <v>Weekly</v>
      </c>
      <c r="C46" s="8"/>
      <c r="D46" s="38">
        <f>Commercial!D26</f>
        <v>2</v>
      </c>
      <c r="E46" s="39">
        <f>Commercial!G26</f>
        <v>1296</v>
      </c>
      <c r="F46" s="21">
        <v>52</v>
      </c>
      <c r="G46" s="8"/>
      <c r="H46" s="38">
        <f t="shared" si="5"/>
        <v>134784</v>
      </c>
      <c r="I46" s="41">
        <f t="shared" si="6"/>
        <v>6.8</v>
      </c>
      <c r="K46" s="12">
        <f t="shared" si="7"/>
        <v>707.19999999999993</v>
      </c>
      <c r="M46" s="41">
        <f>M43*4</f>
        <v>6.92</v>
      </c>
      <c r="N46" s="42">
        <f t="shared" si="8"/>
        <v>-0.12000000000000011</v>
      </c>
      <c r="O46" s="43">
        <f t="shared" si="9"/>
        <v>-1.7341040462427761E-2</v>
      </c>
      <c r="S46" s="59"/>
    </row>
    <row r="47" spans="1:19" x14ac:dyDescent="0.35">
      <c r="A47" s="44" t="s">
        <v>6</v>
      </c>
      <c r="B47" s="45" t="str">
        <f>VLOOKUP('2024 Fee'!F47,Lookup!$A$1:$B$20,2,FALSE)</f>
        <v>EOW</v>
      </c>
      <c r="C47" s="8"/>
      <c r="D47" s="38">
        <f>Commercial!D27</f>
        <v>24</v>
      </c>
      <c r="E47" s="39">
        <v>473</v>
      </c>
      <c r="F47" s="21">
        <v>26</v>
      </c>
      <c r="G47" s="8"/>
      <c r="H47" s="38">
        <f t="shared" si="5"/>
        <v>295152</v>
      </c>
      <c r="I47" s="41">
        <f t="shared" si="6"/>
        <v>2.48</v>
      </c>
      <c r="K47" s="12">
        <f t="shared" si="7"/>
        <v>1547.52</v>
      </c>
      <c r="M47" s="41">
        <v>2.5299999999999998</v>
      </c>
      <c r="N47" s="42">
        <f t="shared" si="8"/>
        <v>-4.9999999999999822E-2</v>
      </c>
      <c r="O47" s="43">
        <f t="shared" si="9"/>
        <v>-1.9762845849802303E-2</v>
      </c>
      <c r="S47" s="59"/>
    </row>
    <row r="48" spans="1:19" x14ac:dyDescent="0.35">
      <c r="A48" s="44" t="s">
        <v>72</v>
      </c>
      <c r="B48" s="45" t="str">
        <f>VLOOKUP('2024 Fee'!F48,Lookup!$A$1:$B$20,2,FALSE)</f>
        <v>Weekly</v>
      </c>
      <c r="C48" s="8"/>
      <c r="D48" s="38">
        <f>Commercial!D32</f>
        <v>1</v>
      </c>
      <c r="E48" s="39">
        <f>Commercial!G32</f>
        <v>946</v>
      </c>
      <c r="F48" s="21">
        <v>52</v>
      </c>
      <c r="G48" s="8"/>
      <c r="H48" s="38">
        <f t="shared" si="5"/>
        <v>49192</v>
      </c>
      <c r="I48" s="41">
        <f t="shared" si="6"/>
        <v>4.96</v>
      </c>
      <c r="K48" s="12">
        <f t="shared" si="7"/>
        <v>257.92</v>
      </c>
      <c r="M48" s="41">
        <f>M49*2</f>
        <v>5.0599999999999996</v>
      </c>
      <c r="N48" s="42">
        <f t="shared" si="8"/>
        <v>-9.9999999999999645E-2</v>
      </c>
      <c r="O48" s="43">
        <f t="shared" si="9"/>
        <v>-1.9762845849802303E-2</v>
      </c>
      <c r="S48" s="59"/>
    </row>
    <row r="49" spans="1:19" x14ac:dyDescent="0.35">
      <c r="A49" s="44" t="s">
        <v>6</v>
      </c>
      <c r="B49" s="45" t="str">
        <f>VLOOKUP('2024 Fee'!F49,Lookup!$A$1:$B$20,2,FALSE)</f>
        <v>Weekly</v>
      </c>
      <c r="C49" s="8"/>
      <c r="D49" s="38">
        <f>Commercial!D28</f>
        <v>30</v>
      </c>
      <c r="E49" s="39">
        <v>473</v>
      </c>
      <c r="F49" s="21">
        <v>52</v>
      </c>
      <c r="G49" s="8"/>
      <c r="H49" s="38">
        <f t="shared" si="5"/>
        <v>737880</v>
      </c>
      <c r="I49" s="41">
        <f t="shared" si="6"/>
        <v>2.48</v>
      </c>
      <c r="K49" s="12">
        <f t="shared" si="7"/>
        <v>3868.8</v>
      </c>
      <c r="M49" s="41">
        <v>2.5299999999999998</v>
      </c>
      <c r="N49" s="42">
        <f t="shared" si="8"/>
        <v>-4.9999999999999822E-2</v>
      </c>
      <c r="O49" s="43">
        <f t="shared" si="9"/>
        <v>-1.9762845849802303E-2</v>
      </c>
      <c r="Q49" s="42">
        <f>I49*3</f>
        <v>7.4399999999999995</v>
      </c>
      <c r="S49" s="59"/>
    </row>
    <row r="50" spans="1:19" x14ac:dyDescent="0.35">
      <c r="A50" s="44" t="s">
        <v>144</v>
      </c>
      <c r="B50" s="45" t="str">
        <f>VLOOKUP('2024 Fee'!F50,Lookup!$A$1:$B$20,2,FALSE)</f>
        <v>Weekly</v>
      </c>
      <c r="C50" s="8"/>
      <c r="D50" s="38">
        <f>Commercial!D34</f>
        <v>1</v>
      </c>
      <c r="E50" s="39">
        <f>Commercial!G34</f>
        <v>2838</v>
      </c>
      <c r="F50" s="21">
        <f>Commercial!E34</f>
        <v>52</v>
      </c>
      <c r="G50" s="8"/>
      <c r="H50" s="38">
        <f>IFERROR(IF(D50=0,"",D50*E50*F50),0)</f>
        <v>147576</v>
      </c>
      <c r="I50" s="41">
        <f>IFERROR(ROUND(($H$5*H50)/D50/F50,2),0)</f>
        <v>14.89</v>
      </c>
      <c r="K50" s="12">
        <f>IFERROR(D50*F50*I50,0)</f>
        <v>774.28</v>
      </c>
      <c r="M50" s="41">
        <f>M49*6</f>
        <v>15.18</v>
      </c>
      <c r="N50" s="42">
        <f>+I50-M50</f>
        <v>-0.28999999999999915</v>
      </c>
      <c r="O50" s="43">
        <f>+N50/M50</f>
        <v>-1.9104084321475569E-2</v>
      </c>
      <c r="S50" s="59"/>
    </row>
    <row r="51" spans="1:19" x14ac:dyDescent="0.35">
      <c r="A51" s="44" t="s">
        <v>7</v>
      </c>
      <c r="B51" s="45" t="str">
        <f>VLOOKUP('2024 Fee'!F51,Lookup!$A$1:$B$20,2,FALSE)</f>
        <v>EOW</v>
      </c>
      <c r="C51" s="8"/>
      <c r="D51" s="38">
        <f>Commercial!D35</f>
        <v>24</v>
      </c>
      <c r="E51" s="39">
        <v>613</v>
      </c>
      <c r="F51" s="21">
        <v>26</v>
      </c>
      <c r="G51" s="8"/>
      <c r="H51" s="38">
        <f t="shared" si="5"/>
        <v>382512</v>
      </c>
      <c r="I51" s="41">
        <f t="shared" si="6"/>
        <v>3.22</v>
      </c>
      <c r="K51" s="12">
        <f t="shared" si="7"/>
        <v>2009.2800000000002</v>
      </c>
      <c r="M51" s="41">
        <v>3.28</v>
      </c>
      <c r="N51" s="42">
        <f t="shared" si="8"/>
        <v>-5.9999999999999609E-2</v>
      </c>
      <c r="O51" s="43">
        <f t="shared" si="9"/>
        <v>-1.8292682926829149E-2</v>
      </c>
      <c r="S51" s="59"/>
    </row>
    <row r="52" spans="1:19" x14ac:dyDescent="0.35">
      <c r="A52" s="44" t="s">
        <v>7</v>
      </c>
      <c r="B52" s="45" t="str">
        <f>VLOOKUP('2024 Fee'!F52,Lookup!$A$1:$B$20,2,FALSE)</f>
        <v>Weekly</v>
      </c>
      <c r="C52" s="8"/>
      <c r="D52" s="38">
        <f>Commercial!D36</f>
        <v>43</v>
      </c>
      <c r="E52" s="39">
        <v>613</v>
      </c>
      <c r="F52" s="21">
        <v>52</v>
      </c>
      <c r="G52" s="8"/>
      <c r="H52" s="38">
        <f t="shared" si="5"/>
        <v>1370668</v>
      </c>
      <c r="I52" s="41">
        <f t="shared" si="6"/>
        <v>3.22</v>
      </c>
      <c r="K52" s="12">
        <f t="shared" si="7"/>
        <v>7199.92</v>
      </c>
      <c r="M52" s="41">
        <v>3.28</v>
      </c>
      <c r="N52" s="42">
        <f t="shared" si="8"/>
        <v>-5.9999999999999609E-2</v>
      </c>
      <c r="O52" s="43">
        <f t="shared" si="9"/>
        <v>-1.8292682926829149E-2</v>
      </c>
      <c r="Q52" s="42">
        <f>I52*3</f>
        <v>9.66</v>
      </c>
      <c r="S52" s="59"/>
    </row>
    <row r="53" spans="1:19" x14ac:dyDescent="0.35">
      <c r="A53" s="44" t="s">
        <v>73</v>
      </c>
      <c r="B53" s="45" t="str">
        <f>VLOOKUP('2024 Fee'!F53,Lookup!$A$1:$B$20,2,FALSE)</f>
        <v>Weekly</v>
      </c>
      <c r="C53" s="8"/>
      <c r="D53" s="38">
        <f>Commercial!D43</f>
        <v>2</v>
      </c>
      <c r="E53" s="39">
        <f>Commercial!G43</f>
        <v>1226</v>
      </c>
      <c r="F53" s="21">
        <v>52</v>
      </c>
      <c r="G53" s="8"/>
      <c r="H53" s="38">
        <f t="shared" si="5"/>
        <v>127504</v>
      </c>
      <c r="I53" s="41">
        <f>I52*2</f>
        <v>6.44</v>
      </c>
      <c r="K53" s="12">
        <f t="shared" si="7"/>
        <v>669.76</v>
      </c>
      <c r="M53" s="41">
        <f>M52*2</f>
        <v>6.56</v>
      </c>
      <c r="N53" s="42">
        <f t="shared" si="8"/>
        <v>-0.11999999999999922</v>
      </c>
      <c r="O53" s="43">
        <f t="shared" si="9"/>
        <v>-1.8292682926829149E-2</v>
      </c>
      <c r="S53" s="59"/>
    </row>
    <row r="54" spans="1:19" x14ac:dyDescent="0.35">
      <c r="A54" s="44" t="s">
        <v>90</v>
      </c>
      <c r="B54" s="45" t="str">
        <f>VLOOKUP('2024 Fee'!F54,Lookup!$A$1:$B$20,2,FALSE)</f>
        <v>Weekly</v>
      </c>
      <c r="C54" s="8"/>
      <c r="D54" s="38">
        <f>Commercial!D46</f>
        <v>1</v>
      </c>
      <c r="E54" s="39">
        <f>Commercial!G46</f>
        <v>5517</v>
      </c>
      <c r="F54" s="21">
        <v>52</v>
      </c>
      <c r="G54" s="8"/>
      <c r="H54" s="38">
        <f>IFERROR(IF(D54=0,"",D54*E54*F54),0)</f>
        <v>286884</v>
      </c>
      <c r="I54" s="41">
        <f>I52*9</f>
        <v>28.98</v>
      </c>
      <c r="K54" s="12">
        <f>IFERROR(D54*F54*I54,0)</f>
        <v>1506.96</v>
      </c>
      <c r="M54" s="41">
        <f>M52*9</f>
        <v>29.52</v>
      </c>
      <c r="N54" s="42">
        <f t="shared" si="8"/>
        <v>-0.53999999999999915</v>
      </c>
      <c r="O54" s="43">
        <f>+N54/M54</f>
        <v>-1.8292682926829239E-2</v>
      </c>
      <c r="S54" s="59"/>
    </row>
    <row r="55" spans="1:19" x14ac:dyDescent="0.35">
      <c r="A55" s="44" t="s">
        <v>8</v>
      </c>
      <c r="B55" s="45" t="str">
        <f>VLOOKUP('2024 Fee'!F55,Lookup!$A$1:$B$20,2,FALSE)</f>
        <v>EOW</v>
      </c>
      <c r="C55" s="8"/>
      <c r="D55" s="38">
        <f>Commercial!D47</f>
        <v>7</v>
      </c>
      <c r="E55" s="39">
        <v>840</v>
      </c>
      <c r="F55" s="21">
        <v>26</v>
      </c>
      <c r="G55" s="8"/>
      <c r="H55" s="38">
        <f t="shared" si="5"/>
        <v>152880</v>
      </c>
      <c r="I55" s="41">
        <f t="shared" si="6"/>
        <v>4.41</v>
      </c>
      <c r="K55" s="12">
        <f t="shared" si="7"/>
        <v>802.62</v>
      </c>
      <c r="M55" s="41">
        <v>4.49</v>
      </c>
      <c r="N55" s="42">
        <f t="shared" si="8"/>
        <v>-8.0000000000000071E-2</v>
      </c>
      <c r="O55" s="43">
        <f t="shared" si="9"/>
        <v>-1.7817371937639215E-2</v>
      </c>
      <c r="S55" s="59"/>
    </row>
    <row r="56" spans="1:19" x14ac:dyDescent="0.35">
      <c r="A56" s="44" t="s">
        <v>8</v>
      </c>
      <c r="B56" s="45" t="str">
        <f>VLOOKUP('2024 Fee'!F56,Lookup!$A$1:$B$20,2,FALSE)</f>
        <v>Weekly</v>
      </c>
      <c r="C56" s="8"/>
      <c r="D56" s="38">
        <f>Commercial!D48</f>
        <v>28</v>
      </c>
      <c r="E56" s="39">
        <v>840</v>
      </c>
      <c r="F56" s="21">
        <v>52</v>
      </c>
      <c r="G56" s="8"/>
      <c r="H56" s="38">
        <f t="shared" si="5"/>
        <v>1223040</v>
      </c>
      <c r="I56" s="41">
        <f t="shared" si="6"/>
        <v>4.41</v>
      </c>
      <c r="K56" s="12">
        <f t="shared" si="7"/>
        <v>6420.96</v>
      </c>
      <c r="M56" s="41">
        <v>4.49</v>
      </c>
      <c r="N56" s="42">
        <f t="shared" si="8"/>
        <v>-8.0000000000000071E-2</v>
      </c>
      <c r="O56" s="43">
        <f t="shared" si="9"/>
        <v>-1.7817371937639215E-2</v>
      </c>
      <c r="Q56" s="42">
        <f>I56*3</f>
        <v>13.23</v>
      </c>
      <c r="S56" s="59"/>
    </row>
    <row r="57" spans="1:19" x14ac:dyDescent="0.35">
      <c r="A57" s="44" t="s">
        <v>8</v>
      </c>
      <c r="B57" s="45" t="str">
        <f>VLOOKUP('2024 Fee'!F57,Lookup!$A$1:$B$20,2,FALSE)</f>
        <v>2 x Week</v>
      </c>
      <c r="C57" s="8"/>
      <c r="D57" s="38">
        <f>Commercial!D49</f>
        <v>2</v>
      </c>
      <c r="E57" s="39">
        <v>840</v>
      </c>
      <c r="F57" s="21">
        <v>104</v>
      </c>
      <c r="G57" s="8"/>
      <c r="H57" s="38">
        <f t="shared" si="5"/>
        <v>174720</v>
      </c>
      <c r="I57" s="41">
        <f t="shared" si="6"/>
        <v>4.41</v>
      </c>
      <c r="K57" s="12">
        <f t="shared" si="7"/>
        <v>917.28</v>
      </c>
      <c r="M57" s="41">
        <v>4.49</v>
      </c>
      <c r="N57" s="42">
        <f t="shared" si="8"/>
        <v>-8.0000000000000071E-2</v>
      </c>
      <c r="O57" s="43">
        <f t="shared" si="9"/>
        <v>-1.7817371937639215E-2</v>
      </c>
      <c r="S57" s="59"/>
    </row>
    <row r="58" spans="1:19" x14ac:dyDescent="0.35">
      <c r="A58" s="44" t="s">
        <v>33</v>
      </c>
      <c r="B58" s="45" t="str">
        <f>VLOOKUP('2024 Fee'!F58,Lookup!$A$1:$B$20,2,FALSE)</f>
        <v>Weekly</v>
      </c>
      <c r="C58" s="8"/>
      <c r="D58" s="38">
        <f>Commercial!D53</f>
        <v>1</v>
      </c>
      <c r="E58" s="39">
        <f>Commercial!G53</f>
        <v>1680</v>
      </c>
      <c r="F58" s="21">
        <v>52</v>
      </c>
      <c r="G58" s="8"/>
      <c r="H58" s="38">
        <f t="shared" si="5"/>
        <v>87360</v>
      </c>
      <c r="I58" s="41">
        <f t="shared" si="6"/>
        <v>8.81</v>
      </c>
      <c r="K58" s="12">
        <f t="shared" si="7"/>
        <v>458.12</v>
      </c>
      <c r="M58" s="41">
        <f>M56*2</f>
        <v>8.98</v>
      </c>
      <c r="N58" s="42">
        <f t="shared" si="8"/>
        <v>-0.16999999999999993</v>
      </c>
      <c r="O58" s="43">
        <f t="shared" si="9"/>
        <v>-1.8930957683741638E-2</v>
      </c>
      <c r="S58" s="59"/>
    </row>
    <row r="59" spans="1:19" x14ac:dyDescent="0.35">
      <c r="A59" s="44" t="s">
        <v>33</v>
      </c>
      <c r="B59" s="45" t="str">
        <f>VLOOKUP('2024 Fee'!F59,Lookup!$A$1:$B$20,2,FALSE)</f>
        <v>2 x Week</v>
      </c>
      <c r="C59" s="8"/>
      <c r="D59" s="38">
        <f>Commercial!D54</f>
        <v>1</v>
      </c>
      <c r="E59" s="39">
        <f>Commercial!G53</f>
        <v>1680</v>
      </c>
      <c r="F59" s="21">
        <v>104</v>
      </c>
      <c r="G59" s="8"/>
      <c r="H59" s="38">
        <f t="shared" si="5"/>
        <v>174720</v>
      </c>
      <c r="I59" s="41">
        <f t="shared" si="6"/>
        <v>8.81</v>
      </c>
      <c r="K59" s="12">
        <f t="shared" si="7"/>
        <v>916.24</v>
      </c>
      <c r="M59" s="41">
        <f>M57*2</f>
        <v>8.98</v>
      </c>
      <c r="N59" s="42">
        <f t="shared" si="8"/>
        <v>-0.16999999999999993</v>
      </c>
      <c r="O59" s="43">
        <f t="shared" si="9"/>
        <v>-1.8930957683741638E-2</v>
      </c>
      <c r="S59" s="59"/>
    </row>
    <row r="60" spans="1:19" x14ac:dyDescent="0.35">
      <c r="A60" s="44" t="s">
        <v>91</v>
      </c>
      <c r="B60" s="45" t="str">
        <f>VLOOKUP('2024 Fee'!F60,Lookup!$A$1:$B$20,2,FALSE)</f>
        <v>Weekly</v>
      </c>
      <c r="C60" s="8"/>
      <c r="D60" s="38">
        <f>Commercial!D55</f>
        <v>1</v>
      </c>
      <c r="E60" s="39">
        <f>Commercial!G55</f>
        <v>2520</v>
      </c>
      <c r="F60" s="21">
        <f>Commercial!E55</f>
        <v>52</v>
      </c>
      <c r="G60" s="8"/>
      <c r="H60" s="38">
        <f>IFERROR(IF(D60=0,"",D60*E60*F60),0)</f>
        <v>131040</v>
      </c>
      <c r="I60" s="41">
        <f>IFERROR(ROUND(($H$5*H60)/D60/F60,2),0)</f>
        <v>13.22</v>
      </c>
      <c r="K60" s="12">
        <f>IFERROR(D60*F60*I60,0)</f>
        <v>687.44</v>
      </c>
      <c r="M60" s="41">
        <f>M56*3</f>
        <v>13.47</v>
      </c>
      <c r="N60" s="42">
        <f>+I60-M60</f>
        <v>-0.25</v>
      </c>
      <c r="O60" s="43">
        <f>+N60/M60</f>
        <v>-1.855976243504083E-2</v>
      </c>
      <c r="S60" s="59"/>
    </row>
    <row r="61" spans="1:19" x14ac:dyDescent="0.35">
      <c r="A61" s="44" t="s">
        <v>9</v>
      </c>
      <c r="B61" s="45" t="str">
        <f>VLOOKUP('2024 Fee'!F61,Lookup!$A$1:$B$20,2,FALSE)</f>
        <v>EOW</v>
      </c>
      <c r="C61" s="8"/>
      <c r="D61" s="38">
        <f>Commercial!D57</f>
        <v>2</v>
      </c>
      <c r="E61" s="39">
        <v>980</v>
      </c>
      <c r="F61" s="21">
        <v>26</v>
      </c>
      <c r="G61" s="8"/>
      <c r="H61" s="38">
        <f t="shared" si="5"/>
        <v>50960</v>
      </c>
      <c r="I61" s="41">
        <f t="shared" si="6"/>
        <v>5.14</v>
      </c>
      <c r="K61" s="12">
        <f t="shared" si="7"/>
        <v>267.27999999999997</v>
      </c>
      <c r="M61" s="41">
        <v>5.24</v>
      </c>
      <c r="N61" s="42">
        <f t="shared" si="8"/>
        <v>-0.10000000000000053</v>
      </c>
      <c r="O61" s="43">
        <f t="shared" si="9"/>
        <v>-1.9083969465648956E-2</v>
      </c>
      <c r="S61" s="59"/>
    </row>
    <row r="62" spans="1:19" x14ac:dyDescent="0.35">
      <c r="A62" s="44" t="s">
        <v>9</v>
      </c>
      <c r="B62" s="45" t="str">
        <f>VLOOKUP('2024 Fee'!F62,Lookup!$A$1:$B$20,2,FALSE)</f>
        <v>Weekly</v>
      </c>
      <c r="C62" s="8"/>
      <c r="D62" s="38">
        <f>Commercial!D58</f>
        <v>32</v>
      </c>
      <c r="E62" s="39">
        <v>980</v>
      </c>
      <c r="F62" s="21">
        <v>52</v>
      </c>
      <c r="G62" s="8"/>
      <c r="H62" s="38">
        <f t="shared" si="5"/>
        <v>1630720</v>
      </c>
      <c r="I62" s="41">
        <f t="shared" si="6"/>
        <v>5.14</v>
      </c>
      <c r="K62" s="12">
        <f t="shared" si="7"/>
        <v>8552.9599999999991</v>
      </c>
      <c r="M62" s="41">
        <v>5.24</v>
      </c>
      <c r="N62" s="42">
        <f t="shared" si="8"/>
        <v>-0.10000000000000053</v>
      </c>
      <c r="O62" s="43">
        <f t="shared" si="9"/>
        <v>-1.9083969465648956E-2</v>
      </c>
      <c r="S62" s="59"/>
    </row>
    <row r="63" spans="1:19" x14ac:dyDescent="0.35">
      <c r="A63" s="44" t="s">
        <v>9</v>
      </c>
      <c r="B63" s="45" t="str">
        <f>VLOOKUP('2024 Fee'!F63,Lookup!$A$1:$B$20,2,FALSE)</f>
        <v>2 x Week</v>
      </c>
      <c r="C63" s="8"/>
      <c r="D63" s="38">
        <f>Commercial!D59</f>
        <v>3</v>
      </c>
      <c r="E63" s="39">
        <v>980</v>
      </c>
      <c r="F63" s="21">
        <v>104</v>
      </c>
      <c r="G63" s="8"/>
      <c r="H63" s="38">
        <f t="shared" si="5"/>
        <v>305760</v>
      </c>
      <c r="I63" s="41">
        <f t="shared" si="6"/>
        <v>5.14</v>
      </c>
      <c r="K63" s="12">
        <f t="shared" si="7"/>
        <v>1603.6799999999998</v>
      </c>
      <c r="M63" s="41">
        <v>5.24</v>
      </c>
      <c r="N63" s="42">
        <f t="shared" si="8"/>
        <v>-0.10000000000000053</v>
      </c>
      <c r="O63" s="43">
        <f t="shared" si="9"/>
        <v>-1.9083969465648956E-2</v>
      </c>
      <c r="S63" s="59"/>
    </row>
    <row r="64" spans="1:19" x14ac:dyDescent="0.35">
      <c r="A64" s="44" t="s">
        <v>9</v>
      </c>
      <c r="B64" s="45" t="str">
        <f>VLOOKUP('2024 Fee'!F64,Lookup!$A$1:$B$20,2,FALSE)</f>
        <v>3 x Week</v>
      </c>
      <c r="C64" s="8"/>
      <c r="D64" s="38">
        <f>Commercial!D60</f>
        <v>3</v>
      </c>
      <c r="E64" s="39">
        <v>980</v>
      </c>
      <c r="F64" s="21">
        <v>156</v>
      </c>
      <c r="G64" s="8"/>
      <c r="H64" s="38">
        <f t="shared" si="5"/>
        <v>458640</v>
      </c>
      <c r="I64" s="41">
        <f t="shared" si="6"/>
        <v>5.14</v>
      </c>
      <c r="K64" s="12">
        <f t="shared" si="7"/>
        <v>2405.52</v>
      </c>
      <c r="M64" s="41">
        <v>5.24</v>
      </c>
      <c r="N64" s="42">
        <f t="shared" si="8"/>
        <v>-0.10000000000000053</v>
      </c>
      <c r="O64" s="43">
        <f t="shared" si="9"/>
        <v>-1.9083969465648956E-2</v>
      </c>
      <c r="S64" s="59"/>
    </row>
    <row r="65" spans="1:19" x14ac:dyDescent="0.35">
      <c r="A65" s="44" t="s">
        <v>34</v>
      </c>
      <c r="B65" s="45" t="str">
        <f>VLOOKUP('2024 Fee'!F65,Lookup!$A$1:$B$20,2,FALSE)</f>
        <v>Weekly</v>
      </c>
      <c r="C65" s="8"/>
      <c r="D65" s="38">
        <f>Commercial!D62</f>
        <v>4</v>
      </c>
      <c r="E65" s="39">
        <f>Commercial!G62</f>
        <v>1960</v>
      </c>
      <c r="F65" s="21">
        <v>52</v>
      </c>
      <c r="G65" s="8"/>
      <c r="H65" s="38">
        <f t="shared" si="5"/>
        <v>407680</v>
      </c>
      <c r="I65" s="41">
        <f>I64*2</f>
        <v>10.28</v>
      </c>
      <c r="K65" s="12">
        <f t="shared" si="7"/>
        <v>2138.2399999999998</v>
      </c>
      <c r="M65" s="41">
        <v>10.48</v>
      </c>
      <c r="N65" s="42">
        <f t="shared" si="8"/>
        <v>-0.20000000000000107</v>
      </c>
      <c r="O65" s="43">
        <f t="shared" si="9"/>
        <v>-1.9083969465648956E-2</v>
      </c>
      <c r="S65" s="59"/>
    </row>
    <row r="66" spans="1:19" x14ac:dyDescent="0.35">
      <c r="A66" s="44" t="s">
        <v>34</v>
      </c>
      <c r="B66" s="45" t="str">
        <f>VLOOKUP('2024 Fee'!F66,Lookup!$A$1:$B$20,2,FALSE)</f>
        <v>2 x Week</v>
      </c>
      <c r="C66" s="8"/>
      <c r="D66" s="38">
        <f>Commercial!D63</f>
        <v>1</v>
      </c>
      <c r="E66" s="39">
        <f>Commercial!G63</f>
        <v>1960</v>
      </c>
      <c r="F66" s="21">
        <v>104</v>
      </c>
      <c r="G66" s="8"/>
      <c r="H66" s="38">
        <f t="shared" si="5"/>
        <v>203840</v>
      </c>
      <c r="I66" s="41">
        <f>I65</f>
        <v>10.28</v>
      </c>
      <c r="K66" s="12">
        <f t="shared" si="7"/>
        <v>1069.1199999999999</v>
      </c>
      <c r="M66" s="41">
        <v>10.48</v>
      </c>
      <c r="N66" s="42">
        <f t="shared" si="8"/>
        <v>-0.20000000000000107</v>
      </c>
      <c r="O66" s="43">
        <f t="shared" si="9"/>
        <v>-1.9083969465648956E-2</v>
      </c>
      <c r="S66" s="59"/>
    </row>
    <row r="67" spans="1:19" x14ac:dyDescent="0.35">
      <c r="A67" s="44" t="s">
        <v>35</v>
      </c>
      <c r="B67" s="45" t="str">
        <f>VLOOKUP('2024 Fee'!F67,Lookup!$A$1:$B$20,2,FALSE)</f>
        <v>Weekly</v>
      </c>
      <c r="C67" s="8"/>
      <c r="D67" s="38">
        <f>Commercial!D65</f>
        <v>3</v>
      </c>
      <c r="E67" s="39">
        <f>Commercial!G65</f>
        <v>2940</v>
      </c>
      <c r="F67" s="21">
        <v>52</v>
      </c>
      <c r="G67" s="8"/>
      <c r="H67" s="38">
        <f t="shared" si="5"/>
        <v>458640</v>
      </c>
      <c r="I67" s="41">
        <f t="shared" si="6"/>
        <v>15.42</v>
      </c>
      <c r="K67" s="12">
        <f t="shared" si="7"/>
        <v>2405.52</v>
      </c>
      <c r="M67" s="41">
        <v>5.24</v>
      </c>
      <c r="N67" s="42">
        <f t="shared" si="8"/>
        <v>10.18</v>
      </c>
      <c r="O67" s="43">
        <f t="shared" si="9"/>
        <v>1.9427480916030533</v>
      </c>
      <c r="S67" s="59"/>
    </row>
    <row r="68" spans="1:19" x14ac:dyDescent="0.35">
      <c r="A68" s="44" t="s">
        <v>18</v>
      </c>
      <c r="B68" s="45" t="str">
        <f>VLOOKUP('2024 Fee'!F68,Lookup!$A$1:$B$20,2,FALSE)</f>
        <v>EOW</v>
      </c>
      <c r="C68" s="8"/>
      <c r="D68" s="38">
        <f>Commercial!D69</f>
        <v>1</v>
      </c>
      <c r="E68" s="39">
        <v>34</v>
      </c>
      <c r="F68" s="21">
        <v>26</v>
      </c>
      <c r="G68" s="8"/>
      <c r="H68" s="38">
        <f t="shared" si="5"/>
        <v>884</v>
      </c>
      <c r="I68" s="41">
        <f t="shared" si="6"/>
        <v>0.18</v>
      </c>
      <c r="K68" s="12">
        <f t="shared" si="7"/>
        <v>4.68</v>
      </c>
      <c r="M68" s="41">
        <v>0.18</v>
      </c>
      <c r="N68" s="42">
        <f t="shared" si="8"/>
        <v>0</v>
      </c>
      <c r="O68" s="43">
        <f t="shared" si="9"/>
        <v>0</v>
      </c>
      <c r="S68" s="59"/>
    </row>
    <row r="69" spans="1:19" x14ac:dyDescent="0.35">
      <c r="A69" s="44" t="s">
        <v>18</v>
      </c>
      <c r="B69" s="45" t="str">
        <f>VLOOKUP('2024 Fee'!F69,Lookup!$A$1:$B$20,2,FALSE)</f>
        <v>Weekly</v>
      </c>
      <c r="C69" s="8"/>
      <c r="D69" s="38">
        <f>Commercial!D68</f>
        <v>14</v>
      </c>
      <c r="E69" s="39">
        <v>34</v>
      </c>
      <c r="F69" s="21">
        <v>52</v>
      </c>
      <c r="G69" s="8"/>
      <c r="H69" s="38">
        <f t="shared" si="5"/>
        <v>24752</v>
      </c>
      <c r="I69" s="41">
        <f t="shared" si="6"/>
        <v>0.18</v>
      </c>
      <c r="K69" s="12">
        <f t="shared" si="7"/>
        <v>131.04</v>
      </c>
      <c r="M69" s="41">
        <v>0.18</v>
      </c>
      <c r="N69" s="42">
        <f t="shared" si="8"/>
        <v>0</v>
      </c>
      <c r="O69" s="43">
        <f t="shared" si="9"/>
        <v>0</v>
      </c>
      <c r="S69" s="59"/>
    </row>
    <row r="70" spans="1:19" x14ac:dyDescent="0.35">
      <c r="A70" s="44" t="s">
        <v>19</v>
      </c>
      <c r="B70" s="45" t="str">
        <f>VLOOKUP('2024 Fee'!F70,Lookup!$A$1:$B$20,2,FALSE)</f>
        <v>Weekly</v>
      </c>
      <c r="C70" s="8"/>
      <c r="D70" s="38">
        <f>Commercial!D70</f>
        <v>3</v>
      </c>
      <c r="E70" s="39">
        <v>51</v>
      </c>
      <c r="F70" s="21">
        <v>52</v>
      </c>
      <c r="G70" s="8"/>
      <c r="H70" s="38">
        <f t="shared" si="5"/>
        <v>7956</v>
      </c>
      <c r="I70" s="41">
        <f t="shared" si="6"/>
        <v>0.27</v>
      </c>
      <c r="K70" s="12">
        <f t="shared" si="7"/>
        <v>42.120000000000005</v>
      </c>
      <c r="M70" s="41">
        <v>0.27</v>
      </c>
      <c r="N70" s="42">
        <f t="shared" si="8"/>
        <v>0</v>
      </c>
      <c r="O70" s="43">
        <f t="shared" si="9"/>
        <v>0</v>
      </c>
      <c r="S70" s="59"/>
    </row>
    <row r="71" spans="1:19" x14ac:dyDescent="0.35">
      <c r="A71" s="44" t="s">
        <v>16</v>
      </c>
      <c r="B71" s="45" t="str">
        <f>VLOOKUP('2024 Fee'!F71,Lookup!$A$1:$B$20,2,FALSE)</f>
        <v>Weekly</v>
      </c>
      <c r="C71" s="8"/>
      <c r="D71" s="38">
        <f>Commercial!D71</f>
        <v>29</v>
      </c>
      <c r="E71" s="39">
        <v>77</v>
      </c>
      <c r="F71" s="21">
        <v>52</v>
      </c>
      <c r="G71" s="8"/>
      <c r="H71" s="38">
        <f t="shared" si="5"/>
        <v>116116</v>
      </c>
      <c r="I71" s="41">
        <f t="shared" si="6"/>
        <v>0.4</v>
      </c>
      <c r="K71" s="12">
        <f t="shared" si="7"/>
        <v>603.20000000000005</v>
      </c>
      <c r="M71" s="41">
        <v>0.41</v>
      </c>
      <c r="N71" s="42">
        <f t="shared" si="8"/>
        <v>-9.9999999999999534E-3</v>
      </c>
      <c r="O71" s="43">
        <f t="shared" si="9"/>
        <v>-2.4390243902438911E-2</v>
      </c>
      <c r="S71" s="59"/>
    </row>
    <row r="72" spans="1:19" x14ac:dyDescent="0.35">
      <c r="A72" s="44" t="s">
        <v>27</v>
      </c>
      <c r="B72" s="45" t="str">
        <f>VLOOKUP('2024 Fee'!F72,Lookup!$A$1:$B$20,2,FALSE)</f>
        <v>Weekly</v>
      </c>
      <c r="C72" s="8"/>
      <c r="D72" s="38">
        <f>Commercial!D72</f>
        <v>5</v>
      </c>
      <c r="E72" s="39">
        <f>Commercial!G72</f>
        <v>154</v>
      </c>
      <c r="F72" s="21">
        <v>52</v>
      </c>
      <c r="G72" s="8"/>
      <c r="H72" s="38">
        <f t="shared" si="5"/>
        <v>40040</v>
      </c>
      <c r="I72" s="41">
        <f t="shared" si="6"/>
        <v>0.81</v>
      </c>
      <c r="K72" s="12">
        <f t="shared" si="7"/>
        <v>210.60000000000002</v>
      </c>
      <c r="M72" s="41">
        <v>0.41</v>
      </c>
      <c r="N72" s="42">
        <f t="shared" si="8"/>
        <v>0.40000000000000008</v>
      </c>
      <c r="O72" s="43">
        <f t="shared" si="9"/>
        <v>0.97560975609756118</v>
      </c>
      <c r="S72" s="59"/>
    </row>
    <row r="73" spans="1:19" x14ac:dyDescent="0.35">
      <c r="A73" s="44" t="s">
        <v>36</v>
      </c>
      <c r="B73" s="45" t="str">
        <f>VLOOKUP('2024 Fee'!F73,Lookup!$A$1:$B$20,2,FALSE)</f>
        <v>Weekly</v>
      </c>
      <c r="C73" s="8"/>
      <c r="D73" s="38">
        <f>Commercial!D73</f>
        <v>2</v>
      </c>
      <c r="E73" s="39">
        <f>Commercial!G73</f>
        <v>231</v>
      </c>
      <c r="F73" s="21">
        <v>52</v>
      </c>
      <c r="G73" s="8"/>
      <c r="H73" s="38">
        <f t="shared" si="5"/>
        <v>24024</v>
      </c>
      <c r="I73" s="41">
        <f t="shared" si="6"/>
        <v>1.21</v>
      </c>
      <c r="K73" s="12">
        <f t="shared" si="7"/>
        <v>125.84</v>
      </c>
      <c r="M73" s="41">
        <v>0.41</v>
      </c>
      <c r="N73" s="42">
        <f t="shared" si="8"/>
        <v>0.8</v>
      </c>
      <c r="O73" s="43">
        <f t="shared" si="9"/>
        <v>1.9512195121951221</v>
      </c>
      <c r="S73" s="59"/>
    </row>
    <row r="74" spans="1:19" x14ac:dyDescent="0.35">
      <c r="A74" s="44" t="s">
        <v>37</v>
      </c>
      <c r="B74" s="45" t="str">
        <f>VLOOKUP('2024 Fee'!F74,Lookup!$A$1:$B$20,2,FALSE)</f>
        <v>Weekly</v>
      </c>
      <c r="C74" s="8"/>
      <c r="D74" s="38">
        <f>Commercial!D74</f>
        <v>1</v>
      </c>
      <c r="E74" s="39">
        <f>Commercial!G74</f>
        <v>308</v>
      </c>
      <c r="F74" s="21">
        <v>52</v>
      </c>
      <c r="G74" s="8"/>
      <c r="H74" s="38">
        <f t="shared" si="5"/>
        <v>16016</v>
      </c>
      <c r="I74" s="41">
        <f t="shared" si="6"/>
        <v>1.62</v>
      </c>
      <c r="K74" s="12">
        <f t="shared" si="7"/>
        <v>84.240000000000009</v>
      </c>
      <c r="M74" s="41">
        <v>0.41</v>
      </c>
      <c r="N74" s="42">
        <f t="shared" si="8"/>
        <v>1.2100000000000002</v>
      </c>
      <c r="O74" s="43">
        <f t="shared" si="9"/>
        <v>2.9512195121951228</v>
      </c>
      <c r="S74" s="59"/>
    </row>
    <row r="75" spans="1:19" x14ac:dyDescent="0.35">
      <c r="A75" s="44" t="s">
        <v>42</v>
      </c>
      <c r="B75" s="45" t="str">
        <f>VLOOKUP('2024 Fee'!F75,Lookup!$A$1:$B$20,2,FALSE)</f>
        <v>Weekly</v>
      </c>
      <c r="C75" s="8"/>
      <c r="D75" s="38">
        <f>Commercial!D75</f>
        <v>1</v>
      </c>
      <c r="E75" s="39">
        <f>Commercial!G75</f>
        <v>385</v>
      </c>
      <c r="F75" s="21">
        <v>52</v>
      </c>
      <c r="G75" s="8"/>
      <c r="H75" s="38">
        <f t="shared" si="5"/>
        <v>20020</v>
      </c>
      <c r="I75" s="41">
        <f t="shared" si="6"/>
        <v>2.02</v>
      </c>
      <c r="K75" s="12">
        <f t="shared" si="7"/>
        <v>105.04</v>
      </c>
      <c r="M75" s="41">
        <v>0.41</v>
      </c>
      <c r="N75" s="42">
        <f t="shared" si="8"/>
        <v>1.61</v>
      </c>
      <c r="O75" s="43">
        <f t="shared" si="9"/>
        <v>3.9268292682926833</v>
      </c>
      <c r="S75" s="59"/>
    </row>
    <row r="76" spans="1:19" x14ac:dyDescent="0.35">
      <c r="A76" s="44" t="s">
        <v>92</v>
      </c>
      <c r="B76" s="45" t="str">
        <f>VLOOKUP('2024 Fee'!F76,Lookup!$A$1:$B$20,2,FALSE)</f>
        <v>Weekly</v>
      </c>
      <c r="C76" s="8"/>
      <c r="D76" s="38">
        <f>Commercial!D76</f>
        <v>1</v>
      </c>
      <c r="E76" s="39">
        <f>Commercial!G76</f>
        <v>462</v>
      </c>
      <c r="F76" s="21">
        <v>52</v>
      </c>
      <c r="G76" s="8"/>
      <c r="H76" s="38">
        <f>IFERROR(IF(D76=0,"",D76*E76*F76),0)</f>
        <v>24024</v>
      </c>
      <c r="I76" s="41">
        <f t="shared" si="6"/>
        <v>2.42</v>
      </c>
      <c r="K76" s="12">
        <f>IFERROR(D76*F76*I76,0)</f>
        <v>125.84</v>
      </c>
      <c r="M76" s="41">
        <v>0.41</v>
      </c>
      <c r="N76" s="42">
        <f>+I76-M76</f>
        <v>2.0099999999999998</v>
      </c>
      <c r="O76" s="43">
        <f>+N76/M76</f>
        <v>4.9024390243902438</v>
      </c>
      <c r="S76" s="59"/>
    </row>
    <row r="77" spans="1:19" x14ac:dyDescent="0.35">
      <c r="A77" s="44" t="s">
        <v>38</v>
      </c>
      <c r="B77" s="60" t="str">
        <f>VLOOKUP('2024 Fee'!F77,Lookup!$A$1:$B$20,2,FALSE)</f>
        <v>Weekly</v>
      </c>
      <c r="D77" s="38">
        <f>Commercial!D78</f>
        <v>1</v>
      </c>
      <c r="E77" s="39">
        <f>Commercial!G78</f>
        <v>693</v>
      </c>
      <c r="F77" s="21">
        <v>52</v>
      </c>
      <c r="H77" s="59">
        <f>IFERROR(IF(D77=0,"",D77*E77*F77),0)</f>
        <v>36036</v>
      </c>
      <c r="I77" s="41">
        <f t="shared" si="6"/>
        <v>3.64</v>
      </c>
      <c r="K77" s="12">
        <f>IFERROR(D77*F77*I77,0)</f>
        <v>189.28</v>
      </c>
      <c r="M77" s="41">
        <v>0.41</v>
      </c>
      <c r="N77" s="42">
        <f t="shared" ref="N77:N89" si="10">+I77-M77</f>
        <v>3.23</v>
      </c>
      <c r="O77" s="43">
        <f t="shared" ref="O77:O89" si="11">+N77/M77</f>
        <v>7.8780487804878057</v>
      </c>
    </row>
    <row r="78" spans="1:19" x14ac:dyDescent="0.35">
      <c r="A78" s="44" t="s">
        <v>28</v>
      </c>
      <c r="D78" s="38"/>
      <c r="E78" s="39">
        <v>1800</v>
      </c>
      <c r="F78" s="21">
        <f>Commercial!E80</f>
        <v>7</v>
      </c>
      <c r="H78" s="59">
        <f t="shared" ref="H78:H89" si="12">+F78*E78</f>
        <v>12600</v>
      </c>
      <c r="I78" s="41">
        <f>($H$5*H78)/F78</f>
        <v>9.4429735449779173</v>
      </c>
      <c r="K78" s="12">
        <f t="shared" ref="K78:K89" si="13">F78*I78</f>
        <v>66.100814814845421</v>
      </c>
      <c r="M78" s="41">
        <v>9.6210000000000004</v>
      </c>
      <c r="N78" s="42">
        <f>+N79</f>
        <v>-0.23736860669611026</v>
      </c>
      <c r="O78" s="43">
        <f t="shared" si="11"/>
        <v>-2.46719266912078E-2</v>
      </c>
    </row>
    <row r="79" spans="1:19" x14ac:dyDescent="0.35">
      <c r="A79" s="44" t="s">
        <v>10</v>
      </c>
      <c r="D79" s="38"/>
      <c r="E79" s="39">
        <v>2400</v>
      </c>
      <c r="F79" s="21">
        <f>Commercial!E81</f>
        <v>348</v>
      </c>
      <c r="H79" s="59">
        <f t="shared" si="12"/>
        <v>835200</v>
      </c>
      <c r="I79" s="41">
        <f t="shared" ref="I79:I89" si="14">($H$5*H79)/F79</f>
        <v>12.590631393303889</v>
      </c>
      <c r="K79" s="12">
        <f t="shared" si="13"/>
        <v>4381.5397248697536</v>
      </c>
      <c r="M79" s="41">
        <v>12.827999999999999</v>
      </c>
      <c r="N79" s="42">
        <f t="shared" si="10"/>
        <v>-0.23736860669611026</v>
      </c>
      <c r="O79" s="43">
        <f t="shared" si="11"/>
        <v>-1.8503945018405854E-2</v>
      </c>
    </row>
    <row r="80" spans="1:19" x14ac:dyDescent="0.35">
      <c r="A80" s="44" t="s">
        <v>74</v>
      </c>
      <c r="D80" s="38"/>
      <c r="E80" s="39">
        <v>3000</v>
      </c>
      <c r="F80" s="21">
        <v>1E-4</v>
      </c>
      <c r="H80" s="59">
        <f t="shared" si="12"/>
        <v>0.3</v>
      </c>
      <c r="I80" s="41">
        <f t="shared" si="14"/>
        <v>15.738289241629861</v>
      </c>
      <c r="K80" s="12">
        <f t="shared" si="13"/>
        <v>1.5738289241629861E-3</v>
      </c>
      <c r="M80" s="41">
        <v>16.035</v>
      </c>
      <c r="N80" s="42">
        <f t="shared" si="10"/>
        <v>-0.29671075837013916</v>
      </c>
      <c r="O80" s="43">
        <f t="shared" si="11"/>
        <v>-1.8503945018405934E-2</v>
      </c>
    </row>
    <row r="81" spans="1:15" x14ac:dyDescent="0.35">
      <c r="A81" s="44" t="s">
        <v>11</v>
      </c>
      <c r="D81" s="38"/>
      <c r="E81" s="39">
        <v>3600</v>
      </c>
      <c r="F81" s="21">
        <f>Commercial!E83</f>
        <v>1671</v>
      </c>
      <c r="H81" s="59">
        <f t="shared" si="12"/>
        <v>6015600</v>
      </c>
      <c r="I81" s="41">
        <f t="shared" si="14"/>
        <v>18.885947089955835</v>
      </c>
      <c r="K81" s="12">
        <f t="shared" si="13"/>
        <v>31558.417587316198</v>
      </c>
      <c r="M81" s="41">
        <v>19.242000000000001</v>
      </c>
      <c r="N81" s="42">
        <f t="shared" si="10"/>
        <v>-0.35605291004416628</v>
      </c>
      <c r="O81" s="43">
        <f t="shared" si="11"/>
        <v>-1.8503945018405896E-2</v>
      </c>
    </row>
    <row r="82" spans="1:15" x14ac:dyDescent="0.35">
      <c r="A82" s="44" t="s">
        <v>29</v>
      </c>
      <c r="D82" s="38"/>
      <c r="E82" s="39">
        <v>4800</v>
      </c>
      <c r="F82" s="21">
        <f>Commercial!E84</f>
        <v>117</v>
      </c>
      <c r="H82" s="59">
        <f t="shared" si="12"/>
        <v>561600</v>
      </c>
      <c r="I82" s="41">
        <f t="shared" si="14"/>
        <v>25.181262786607778</v>
      </c>
      <c r="K82" s="12">
        <f t="shared" si="13"/>
        <v>2946.2077460331102</v>
      </c>
      <c r="M82" s="41">
        <v>25.655999999999999</v>
      </c>
      <c r="N82" s="42">
        <f t="shared" si="10"/>
        <v>-0.47473721339222053</v>
      </c>
      <c r="O82" s="43">
        <f t="shared" si="11"/>
        <v>-1.8503945018405854E-2</v>
      </c>
    </row>
    <row r="83" spans="1:15" x14ac:dyDescent="0.35">
      <c r="A83" s="44" t="s">
        <v>30</v>
      </c>
      <c r="D83" s="38"/>
      <c r="E83" s="39">
        <v>6000</v>
      </c>
      <c r="F83" s="21">
        <v>1E-4</v>
      </c>
      <c r="H83" s="59">
        <f t="shared" si="12"/>
        <v>0.6</v>
      </c>
      <c r="I83" s="41">
        <f t="shared" si="14"/>
        <v>31.476578483259722</v>
      </c>
      <c r="K83" s="12">
        <f t="shared" si="13"/>
        <v>3.1476578483259723E-3</v>
      </c>
      <c r="M83" s="41">
        <v>32.07</v>
      </c>
      <c r="N83" s="42">
        <f t="shared" si="10"/>
        <v>-0.59342151674027832</v>
      </c>
      <c r="O83" s="43">
        <f t="shared" si="11"/>
        <v>-1.8503945018405934E-2</v>
      </c>
    </row>
    <row r="84" spans="1:15" x14ac:dyDescent="0.35">
      <c r="A84" s="44" t="s">
        <v>94</v>
      </c>
      <c r="D84" s="38"/>
      <c r="E84" s="39">
        <v>4800</v>
      </c>
      <c r="F84" s="21">
        <v>1E-4</v>
      </c>
      <c r="H84" s="59">
        <f>+F84*E84</f>
        <v>0.48000000000000004</v>
      </c>
      <c r="I84" s="41">
        <f>($H$5*H84)/F84</f>
        <v>25.181262786607782</v>
      </c>
      <c r="K84" s="12">
        <f>F84*I84</f>
        <v>2.5181262786607784E-3</v>
      </c>
      <c r="M84" s="41">
        <v>25.655999999999999</v>
      </c>
      <c r="N84" s="42">
        <f>+I84-M84</f>
        <v>-0.47473721339221697</v>
      </c>
      <c r="O84" s="43">
        <f>+N84/M84</f>
        <v>-1.8503945018405715E-2</v>
      </c>
    </row>
    <row r="85" spans="1:15" x14ac:dyDescent="0.35">
      <c r="A85" s="44" t="s">
        <v>40</v>
      </c>
      <c r="D85" s="38"/>
      <c r="E85" s="39">
        <v>5400</v>
      </c>
      <c r="F85" s="21">
        <f>Commercial!E86</f>
        <v>2</v>
      </c>
      <c r="H85" s="59">
        <f t="shared" si="12"/>
        <v>10800</v>
      </c>
      <c r="I85" s="41">
        <f t="shared" si="14"/>
        <v>28.328920634933752</v>
      </c>
      <c r="K85" s="12">
        <f t="shared" si="13"/>
        <v>56.657841269867504</v>
      </c>
      <c r="M85" s="41">
        <v>28.863</v>
      </c>
      <c r="N85" s="42">
        <f t="shared" si="10"/>
        <v>-0.53407936506624765</v>
      </c>
      <c r="O85" s="43">
        <f t="shared" si="11"/>
        <v>-1.8503945018405837E-2</v>
      </c>
    </row>
    <row r="86" spans="1:15" x14ac:dyDescent="0.35">
      <c r="A86" s="44" t="s">
        <v>95</v>
      </c>
      <c r="D86" s="38"/>
      <c r="E86" s="39">
        <v>7200</v>
      </c>
      <c r="F86" s="21">
        <f>Commercial!E87</f>
        <v>36</v>
      </c>
      <c r="H86" s="59">
        <f>+F86*E86</f>
        <v>259200</v>
      </c>
      <c r="I86" s="41">
        <f>($H$5*H86)/F86</f>
        <v>37.771894179911669</v>
      </c>
      <c r="K86" s="12">
        <f>F86*I86</f>
        <v>1359.7881904768201</v>
      </c>
      <c r="M86" s="41">
        <v>38.484000000000002</v>
      </c>
      <c r="N86" s="42">
        <f>+I86-M86</f>
        <v>-0.71210582008833256</v>
      </c>
      <c r="O86" s="43">
        <f>+N86/M86</f>
        <v>-1.8503945018405896E-2</v>
      </c>
    </row>
    <row r="87" spans="1:15" x14ac:dyDescent="0.35">
      <c r="A87" s="44" t="s">
        <v>12</v>
      </c>
      <c r="D87" s="38"/>
      <c r="E87" s="39">
        <v>9000</v>
      </c>
      <c r="F87" s="21">
        <f>Commercial!E88</f>
        <v>36</v>
      </c>
      <c r="H87" s="59">
        <f t="shared" si="12"/>
        <v>324000</v>
      </c>
      <c r="I87" s="41">
        <f t="shared" si="14"/>
        <v>47.214867724889586</v>
      </c>
      <c r="K87" s="12">
        <f t="shared" si="13"/>
        <v>1699.7352380960251</v>
      </c>
      <c r="M87" s="41">
        <v>48.104999999999997</v>
      </c>
      <c r="N87" s="42">
        <f t="shared" si="10"/>
        <v>-0.89013227511041038</v>
      </c>
      <c r="O87" s="43">
        <f t="shared" si="11"/>
        <v>-1.8503945018405788E-2</v>
      </c>
    </row>
    <row r="88" spans="1:15" x14ac:dyDescent="0.35">
      <c r="A88" s="44" t="s">
        <v>13</v>
      </c>
      <c r="D88" s="38"/>
      <c r="E88" s="39">
        <v>10800</v>
      </c>
      <c r="F88" s="21">
        <f>Commercial!E89</f>
        <v>93</v>
      </c>
      <c r="H88" s="59">
        <f t="shared" si="12"/>
        <v>1004400</v>
      </c>
      <c r="I88" s="41">
        <f t="shared" si="14"/>
        <v>56.657841269867504</v>
      </c>
      <c r="K88" s="12">
        <f t="shared" si="13"/>
        <v>5269.1792380976776</v>
      </c>
      <c r="M88" s="41">
        <v>57.726000000000006</v>
      </c>
      <c r="N88" s="42">
        <f t="shared" si="10"/>
        <v>-1.0681587301325024</v>
      </c>
      <c r="O88" s="43">
        <f t="shared" si="11"/>
        <v>-1.8503945018405958E-2</v>
      </c>
    </row>
    <row r="89" spans="1:15" ht="18.5" x14ac:dyDescent="0.65">
      <c r="A89" s="44" t="s">
        <v>20</v>
      </c>
      <c r="D89" s="61"/>
      <c r="E89" s="39">
        <v>14400</v>
      </c>
      <c r="F89" s="21">
        <f>Commercial!E90</f>
        <v>12</v>
      </c>
      <c r="H89" s="82">
        <f t="shared" si="12"/>
        <v>172800</v>
      </c>
      <c r="I89" s="41">
        <f t="shared" si="14"/>
        <v>75.543788359823338</v>
      </c>
      <c r="K89" s="63">
        <f t="shared" si="13"/>
        <v>906.52546031788006</v>
      </c>
      <c r="M89" s="41">
        <v>76.968000000000004</v>
      </c>
      <c r="N89" s="42">
        <f t="shared" si="10"/>
        <v>-1.4242116401766651</v>
      </c>
      <c r="O89" s="43">
        <f t="shared" si="11"/>
        <v>-1.8503945018405896E-2</v>
      </c>
    </row>
    <row r="90" spans="1:15" x14ac:dyDescent="0.35">
      <c r="A90" s="44"/>
      <c r="D90" s="77">
        <f>SUM(D37:D89)</f>
        <v>521</v>
      </c>
      <c r="H90" s="77">
        <f>SUM(H37:H89)</f>
        <v>21307053.380000003</v>
      </c>
      <c r="K90" s="79">
        <f>SUM(K37:K89)</f>
        <v>111792.05908090519</v>
      </c>
    </row>
    <row r="91" spans="1:15" x14ac:dyDescent="0.35">
      <c r="A91" s="44"/>
    </row>
    <row r="92" spans="1:15" x14ac:dyDescent="0.35">
      <c r="D92" s="85"/>
      <c r="H92" s="78">
        <f>+H90+H34</f>
        <v>42060031.420000002</v>
      </c>
      <c r="K92" s="71">
        <f>+K90+K34</f>
        <v>220228.01668090519</v>
      </c>
    </row>
    <row r="93" spans="1:15" x14ac:dyDescent="0.35">
      <c r="D93" s="85"/>
    </row>
    <row r="94" spans="1:15" x14ac:dyDescent="0.35">
      <c r="K94" s="41">
        <f>D5-K92</f>
        <v>422.96331909482251</v>
      </c>
      <c r="L94" s="13" t="s">
        <v>77</v>
      </c>
    </row>
    <row r="95" spans="1:15" x14ac:dyDescent="0.35">
      <c r="H95" s="5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zoomScale="120" zoomScaleNormal="120" workbookViewId="0">
      <selection sqref="A1:IV65536"/>
    </sheetView>
  </sheetViews>
  <sheetFormatPr defaultRowHeight="12.5" x14ac:dyDescent="0.25"/>
  <cols>
    <col min="1" max="1" width="8.54296875" customWidth="1"/>
    <col min="2" max="2" width="7.7265625" customWidth="1"/>
    <col min="3" max="3" width="8" customWidth="1"/>
    <col min="4" max="4" width="14.7265625" customWidth="1"/>
    <col min="5" max="5" width="13.54296875" customWidth="1"/>
    <col min="6" max="6" width="9.26953125" customWidth="1"/>
    <col min="7" max="7" width="21.7265625" customWidth="1"/>
    <col min="8" max="8" width="20.54296875" customWidth="1"/>
  </cols>
  <sheetData>
    <row r="1" spans="1:9" ht="24.75" customHeight="1" x14ac:dyDescent="0.5">
      <c r="A1" s="150" t="s">
        <v>98</v>
      </c>
      <c r="B1" s="150"/>
      <c r="C1" s="150"/>
      <c r="D1" s="150"/>
      <c r="E1" s="150"/>
      <c r="F1" s="150"/>
      <c r="G1" s="150"/>
      <c r="H1" s="150"/>
      <c r="I1" s="87"/>
    </row>
    <row r="2" spans="1:9" x14ac:dyDescent="0.25">
      <c r="A2" s="88"/>
      <c r="B2" s="88"/>
      <c r="C2" s="88"/>
      <c r="D2" s="88"/>
      <c r="E2" s="88"/>
      <c r="F2" s="88"/>
      <c r="G2" s="88"/>
      <c r="H2" s="88"/>
    </row>
    <row r="3" spans="1:9" ht="18" x14ac:dyDescent="0.4">
      <c r="A3" s="151" t="s">
        <v>99</v>
      </c>
      <c r="B3" s="151"/>
      <c r="C3" s="151"/>
      <c r="D3" s="151"/>
      <c r="E3" s="151"/>
      <c r="F3" s="151"/>
      <c r="G3" s="151"/>
      <c r="H3" s="151"/>
    </row>
    <row r="4" spans="1:9" x14ac:dyDescent="0.25">
      <c r="A4" s="88"/>
      <c r="B4" s="88"/>
      <c r="C4" s="88"/>
      <c r="D4" s="88"/>
      <c r="E4" s="88"/>
      <c r="F4" s="88"/>
      <c r="G4" s="88"/>
      <c r="H4" s="88"/>
    </row>
    <row r="5" spans="1:9" ht="20" x14ac:dyDescent="0.4">
      <c r="A5" s="152" t="s">
        <v>100</v>
      </c>
      <c r="B5" s="152"/>
      <c r="C5" s="152"/>
      <c r="D5" s="152"/>
      <c r="E5" s="152"/>
      <c r="F5" s="152"/>
      <c r="G5" s="152"/>
      <c r="H5" s="152"/>
    </row>
    <row r="7" spans="1:9" ht="18" x14ac:dyDescent="0.4">
      <c r="A7" s="153" t="s">
        <v>101</v>
      </c>
      <c r="B7" s="153"/>
      <c r="C7" s="153"/>
      <c r="D7" s="153"/>
      <c r="E7" s="153"/>
      <c r="F7" s="153"/>
      <c r="G7" s="153"/>
      <c r="H7" s="153"/>
    </row>
    <row r="8" spans="1:9" ht="12" customHeight="1" x14ac:dyDescent="0.35">
      <c r="A8" s="89"/>
      <c r="D8" s="9"/>
      <c r="E8" s="9"/>
      <c r="G8" s="90"/>
      <c r="H8" s="9"/>
    </row>
    <row r="9" spans="1:9" ht="18" x14ac:dyDescent="0.4">
      <c r="A9" s="154" t="s">
        <v>102</v>
      </c>
      <c r="B9" s="154"/>
      <c r="C9" s="154"/>
      <c r="D9" s="154"/>
      <c r="E9" s="154"/>
      <c r="F9" s="154"/>
      <c r="G9" s="154"/>
      <c r="H9" s="154"/>
    </row>
    <row r="10" spans="1:9" ht="13" thickBot="1" x14ac:dyDescent="0.3"/>
    <row r="11" spans="1:9" ht="36.75" customHeight="1" thickTop="1" thickBot="1" x14ac:dyDescent="0.3">
      <c r="A11" s="155" t="s">
        <v>0</v>
      </c>
      <c r="B11" s="155"/>
      <c r="C11" s="155"/>
      <c r="D11" s="91" t="s">
        <v>103</v>
      </c>
      <c r="E11" s="92" t="s">
        <v>1</v>
      </c>
      <c r="F11" s="93" t="s">
        <v>2</v>
      </c>
      <c r="G11" s="93" t="s">
        <v>26</v>
      </c>
      <c r="H11" s="93" t="s">
        <v>3</v>
      </c>
    </row>
    <row r="12" spans="1:9" ht="23.15" customHeight="1" thickTop="1" x14ac:dyDescent="0.3">
      <c r="A12" s="94" t="s">
        <v>104</v>
      </c>
      <c r="B12" s="95"/>
      <c r="C12" s="96"/>
      <c r="D12" s="97"/>
      <c r="E12" s="98"/>
      <c r="F12" s="97"/>
      <c r="G12" s="97">
        <v>131</v>
      </c>
      <c r="H12" s="99">
        <f t="shared" ref="H12:H43" si="0">SUM(D12*E12*G12)</f>
        <v>0</v>
      </c>
    </row>
    <row r="13" spans="1:9" ht="23.15" customHeight="1" x14ac:dyDescent="0.3">
      <c r="A13" s="100" t="s">
        <v>15</v>
      </c>
      <c r="B13" s="101"/>
      <c r="C13" s="102"/>
      <c r="D13" s="99"/>
      <c r="E13" s="103"/>
      <c r="F13" s="99"/>
      <c r="G13" s="99">
        <v>34</v>
      </c>
      <c r="H13" s="99">
        <f t="shared" si="0"/>
        <v>0</v>
      </c>
    </row>
    <row r="14" spans="1:9" ht="23.15" customHeight="1" x14ac:dyDescent="0.3">
      <c r="A14" s="100" t="s">
        <v>15</v>
      </c>
      <c r="B14" s="101"/>
      <c r="C14" s="102"/>
      <c r="D14" s="99"/>
      <c r="E14" s="103"/>
      <c r="F14" s="99"/>
      <c r="G14" s="99">
        <v>34</v>
      </c>
      <c r="H14" s="99">
        <f t="shared" si="0"/>
        <v>0</v>
      </c>
    </row>
    <row r="15" spans="1:9" ht="23.15" customHeight="1" x14ac:dyDescent="0.3">
      <c r="A15" s="100" t="s">
        <v>81</v>
      </c>
      <c r="B15" s="101"/>
      <c r="C15" s="102"/>
      <c r="D15" s="99"/>
      <c r="E15" s="103"/>
      <c r="F15" s="99"/>
      <c r="G15" s="99">
        <v>51</v>
      </c>
      <c r="H15" s="99">
        <f t="shared" si="0"/>
        <v>0</v>
      </c>
    </row>
    <row r="16" spans="1:9" ht="23.15" customHeight="1" x14ac:dyDescent="0.3">
      <c r="A16" s="100" t="s">
        <v>82</v>
      </c>
      <c r="B16" s="101"/>
      <c r="C16" s="102"/>
      <c r="D16" s="99"/>
      <c r="E16" s="103"/>
      <c r="F16" s="99"/>
      <c r="G16" s="99">
        <v>77</v>
      </c>
      <c r="H16" s="99">
        <f t="shared" si="0"/>
        <v>0</v>
      </c>
    </row>
    <row r="17" spans="1:8" ht="23.15" customHeight="1" x14ac:dyDescent="0.3">
      <c r="A17" s="100" t="s">
        <v>83</v>
      </c>
      <c r="B17" s="101"/>
      <c r="C17" s="102"/>
      <c r="D17" s="99"/>
      <c r="E17" s="103"/>
      <c r="F17" s="99"/>
      <c r="G17" s="99">
        <v>97</v>
      </c>
      <c r="H17" s="99">
        <f t="shared" si="0"/>
        <v>0</v>
      </c>
    </row>
    <row r="18" spans="1:8" ht="23.15" customHeight="1" x14ac:dyDescent="0.3">
      <c r="A18" s="100" t="s">
        <v>84</v>
      </c>
      <c r="B18" s="101"/>
      <c r="C18" s="102"/>
      <c r="D18" s="99"/>
      <c r="E18" s="103"/>
      <c r="F18" s="99"/>
      <c r="G18" s="99">
        <v>117</v>
      </c>
      <c r="H18" s="99">
        <f t="shared" si="0"/>
        <v>0</v>
      </c>
    </row>
    <row r="19" spans="1:8" ht="23.15" customHeight="1" x14ac:dyDescent="0.3">
      <c r="A19" s="100" t="s">
        <v>85</v>
      </c>
      <c r="B19" s="101"/>
      <c r="C19" s="102"/>
      <c r="D19" s="99"/>
      <c r="E19" s="103"/>
      <c r="F19" s="99"/>
      <c r="G19" s="99">
        <v>137</v>
      </c>
      <c r="H19" s="99">
        <f t="shared" si="0"/>
        <v>0</v>
      </c>
    </row>
    <row r="20" spans="1:8" ht="23.15" customHeight="1" x14ac:dyDescent="0.3">
      <c r="A20" s="156" t="s">
        <v>105</v>
      </c>
      <c r="B20" s="157"/>
      <c r="C20" s="102"/>
      <c r="D20" s="99">
        <f>[2]Sheet11!$R$132+[2]Sheet11!$R$127</f>
        <v>56</v>
      </c>
      <c r="E20" s="103">
        <v>52</v>
      </c>
      <c r="F20" s="99"/>
      <c r="G20" s="99">
        <v>20</v>
      </c>
      <c r="H20" s="99">
        <f t="shared" si="0"/>
        <v>58240</v>
      </c>
    </row>
    <row r="21" spans="1:8" ht="23.15" customHeight="1" x14ac:dyDescent="0.3">
      <c r="A21" s="100" t="s">
        <v>68</v>
      </c>
      <c r="B21" s="101"/>
      <c r="C21" s="102"/>
      <c r="D21" s="99">
        <f>[2]Sheet11!$R$139</f>
        <v>2</v>
      </c>
      <c r="E21" s="103">
        <v>12</v>
      </c>
      <c r="F21" s="99"/>
      <c r="G21" s="99">
        <v>34</v>
      </c>
      <c r="H21" s="99">
        <f t="shared" si="0"/>
        <v>816</v>
      </c>
    </row>
    <row r="22" spans="1:8" ht="23.15" customHeight="1" x14ac:dyDescent="0.3">
      <c r="A22" s="156" t="s">
        <v>68</v>
      </c>
      <c r="B22" s="157"/>
      <c r="C22" s="102"/>
      <c r="D22" s="99">
        <f>[2]Sheet11!$R$128</f>
        <v>98</v>
      </c>
      <c r="E22" s="103">
        <v>52</v>
      </c>
      <c r="F22" s="99"/>
      <c r="G22" s="99">
        <v>34</v>
      </c>
      <c r="H22" s="99">
        <f t="shared" si="0"/>
        <v>173264</v>
      </c>
    </row>
    <row r="23" spans="1:8" ht="23.15" customHeight="1" x14ac:dyDescent="0.3">
      <c r="A23" s="100" t="s">
        <v>106</v>
      </c>
      <c r="B23" s="101"/>
      <c r="C23" s="102"/>
      <c r="D23" s="99">
        <f>[2]Sheet11!$R$133</f>
        <v>38</v>
      </c>
      <c r="E23" s="103">
        <v>52</v>
      </c>
      <c r="F23" s="99"/>
      <c r="G23" s="99">
        <v>68</v>
      </c>
      <c r="H23" s="99">
        <f t="shared" si="0"/>
        <v>134368</v>
      </c>
    </row>
    <row r="24" spans="1:8" ht="23.15" customHeight="1" x14ac:dyDescent="0.3">
      <c r="A24" s="100" t="s">
        <v>107</v>
      </c>
      <c r="B24" s="101"/>
      <c r="C24" s="102"/>
      <c r="D24" s="99">
        <f>[2]Sheet11!$R$140</f>
        <v>1</v>
      </c>
      <c r="E24" s="103">
        <v>52</v>
      </c>
      <c r="F24" s="99"/>
      <c r="G24" s="99">
        <v>102</v>
      </c>
      <c r="H24" s="99">
        <f t="shared" si="0"/>
        <v>5304</v>
      </c>
    </row>
    <row r="25" spans="1:8" ht="23.15" customHeight="1" x14ac:dyDescent="0.3">
      <c r="A25" s="100" t="s">
        <v>80</v>
      </c>
      <c r="B25" s="101"/>
      <c r="C25" s="102"/>
      <c r="D25" s="99">
        <f>[2]Sheet11!$N$160</f>
        <v>6374</v>
      </c>
      <c r="E25" s="103">
        <v>1</v>
      </c>
      <c r="F25" s="99"/>
      <c r="G25" s="99">
        <v>34</v>
      </c>
      <c r="H25" s="99">
        <f t="shared" si="0"/>
        <v>216716</v>
      </c>
    </row>
    <row r="26" spans="1:8" ht="23.15" customHeight="1" x14ac:dyDescent="0.3">
      <c r="A26" s="100" t="s">
        <v>18</v>
      </c>
      <c r="B26" s="101"/>
      <c r="C26" s="102"/>
      <c r="D26" s="99">
        <f>[2]Sheet11!$R$141</f>
        <v>8</v>
      </c>
      <c r="E26" s="103">
        <v>12</v>
      </c>
      <c r="F26" s="99"/>
      <c r="G26" s="99">
        <v>34</v>
      </c>
      <c r="H26" s="99">
        <f t="shared" si="0"/>
        <v>3264</v>
      </c>
    </row>
    <row r="27" spans="1:8" ht="23.15" customHeight="1" x14ac:dyDescent="0.3">
      <c r="A27" s="100" t="s">
        <v>18</v>
      </c>
      <c r="B27" s="101"/>
      <c r="C27" s="102"/>
      <c r="D27" s="99">
        <f>[2]Sheet11!$R$129</f>
        <v>1005</v>
      </c>
      <c r="E27" s="103">
        <v>52</v>
      </c>
      <c r="F27" s="99"/>
      <c r="G27" s="99">
        <v>34</v>
      </c>
      <c r="H27" s="99">
        <f t="shared" si="0"/>
        <v>1776840</v>
      </c>
    </row>
    <row r="28" spans="1:8" ht="23.15" customHeight="1" x14ac:dyDescent="0.3">
      <c r="A28" s="100" t="s">
        <v>18</v>
      </c>
      <c r="B28" s="101"/>
      <c r="C28" s="102"/>
      <c r="D28" s="99"/>
      <c r="E28" s="103"/>
      <c r="F28" s="99"/>
      <c r="G28" s="99">
        <v>34</v>
      </c>
      <c r="H28" s="99">
        <f t="shared" si="0"/>
        <v>0</v>
      </c>
    </row>
    <row r="29" spans="1:8" ht="23.15" customHeight="1" x14ac:dyDescent="0.3">
      <c r="A29" s="100" t="s">
        <v>25</v>
      </c>
      <c r="B29" s="101"/>
      <c r="C29" s="102"/>
      <c r="D29" s="99">
        <f>[2]Sheet11!$R$134</f>
        <v>2</v>
      </c>
      <c r="E29" s="103">
        <v>52</v>
      </c>
      <c r="F29" s="99"/>
      <c r="G29" s="99">
        <v>68</v>
      </c>
      <c r="H29" s="99">
        <f t="shared" si="0"/>
        <v>7072</v>
      </c>
    </row>
    <row r="30" spans="1:8" ht="23.15" customHeight="1" x14ac:dyDescent="0.3">
      <c r="A30" s="100" t="s">
        <v>25</v>
      </c>
      <c r="B30" s="101"/>
      <c r="C30" s="102"/>
      <c r="D30" s="99"/>
      <c r="E30" s="103"/>
      <c r="F30" s="99"/>
      <c r="G30" s="99">
        <v>68</v>
      </c>
      <c r="H30" s="99">
        <f t="shared" si="0"/>
        <v>0</v>
      </c>
    </row>
    <row r="31" spans="1:8" ht="23.15" customHeight="1" x14ac:dyDescent="0.3">
      <c r="A31" s="100" t="s">
        <v>19</v>
      </c>
      <c r="B31" s="101"/>
      <c r="C31" s="102"/>
      <c r="D31" s="99">
        <f>[2]Sheet11!$R$147</f>
        <v>10</v>
      </c>
      <c r="E31" s="103">
        <v>26</v>
      </c>
      <c r="F31" s="99"/>
      <c r="G31" s="99">
        <v>51</v>
      </c>
      <c r="H31" s="99">
        <f t="shared" si="0"/>
        <v>13260</v>
      </c>
    </row>
    <row r="32" spans="1:8" ht="23.15" customHeight="1" x14ac:dyDescent="0.3">
      <c r="A32" s="100" t="s">
        <v>86</v>
      </c>
      <c r="B32" s="101"/>
      <c r="C32" s="102"/>
      <c r="D32" s="99"/>
      <c r="E32" s="103"/>
      <c r="F32" s="99"/>
      <c r="G32" s="99">
        <v>51</v>
      </c>
      <c r="H32" s="99">
        <f t="shared" si="0"/>
        <v>0</v>
      </c>
    </row>
    <row r="33" spans="1:8" ht="23.15" customHeight="1" x14ac:dyDescent="0.3">
      <c r="A33" s="100" t="s">
        <v>19</v>
      </c>
      <c r="B33" s="101"/>
      <c r="C33" s="102"/>
      <c r="D33" s="99">
        <f>[2]Sheet11!$R$130</f>
        <v>2162</v>
      </c>
      <c r="E33" s="103">
        <v>52</v>
      </c>
      <c r="F33" s="99"/>
      <c r="G33" s="99">
        <v>51</v>
      </c>
      <c r="H33" s="99">
        <f t="shared" si="0"/>
        <v>5733624</v>
      </c>
    </row>
    <row r="34" spans="1:8" ht="23.15" customHeight="1" x14ac:dyDescent="0.3">
      <c r="A34" s="100" t="s">
        <v>108</v>
      </c>
      <c r="B34" s="101"/>
      <c r="C34" s="102"/>
      <c r="D34" s="99">
        <f>[2]Sheet11!$R$136</f>
        <v>23</v>
      </c>
      <c r="E34" s="103">
        <v>26</v>
      </c>
      <c r="F34" s="99"/>
      <c r="G34" s="99">
        <v>102</v>
      </c>
      <c r="H34" s="99">
        <f t="shared" si="0"/>
        <v>60996</v>
      </c>
    </row>
    <row r="35" spans="1:8" ht="23.15" customHeight="1" x14ac:dyDescent="0.3">
      <c r="A35" s="100" t="s">
        <v>108</v>
      </c>
      <c r="B35" s="101"/>
      <c r="C35" s="102"/>
      <c r="D35" s="99">
        <f>[2]Sheet11!$R$135</f>
        <v>13</v>
      </c>
      <c r="E35" s="103">
        <v>52</v>
      </c>
      <c r="F35" s="99"/>
      <c r="G35" s="99">
        <v>102</v>
      </c>
      <c r="H35" s="99">
        <f t="shared" si="0"/>
        <v>68952</v>
      </c>
    </row>
    <row r="36" spans="1:8" ht="23.15" customHeight="1" x14ac:dyDescent="0.3">
      <c r="A36" s="100" t="s">
        <v>109</v>
      </c>
      <c r="B36" s="101"/>
      <c r="C36" s="102"/>
      <c r="D36" s="99">
        <f>[2]Sheet11!$R$142</f>
        <v>1</v>
      </c>
      <c r="E36" s="103">
        <v>52</v>
      </c>
      <c r="F36" s="99"/>
      <c r="G36" s="99">
        <v>102</v>
      </c>
      <c r="H36" s="99">
        <f>SUM(D36*E36*G36)</f>
        <v>5304</v>
      </c>
    </row>
    <row r="37" spans="1:8" ht="23.15" customHeight="1" x14ac:dyDescent="0.3">
      <c r="A37" s="100" t="s">
        <v>16</v>
      </c>
      <c r="B37" s="101"/>
      <c r="C37" s="102"/>
      <c r="D37" s="99">
        <f>[2]Sheet11!$R$148</f>
        <v>12</v>
      </c>
      <c r="E37" s="103">
        <v>26</v>
      </c>
      <c r="F37" s="99"/>
      <c r="G37" s="99">
        <v>77</v>
      </c>
      <c r="H37" s="99">
        <f t="shared" si="0"/>
        <v>24024</v>
      </c>
    </row>
    <row r="38" spans="1:8" ht="23.15" customHeight="1" x14ac:dyDescent="0.3">
      <c r="A38" s="100" t="s">
        <v>16</v>
      </c>
      <c r="B38" s="101"/>
      <c r="C38" s="102"/>
      <c r="D38" s="99">
        <f>[2]Sheet11!$R$131</f>
        <v>2812</v>
      </c>
      <c r="E38" s="103">
        <v>52</v>
      </c>
      <c r="F38" s="99"/>
      <c r="G38" s="99">
        <v>77</v>
      </c>
      <c r="H38" s="99">
        <f t="shared" si="0"/>
        <v>11259248</v>
      </c>
    </row>
    <row r="39" spans="1:8" ht="23.15" customHeight="1" x14ac:dyDescent="0.3">
      <c r="A39" s="100" t="s">
        <v>110</v>
      </c>
      <c r="B39" s="101"/>
      <c r="C39" s="102"/>
      <c r="D39" s="99">
        <f>[2]Sheet11!$R$138</f>
        <v>54</v>
      </c>
      <c r="E39" s="103">
        <v>26</v>
      </c>
      <c r="F39" s="99"/>
      <c r="G39" s="99">
        <v>154</v>
      </c>
      <c r="H39" s="99">
        <f t="shared" si="0"/>
        <v>216216</v>
      </c>
    </row>
    <row r="40" spans="1:8" ht="23.15" customHeight="1" x14ac:dyDescent="0.3">
      <c r="A40" s="100" t="s">
        <v>110</v>
      </c>
      <c r="B40" s="101"/>
      <c r="C40" s="102"/>
      <c r="D40" s="99">
        <f>[2]Sheet11!$R$137</f>
        <v>132</v>
      </c>
      <c r="E40" s="103">
        <v>52</v>
      </c>
      <c r="F40" s="99"/>
      <c r="G40" s="99">
        <v>154</v>
      </c>
      <c r="H40" s="99">
        <f t="shared" si="0"/>
        <v>1057056</v>
      </c>
    </row>
    <row r="41" spans="1:8" ht="23.15" customHeight="1" x14ac:dyDescent="0.3">
      <c r="A41" s="100" t="s">
        <v>111</v>
      </c>
      <c r="B41" s="101"/>
      <c r="C41" s="102"/>
      <c r="D41" s="99">
        <f>[2]Sheet11!$R$143</f>
        <v>10</v>
      </c>
      <c r="E41" s="103">
        <v>52</v>
      </c>
      <c r="F41" s="99"/>
      <c r="G41" s="99">
        <v>231</v>
      </c>
      <c r="H41" s="99">
        <f t="shared" si="0"/>
        <v>120120</v>
      </c>
    </row>
    <row r="42" spans="1:8" ht="23.15" customHeight="1" x14ac:dyDescent="0.3">
      <c r="A42" s="104" t="s">
        <v>112</v>
      </c>
      <c r="B42" s="89"/>
      <c r="D42" s="105">
        <f>[2]Sheet11!$R$145</f>
        <v>1</v>
      </c>
      <c r="E42" s="106">
        <v>26</v>
      </c>
      <c r="F42" s="105"/>
      <c r="G42" s="105">
        <v>308</v>
      </c>
      <c r="H42" s="105">
        <f t="shared" si="0"/>
        <v>8008</v>
      </c>
    </row>
    <row r="43" spans="1:8" ht="23.15" customHeight="1" thickBot="1" x14ac:dyDescent="0.35">
      <c r="A43" s="104" t="s">
        <v>112</v>
      </c>
      <c r="B43" s="89"/>
      <c r="D43" s="105">
        <f>[2]Sheet11!$R$144</f>
        <v>2</v>
      </c>
      <c r="E43" s="106">
        <v>52</v>
      </c>
      <c r="F43" s="105"/>
      <c r="G43" s="105">
        <v>308</v>
      </c>
      <c r="H43" s="105">
        <f t="shared" si="0"/>
        <v>32032</v>
      </c>
    </row>
    <row r="44" spans="1:8" ht="24" customHeight="1" thickTop="1" thickBot="1" x14ac:dyDescent="0.4">
      <c r="A44" s="107" t="s">
        <v>17</v>
      </c>
      <c r="B44" s="108"/>
      <c r="C44" s="108"/>
      <c r="D44" s="109">
        <f>SUM(D12:D43)</f>
        <v>12816</v>
      </c>
      <c r="E44" s="110">
        <f>SUM(E12:E43)</f>
        <v>831</v>
      </c>
      <c r="F44" s="111"/>
      <c r="G44" s="109">
        <f>SUM(G12:G43)</f>
        <v>2976</v>
      </c>
      <c r="H44" s="112"/>
    </row>
    <row r="45" spans="1:8" ht="15" customHeight="1" thickTop="1" x14ac:dyDescent="0.25">
      <c r="G45" s="88"/>
      <c r="H45" s="158">
        <f>SUM(H12:H43)</f>
        <v>20974724</v>
      </c>
    </row>
    <row r="46" spans="1:8" ht="15" customHeight="1" thickBot="1" x14ac:dyDescent="0.35">
      <c r="B46" s="160" t="s">
        <v>113</v>
      </c>
      <c r="C46" s="160"/>
      <c r="D46" s="160"/>
      <c r="E46" s="160"/>
      <c r="F46" s="160"/>
      <c r="G46" s="113" t="s">
        <v>114</v>
      </c>
      <c r="H46" s="159"/>
    </row>
    <row r="47" spans="1:8" ht="13" thickTop="1" x14ac:dyDescent="0.25">
      <c r="G47" s="88"/>
    </row>
    <row r="48" spans="1:8" x14ac:dyDescent="0.25">
      <c r="A48" s="161" t="s">
        <v>115</v>
      </c>
      <c r="B48" s="161"/>
      <c r="C48" s="161"/>
      <c r="D48" s="161"/>
      <c r="E48" s="161"/>
      <c r="G48" s="88"/>
    </row>
    <row r="49" spans="7:7" x14ac:dyDescent="0.25">
      <c r="G49" s="88"/>
    </row>
    <row r="50" spans="7:7" x14ac:dyDescent="0.25">
      <c r="G50" s="88"/>
    </row>
    <row r="51" spans="7:7" x14ac:dyDescent="0.25">
      <c r="G51" s="88"/>
    </row>
    <row r="52" spans="7:7" x14ac:dyDescent="0.25">
      <c r="G52" s="88"/>
    </row>
    <row r="53" spans="7:7" x14ac:dyDescent="0.25">
      <c r="G53" s="88"/>
    </row>
  </sheetData>
  <mergeCells count="11">
    <mergeCell ref="A20:B20"/>
    <mergeCell ref="A22:B22"/>
    <mergeCell ref="H45:H46"/>
    <mergeCell ref="B46:F46"/>
    <mergeCell ref="A48:E48"/>
    <mergeCell ref="A1:H1"/>
    <mergeCell ref="A3:H3"/>
    <mergeCell ref="A5:H5"/>
    <mergeCell ref="A7:H7"/>
    <mergeCell ref="A9:H9"/>
    <mergeCell ref="A11:C1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"/>
  <sheetViews>
    <sheetView workbookViewId="0">
      <pane ySplit="9" topLeftCell="A10" activePane="bottomLeft" state="frozen"/>
      <selection activeCell="F20" sqref="F20"/>
      <selection pane="bottomLeft" activeCell="F14" sqref="F14"/>
    </sheetView>
  </sheetViews>
  <sheetFormatPr defaultRowHeight="12.5" x14ac:dyDescent="0.25"/>
  <cols>
    <col min="1" max="2" width="8.54296875" customWidth="1"/>
    <col min="3" max="3" width="15.81640625" customWidth="1"/>
    <col min="4" max="4" width="14.7265625" customWidth="1"/>
    <col min="5" max="5" width="11.81640625" customWidth="1"/>
    <col min="6" max="6" width="12.26953125" customWidth="1"/>
    <col min="7" max="7" width="20.81640625" style="116" customWidth="1"/>
    <col min="8" max="8" width="14.1796875" customWidth="1"/>
    <col min="9" max="9" width="12.54296875" customWidth="1"/>
  </cols>
  <sheetData>
    <row r="1" spans="1:9" ht="24.75" customHeight="1" x14ac:dyDescent="0.6">
      <c r="A1" s="114" t="s">
        <v>98</v>
      </c>
      <c r="B1" s="88"/>
      <c r="C1" s="88"/>
      <c r="D1" s="88"/>
      <c r="E1" s="88"/>
      <c r="F1" s="88"/>
      <c r="G1" s="115"/>
      <c r="H1" s="88"/>
      <c r="I1" s="88"/>
    </row>
    <row r="2" spans="1:9" ht="9.75" customHeight="1" x14ac:dyDescent="0.25"/>
    <row r="3" spans="1:9" ht="18" x14ac:dyDescent="0.4">
      <c r="A3" s="117" t="s">
        <v>116</v>
      </c>
      <c r="B3" s="88"/>
      <c r="C3" s="88"/>
      <c r="D3" s="88"/>
      <c r="E3" s="88"/>
      <c r="F3" s="88"/>
      <c r="G3" s="115"/>
      <c r="H3" s="88"/>
      <c r="I3" s="88"/>
    </row>
    <row r="4" spans="1:9" ht="10.5" customHeight="1" x14ac:dyDescent="0.25">
      <c r="A4" s="88"/>
      <c r="B4" s="88"/>
      <c r="C4" s="88"/>
      <c r="D4" s="88"/>
      <c r="E4" s="88"/>
      <c r="F4" s="88"/>
      <c r="G4" s="115"/>
      <c r="H4" s="88"/>
      <c r="I4" s="88"/>
    </row>
    <row r="5" spans="1:9" ht="20" x14ac:dyDescent="0.4">
      <c r="A5" s="118" t="s">
        <v>117</v>
      </c>
      <c r="B5" s="88"/>
      <c r="C5" s="88"/>
      <c r="D5" s="88"/>
      <c r="E5" s="88"/>
      <c r="F5" s="88"/>
      <c r="G5" s="115"/>
      <c r="H5" s="88"/>
      <c r="I5" s="88"/>
    </row>
    <row r="6" spans="1:9" ht="11.25" customHeight="1" x14ac:dyDescent="0.25">
      <c r="A6" s="88"/>
      <c r="B6" s="88"/>
      <c r="C6" s="88"/>
      <c r="D6" s="88"/>
      <c r="E6" s="88"/>
      <c r="F6" s="88"/>
      <c r="G6" s="115"/>
      <c r="H6" s="88"/>
      <c r="I6" s="88"/>
    </row>
    <row r="7" spans="1:9" ht="18" x14ac:dyDescent="0.4">
      <c r="A7" s="172" t="s">
        <v>118</v>
      </c>
      <c r="B7" s="172"/>
      <c r="C7" s="172"/>
      <c r="D7" s="172"/>
      <c r="E7" s="172"/>
      <c r="F7" s="172"/>
      <c r="G7" s="172"/>
      <c r="H7" s="172"/>
      <c r="I7" s="172"/>
    </row>
    <row r="8" spans="1:9" ht="15.5" x14ac:dyDescent="0.35">
      <c r="A8" s="10"/>
      <c r="D8" s="9"/>
      <c r="E8" s="119"/>
      <c r="G8" s="86"/>
      <c r="H8" s="9"/>
      <c r="I8" s="120"/>
    </row>
    <row r="9" spans="1:9" ht="18" x14ac:dyDescent="0.4">
      <c r="A9" s="10"/>
      <c r="D9" s="9" t="s">
        <v>119</v>
      </c>
      <c r="E9" s="119"/>
      <c r="G9" s="86"/>
      <c r="H9" s="9"/>
      <c r="I9" s="120"/>
    </row>
    <row r="10" spans="1:9" ht="13" thickBot="1" x14ac:dyDescent="0.3"/>
    <row r="11" spans="1:9" ht="37.5" customHeight="1" thickTop="1" thickBot="1" x14ac:dyDescent="0.3">
      <c r="A11" s="173" t="s">
        <v>0</v>
      </c>
      <c r="B11" s="173"/>
      <c r="C11" s="174"/>
      <c r="D11" s="122" t="s">
        <v>103</v>
      </c>
      <c r="E11" s="123" t="s">
        <v>1</v>
      </c>
      <c r="F11" s="124" t="s">
        <v>2</v>
      </c>
      <c r="G11" s="121" t="s">
        <v>26</v>
      </c>
      <c r="H11" s="175" t="s">
        <v>3</v>
      </c>
      <c r="I11" s="174"/>
    </row>
    <row r="12" spans="1:9" ht="23.15" customHeight="1" thickTop="1" x14ac:dyDescent="0.35">
      <c r="A12" s="125" t="s">
        <v>4</v>
      </c>
      <c r="B12" s="126"/>
      <c r="C12" s="126"/>
      <c r="D12" s="127">
        <f>[2]Sheet11!$R$74</f>
        <v>28</v>
      </c>
      <c r="E12" s="128">
        <v>26</v>
      </c>
      <c r="F12" s="97"/>
      <c r="G12" s="98">
        <v>175</v>
      </c>
      <c r="H12" s="176">
        <f t="shared" ref="H12:H75" si="0">SUM(D12*E12*G12)</f>
        <v>127400</v>
      </c>
      <c r="I12" s="177"/>
    </row>
    <row r="13" spans="1:9" ht="23.15" customHeight="1" x14ac:dyDescent="0.35">
      <c r="A13" s="129" t="s">
        <v>4</v>
      </c>
      <c r="B13" s="130"/>
      <c r="C13" s="130"/>
      <c r="D13" s="131">
        <f>[2]Sheet11!$R$75</f>
        <v>40</v>
      </c>
      <c r="E13" s="132">
        <v>52</v>
      </c>
      <c r="F13" s="133"/>
      <c r="G13" s="134">
        <v>175</v>
      </c>
      <c r="H13" s="166">
        <f t="shared" si="0"/>
        <v>364000</v>
      </c>
      <c r="I13" s="167"/>
    </row>
    <row r="14" spans="1:9" ht="23.15" customHeight="1" x14ac:dyDescent="0.35">
      <c r="A14" s="129" t="s">
        <v>87</v>
      </c>
      <c r="B14" s="130"/>
      <c r="C14" s="130"/>
      <c r="D14" s="131"/>
      <c r="E14" s="132"/>
      <c r="F14" s="133"/>
      <c r="G14" s="134">
        <v>218</v>
      </c>
      <c r="H14" s="166">
        <f t="shared" si="0"/>
        <v>0</v>
      </c>
      <c r="I14" s="167"/>
    </row>
    <row r="15" spans="1:9" ht="23.15" customHeight="1" x14ac:dyDescent="0.35">
      <c r="A15" s="129" t="s">
        <v>87</v>
      </c>
      <c r="B15" s="130"/>
      <c r="C15" s="130"/>
      <c r="D15" s="131"/>
      <c r="E15" s="132"/>
      <c r="F15" s="133"/>
      <c r="G15" s="134">
        <v>218</v>
      </c>
      <c r="H15" s="166">
        <f t="shared" si="0"/>
        <v>0</v>
      </c>
      <c r="I15" s="167"/>
    </row>
    <row r="16" spans="1:9" ht="23.15" customHeight="1" x14ac:dyDescent="0.35">
      <c r="A16" s="170" t="s">
        <v>88</v>
      </c>
      <c r="B16" s="171"/>
      <c r="C16" s="171"/>
      <c r="D16" s="131"/>
      <c r="E16" s="132"/>
      <c r="F16" s="133"/>
      <c r="G16" s="134">
        <v>227</v>
      </c>
      <c r="H16" s="166">
        <f t="shared" si="0"/>
        <v>0</v>
      </c>
      <c r="I16" s="167"/>
    </row>
    <row r="17" spans="1:9" ht="23.15" customHeight="1" x14ac:dyDescent="0.35">
      <c r="A17" s="170" t="s">
        <v>88</v>
      </c>
      <c r="B17" s="171"/>
      <c r="C17" s="171"/>
      <c r="D17" s="131"/>
      <c r="E17" s="132"/>
      <c r="F17" s="133"/>
      <c r="G17" s="134">
        <v>227</v>
      </c>
      <c r="H17" s="166">
        <f t="shared" si="0"/>
        <v>0</v>
      </c>
      <c r="I17" s="167"/>
    </row>
    <row r="18" spans="1:9" ht="23.15" customHeight="1" x14ac:dyDescent="0.35">
      <c r="A18" s="129" t="s">
        <v>120</v>
      </c>
      <c r="B18" s="130"/>
      <c r="C18" s="130"/>
      <c r="D18" s="131">
        <f>[2]Sheet11!$R$76</f>
        <v>16</v>
      </c>
      <c r="E18" s="132">
        <v>26</v>
      </c>
      <c r="F18" s="133"/>
      <c r="G18" s="134">
        <v>250</v>
      </c>
      <c r="H18" s="166">
        <f t="shared" si="0"/>
        <v>104000</v>
      </c>
      <c r="I18" s="167"/>
    </row>
    <row r="19" spans="1:9" ht="23.15" customHeight="1" x14ac:dyDescent="0.35">
      <c r="A19" s="129" t="s">
        <v>120</v>
      </c>
      <c r="B19" s="130"/>
      <c r="C19" s="130"/>
      <c r="D19" s="131">
        <f>[2]Sheet11!$R$77</f>
        <v>29</v>
      </c>
      <c r="E19" s="132">
        <v>52</v>
      </c>
      <c r="F19" s="133"/>
      <c r="G19" s="134">
        <v>250</v>
      </c>
      <c r="H19" s="166">
        <f t="shared" si="0"/>
        <v>377000</v>
      </c>
      <c r="I19" s="167"/>
    </row>
    <row r="20" spans="1:9" ht="23.15" customHeight="1" x14ac:dyDescent="0.35">
      <c r="A20" s="129" t="s">
        <v>121</v>
      </c>
      <c r="B20" s="130"/>
      <c r="C20" s="130"/>
      <c r="D20" s="131"/>
      <c r="E20" s="132">
        <v>52</v>
      </c>
      <c r="F20" s="133"/>
      <c r="G20" s="134">
        <v>500</v>
      </c>
      <c r="H20" s="166">
        <f t="shared" si="0"/>
        <v>0</v>
      </c>
      <c r="I20" s="167"/>
    </row>
    <row r="21" spans="1:9" ht="23.15" customHeight="1" x14ac:dyDescent="0.35">
      <c r="A21" s="129" t="s">
        <v>5</v>
      </c>
      <c r="B21" s="130"/>
      <c r="C21" s="130"/>
      <c r="D21" s="131">
        <f>[2]Sheet11!$R$82</f>
        <v>56</v>
      </c>
      <c r="E21" s="132">
        <v>26</v>
      </c>
      <c r="F21" s="133"/>
      <c r="G21" s="134">
        <v>324</v>
      </c>
      <c r="H21" s="166">
        <f t="shared" si="0"/>
        <v>471744</v>
      </c>
      <c r="I21" s="167"/>
    </row>
    <row r="22" spans="1:9" ht="23.15" customHeight="1" x14ac:dyDescent="0.35">
      <c r="A22" s="129" t="s">
        <v>5</v>
      </c>
      <c r="B22" s="130"/>
      <c r="C22" s="130"/>
      <c r="D22" s="131">
        <f>[2]Sheet11!$R$80</f>
        <v>75</v>
      </c>
      <c r="E22" s="132">
        <v>52</v>
      </c>
      <c r="F22" s="133"/>
      <c r="G22" s="134">
        <v>324</v>
      </c>
      <c r="H22" s="166">
        <f t="shared" si="0"/>
        <v>1263600</v>
      </c>
      <c r="I22" s="167"/>
    </row>
    <row r="23" spans="1:9" ht="23.15" customHeight="1" x14ac:dyDescent="0.35">
      <c r="A23" s="129" t="s">
        <v>5</v>
      </c>
      <c r="B23" s="130"/>
      <c r="C23" s="130"/>
      <c r="D23" s="131">
        <f>[2]Sheet11!$R$81</f>
        <v>2</v>
      </c>
      <c r="E23" s="132">
        <v>104</v>
      </c>
      <c r="F23" s="133"/>
      <c r="G23" s="134">
        <v>324</v>
      </c>
      <c r="H23" s="166">
        <f>SUM(D23*E23*G23)</f>
        <v>67392</v>
      </c>
      <c r="I23" s="167"/>
    </row>
    <row r="24" spans="1:9" ht="23.15" customHeight="1" x14ac:dyDescent="0.35">
      <c r="A24" s="129" t="s">
        <v>122</v>
      </c>
      <c r="B24" s="130"/>
      <c r="C24" s="130"/>
      <c r="D24" s="131">
        <f>[2]Sheet11!$R$83</f>
        <v>1</v>
      </c>
      <c r="E24" s="132">
        <v>52</v>
      </c>
      <c r="F24" s="133"/>
      <c r="G24" s="134">
        <v>648</v>
      </c>
      <c r="H24" s="166">
        <f t="shared" si="0"/>
        <v>33696</v>
      </c>
      <c r="I24" s="167"/>
    </row>
    <row r="25" spans="1:9" ht="23.15" customHeight="1" x14ac:dyDescent="0.35">
      <c r="A25" s="129" t="s">
        <v>123</v>
      </c>
      <c r="B25" s="130"/>
      <c r="C25" s="130"/>
      <c r="D25" s="131">
        <f>[2]Sheet11!$R$93</f>
        <v>0</v>
      </c>
      <c r="E25" s="132">
        <v>52</v>
      </c>
      <c r="F25" s="133"/>
      <c r="G25" s="134">
        <v>972</v>
      </c>
      <c r="H25" s="166">
        <f t="shared" si="0"/>
        <v>0</v>
      </c>
      <c r="I25" s="167"/>
    </row>
    <row r="26" spans="1:9" ht="23.15" customHeight="1" x14ac:dyDescent="0.35">
      <c r="A26" s="129" t="s">
        <v>124</v>
      </c>
      <c r="B26" s="130"/>
      <c r="C26" s="130"/>
      <c r="D26" s="131">
        <f>[2]Sheet11!$R$102</f>
        <v>2</v>
      </c>
      <c r="E26" s="132">
        <v>52</v>
      </c>
      <c r="F26" s="133"/>
      <c r="G26" s="134">
        <v>1296</v>
      </c>
      <c r="H26" s="166">
        <f t="shared" si="0"/>
        <v>134784</v>
      </c>
      <c r="I26" s="167"/>
    </row>
    <row r="27" spans="1:9" ht="23.15" customHeight="1" x14ac:dyDescent="0.35">
      <c r="A27" s="129" t="s">
        <v>6</v>
      </c>
      <c r="B27" s="130"/>
      <c r="C27" s="130"/>
      <c r="D27" s="131">
        <f>[2]Sheet11!$R$92</f>
        <v>24</v>
      </c>
      <c r="E27" s="132">
        <v>26</v>
      </c>
      <c r="F27" s="133"/>
      <c r="G27" s="134">
        <v>473</v>
      </c>
      <c r="H27" s="166">
        <f>SUM(D27*E27*G27)</f>
        <v>295152</v>
      </c>
      <c r="I27" s="167"/>
    </row>
    <row r="28" spans="1:9" ht="23.15" customHeight="1" x14ac:dyDescent="0.35">
      <c r="A28" s="129" t="s">
        <v>6</v>
      </c>
      <c r="B28" s="130"/>
      <c r="C28" s="130"/>
      <c r="D28" s="131">
        <f>[2]Sheet11!$R$91</f>
        <v>30</v>
      </c>
      <c r="E28" s="132">
        <v>52</v>
      </c>
      <c r="F28" s="133"/>
      <c r="G28" s="134">
        <v>473</v>
      </c>
      <c r="H28" s="166">
        <f t="shared" si="0"/>
        <v>737880</v>
      </c>
      <c r="I28" s="167"/>
    </row>
    <row r="29" spans="1:9" ht="23.15" customHeight="1" x14ac:dyDescent="0.35">
      <c r="A29" s="129" t="s">
        <v>6</v>
      </c>
      <c r="B29" s="130"/>
      <c r="C29" s="130"/>
      <c r="D29" s="131"/>
      <c r="E29" s="132">
        <v>104</v>
      </c>
      <c r="F29" s="133"/>
      <c r="G29" s="134">
        <v>473</v>
      </c>
      <c r="H29" s="166">
        <f t="shared" si="0"/>
        <v>0</v>
      </c>
      <c r="I29" s="167"/>
    </row>
    <row r="30" spans="1:9" ht="23.15" customHeight="1" x14ac:dyDescent="0.35">
      <c r="A30" s="129" t="s">
        <v>6</v>
      </c>
      <c r="B30" s="130"/>
      <c r="C30" s="130"/>
      <c r="D30" s="131"/>
      <c r="E30" s="132">
        <v>156</v>
      </c>
      <c r="F30" s="133"/>
      <c r="G30" s="134">
        <v>473</v>
      </c>
      <c r="H30" s="166">
        <f t="shared" si="0"/>
        <v>0</v>
      </c>
      <c r="I30" s="167"/>
    </row>
    <row r="31" spans="1:9" ht="23.15" customHeight="1" x14ac:dyDescent="0.35">
      <c r="A31" s="129" t="s">
        <v>6</v>
      </c>
      <c r="B31" s="130"/>
      <c r="C31" s="130"/>
      <c r="D31" s="131"/>
      <c r="E31" s="132"/>
      <c r="F31" s="133"/>
      <c r="G31" s="134">
        <v>473</v>
      </c>
      <c r="H31" s="166">
        <f t="shared" si="0"/>
        <v>0</v>
      </c>
      <c r="I31" s="167"/>
    </row>
    <row r="32" spans="1:9" ht="23.15" customHeight="1" x14ac:dyDescent="0.35">
      <c r="A32" s="129" t="s">
        <v>72</v>
      </c>
      <c r="B32" s="130"/>
      <c r="C32" s="130"/>
      <c r="D32" s="131">
        <f>[2]Sheet11!$R$84</f>
        <v>1</v>
      </c>
      <c r="E32" s="132">
        <v>52</v>
      </c>
      <c r="F32" s="133"/>
      <c r="G32" s="134">
        <v>946</v>
      </c>
      <c r="H32" s="166">
        <f t="shared" si="0"/>
        <v>49192</v>
      </c>
      <c r="I32" s="167"/>
    </row>
    <row r="33" spans="1:9" ht="23.15" customHeight="1" x14ac:dyDescent="0.35">
      <c r="A33" s="129" t="s">
        <v>125</v>
      </c>
      <c r="B33" s="130"/>
      <c r="C33" s="130"/>
      <c r="D33" s="131">
        <f>[2]Sheet11!$R$104</f>
        <v>0</v>
      </c>
      <c r="E33" s="132">
        <v>52</v>
      </c>
      <c r="F33" s="133"/>
      <c r="G33" s="134">
        <f>G31*5</f>
        <v>2365</v>
      </c>
      <c r="H33" s="166">
        <f>SUM(D33*E33*G33)</f>
        <v>0</v>
      </c>
      <c r="I33" s="167"/>
    </row>
    <row r="34" spans="1:9" ht="23.15" customHeight="1" x14ac:dyDescent="0.35">
      <c r="A34" s="129" t="s">
        <v>126</v>
      </c>
      <c r="B34" s="130"/>
      <c r="C34" s="130"/>
      <c r="D34" s="131">
        <f>[2]Sheet11!$R$109</f>
        <v>1</v>
      </c>
      <c r="E34" s="132">
        <v>52</v>
      </c>
      <c r="F34" s="133"/>
      <c r="G34" s="134">
        <f>G31*6</f>
        <v>2838</v>
      </c>
      <c r="H34" s="166">
        <f>SUM(D34*E34*G34)</f>
        <v>147576</v>
      </c>
      <c r="I34" s="167"/>
    </row>
    <row r="35" spans="1:9" ht="23.15" customHeight="1" x14ac:dyDescent="0.35">
      <c r="A35" s="129" t="s">
        <v>7</v>
      </c>
      <c r="B35" s="130"/>
      <c r="C35" s="130"/>
      <c r="D35" s="131">
        <f>[2]Sheet11!$R$101</f>
        <v>24</v>
      </c>
      <c r="E35" s="132">
        <v>26</v>
      </c>
      <c r="F35" s="133"/>
      <c r="G35" s="134">
        <v>613</v>
      </c>
      <c r="H35" s="166">
        <f>SUM(D35*E35*G35)</f>
        <v>382512</v>
      </c>
      <c r="I35" s="167"/>
    </row>
    <row r="36" spans="1:9" ht="23.15" customHeight="1" x14ac:dyDescent="0.35">
      <c r="A36" s="129" t="s">
        <v>7</v>
      </c>
      <c r="B36" s="130"/>
      <c r="C36" s="130"/>
      <c r="D36" s="131">
        <f>[2]Sheet11!$R$99</f>
        <v>43</v>
      </c>
      <c r="E36" s="132">
        <v>52</v>
      </c>
      <c r="F36" s="133"/>
      <c r="G36" s="134">
        <v>613</v>
      </c>
      <c r="H36" s="166">
        <f t="shared" si="0"/>
        <v>1370668</v>
      </c>
      <c r="I36" s="167"/>
    </row>
    <row r="37" spans="1:9" ht="23.15" customHeight="1" x14ac:dyDescent="0.35">
      <c r="A37" s="129" t="s">
        <v>7</v>
      </c>
      <c r="B37" s="130"/>
      <c r="C37" s="130"/>
      <c r="D37" s="131">
        <f>[2]Sheet11!$R$100</f>
        <v>0</v>
      </c>
      <c r="E37" s="132">
        <v>104</v>
      </c>
      <c r="F37" s="133"/>
      <c r="G37" s="134">
        <v>613</v>
      </c>
      <c r="H37" s="166">
        <f t="shared" si="0"/>
        <v>0</v>
      </c>
      <c r="I37" s="167"/>
    </row>
    <row r="38" spans="1:9" ht="23.15" customHeight="1" x14ac:dyDescent="0.35">
      <c r="A38" s="129" t="s">
        <v>7</v>
      </c>
      <c r="B38" s="130"/>
      <c r="C38" s="130"/>
      <c r="D38" s="131"/>
      <c r="E38" s="132">
        <v>156</v>
      </c>
      <c r="F38" s="133"/>
      <c r="G38" s="134">
        <v>613</v>
      </c>
      <c r="H38" s="166">
        <f t="shared" si="0"/>
        <v>0</v>
      </c>
      <c r="I38" s="167"/>
    </row>
    <row r="39" spans="1:9" ht="23.15" customHeight="1" x14ac:dyDescent="0.35">
      <c r="A39" s="129" t="s">
        <v>7</v>
      </c>
      <c r="B39" s="130"/>
      <c r="C39" s="130"/>
      <c r="D39" s="131"/>
      <c r="E39" s="132">
        <v>208</v>
      </c>
      <c r="F39" s="133"/>
      <c r="G39" s="134">
        <v>613</v>
      </c>
      <c r="H39" s="166">
        <f t="shared" si="0"/>
        <v>0</v>
      </c>
      <c r="I39" s="167"/>
    </row>
    <row r="40" spans="1:9" ht="23.15" customHeight="1" x14ac:dyDescent="0.35">
      <c r="A40" s="129" t="s">
        <v>7</v>
      </c>
      <c r="B40" s="130"/>
      <c r="C40" s="130"/>
      <c r="D40" s="131"/>
      <c r="E40" s="132">
        <v>260</v>
      </c>
      <c r="F40" s="133"/>
      <c r="G40" s="134">
        <v>613</v>
      </c>
      <c r="H40" s="166">
        <f t="shared" si="0"/>
        <v>0</v>
      </c>
      <c r="I40" s="167"/>
    </row>
    <row r="41" spans="1:9" ht="23.15" customHeight="1" x14ac:dyDescent="0.35">
      <c r="A41" s="129" t="s">
        <v>7</v>
      </c>
      <c r="B41" s="130"/>
      <c r="C41" s="130"/>
      <c r="D41" s="131"/>
      <c r="E41" s="132"/>
      <c r="F41" s="133"/>
      <c r="G41" s="134">
        <v>613</v>
      </c>
      <c r="H41" s="166">
        <f t="shared" si="0"/>
        <v>0</v>
      </c>
      <c r="I41" s="167"/>
    </row>
    <row r="42" spans="1:9" ht="23.15" customHeight="1" x14ac:dyDescent="0.35">
      <c r="A42" s="129" t="s">
        <v>127</v>
      </c>
      <c r="B42" s="130"/>
      <c r="C42" s="130"/>
      <c r="D42" s="131"/>
      <c r="E42" s="132">
        <v>52</v>
      </c>
      <c r="F42" s="133"/>
      <c r="G42" s="134">
        <v>2400</v>
      </c>
      <c r="H42" s="166">
        <f t="shared" si="0"/>
        <v>0</v>
      </c>
      <c r="I42" s="167"/>
    </row>
    <row r="43" spans="1:9" ht="23.15" customHeight="1" x14ac:dyDescent="0.35">
      <c r="A43" s="129" t="s">
        <v>128</v>
      </c>
      <c r="B43" s="130"/>
      <c r="C43" s="130"/>
      <c r="D43" s="131">
        <f>[2]Sheet11!$R$85</f>
        <v>2</v>
      </c>
      <c r="E43" s="132">
        <v>52</v>
      </c>
      <c r="F43" s="133"/>
      <c r="G43" s="134">
        <v>1226</v>
      </c>
      <c r="H43" s="166">
        <f t="shared" si="0"/>
        <v>127504</v>
      </c>
      <c r="I43" s="167"/>
    </row>
    <row r="44" spans="1:9" ht="23.15" customHeight="1" x14ac:dyDescent="0.35">
      <c r="A44" s="129" t="s">
        <v>128</v>
      </c>
      <c r="B44" s="130"/>
      <c r="C44" s="130"/>
      <c r="D44" s="131"/>
      <c r="E44" s="132">
        <v>156</v>
      </c>
      <c r="F44" s="133"/>
      <c r="G44" s="134">
        <v>1226</v>
      </c>
      <c r="H44" s="166">
        <f t="shared" si="0"/>
        <v>0</v>
      </c>
      <c r="I44" s="167"/>
    </row>
    <row r="45" spans="1:9" ht="23.15" customHeight="1" x14ac:dyDescent="0.35">
      <c r="A45" s="136" t="s">
        <v>128</v>
      </c>
      <c r="B45" s="137"/>
      <c r="C45" s="137"/>
      <c r="D45" s="138"/>
      <c r="E45" s="139"/>
      <c r="F45" s="99"/>
      <c r="G45" s="135">
        <v>1226</v>
      </c>
      <c r="H45" s="166">
        <f t="shared" si="0"/>
        <v>0</v>
      </c>
      <c r="I45" s="167"/>
    </row>
    <row r="46" spans="1:9" ht="23.15" customHeight="1" x14ac:dyDescent="0.35">
      <c r="A46" s="129" t="s">
        <v>129</v>
      </c>
      <c r="B46" s="130"/>
      <c r="C46" s="130"/>
      <c r="D46" s="131">
        <f>[2]Sheet11!$R$115</f>
        <v>1</v>
      </c>
      <c r="E46" s="132">
        <v>52</v>
      </c>
      <c r="F46" s="133"/>
      <c r="G46" s="134">
        <v>5517</v>
      </c>
      <c r="H46" s="166">
        <f t="shared" si="0"/>
        <v>286884</v>
      </c>
      <c r="I46" s="167"/>
    </row>
    <row r="47" spans="1:9" ht="23.15" customHeight="1" x14ac:dyDescent="0.35">
      <c r="A47" s="129" t="s">
        <v>8</v>
      </c>
      <c r="B47" s="130"/>
      <c r="C47" s="130"/>
      <c r="D47" s="131">
        <f>[2]Sheet11!$R$108</f>
        <v>7</v>
      </c>
      <c r="E47" s="132">
        <v>26</v>
      </c>
      <c r="F47" s="133"/>
      <c r="G47" s="134">
        <v>840</v>
      </c>
      <c r="H47" s="166">
        <f>SUM(D47*E47*G47)</f>
        <v>152880</v>
      </c>
      <c r="I47" s="167"/>
    </row>
    <row r="48" spans="1:9" ht="23.15" customHeight="1" x14ac:dyDescent="0.35">
      <c r="A48" s="129" t="s">
        <v>8</v>
      </c>
      <c r="B48" s="130"/>
      <c r="C48" s="130"/>
      <c r="D48" s="131">
        <f>[2]Sheet11!$R$106</f>
        <v>28</v>
      </c>
      <c r="E48" s="132">
        <v>52</v>
      </c>
      <c r="F48" s="133"/>
      <c r="G48" s="134">
        <v>840</v>
      </c>
      <c r="H48" s="166">
        <f t="shared" si="0"/>
        <v>1223040</v>
      </c>
      <c r="I48" s="167"/>
    </row>
    <row r="49" spans="1:9" ht="23.15" customHeight="1" x14ac:dyDescent="0.35">
      <c r="A49" s="129" t="s">
        <v>8</v>
      </c>
      <c r="B49" s="130"/>
      <c r="C49" s="130"/>
      <c r="D49" s="131">
        <f>[2]Sheet11!$R$107</f>
        <v>2</v>
      </c>
      <c r="E49" s="132">
        <v>104</v>
      </c>
      <c r="F49" s="133"/>
      <c r="G49" s="134">
        <v>840</v>
      </c>
      <c r="H49" s="166">
        <f t="shared" si="0"/>
        <v>174720</v>
      </c>
      <c r="I49" s="167"/>
    </row>
    <row r="50" spans="1:9" ht="23.15" customHeight="1" x14ac:dyDescent="0.35">
      <c r="A50" s="129" t="s">
        <v>8</v>
      </c>
      <c r="B50" s="130"/>
      <c r="C50" s="130"/>
      <c r="D50" s="131"/>
      <c r="E50" s="132">
        <v>156</v>
      </c>
      <c r="F50" s="133"/>
      <c r="G50" s="134">
        <v>840</v>
      </c>
      <c r="H50" s="166">
        <f t="shared" si="0"/>
        <v>0</v>
      </c>
      <c r="I50" s="167"/>
    </row>
    <row r="51" spans="1:9" ht="23.15" customHeight="1" x14ac:dyDescent="0.35">
      <c r="A51" s="129" t="s">
        <v>8</v>
      </c>
      <c r="B51" s="130"/>
      <c r="C51" s="130"/>
      <c r="D51" s="131"/>
      <c r="E51" s="132">
        <v>208</v>
      </c>
      <c r="F51" s="133"/>
      <c r="G51" s="134">
        <v>840</v>
      </c>
      <c r="H51" s="166">
        <f t="shared" si="0"/>
        <v>0</v>
      </c>
      <c r="I51" s="167"/>
    </row>
    <row r="52" spans="1:9" ht="23.15" customHeight="1" x14ac:dyDescent="0.35">
      <c r="A52" s="129" t="s">
        <v>8</v>
      </c>
      <c r="B52" s="130"/>
      <c r="C52" s="130"/>
      <c r="D52" s="131"/>
      <c r="E52" s="132">
        <v>26</v>
      </c>
      <c r="F52" s="133"/>
      <c r="G52" s="134">
        <v>840</v>
      </c>
      <c r="H52" s="166">
        <f t="shared" si="0"/>
        <v>0</v>
      </c>
      <c r="I52" s="167"/>
    </row>
    <row r="53" spans="1:9" ht="23.15" customHeight="1" x14ac:dyDescent="0.35">
      <c r="A53" s="129" t="s">
        <v>130</v>
      </c>
      <c r="B53" s="130"/>
      <c r="C53" s="130"/>
      <c r="D53" s="131">
        <f>[2]Sheet11!$R$86</f>
        <v>1</v>
      </c>
      <c r="E53" s="132">
        <v>52</v>
      </c>
      <c r="F53" s="133"/>
      <c r="G53" s="134">
        <v>1680</v>
      </c>
      <c r="H53" s="166">
        <f t="shared" si="0"/>
        <v>87360</v>
      </c>
      <c r="I53" s="167"/>
    </row>
    <row r="54" spans="1:9" ht="23.15" customHeight="1" x14ac:dyDescent="0.35">
      <c r="A54" s="129" t="s">
        <v>130</v>
      </c>
      <c r="B54" s="130"/>
      <c r="C54" s="130"/>
      <c r="D54" s="131">
        <f>[2]Sheet11!$R$87</f>
        <v>1</v>
      </c>
      <c r="E54" s="132">
        <v>104</v>
      </c>
      <c r="F54" s="133"/>
      <c r="G54" s="134">
        <v>1680</v>
      </c>
      <c r="H54" s="166">
        <f t="shared" si="0"/>
        <v>174720</v>
      </c>
      <c r="I54" s="167"/>
    </row>
    <row r="55" spans="1:9" ht="23.15" customHeight="1" x14ac:dyDescent="0.35">
      <c r="A55" s="129" t="s">
        <v>131</v>
      </c>
      <c r="B55" s="130"/>
      <c r="C55" s="130"/>
      <c r="D55" s="131">
        <f>[2]Sheet11!$R$96</f>
        <v>1</v>
      </c>
      <c r="E55" s="132">
        <v>52</v>
      </c>
      <c r="F55" s="133"/>
      <c r="G55" s="134">
        <v>2520</v>
      </c>
      <c r="H55" s="166">
        <f t="shared" si="0"/>
        <v>131040</v>
      </c>
      <c r="I55" s="167"/>
    </row>
    <row r="56" spans="1:9" ht="23.15" customHeight="1" x14ac:dyDescent="0.35">
      <c r="A56" s="129" t="s">
        <v>132</v>
      </c>
      <c r="B56" s="130"/>
      <c r="C56" s="130"/>
      <c r="D56" s="131"/>
      <c r="E56" s="132"/>
      <c r="F56" s="133"/>
      <c r="G56" s="134">
        <v>4200</v>
      </c>
      <c r="H56" s="166">
        <f t="shared" si="0"/>
        <v>0</v>
      </c>
      <c r="I56" s="167"/>
    </row>
    <row r="57" spans="1:9" ht="23.15" customHeight="1" x14ac:dyDescent="0.35">
      <c r="A57" s="129" t="s">
        <v>9</v>
      </c>
      <c r="B57" s="130"/>
      <c r="C57" s="130"/>
      <c r="D57" s="131">
        <f>[2]Sheet11!$R$114</f>
        <v>2</v>
      </c>
      <c r="E57" s="132">
        <v>26</v>
      </c>
      <c r="F57" s="133"/>
      <c r="G57" s="134">
        <v>980</v>
      </c>
      <c r="H57" s="166">
        <f>SUM(D57*E57*G57)</f>
        <v>50960</v>
      </c>
      <c r="I57" s="167"/>
    </row>
    <row r="58" spans="1:9" ht="23.15" customHeight="1" x14ac:dyDescent="0.35">
      <c r="A58" s="129" t="s">
        <v>9</v>
      </c>
      <c r="B58" s="130"/>
      <c r="C58" s="130"/>
      <c r="D58" s="131">
        <f>[2]Sheet11!$R$111</f>
        <v>32</v>
      </c>
      <c r="E58" s="132">
        <v>52</v>
      </c>
      <c r="F58" s="133"/>
      <c r="G58" s="134">
        <v>980</v>
      </c>
      <c r="H58" s="166">
        <f t="shared" si="0"/>
        <v>1630720</v>
      </c>
      <c r="I58" s="167"/>
    </row>
    <row r="59" spans="1:9" ht="23.15" customHeight="1" x14ac:dyDescent="0.35">
      <c r="A59" s="129" t="s">
        <v>9</v>
      </c>
      <c r="B59" s="130"/>
      <c r="C59" s="130"/>
      <c r="D59" s="131">
        <f>[2]Sheet11!$R$112</f>
        <v>3</v>
      </c>
      <c r="E59" s="132">
        <v>104</v>
      </c>
      <c r="F59" s="133"/>
      <c r="G59" s="134">
        <v>980</v>
      </c>
      <c r="H59" s="166">
        <f t="shared" si="0"/>
        <v>305760</v>
      </c>
      <c r="I59" s="167"/>
    </row>
    <row r="60" spans="1:9" ht="23.15" customHeight="1" x14ac:dyDescent="0.35">
      <c r="A60" s="129" t="s">
        <v>9</v>
      </c>
      <c r="B60" s="130"/>
      <c r="C60" s="130"/>
      <c r="D60" s="131">
        <f>[2]Sheet11!$R$113</f>
        <v>3</v>
      </c>
      <c r="E60" s="132">
        <v>156</v>
      </c>
      <c r="F60" s="133"/>
      <c r="G60" s="134">
        <v>980</v>
      </c>
      <c r="H60" s="166">
        <f t="shared" si="0"/>
        <v>458640</v>
      </c>
      <c r="I60" s="167"/>
    </row>
    <row r="61" spans="1:9" ht="23.15" customHeight="1" x14ac:dyDescent="0.35">
      <c r="A61" s="129" t="s">
        <v>9</v>
      </c>
      <c r="B61" s="130"/>
      <c r="C61" s="130"/>
      <c r="D61" s="131"/>
      <c r="E61" s="132"/>
      <c r="F61" s="133"/>
      <c r="G61" s="134">
        <v>980</v>
      </c>
      <c r="H61" s="166">
        <f t="shared" si="0"/>
        <v>0</v>
      </c>
      <c r="I61" s="167"/>
    </row>
    <row r="62" spans="1:9" ht="23.15" customHeight="1" x14ac:dyDescent="0.35">
      <c r="A62" s="129" t="s">
        <v>133</v>
      </c>
      <c r="B62" s="130"/>
      <c r="C62" s="130"/>
      <c r="D62" s="131">
        <f>[2]Sheet11!$R$88</f>
        <v>4</v>
      </c>
      <c r="E62" s="132">
        <v>52</v>
      </c>
      <c r="F62" s="133"/>
      <c r="G62" s="134">
        <v>1960</v>
      </c>
      <c r="H62" s="166">
        <f t="shared" si="0"/>
        <v>407680</v>
      </c>
      <c r="I62" s="167"/>
    </row>
    <row r="63" spans="1:9" ht="23.15" customHeight="1" x14ac:dyDescent="0.35">
      <c r="A63" s="129" t="s">
        <v>133</v>
      </c>
      <c r="B63" s="130"/>
      <c r="C63" s="130"/>
      <c r="D63" s="131">
        <f>[2]Sheet11!$R$89</f>
        <v>1</v>
      </c>
      <c r="E63" s="132">
        <v>104</v>
      </c>
      <c r="F63" s="133"/>
      <c r="G63" s="134">
        <v>1960</v>
      </c>
      <c r="H63" s="166">
        <f t="shared" si="0"/>
        <v>203840</v>
      </c>
      <c r="I63" s="167"/>
    </row>
    <row r="64" spans="1:9" ht="23.15" customHeight="1" x14ac:dyDescent="0.35">
      <c r="A64" s="129" t="s">
        <v>133</v>
      </c>
      <c r="B64" s="130"/>
      <c r="C64" s="130"/>
      <c r="D64" s="131"/>
      <c r="E64" s="132">
        <v>156</v>
      </c>
      <c r="F64" s="133"/>
      <c r="G64" s="134">
        <v>1960</v>
      </c>
      <c r="H64" s="166">
        <f>SUM(D64*E64*G64)</f>
        <v>0</v>
      </c>
      <c r="I64" s="167"/>
    </row>
    <row r="65" spans="1:9" ht="23.15" customHeight="1" x14ac:dyDescent="0.35">
      <c r="A65" s="129" t="s">
        <v>134</v>
      </c>
      <c r="B65" s="130"/>
      <c r="C65" s="130"/>
      <c r="D65" s="131">
        <f>[2]Sheet11!$R$97</f>
        <v>3</v>
      </c>
      <c r="E65" s="132">
        <v>52</v>
      </c>
      <c r="F65" s="133"/>
      <c r="G65" s="134">
        <f>G61*3</f>
        <v>2940</v>
      </c>
      <c r="H65" s="166">
        <f>SUM(D65*E65*G65)</f>
        <v>458640</v>
      </c>
      <c r="I65" s="167"/>
    </row>
    <row r="66" spans="1:9" ht="23.15" customHeight="1" x14ac:dyDescent="0.35">
      <c r="A66" s="136" t="s">
        <v>135</v>
      </c>
      <c r="B66" s="137"/>
      <c r="C66" s="137"/>
      <c r="D66" s="138"/>
      <c r="E66" s="139"/>
      <c r="F66" s="99"/>
      <c r="G66" s="103">
        <v>34</v>
      </c>
      <c r="H66" s="166">
        <f t="shared" si="0"/>
        <v>0</v>
      </c>
      <c r="I66" s="167"/>
    </row>
    <row r="67" spans="1:9" ht="23.15" customHeight="1" x14ac:dyDescent="0.35">
      <c r="A67" s="136" t="s">
        <v>136</v>
      </c>
      <c r="B67" s="137"/>
      <c r="C67" s="137"/>
      <c r="D67" s="138"/>
      <c r="E67" s="139"/>
      <c r="F67" s="99"/>
      <c r="G67" s="103">
        <v>34</v>
      </c>
      <c r="H67" s="166">
        <f t="shared" si="0"/>
        <v>0</v>
      </c>
      <c r="I67" s="167"/>
    </row>
    <row r="68" spans="1:9" ht="23.15" customHeight="1" x14ac:dyDescent="0.35">
      <c r="A68" s="170" t="s">
        <v>18</v>
      </c>
      <c r="B68" s="171"/>
      <c r="C68" s="137"/>
      <c r="D68" s="138">
        <f>[2]Sheet11!$R$94</f>
        <v>14</v>
      </c>
      <c r="E68" s="139">
        <v>52</v>
      </c>
      <c r="F68" s="99"/>
      <c r="G68" s="103">
        <v>136</v>
      </c>
      <c r="H68" s="166">
        <f t="shared" si="0"/>
        <v>99008</v>
      </c>
      <c r="I68" s="167"/>
    </row>
    <row r="69" spans="1:9" ht="23.15" customHeight="1" x14ac:dyDescent="0.35">
      <c r="A69" s="170" t="s">
        <v>18</v>
      </c>
      <c r="B69" s="171"/>
      <c r="C69" s="137"/>
      <c r="D69" s="138">
        <f>[2]Sheet11!$R$95</f>
        <v>1</v>
      </c>
      <c r="E69" s="139">
        <v>26</v>
      </c>
      <c r="F69" s="99"/>
      <c r="G69" s="103">
        <v>136</v>
      </c>
      <c r="H69" s="166">
        <f>SUM(D69*E69*G69)</f>
        <v>3536</v>
      </c>
      <c r="I69" s="167"/>
    </row>
    <row r="70" spans="1:9" ht="23.15" customHeight="1" x14ac:dyDescent="0.35">
      <c r="A70" s="170" t="s">
        <v>19</v>
      </c>
      <c r="B70" s="171"/>
      <c r="C70" s="137"/>
      <c r="D70" s="138">
        <f>[2]Sheet11!$R$78</f>
        <v>3</v>
      </c>
      <c r="E70" s="139">
        <v>52</v>
      </c>
      <c r="F70" s="99"/>
      <c r="G70" s="103">
        <v>51</v>
      </c>
      <c r="H70" s="166">
        <f t="shared" si="0"/>
        <v>7956</v>
      </c>
      <c r="I70" s="167"/>
    </row>
    <row r="71" spans="1:9" ht="23.15" customHeight="1" x14ac:dyDescent="0.35">
      <c r="A71" s="136" t="s">
        <v>16</v>
      </c>
      <c r="B71" s="137"/>
      <c r="C71" s="137"/>
      <c r="D71" s="138">
        <f>[2]Sheet11!$R$79</f>
        <v>29</v>
      </c>
      <c r="E71" s="139">
        <v>52</v>
      </c>
      <c r="F71" s="99"/>
      <c r="G71" s="103">
        <v>77</v>
      </c>
      <c r="H71" s="166">
        <f t="shared" si="0"/>
        <v>116116</v>
      </c>
      <c r="I71" s="167"/>
    </row>
    <row r="72" spans="1:9" ht="23.15" customHeight="1" x14ac:dyDescent="0.35">
      <c r="A72" s="136" t="s">
        <v>110</v>
      </c>
      <c r="B72" s="137"/>
      <c r="C72" s="137"/>
      <c r="D72" s="138">
        <f>[2]Sheet11!$R$90</f>
        <v>5</v>
      </c>
      <c r="E72" s="139">
        <v>52</v>
      </c>
      <c r="F72" s="99"/>
      <c r="G72" s="103">
        <v>154</v>
      </c>
      <c r="H72" s="166">
        <f t="shared" si="0"/>
        <v>40040</v>
      </c>
      <c r="I72" s="167"/>
    </row>
    <row r="73" spans="1:9" ht="23.15" customHeight="1" x14ac:dyDescent="0.35">
      <c r="A73" s="136" t="s">
        <v>111</v>
      </c>
      <c r="B73" s="137"/>
      <c r="C73" s="137"/>
      <c r="D73" s="138">
        <f>[2]Sheet11!$R$98</f>
        <v>2</v>
      </c>
      <c r="E73" s="139">
        <v>52</v>
      </c>
      <c r="F73" s="99"/>
      <c r="G73" s="103">
        <v>231</v>
      </c>
      <c r="H73" s="166">
        <f t="shared" si="0"/>
        <v>24024</v>
      </c>
      <c r="I73" s="167"/>
    </row>
    <row r="74" spans="1:9" ht="23.15" customHeight="1" x14ac:dyDescent="0.35">
      <c r="A74" s="136" t="s">
        <v>112</v>
      </c>
      <c r="B74" s="137"/>
      <c r="C74" s="137"/>
      <c r="D74" s="138">
        <f>[2]Sheet11!$R$103</f>
        <v>1</v>
      </c>
      <c r="E74" s="139">
        <v>52</v>
      </c>
      <c r="F74" s="99"/>
      <c r="G74" s="103">
        <v>308</v>
      </c>
      <c r="H74" s="166">
        <f t="shared" si="0"/>
        <v>16016</v>
      </c>
      <c r="I74" s="167"/>
    </row>
    <row r="75" spans="1:9" ht="23.15" customHeight="1" x14ac:dyDescent="0.35">
      <c r="A75" s="136" t="s">
        <v>137</v>
      </c>
      <c r="B75" s="137"/>
      <c r="C75" s="137"/>
      <c r="D75" s="138">
        <f>[2]Sheet11!$R$105</f>
        <v>1</v>
      </c>
      <c r="E75" s="139">
        <v>52</v>
      </c>
      <c r="F75" s="99"/>
      <c r="G75" s="103">
        <v>385</v>
      </c>
      <c r="H75" s="166">
        <f t="shared" si="0"/>
        <v>20020</v>
      </c>
      <c r="I75" s="167"/>
    </row>
    <row r="76" spans="1:9" ht="23.15" customHeight="1" x14ac:dyDescent="0.35">
      <c r="A76" s="136" t="s">
        <v>138</v>
      </c>
      <c r="B76" s="137"/>
      <c r="C76" s="137"/>
      <c r="D76" s="138">
        <f>[2]Sheet11!$R$110</f>
        <v>1</v>
      </c>
      <c r="E76" s="139">
        <v>52</v>
      </c>
      <c r="F76" s="99"/>
      <c r="G76" s="103">
        <v>462</v>
      </c>
      <c r="H76" s="166">
        <f>SUM(D76*E76*G76)</f>
        <v>24024</v>
      </c>
      <c r="I76" s="167"/>
    </row>
    <row r="77" spans="1:9" ht="23.15" customHeight="1" x14ac:dyDescent="0.35">
      <c r="A77" s="136" t="s">
        <v>139</v>
      </c>
      <c r="B77" s="137"/>
      <c r="C77" s="137"/>
      <c r="D77" s="138">
        <v>0</v>
      </c>
      <c r="E77" s="139">
        <v>52</v>
      </c>
      <c r="F77" s="99"/>
      <c r="G77" s="103">
        <v>616</v>
      </c>
      <c r="H77" s="166">
        <f>SUM(D77*E77*G77)</f>
        <v>0</v>
      </c>
      <c r="I77" s="167"/>
    </row>
    <row r="78" spans="1:9" ht="23.15" customHeight="1" x14ac:dyDescent="0.35">
      <c r="A78" s="136" t="s">
        <v>140</v>
      </c>
      <c r="B78" s="137"/>
      <c r="C78" s="137"/>
      <c r="D78" s="138">
        <f>[2]Sheet11!$R$116</f>
        <v>1</v>
      </c>
      <c r="E78" s="139">
        <v>52</v>
      </c>
      <c r="F78" s="99"/>
      <c r="G78" s="103">
        <v>693</v>
      </c>
      <c r="H78" s="166">
        <f>SUM(D78*E78*G78)</f>
        <v>36036</v>
      </c>
      <c r="I78" s="167"/>
    </row>
    <row r="79" spans="1:9" ht="23.15" customHeight="1" x14ac:dyDescent="0.35">
      <c r="A79" s="136" t="s">
        <v>71</v>
      </c>
      <c r="B79" s="137"/>
      <c r="C79" s="137"/>
      <c r="D79" s="138"/>
      <c r="E79" s="139"/>
      <c r="F79" s="99"/>
      <c r="G79" s="103">
        <v>1200</v>
      </c>
      <c r="H79" s="166">
        <f>E79*G79</f>
        <v>0</v>
      </c>
      <c r="I79" s="167"/>
    </row>
    <row r="80" spans="1:9" ht="23.15" customHeight="1" x14ac:dyDescent="0.35">
      <c r="A80" s="170" t="s">
        <v>141</v>
      </c>
      <c r="B80" s="171"/>
      <c r="C80" s="137"/>
      <c r="D80" s="138"/>
      <c r="E80" s="139">
        <f>[3]Sheet3!$N$8</f>
        <v>7</v>
      </c>
      <c r="F80" s="99"/>
      <c r="G80" s="103">
        <v>1800</v>
      </c>
      <c r="H80" s="166">
        <f>SUM(D80*E80*G80)</f>
        <v>0</v>
      </c>
      <c r="I80" s="167"/>
    </row>
    <row r="81" spans="1:9" ht="23.15" customHeight="1" x14ac:dyDescent="0.35">
      <c r="A81" s="136" t="s">
        <v>10</v>
      </c>
      <c r="B81" s="137"/>
      <c r="C81" s="137"/>
      <c r="D81" s="138"/>
      <c r="E81" s="139">
        <f>[3]Sheet3!$N$9</f>
        <v>348</v>
      </c>
      <c r="F81" s="99"/>
      <c r="G81" s="103">
        <v>2400</v>
      </c>
      <c r="H81" s="166">
        <f>E81*G81</f>
        <v>835200</v>
      </c>
      <c r="I81" s="167"/>
    </row>
    <row r="82" spans="1:9" ht="23.15" customHeight="1" x14ac:dyDescent="0.35">
      <c r="A82" s="136" t="s">
        <v>74</v>
      </c>
      <c r="B82" s="137"/>
      <c r="C82" s="137"/>
      <c r="D82" s="138"/>
      <c r="E82" s="139"/>
      <c r="F82" s="99"/>
      <c r="G82" s="103">
        <v>3000</v>
      </c>
      <c r="H82" s="166">
        <f>SUM(D82*E82*G82)</f>
        <v>0</v>
      </c>
      <c r="I82" s="167"/>
    </row>
    <row r="83" spans="1:9" ht="23.15" customHeight="1" x14ac:dyDescent="0.35">
      <c r="A83" s="136" t="s">
        <v>11</v>
      </c>
      <c r="B83" s="137"/>
      <c r="C83" s="137"/>
      <c r="D83" s="138"/>
      <c r="E83" s="139">
        <f>[3]Sheet3!$N$12</f>
        <v>1671</v>
      </c>
      <c r="F83" s="99"/>
      <c r="G83" s="103">
        <v>3600</v>
      </c>
      <c r="H83" s="166">
        <f>E83*G83</f>
        <v>6015600</v>
      </c>
      <c r="I83" s="167"/>
    </row>
    <row r="84" spans="1:9" ht="23.15" customHeight="1" x14ac:dyDescent="0.35">
      <c r="A84" s="170" t="s">
        <v>29</v>
      </c>
      <c r="B84" s="171"/>
      <c r="C84" s="137"/>
      <c r="D84" s="138"/>
      <c r="E84" s="139">
        <f>[3]Sheet3!$N$14</f>
        <v>117</v>
      </c>
      <c r="F84" s="99"/>
      <c r="G84" s="103">
        <v>4800</v>
      </c>
      <c r="H84" s="166">
        <f>E84*G84</f>
        <v>561600</v>
      </c>
      <c r="I84" s="167"/>
    </row>
    <row r="85" spans="1:9" ht="23.15" customHeight="1" x14ac:dyDescent="0.35">
      <c r="A85" s="170" t="s">
        <v>30</v>
      </c>
      <c r="B85" s="171"/>
      <c r="C85" s="137"/>
      <c r="D85" s="138"/>
      <c r="E85" s="139"/>
      <c r="F85" s="99"/>
      <c r="G85" s="103">
        <v>6000</v>
      </c>
      <c r="H85" s="166">
        <f>SUM(D85*E85*G85)</f>
        <v>0</v>
      </c>
      <c r="I85" s="167"/>
    </row>
    <row r="86" spans="1:9" ht="23.15" customHeight="1" x14ac:dyDescent="0.35">
      <c r="A86" s="136" t="s">
        <v>142</v>
      </c>
      <c r="B86" s="137"/>
      <c r="C86" s="137"/>
      <c r="D86" s="138"/>
      <c r="E86" s="139">
        <f>[3]Sheet3!$N$7</f>
        <v>2</v>
      </c>
      <c r="F86" s="99"/>
      <c r="G86" s="103">
        <v>5400</v>
      </c>
      <c r="H86" s="166">
        <f>E86*G86</f>
        <v>10800</v>
      </c>
      <c r="I86" s="167"/>
    </row>
    <row r="87" spans="1:9" ht="23.15" customHeight="1" x14ac:dyDescent="0.35">
      <c r="A87" s="136" t="s">
        <v>95</v>
      </c>
      <c r="B87" s="137"/>
      <c r="C87" s="137"/>
      <c r="D87" s="138"/>
      <c r="E87" s="139">
        <f>[3]Sheet3!$N$10</f>
        <v>36</v>
      </c>
      <c r="F87" s="99"/>
      <c r="G87" s="103">
        <v>7200</v>
      </c>
      <c r="H87" s="166">
        <f>E87*G87</f>
        <v>259200</v>
      </c>
      <c r="I87" s="167"/>
    </row>
    <row r="88" spans="1:9" ht="23.15" customHeight="1" x14ac:dyDescent="0.35">
      <c r="A88" s="136" t="s">
        <v>12</v>
      </c>
      <c r="B88" s="137"/>
      <c r="C88" s="137"/>
      <c r="D88" s="138"/>
      <c r="E88" s="139">
        <f>[3]Sheet3!$N$10</f>
        <v>36</v>
      </c>
      <c r="F88" s="99"/>
      <c r="G88" s="103">
        <v>9000</v>
      </c>
      <c r="H88" s="166">
        <f>SUM(D88*E88*G88)</f>
        <v>0</v>
      </c>
      <c r="I88" s="167"/>
    </row>
    <row r="89" spans="1:9" ht="23.15" customHeight="1" x14ac:dyDescent="0.35">
      <c r="A89" s="136" t="s">
        <v>13</v>
      </c>
      <c r="B89" s="137"/>
      <c r="C89" s="137"/>
      <c r="D89" s="138"/>
      <c r="E89" s="139">
        <f>[3]Sheet3!$N$11</f>
        <v>93</v>
      </c>
      <c r="F89" s="99"/>
      <c r="G89" s="103">
        <v>10800</v>
      </c>
      <c r="H89" s="166">
        <f>E89*G89</f>
        <v>1004400</v>
      </c>
      <c r="I89" s="167"/>
    </row>
    <row r="90" spans="1:9" ht="23.15" customHeight="1" thickBot="1" x14ac:dyDescent="0.4">
      <c r="A90" s="168" t="s">
        <v>20</v>
      </c>
      <c r="B90" s="169"/>
      <c r="C90" s="169"/>
      <c r="D90" s="140"/>
      <c r="E90" s="141">
        <f>[3]Sheet3!$N$13</f>
        <v>12</v>
      </c>
      <c r="F90" s="105"/>
      <c r="G90" s="106">
        <v>14400</v>
      </c>
      <c r="H90" s="166">
        <f>E90*G90</f>
        <v>172800</v>
      </c>
      <c r="I90" s="167"/>
    </row>
    <row r="91" spans="1:9" ht="27.75" customHeight="1" thickTop="1" thickBot="1" x14ac:dyDescent="0.4">
      <c r="A91" s="142" t="s">
        <v>14</v>
      </c>
      <c r="B91" s="108"/>
      <c r="C91" s="108"/>
      <c r="D91" s="143">
        <f>SUM(D12:D90)</f>
        <v>521</v>
      </c>
      <c r="E91" s="144">
        <f>SUM(E12:E90)</f>
        <v>6508</v>
      </c>
      <c r="F91" s="145"/>
      <c r="G91" s="145">
        <f>SUM(G12:G90)</f>
        <v>132285</v>
      </c>
      <c r="H91" s="146"/>
      <c r="I91" s="147"/>
    </row>
    <row r="92" spans="1:9" ht="15" customHeight="1" thickTop="1" x14ac:dyDescent="0.25">
      <c r="G92" s="115"/>
      <c r="H92" s="162">
        <f>SUM(H12:H90)</f>
        <v>21047360</v>
      </c>
      <c r="I92" s="163"/>
    </row>
    <row r="93" spans="1:9" ht="15" customHeight="1" thickBot="1" x14ac:dyDescent="0.3">
      <c r="B93" s="160" t="s">
        <v>113</v>
      </c>
      <c r="C93" s="160"/>
      <c r="D93" s="160"/>
      <c r="E93" s="160"/>
      <c r="F93" s="160"/>
      <c r="G93" s="148" t="s">
        <v>143</v>
      </c>
      <c r="H93" s="164"/>
      <c r="I93" s="165"/>
    </row>
    <row r="94" spans="1:9" ht="7.5" customHeight="1" thickTop="1" x14ac:dyDescent="0.25">
      <c r="G94" s="115"/>
    </row>
    <row r="95" spans="1:9" x14ac:dyDescent="0.25">
      <c r="G95" s="115"/>
    </row>
    <row r="96" spans="1:9" x14ac:dyDescent="0.25">
      <c r="A96" s="161" t="s">
        <v>115</v>
      </c>
      <c r="B96" s="161"/>
      <c r="C96" s="161"/>
      <c r="D96" s="161"/>
      <c r="E96" s="161"/>
      <c r="G96" s="115"/>
    </row>
    <row r="97" spans="7:7" x14ac:dyDescent="0.25">
      <c r="G97" s="115"/>
    </row>
    <row r="98" spans="7:7" x14ac:dyDescent="0.25">
      <c r="G98" s="115"/>
    </row>
    <row r="99" spans="7:7" x14ac:dyDescent="0.25">
      <c r="G99" s="115"/>
    </row>
    <row r="100" spans="7:7" x14ac:dyDescent="0.25">
      <c r="G100" s="115"/>
    </row>
  </sheetData>
  <mergeCells count="94">
    <mergeCell ref="A7:I7"/>
    <mergeCell ref="A11:C11"/>
    <mergeCell ref="H11:I11"/>
    <mergeCell ref="H12:I12"/>
    <mergeCell ref="H13:I13"/>
    <mergeCell ref="H14:I14"/>
    <mergeCell ref="H15:I15"/>
    <mergeCell ref="A16:C16"/>
    <mergeCell ref="H16:I16"/>
    <mergeCell ref="A17:C17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H40:I40"/>
    <mergeCell ref="H41:I41"/>
    <mergeCell ref="H42:I42"/>
    <mergeCell ref="H43:I43"/>
    <mergeCell ref="H44:I44"/>
    <mergeCell ref="H45:I45"/>
    <mergeCell ref="H46:I46"/>
    <mergeCell ref="H47:I47"/>
    <mergeCell ref="H48:I48"/>
    <mergeCell ref="H49:I49"/>
    <mergeCell ref="H50:I50"/>
    <mergeCell ref="H51:I51"/>
    <mergeCell ref="H52:I52"/>
    <mergeCell ref="H53:I53"/>
    <mergeCell ref="H54:I54"/>
    <mergeCell ref="H55:I55"/>
    <mergeCell ref="H56:I56"/>
    <mergeCell ref="H57:I57"/>
    <mergeCell ref="H58:I58"/>
    <mergeCell ref="H59:I59"/>
    <mergeCell ref="H60:I60"/>
    <mergeCell ref="H61:I61"/>
    <mergeCell ref="H62:I62"/>
    <mergeCell ref="H63:I63"/>
    <mergeCell ref="H64:I64"/>
    <mergeCell ref="H65:I65"/>
    <mergeCell ref="H66:I66"/>
    <mergeCell ref="H67:I67"/>
    <mergeCell ref="A68:B68"/>
    <mergeCell ref="H68:I68"/>
    <mergeCell ref="A69:B69"/>
    <mergeCell ref="H69:I69"/>
    <mergeCell ref="A70:B70"/>
    <mergeCell ref="H70:I70"/>
    <mergeCell ref="H71:I71"/>
    <mergeCell ref="H72:I72"/>
    <mergeCell ref="H73:I73"/>
    <mergeCell ref="H74:I74"/>
    <mergeCell ref="H75:I75"/>
    <mergeCell ref="H76:I76"/>
    <mergeCell ref="H77:I77"/>
    <mergeCell ref="H78:I78"/>
    <mergeCell ref="H79:I79"/>
    <mergeCell ref="A80:B80"/>
    <mergeCell ref="H80:I80"/>
    <mergeCell ref="H81:I81"/>
    <mergeCell ref="H82:I82"/>
    <mergeCell ref="H83:I83"/>
    <mergeCell ref="A84:B84"/>
    <mergeCell ref="H84:I84"/>
    <mergeCell ref="A85:B85"/>
    <mergeCell ref="H85:I85"/>
    <mergeCell ref="H92:I93"/>
    <mergeCell ref="B93:F93"/>
    <mergeCell ref="A96:E96"/>
    <mergeCell ref="H86:I86"/>
    <mergeCell ref="H87:I87"/>
    <mergeCell ref="H88:I88"/>
    <mergeCell ref="H89:I89"/>
    <mergeCell ref="A90:C90"/>
    <mergeCell ref="H90:I90"/>
  </mergeCells>
  <pageMargins left="0.7" right="0.7" top="0.75" bottom="0.75" header="0.3" footer="0.3"/>
  <pageSetup orientation="portrait" horizontalDpi="90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workbookViewId="0">
      <selection activeCell="H22" sqref="H22"/>
    </sheetView>
  </sheetViews>
  <sheetFormatPr defaultRowHeight="12.5" x14ac:dyDescent="0.25"/>
  <cols>
    <col min="1" max="1" width="17.453125" bestFit="1" customWidth="1"/>
  </cols>
  <sheetData>
    <row r="1" spans="1:3" x14ac:dyDescent="0.25">
      <c r="A1" t="s">
        <v>75</v>
      </c>
    </row>
    <row r="2" spans="1:3" x14ac:dyDescent="0.25">
      <c r="A2" s="1">
        <v>12</v>
      </c>
      <c r="B2" t="s">
        <v>67</v>
      </c>
      <c r="C2" s="80"/>
    </row>
    <row r="3" spans="1:3" x14ac:dyDescent="0.25">
      <c r="A3" s="1">
        <v>26</v>
      </c>
      <c r="B3" t="s">
        <v>65</v>
      </c>
      <c r="C3" s="80"/>
    </row>
    <row r="4" spans="1:3" x14ac:dyDescent="0.25">
      <c r="A4" s="1">
        <v>52</v>
      </c>
      <c r="B4" t="s">
        <v>66</v>
      </c>
      <c r="C4" s="80"/>
    </row>
    <row r="5" spans="1:3" x14ac:dyDescent="0.25">
      <c r="A5" s="1">
        <v>0</v>
      </c>
      <c r="B5" t="s">
        <v>76</v>
      </c>
      <c r="C5" s="80"/>
    </row>
    <row r="6" spans="1:3" x14ac:dyDescent="0.25">
      <c r="A6" s="1">
        <v>104</v>
      </c>
      <c r="B6" t="s">
        <v>78</v>
      </c>
      <c r="C6" s="80"/>
    </row>
    <row r="7" spans="1:3" x14ac:dyDescent="0.25">
      <c r="A7" s="1">
        <v>18</v>
      </c>
      <c r="B7" t="s">
        <v>76</v>
      </c>
      <c r="C7" s="80"/>
    </row>
    <row r="8" spans="1:3" x14ac:dyDescent="0.25">
      <c r="A8" s="1">
        <v>156</v>
      </c>
      <c r="B8" t="s">
        <v>79</v>
      </c>
      <c r="C8" s="80"/>
    </row>
    <row r="9" spans="1:3" x14ac:dyDescent="0.25">
      <c r="A9" s="1">
        <v>15</v>
      </c>
      <c r="B9" t="s">
        <v>76</v>
      </c>
      <c r="C9" s="80"/>
    </row>
    <row r="10" spans="1:3" x14ac:dyDescent="0.25">
      <c r="A10" s="1">
        <v>7</v>
      </c>
      <c r="B10" t="s">
        <v>76</v>
      </c>
      <c r="C10" s="80"/>
    </row>
    <row r="11" spans="1:3" x14ac:dyDescent="0.25">
      <c r="A11" s="1">
        <v>260</v>
      </c>
      <c r="C11" s="80"/>
    </row>
    <row r="12" spans="1:3" x14ac:dyDescent="0.25">
      <c r="A12" s="1">
        <v>24</v>
      </c>
      <c r="C12" s="80"/>
    </row>
    <row r="13" spans="1:3" x14ac:dyDescent="0.25">
      <c r="A13" s="2">
        <v>304</v>
      </c>
      <c r="C13" s="80"/>
    </row>
    <row r="14" spans="1:3" x14ac:dyDescent="0.25">
      <c r="A14" s="1">
        <v>2</v>
      </c>
      <c r="B14" t="s">
        <v>76</v>
      </c>
      <c r="C14" s="80"/>
    </row>
    <row r="15" spans="1:3" x14ac:dyDescent="0.25">
      <c r="A15" s="1">
        <v>988</v>
      </c>
      <c r="B15" t="s">
        <v>76</v>
      </c>
      <c r="C15" s="80"/>
    </row>
    <row r="16" spans="1:3" x14ac:dyDescent="0.25">
      <c r="A16" s="1">
        <v>93</v>
      </c>
      <c r="B16" t="s">
        <v>76</v>
      </c>
      <c r="C16" s="80"/>
    </row>
    <row r="17" spans="1:3" x14ac:dyDescent="0.25">
      <c r="A17" s="1">
        <v>14</v>
      </c>
      <c r="B17" t="s">
        <v>76</v>
      </c>
      <c r="C17" s="80"/>
    </row>
    <row r="18" spans="1:3" x14ac:dyDescent="0.25">
      <c r="A18" s="1">
        <v>1</v>
      </c>
      <c r="B18" t="s">
        <v>76</v>
      </c>
      <c r="C18" s="80"/>
    </row>
    <row r="19" spans="1:3" x14ac:dyDescent="0.25">
      <c r="A19" s="1">
        <v>80</v>
      </c>
      <c r="B19" t="s">
        <v>76</v>
      </c>
      <c r="C19" s="80"/>
    </row>
    <row r="20" spans="1:3" x14ac:dyDescent="0.25">
      <c r="A20" s="1">
        <v>6</v>
      </c>
      <c r="B20" t="s">
        <v>76</v>
      </c>
      <c r="C20" s="80"/>
    </row>
    <row r="22" spans="1:3" x14ac:dyDescent="0.25">
      <c r="B22" t="s">
        <v>67</v>
      </c>
    </row>
    <row r="23" spans="1:3" x14ac:dyDescent="0.25">
      <c r="B23" t="s">
        <v>65</v>
      </c>
    </row>
    <row r="24" spans="1:3" x14ac:dyDescent="0.25">
      <c r="B24" t="s">
        <v>66</v>
      </c>
    </row>
  </sheetData>
  <autoFilter ref="A1:A4">
    <sortState xmlns:xlrd2="http://schemas.microsoft.com/office/spreadsheetml/2017/richdata2" ref="A2:A4">
      <sortCondition ref="A1:A4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527EC303F14CE4E84300934940C9754" ma:contentTypeVersion="19" ma:contentTypeDescription="" ma:contentTypeScope="" ma:versionID="cdd89425a2496a079b8a9e6aeffd450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2025-02-14T08:00:00+00:00</OpenedDate>
    <SignificantOrder xmlns="dc463f71-b30c-4ab2-9473-d307f9d35888">false</SignificantOrder>
    <Date1 xmlns="dc463f71-b30c-4ab2-9473-d307f9d35888">2025-02-14T08:00:00+00:00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Waste Management of Washington, Inc.  </CaseCompanyNames>
    <Nickname xmlns="http://schemas.microsoft.com/sharepoint/v3" xsi:nil="true"/>
    <DocketNumber xmlns="dc463f71-b30c-4ab2-9473-d307f9d35888">250097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537D188-6C49-4E65-9124-7F7A12FF9A10}"/>
</file>

<file path=customXml/itemProps2.xml><?xml version="1.0" encoding="utf-8"?>
<ds:datastoreItem xmlns:ds="http://schemas.openxmlformats.org/officeDocument/2006/customXml" ds:itemID="{12174202-13EE-470A-B38F-0012A318EBA0}"/>
</file>

<file path=customXml/itemProps3.xml><?xml version="1.0" encoding="utf-8"?>
<ds:datastoreItem xmlns:ds="http://schemas.openxmlformats.org/officeDocument/2006/customXml" ds:itemID="{692BB971-D390-442E-9E3C-3126574723FD}"/>
</file>

<file path=customXml/itemProps4.xml><?xml version="1.0" encoding="utf-8"?>
<ds:datastoreItem xmlns:ds="http://schemas.openxmlformats.org/officeDocument/2006/customXml" ds:itemID="{D226361C-EB24-45F7-B5B1-157369522C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2024 Fee</vt:lpstr>
      <vt:lpstr>Residential</vt:lpstr>
      <vt:lpstr>Commercial</vt:lpstr>
      <vt:lpstr>Lookup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WMX Technologies, Inc.</dc:creator>
  <cp:lastModifiedBy>Burmester, Evan</cp:lastModifiedBy>
  <cp:lastPrinted>2011-01-27T21:09:42Z</cp:lastPrinted>
  <dcterms:created xsi:type="dcterms:W3CDTF">2000-01-25T20:04:16Z</dcterms:created>
  <dcterms:modified xsi:type="dcterms:W3CDTF">2025-02-14T23:03:36Z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0x0101006E56B4D1795A2E4DB2F0B01679ED314A007527EC303F14CE4E84300934940C9754</vt:lpwstr>
  </property>
  <property fmtid="{D5CDD505-2E9C-101B-9397-08002B2CF9AE}" pid="5" name="_docset_NoMedatataSyncRequired">
    <vt:lpwstr>False</vt:lpwstr>
  </property>
</Properties>
</file>