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Brem Air\"/>
    </mc:Choice>
  </mc:AlternateContent>
  <xr:revisionPtr revIDLastSave="0" documentId="13_ncr:1_{FFB81FAE-429D-477C-A2F1-1FDCF61F1C50}" xr6:coauthVersionLast="47" xr6:coauthVersionMax="47" xr10:uidLastSave="{00000000-0000-0000-0000-000000000000}"/>
  <bookViews>
    <workbookView xWindow="-110" yWindow="-110" windowWidth="25820" windowHeight="14020" tabRatio="886" activeTab="1" xr2:uid="{00000000-000D-0000-FFFF-FFFF00000000}"/>
  </bookViews>
  <sheets>
    <sheet name="References" sheetId="5" r:id="rId1"/>
    <sheet name="Calculation" sheetId="7" r:id="rId2"/>
    <sheet name="Co. Tonnage" sheetId="2" r:id="rId3"/>
  </sheets>
  <definedNames>
    <definedName name="_xlnm.Print_Area" localSheetId="1">Calculation!$A$2:$R$110</definedName>
    <definedName name="_xlnm.Print_Area" localSheetId="2">'Co. Tonnage'!$A$1:$P$15</definedName>
    <definedName name="_xlnm.Print_Area" localSheetId="0">References!$A$1:$H$64</definedName>
    <definedName name="_xlnm.Print_Titles" localSheetId="1">Calculation!$2:$2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7" i="7" l="1"/>
  <c r="H107" i="7"/>
  <c r="G107" i="7"/>
  <c r="F18" i="7"/>
  <c r="O18" i="7"/>
  <c r="H18" i="7"/>
  <c r="S47" i="7" l="1"/>
  <c r="O24" i="7"/>
  <c r="O23" i="7"/>
  <c r="O21" i="7"/>
  <c r="O20" i="7"/>
  <c r="O17" i="7"/>
  <c r="O16" i="7"/>
  <c r="G55" i="5"/>
  <c r="G116" i="7"/>
  <c r="H116" i="7" s="1"/>
  <c r="G114" i="7"/>
  <c r="H114" i="7" s="1"/>
  <c r="G115" i="7"/>
  <c r="H115" i="7" s="1"/>
  <c r="G113" i="7"/>
  <c r="H113" i="7" s="1"/>
  <c r="G112" i="7"/>
  <c r="H112" i="7" s="1"/>
  <c r="F109" i="7"/>
  <c r="D109" i="7"/>
  <c r="O108" i="7"/>
  <c r="G108" i="7"/>
  <c r="H108" i="7" s="1"/>
  <c r="O106" i="7"/>
  <c r="G106" i="7"/>
  <c r="H106" i="7" s="1"/>
  <c r="O105" i="7"/>
  <c r="G105" i="7"/>
  <c r="H105" i="7" s="1"/>
  <c r="O104" i="7"/>
  <c r="G104" i="7"/>
  <c r="H104" i="7" s="1"/>
  <c r="O103" i="7"/>
  <c r="G103" i="7"/>
  <c r="H103" i="7" s="1"/>
  <c r="O102" i="7"/>
  <c r="G102" i="7"/>
  <c r="H102" i="7" s="1"/>
  <c r="O101" i="7"/>
  <c r="G101" i="7"/>
  <c r="H101" i="7" s="1"/>
  <c r="O100" i="7"/>
  <c r="G100" i="7"/>
  <c r="H100" i="7" s="1"/>
  <c r="O99" i="7"/>
  <c r="G99" i="7"/>
  <c r="H99" i="7" s="1"/>
  <c r="O98" i="7"/>
  <c r="G98" i="7"/>
  <c r="H98" i="7" s="1"/>
  <c r="O97" i="7"/>
  <c r="G97" i="7"/>
  <c r="H97" i="7" s="1"/>
  <c r="O96" i="7"/>
  <c r="G96" i="7"/>
  <c r="H96" i="7"/>
  <c r="O95" i="7"/>
  <c r="G95" i="7"/>
  <c r="H95" i="7" s="1"/>
  <c r="O94" i="7"/>
  <c r="G94" i="7"/>
  <c r="H94" i="7" s="1"/>
  <c r="O93" i="7"/>
  <c r="G93" i="7"/>
  <c r="H93" i="7" s="1"/>
  <c r="O92" i="7"/>
  <c r="G92" i="7"/>
  <c r="H92" i="7" s="1"/>
  <c r="O91" i="7"/>
  <c r="G91" i="7"/>
  <c r="H91" i="7" s="1"/>
  <c r="O90" i="7"/>
  <c r="G90" i="7"/>
  <c r="H90" i="7"/>
  <c r="O89" i="7"/>
  <c r="G89" i="7"/>
  <c r="H89" i="7" s="1"/>
  <c r="O88" i="7"/>
  <c r="G88" i="7"/>
  <c r="H88" i="7" s="1"/>
  <c r="O87" i="7"/>
  <c r="G87" i="7"/>
  <c r="H87" i="7" s="1"/>
  <c r="O86" i="7"/>
  <c r="G86" i="7"/>
  <c r="H86" i="7" s="1"/>
  <c r="O85" i="7"/>
  <c r="G85" i="7"/>
  <c r="H85" i="7" s="1"/>
  <c r="O84" i="7"/>
  <c r="G84" i="7"/>
  <c r="H84" i="7" s="1"/>
  <c r="O83" i="7"/>
  <c r="G83" i="7"/>
  <c r="H83" i="7" s="1"/>
  <c r="O82" i="7"/>
  <c r="G82" i="7"/>
  <c r="H82" i="7" s="1"/>
  <c r="O81" i="7"/>
  <c r="G81" i="7"/>
  <c r="H81" i="7" s="1"/>
  <c r="O80" i="7"/>
  <c r="G80" i="7"/>
  <c r="H80" i="7" s="1"/>
  <c r="O79" i="7"/>
  <c r="G79" i="7"/>
  <c r="H79" i="7" s="1"/>
  <c r="O78" i="7"/>
  <c r="G78" i="7"/>
  <c r="H78" i="7" s="1"/>
  <c r="O77" i="7"/>
  <c r="G77" i="7"/>
  <c r="H77" i="7" s="1"/>
  <c r="O76" i="7"/>
  <c r="G76" i="7"/>
  <c r="H76" i="7"/>
  <c r="O75" i="7"/>
  <c r="G75" i="7"/>
  <c r="H75" i="7"/>
  <c r="O74" i="7"/>
  <c r="G74" i="7"/>
  <c r="H74" i="7" s="1"/>
  <c r="O73" i="7"/>
  <c r="G73" i="7"/>
  <c r="H73" i="7" s="1"/>
  <c r="O72" i="7"/>
  <c r="G72" i="7"/>
  <c r="H72" i="7" s="1"/>
  <c r="O71" i="7"/>
  <c r="G71" i="7"/>
  <c r="H71" i="7" s="1"/>
  <c r="O70" i="7"/>
  <c r="G70" i="7"/>
  <c r="H70" i="7" s="1"/>
  <c r="O69" i="7"/>
  <c r="G69" i="7"/>
  <c r="H69" i="7" s="1"/>
  <c r="O68" i="7"/>
  <c r="G68" i="7"/>
  <c r="H68" i="7" s="1"/>
  <c r="O67" i="7"/>
  <c r="G67" i="7"/>
  <c r="H67" i="7" s="1"/>
  <c r="O66" i="7"/>
  <c r="G66" i="7"/>
  <c r="H66" i="7" s="1"/>
  <c r="O65" i="7"/>
  <c r="G65" i="7"/>
  <c r="H65" i="7" s="1"/>
  <c r="O64" i="7"/>
  <c r="G64" i="7"/>
  <c r="H64" i="7" s="1"/>
  <c r="O63" i="7"/>
  <c r="G63" i="7"/>
  <c r="H63" i="7" s="1"/>
  <c r="O62" i="7"/>
  <c r="G62" i="7"/>
  <c r="H62" i="7" s="1"/>
  <c r="O61" i="7"/>
  <c r="G61" i="7"/>
  <c r="H61" i="7" s="1"/>
  <c r="O60" i="7"/>
  <c r="G60" i="7"/>
  <c r="H60" i="7" s="1"/>
  <c r="O59" i="7"/>
  <c r="G59" i="7"/>
  <c r="H59" i="7" s="1"/>
  <c r="O58" i="7"/>
  <c r="G58" i="7"/>
  <c r="H58" i="7" s="1"/>
  <c r="O57" i="7"/>
  <c r="G57" i="7"/>
  <c r="H57" i="7" s="1"/>
  <c r="O56" i="7"/>
  <c r="G56" i="7"/>
  <c r="H56" i="7" s="1"/>
  <c r="O55" i="7"/>
  <c r="G55" i="7"/>
  <c r="H55" i="7" s="1"/>
  <c r="O54" i="7"/>
  <c r="G54" i="7"/>
  <c r="H54" i="7" s="1"/>
  <c r="O53" i="7"/>
  <c r="G53" i="7"/>
  <c r="H53" i="7" s="1"/>
  <c r="O52" i="7"/>
  <c r="G52" i="7"/>
  <c r="H52" i="7" s="1"/>
  <c r="O51" i="7"/>
  <c r="G51" i="7"/>
  <c r="H51" i="7" s="1"/>
  <c r="O50" i="7"/>
  <c r="G50" i="7"/>
  <c r="H50" i="7" s="1"/>
  <c r="O49" i="7"/>
  <c r="G49" i="7"/>
  <c r="H49" i="7" s="1"/>
  <c r="O48" i="7"/>
  <c r="G48" i="7"/>
  <c r="H48" i="7" s="1"/>
  <c r="O47" i="7"/>
  <c r="G47" i="7"/>
  <c r="H47" i="7" s="1"/>
  <c r="O46" i="7"/>
  <c r="G46" i="7"/>
  <c r="H46" i="7" s="1"/>
  <c r="O45" i="7"/>
  <c r="G45" i="7"/>
  <c r="H45" i="7" s="1"/>
  <c r="O44" i="7"/>
  <c r="G44" i="7"/>
  <c r="H44" i="7" s="1"/>
  <c r="O43" i="7"/>
  <c r="G43" i="7"/>
  <c r="H43" i="7" s="1"/>
  <c r="O42" i="7"/>
  <c r="G42" i="7"/>
  <c r="H42" i="7" s="1"/>
  <c r="O41" i="7"/>
  <c r="G41" i="7"/>
  <c r="H41" i="7" s="1"/>
  <c r="O40" i="7"/>
  <c r="G40" i="7"/>
  <c r="H40" i="7" s="1"/>
  <c r="O39" i="7"/>
  <c r="G39" i="7"/>
  <c r="H39" i="7" s="1"/>
  <c r="O38" i="7"/>
  <c r="G38" i="7"/>
  <c r="H38" i="7" s="1"/>
  <c r="O37" i="7"/>
  <c r="G37" i="7"/>
  <c r="H37" i="7" s="1"/>
  <c r="O36" i="7"/>
  <c r="G36" i="7"/>
  <c r="H36" i="7" s="1"/>
  <c r="O35" i="7"/>
  <c r="G35" i="7"/>
  <c r="H35" i="7" s="1"/>
  <c r="O34" i="7"/>
  <c r="G34" i="7"/>
  <c r="H34" i="7" s="1"/>
  <c r="O33" i="7"/>
  <c r="G33" i="7"/>
  <c r="H33" i="7" s="1"/>
  <c r="O32" i="7"/>
  <c r="G32" i="7"/>
  <c r="H32" i="7" s="1"/>
  <c r="O31" i="7"/>
  <c r="G31" i="7"/>
  <c r="H31" i="7" s="1"/>
  <c r="O30" i="7"/>
  <c r="G30" i="7"/>
  <c r="H30" i="7" s="1"/>
  <c r="O29" i="7"/>
  <c r="G29" i="7"/>
  <c r="H29" i="7" s="1"/>
  <c r="O28" i="7"/>
  <c r="G28" i="7"/>
  <c r="H28" i="7"/>
  <c r="O27" i="7"/>
  <c r="G27" i="7"/>
  <c r="H27" i="7" s="1"/>
  <c r="F26" i="7"/>
  <c r="D26" i="7"/>
  <c r="O25" i="7"/>
  <c r="G25" i="7"/>
  <c r="H25" i="7" s="1"/>
  <c r="G24" i="7"/>
  <c r="H24" i="7"/>
  <c r="G23" i="7"/>
  <c r="H23" i="7" s="1"/>
  <c r="O22" i="7"/>
  <c r="G22" i="7"/>
  <c r="H22" i="7" s="1"/>
  <c r="G21" i="7"/>
  <c r="H21" i="7" s="1"/>
  <c r="G20" i="7"/>
  <c r="H20" i="7" s="1"/>
  <c r="O19" i="7"/>
  <c r="G19" i="7"/>
  <c r="H19" i="7" s="1"/>
  <c r="G17" i="7"/>
  <c r="H17" i="7"/>
  <c r="G16" i="7"/>
  <c r="H16" i="7" s="1"/>
  <c r="O15" i="7"/>
  <c r="G15" i="7"/>
  <c r="H15" i="7" s="1"/>
  <c r="O14" i="7"/>
  <c r="G14" i="7"/>
  <c r="H14" i="7" s="1"/>
  <c r="O13" i="7"/>
  <c r="G13" i="7"/>
  <c r="H13" i="7" s="1"/>
  <c r="O12" i="7"/>
  <c r="G12" i="7"/>
  <c r="H12" i="7" s="1"/>
  <c r="O11" i="7"/>
  <c r="G11" i="7"/>
  <c r="H11" i="7" s="1"/>
  <c r="O10" i="7"/>
  <c r="G10" i="7"/>
  <c r="H10" i="7" s="1"/>
  <c r="O9" i="7"/>
  <c r="G9" i="7"/>
  <c r="H9" i="7" s="1"/>
  <c r="O8" i="7"/>
  <c r="G8" i="7"/>
  <c r="H8" i="7" s="1"/>
  <c r="O7" i="7"/>
  <c r="G7" i="7"/>
  <c r="H7" i="7" s="1"/>
  <c r="O6" i="7"/>
  <c r="G6" i="7"/>
  <c r="H6" i="7" s="1"/>
  <c r="O5" i="7"/>
  <c r="G5" i="7"/>
  <c r="H5" i="7" s="1"/>
  <c r="O4" i="7"/>
  <c r="H4" i="7"/>
  <c r="O3" i="7"/>
  <c r="G3" i="7"/>
  <c r="H3" i="7" s="1"/>
  <c r="E8" i="2"/>
  <c r="B49" i="5"/>
  <c r="C52" i="5" s="1"/>
  <c r="C48" i="5"/>
  <c r="G50" i="5"/>
  <c r="G53" i="5"/>
  <c r="G57" i="5" s="1"/>
  <c r="C47" i="5"/>
  <c r="B9" i="5"/>
  <c r="B8" i="5"/>
  <c r="H8" i="5" s="1"/>
  <c r="B7" i="5"/>
  <c r="E7" i="5"/>
  <c r="B6" i="5"/>
  <c r="B5" i="5"/>
  <c r="B4" i="5"/>
  <c r="F4" i="5" s="1"/>
  <c r="B3" i="5"/>
  <c r="E3" i="5"/>
  <c r="G11" i="2"/>
  <c r="G13" i="2" s="1"/>
  <c r="E12" i="2"/>
  <c r="E11" i="2"/>
  <c r="E13" i="2"/>
  <c r="E15" i="2" s="1"/>
  <c r="C13" i="2"/>
  <c r="G12" i="2"/>
  <c r="J12" i="2"/>
  <c r="H8" i="2"/>
  <c r="H11" i="2" s="1"/>
  <c r="I11" i="2" s="1"/>
  <c r="D6" i="5"/>
  <c r="E4" i="5"/>
  <c r="D5" i="5"/>
  <c r="D7" i="5"/>
  <c r="F7" i="5"/>
  <c r="D9" i="5"/>
  <c r="C7" i="5"/>
  <c r="C5" i="5"/>
  <c r="H7" i="5"/>
  <c r="G7" i="5"/>
  <c r="F9" i="5"/>
  <c r="E9" i="5"/>
  <c r="H9" i="5"/>
  <c r="C9" i="5"/>
  <c r="G9" i="5"/>
  <c r="C3" i="5"/>
  <c r="G5" i="5"/>
  <c r="C9" i="2"/>
  <c r="C15" i="2" s="1"/>
  <c r="E6" i="2"/>
  <c r="G6" i="2"/>
  <c r="E9" i="2"/>
  <c r="C122" i="7" s="1"/>
  <c r="C123" i="7" s="1"/>
  <c r="H5" i="5"/>
  <c r="F5" i="5"/>
  <c r="E5" i="5"/>
  <c r="I6" i="2"/>
  <c r="F6" i="5"/>
  <c r="C6" i="5"/>
  <c r="G6" i="5"/>
  <c r="E6" i="5"/>
  <c r="H6" i="5"/>
  <c r="G3" i="5"/>
  <c r="D3" i="5"/>
  <c r="H3" i="5"/>
  <c r="F3" i="5"/>
  <c r="C4" i="5"/>
  <c r="C124" i="7" l="1"/>
  <c r="D110" i="7"/>
  <c r="F110" i="7"/>
  <c r="I8" i="2"/>
  <c r="O109" i="7"/>
  <c r="J6" i="2"/>
  <c r="G8" i="2"/>
  <c r="H26" i="7"/>
  <c r="H109" i="7"/>
  <c r="I13" i="2"/>
  <c r="I15" i="2" s="1"/>
  <c r="J11" i="2"/>
  <c r="E8" i="5"/>
  <c r="C54" i="5"/>
  <c r="C8" i="5"/>
  <c r="H4" i="5"/>
  <c r="D4" i="5"/>
  <c r="G8" i="5"/>
  <c r="D8" i="5"/>
  <c r="F8" i="5"/>
  <c r="G4" i="5"/>
  <c r="C53" i="5"/>
  <c r="C55" i="5" s="1"/>
  <c r="O26" i="7"/>
  <c r="C49" i="5"/>
  <c r="D49" i="5"/>
  <c r="O110" i="7" l="1"/>
  <c r="G9" i="2"/>
  <c r="G15" i="2" s="1"/>
  <c r="J8" i="2"/>
  <c r="J9" i="2" s="1"/>
  <c r="C57" i="5"/>
  <c r="C59" i="5" s="1"/>
  <c r="J13" i="2"/>
  <c r="H110" i="7"/>
  <c r="C125" i="7" s="1"/>
  <c r="I18" i="7" l="1"/>
  <c r="J18" i="7" s="1"/>
  <c r="K18" i="7" s="1"/>
  <c r="M18" i="7" s="1"/>
  <c r="N18" i="7" s="1"/>
  <c r="I107" i="7"/>
  <c r="J107" i="7" s="1"/>
  <c r="K107" i="7" s="1"/>
  <c r="M107" i="7" s="1"/>
  <c r="N107" i="7" s="1"/>
  <c r="P107" i="7" s="1"/>
  <c r="Q107" i="7" s="1"/>
  <c r="R107" i="7" s="1"/>
  <c r="J15" i="2"/>
  <c r="I95" i="7"/>
  <c r="J95" i="7" s="1"/>
  <c r="K95" i="7" s="1"/>
  <c r="M95" i="7" s="1"/>
  <c r="N95" i="7" s="1"/>
  <c r="I71" i="7"/>
  <c r="J71" i="7" s="1"/>
  <c r="K71" i="7" s="1"/>
  <c r="M71" i="7" s="1"/>
  <c r="N71" i="7" s="1"/>
  <c r="I54" i="7"/>
  <c r="J54" i="7" s="1"/>
  <c r="K54" i="7" s="1"/>
  <c r="M54" i="7" s="1"/>
  <c r="N54" i="7" s="1"/>
  <c r="I30" i="7"/>
  <c r="J30" i="7" s="1"/>
  <c r="K30" i="7" s="1"/>
  <c r="M30" i="7" s="1"/>
  <c r="N30" i="7" s="1"/>
  <c r="I24" i="7"/>
  <c r="J24" i="7" s="1"/>
  <c r="K24" i="7" s="1"/>
  <c r="M24" i="7" s="1"/>
  <c r="I94" i="7"/>
  <c r="J94" i="7" s="1"/>
  <c r="K94" i="7" s="1"/>
  <c r="M94" i="7" s="1"/>
  <c r="N94" i="7" s="1"/>
  <c r="I59" i="7"/>
  <c r="J59" i="7" s="1"/>
  <c r="K59" i="7" s="1"/>
  <c r="M59" i="7" s="1"/>
  <c r="N59" i="7" s="1"/>
  <c r="I52" i="7"/>
  <c r="J52" i="7" s="1"/>
  <c r="K52" i="7" s="1"/>
  <c r="M52" i="7" s="1"/>
  <c r="N52" i="7" s="1"/>
  <c r="I42" i="7"/>
  <c r="J42" i="7" s="1"/>
  <c r="K42" i="7" s="1"/>
  <c r="M42" i="7" s="1"/>
  <c r="N42" i="7" s="1"/>
  <c r="I105" i="7"/>
  <c r="J105" i="7" s="1"/>
  <c r="K105" i="7" s="1"/>
  <c r="M105" i="7" s="1"/>
  <c r="N105" i="7" s="1"/>
  <c r="I28" i="7"/>
  <c r="J28" i="7" s="1"/>
  <c r="K28" i="7" s="1"/>
  <c r="M28" i="7" s="1"/>
  <c r="N28" i="7" s="1"/>
  <c r="T28" i="7" s="1"/>
  <c r="I5" i="7"/>
  <c r="J5" i="7" s="1"/>
  <c r="K5" i="7" s="1"/>
  <c r="M5" i="7" s="1"/>
  <c r="N5" i="7" s="1"/>
  <c r="I58" i="7"/>
  <c r="J58" i="7" s="1"/>
  <c r="K58" i="7" s="1"/>
  <c r="M58" i="7" s="1"/>
  <c r="N58" i="7" s="1"/>
  <c r="I84" i="7"/>
  <c r="J84" i="7" s="1"/>
  <c r="K84" i="7" s="1"/>
  <c r="M84" i="7" s="1"/>
  <c r="N84" i="7" s="1"/>
  <c r="I55" i="7"/>
  <c r="J55" i="7" s="1"/>
  <c r="K55" i="7" s="1"/>
  <c r="M55" i="7" s="1"/>
  <c r="N55" i="7" s="1"/>
  <c r="I57" i="7"/>
  <c r="J57" i="7" s="1"/>
  <c r="K57" i="7" s="1"/>
  <c r="M57" i="7" s="1"/>
  <c r="N57" i="7" s="1"/>
  <c r="I13" i="7"/>
  <c r="J13" i="7" s="1"/>
  <c r="K13" i="7" s="1"/>
  <c r="M13" i="7" s="1"/>
  <c r="N13" i="7" s="1"/>
  <c r="I77" i="7"/>
  <c r="J77" i="7" s="1"/>
  <c r="K77" i="7" s="1"/>
  <c r="M77" i="7" s="1"/>
  <c r="N77" i="7" s="1"/>
  <c r="I75" i="7"/>
  <c r="J75" i="7" s="1"/>
  <c r="K75" i="7" s="1"/>
  <c r="M75" i="7" s="1"/>
  <c r="N75" i="7" s="1"/>
  <c r="I102" i="7"/>
  <c r="J102" i="7" s="1"/>
  <c r="K102" i="7" s="1"/>
  <c r="M102" i="7" s="1"/>
  <c r="N102" i="7" s="1"/>
  <c r="I17" i="7"/>
  <c r="J17" i="7" s="1"/>
  <c r="K17" i="7" s="1"/>
  <c r="M17" i="7" s="1"/>
  <c r="I23" i="7"/>
  <c r="J23" i="7" s="1"/>
  <c r="K23" i="7" s="1"/>
  <c r="M23" i="7" s="1"/>
  <c r="I25" i="7"/>
  <c r="J25" i="7" s="1"/>
  <c r="K25" i="7" s="1"/>
  <c r="M25" i="7" s="1"/>
  <c r="N25" i="7" s="1"/>
  <c r="I114" i="7"/>
  <c r="J114" i="7" s="1"/>
  <c r="K114" i="7" s="1"/>
  <c r="M114" i="7" s="1"/>
  <c r="N114" i="7" s="1"/>
  <c r="U114" i="7" s="1"/>
  <c r="X114" i="7" s="1"/>
  <c r="I37" i="7"/>
  <c r="J37" i="7" s="1"/>
  <c r="K37" i="7" s="1"/>
  <c r="M37" i="7" s="1"/>
  <c r="N37" i="7" s="1"/>
  <c r="I73" i="7"/>
  <c r="J73" i="7" s="1"/>
  <c r="K73" i="7" s="1"/>
  <c r="M73" i="7" s="1"/>
  <c r="N73" i="7" s="1"/>
  <c r="I69" i="7"/>
  <c r="J69" i="7" s="1"/>
  <c r="K69" i="7" s="1"/>
  <c r="M69" i="7" s="1"/>
  <c r="N69" i="7" s="1"/>
  <c r="I103" i="7"/>
  <c r="J103" i="7" s="1"/>
  <c r="K103" i="7" s="1"/>
  <c r="M103" i="7" s="1"/>
  <c r="N103" i="7" s="1"/>
  <c r="I41" i="7"/>
  <c r="J41" i="7" s="1"/>
  <c r="K41" i="7" s="1"/>
  <c r="M41" i="7" s="1"/>
  <c r="N41" i="7" s="1"/>
  <c r="T41" i="7" s="1"/>
  <c r="I112" i="7"/>
  <c r="J112" i="7" s="1"/>
  <c r="K112" i="7" s="1"/>
  <c r="M112" i="7" s="1"/>
  <c r="N112" i="7" s="1"/>
  <c r="U112" i="7" s="1"/>
  <c r="I11" i="7"/>
  <c r="J11" i="7" s="1"/>
  <c r="K11" i="7" s="1"/>
  <c r="M11" i="7" s="1"/>
  <c r="N11" i="7" s="1"/>
  <c r="I20" i="7"/>
  <c r="J20" i="7" s="1"/>
  <c r="K20" i="7" s="1"/>
  <c r="M20" i="7" s="1"/>
  <c r="I80" i="7"/>
  <c r="J80" i="7" s="1"/>
  <c r="K80" i="7" s="1"/>
  <c r="M80" i="7" s="1"/>
  <c r="N80" i="7" s="1"/>
  <c r="I31" i="7"/>
  <c r="J31" i="7" s="1"/>
  <c r="K31" i="7" s="1"/>
  <c r="M31" i="7" s="1"/>
  <c r="N31" i="7" s="1"/>
  <c r="I92" i="7"/>
  <c r="J92" i="7" s="1"/>
  <c r="K92" i="7" s="1"/>
  <c r="M92" i="7" s="1"/>
  <c r="N92" i="7" s="1"/>
  <c r="I45" i="7"/>
  <c r="J45" i="7" s="1"/>
  <c r="K45" i="7" s="1"/>
  <c r="M45" i="7" s="1"/>
  <c r="N45" i="7" s="1"/>
  <c r="I36" i="7"/>
  <c r="J36" i="7" s="1"/>
  <c r="K36" i="7" s="1"/>
  <c r="M36" i="7" s="1"/>
  <c r="N36" i="7" s="1"/>
  <c r="T36" i="7" s="1"/>
  <c r="I104" i="7"/>
  <c r="J104" i="7" s="1"/>
  <c r="K104" i="7" s="1"/>
  <c r="M104" i="7" s="1"/>
  <c r="N104" i="7" s="1"/>
  <c r="I29" i="7"/>
  <c r="J29" i="7" s="1"/>
  <c r="K29" i="7" s="1"/>
  <c r="M29" i="7" s="1"/>
  <c r="N29" i="7" s="1"/>
  <c r="I68" i="7"/>
  <c r="J68" i="7" s="1"/>
  <c r="K68" i="7" s="1"/>
  <c r="M68" i="7" s="1"/>
  <c r="N68" i="7" s="1"/>
  <c r="I70" i="7"/>
  <c r="J70" i="7" s="1"/>
  <c r="K70" i="7" s="1"/>
  <c r="M70" i="7" s="1"/>
  <c r="N70" i="7" s="1"/>
  <c r="I60" i="7"/>
  <c r="J60" i="7" s="1"/>
  <c r="K60" i="7" s="1"/>
  <c r="M60" i="7" s="1"/>
  <c r="N60" i="7" s="1"/>
  <c r="I46" i="7"/>
  <c r="J46" i="7" s="1"/>
  <c r="K46" i="7" s="1"/>
  <c r="M46" i="7" s="1"/>
  <c r="N46" i="7" s="1"/>
  <c r="I66" i="7"/>
  <c r="J66" i="7" s="1"/>
  <c r="K66" i="7" s="1"/>
  <c r="M66" i="7" s="1"/>
  <c r="N66" i="7" s="1"/>
  <c r="I67" i="7"/>
  <c r="J67" i="7" s="1"/>
  <c r="K67" i="7" s="1"/>
  <c r="M67" i="7" s="1"/>
  <c r="N67" i="7" s="1"/>
  <c r="I78" i="7"/>
  <c r="J78" i="7" s="1"/>
  <c r="K78" i="7" s="1"/>
  <c r="M78" i="7" s="1"/>
  <c r="N78" i="7" s="1"/>
  <c r="I81" i="7"/>
  <c r="J81" i="7" s="1"/>
  <c r="K81" i="7" s="1"/>
  <c r="M81" i="7" s="1"/>
  <c r="N81" i="7" s="1"/>
  <c r="I76" i="7"/>
  <c r="J76" i="7" s="1"/>
  <c r="K76" i="7" s="1"/>
  <c r="M76" i="7" s="1"/>
  <c r="N76" i="7" s="1"/>
  <c r="I88" i="7"/>
  <c r="J88" i="7" s="1"/>
  <c r="K88" i="7" s="1"/>
  <c r="M88" i="7" s="1"/>
  <c r="N88" i="7" s="1"/>
  <c r="I35" i="7"/>
  <c r="J35" i="7" s="1"/>
  <c r="K35" i="7" s="1"/>
  <c r="M35" i="7" s="1"/>
  <c r="N35" i="7" s="1"/>
  <c r="I99" i="7"/>
  <c r="J99" i="7" s="1"/>
  <c r="K99" i="7" s="1"/>
  <c r="M99" i="7" s="1"/>
  <c r="N99" i="7" s="1"/>
  <c r="I100" i="7"/>
  <c r="J100" i="7" s="1"/>
  <c r="K100" i="7" s="1"/>
  <c r="M100" i="7" s="1"/>
  <c r="N100" i="7" s="1"/>
  <c r="I39" i="7"/>
  <c r="J39" i="7" s="1"/>
  <c r="K39" i="7" s="1"/>
  <c r="M39" i="7" s="1"/>
  <c r="N39" i="7" s="1"/>
  <c r="I33" i="7"/>
  <c r="J33" i="7" s="1"/>
  <c r="K33" i="7" s="1"/>
  <c r="M33" i="7" s="1"/>
  <c r="N33" i="7" s="1"/>
  <c r="I86" i="7"/>
  <c r="J86" i="7" s="1"/>
  <c r="K86" i="7" s="1"/>
  <c r="M86" i="7" s="1"/>
  <c r="N86" i="7" s="1"/>
  <c r="I8" i="7"/>
  <c r="J8" i="7" s="1"/>
  <c r="K8" i="7" s="1"/>
  <c r="M8" i="7" s="1"/>
  <c r="N8" i="7" s="1"/>
  <c r="I83" i="7"/>
  <c r="J83" i="7" s="1"/>
  <c r="K83" i="7" s="1"/>
  <c r="M83" i="7" s="1"/>
  <c r="N83" i="7" s="1"/>
  <c r="I101" i="7"/>
  <c r="J101" i="7" s="1"/>
  <c r="K101" i="7" s="1"/>
  <c r="M101" i="7" s="1"/>
  <c r="N101" i="7" s="1"/>
  <c r="I9" i="7"/>
  <c r="J9" i="7" s="1"/>
  <c r="K9" i="7" s="1"/>
  <c r="M9" i="7" s="1"/>
  <c r="N9" i="7" s="1"/>
  <c r="I108" i="7"/>
  <c r="J108" i="7" s="1"/>
  <c r="K108" i="7" s="1"/>
  <c r="M108" i="7" s="1"/>
  <c r="N108" i="7" s="1"/>
  <c r="I74" i="7"/>
  <c r="J74" i="7" s="1"/>
  <c r="K74" i="7" s="1"/>
  <c r="M74" i="7" s="1"/>
  <c r="N74" i="7" s="1"/>
  <c r="I16" i="7"/>
  <c r="J16" i="7" s="1"/>
  <c r="K16" i="7" s="1"/>
  <c r="M16" i="7" s="1"/>
  <c r="I116" i="7"/>
  <c r="J116" i="7" s="1"/>
  <c r="K116" i="7" s="1"/>
  <c r="M116" i="7" s="1"/>
  <c r="N116" i="7" s="1"/>
  <c r="U116" i="7" s="1"/>
  <c r="X116" i="7" s="1"/>
  <c r="I15" i="7"/>
  <c r="J15" i="7" s="1"/>
  <c r="K15" i="7" s="1"/>
  <c r="M15" i="7" s="1"/>
  <c r="N15" i="7" s="1"/>
  <c r="I64" i="7"/>
  <c r="J64" i="7" s="1"/>
  <c r="K64" i="7" s="1"/>
  <c r="M64" i="7" s="1"/>
  <c r="N64" i="7" s="1"/>
  <c r="I34" i="7"/>
  <c r="J34" i="7" s="1"/>
  <c r="K34" i="7" s="1"/>
  <c r="M34" i="7" s="1"/>
  <c r="N34" i="7" s="1"/>
  <c r="T34" i="7" s="1"/>
  <c r="I47" i="7"/>
  <c r="J47" i="7" s="1"/>
  <c r="K47" i="7" s="1"/>
  <c r="M47" i="7" s="1"/>
  <c r="N47" i="7" s="1"/>
  <c r="I19" i="7"/>
  <c r="J19" i="7" s="1"/>
  <c r="K19" i="7" s="1"/>
  <c r="M19" i="7" s="1"/>
  <c r="N19" i="7" s="1"/>
  <c r="I4" i="7"/>
  <c r="J4" i="7" s="1"/>
  <c r="K4" i="7" s="1"/>
  <c r="M4" i="7" s="1"/>
  <c r="N4" i="7" s="1"/>
  <c r="I63" i="7"/>
  <c r="J63" i="7" s="1"/>
  <c r="K63" i="7" s="1"/>
  <c r="M63" i="7" s="1"/>
  <c r="N63" i="7" s="1"/>
  <c r="I113" i="7"/>
  <c r="J113" i="7" s="1"/>
  <c r="K113" i="7" s="1"/>
  <c r="M113" i="7" s="1"/>
  <c r="N113" i="7" s="1"/>
  <c r="U113" i="7" s="1"/>
  <c r="X113" i="7" s="1"/>
  <c r="I48" i="7"/>
  <c r="J48" i="7" s="1"/>
  <c r="K48" i="7" s="1"/>
  <c r="M48" i="7" s="1"/>
  <c r="N48" i="7" s="1"/>
  <c r="I106" i="7"/>
  <c r="J106" i="7" s="1"/>
  <c r="K106" i="7" s="1"/>
  <c r="M106" i="7" s="1"/>
  <c r="N106" i="7" s="1"/>
  <c r="I32" i="7"/>
  <c r="J32" i="7" s="1"/>
  <c r="K32" i="7" s="1"/>
  <c r="M32" i="7" s="1"/>
  <c r="N32" i="7" s="1"/>
  <c r="I85" i="7"/>
  <c r="J85" i="7" s="1"/>
  <c r="K85" i="7" s="1"/>
  <c r="M85" i="7" s="1"/>
  <c r="N85" i="7" s="1"/>
  <c r="I62" i="7"/>
  <c r="J62" i="7" s="1"/>
  <c r="K62" i="7" s="1"/>
  <c r="M62" i="7" s="1"/>
  <c r="N62" i="7" s="1"/>
  <c r="I40" i="7"/>
  <c r="J40" i="7" s="1"/>
  <c r="K40" i="7" s="1"/>
  <c r="M40" i="7" s="1"/>
  <c r="N40" i="7" s="1"/>
  <c r="I91" i="7"/>
  <c r="J91" i="7" s="1"/>
  <c r="K91" i="7" s="1"/>
  <c r="M91" i="7" s="1"/>
  <c r="N91" i="7" s="1"/>
  <c r="I51" i="7"/>
  <c r="J51" i="7" s="1"/>
  <c r="K51" i="7" s="1"/>
  <c r="M51" i="7" s="1"/>
  <c r="N51" i="7" s="1"/>
  <c r="I79" i="7"/>
  <c r="J79" i="7" s="1"/>
  <c r="K79" i="7" s="1"/>
  <c r="M79" i="7" s="1"/>
  <c r="N79" i="7" s="1"/>
  <c r="I97" i="7"/>
  <c r="J97" i="7" s="1"/>
  <c r="K97" i="7" s="1"/>
  <c r="M97" i="7" s="1"/>
  <c r="N97" i="7" s="1"/>
  <c r="I6" i="7"/>
  <c r="J6" i="7" s="1"/>
  <c r="K6" i="7" s="1"/>
  <c r="M6" i="7" s="1"/>
  <c r="N6" i="7" s="1"/>
  <c r="I89" i="7"/>
  <c r="J89" i="7" s="1"/>
  <c r="K89" i="7" s="1"/>
  <c r="M89" i="7" s="1"/>
  <c r="N89" i="7" s="1"/>
  <c r="I115" i="7"/>
  <c r="J115" i="7" s="1"/>
  <c r="K115" i="7" s="1"/>
  <c r="M115" i="7" s="1"/>
  <c r="N115" i="7" s="1"/>
  <c r="U115" i="7" s="1"/>
  <c r="X115" i="7" s="1"/>
  <c r="I44" i="7"/>
  <c r="J44" i="7" s="1"/>
  <c r="K44" i="7" s="1"/>
  <c r="M44" i="7" s="1"/>
  <c r="N44" i="7" s="1"/>
  <c r="I43" i="7"/>
  <c r="J43" i="7" s="1"/>
  <c r="K43" i="7" s="1"/>
  <c r="M43" i="7" s="1"/>
  <c r="N43" i="7" s="1"/>
  <c r="I65" i="7"/>
  <c r="J65" i="7" s="1"/>
  <c r="K65" i="7" s="1"/>
  <c r="M65" i="7" s="1"/>
  <c r="N65" i="7" s="1"/>
  <c r="I53" i="7"/>
  <c r="J53" i="7" s="1"/>
  <c r="K53" i="7" s="1"/>
  <c r="M53" i="7" s="1"/>
  <c r="N53" i="7" s="1"/>
  <c r="I93" i="7"/>
  <c r="J93" i="7" s="1"/>
  <c r="K93" i="7" s="1"/>
  <c r="M93" i="7" s="1"/>
  <c r="N93" i="7" s="1"/>
  <c r="I7" i="7"/>
  <c r="J7" i="7" s="1"/>
  <c r="K7" i="7" s="1"/>
  <c r="M7" i="7" s="1"/>
  <c r="N7" i="7" s="1"/>
  <c r="I38" i="7"/>
  <c r="J38" i="7" s="1"/>
  <c r="K38" i="7" s="1"/>
  <c r="M38" i="7" s="1"/>
  <c r="N38" i="7" s="1"/>
  <c r="I14" i="7"/>
  <c r="J14" i="7" s="1"/>
  <c r="K14" i="7" s="1"/>
  <c r="M14" i="7" s="1"/>
  <c r="N14" i="7" s="1"/>
  <c r="I98" i="7"/>
  <c r="J98" i="7" s="1"/>
  <c r="K98" i="7" s="1"/>
  <c r="M98" i="7" s="1"/>
  <c r="N98" i="7" s="1"/>
  <c r="I12" i="7"/>
  <c r="J12" i="7" s="1"/>
  <c r="K12" i="7" s="1"/>
  <c r="M12" i="7" s="1"/>
  <c r="N12" i="7" s="1"/>
  <c r="I56" i="7"/>
  <c r="J56" i="7" s="1"/>
  <c r="K56" i="7" s="1"/>
  <c r="M56" i="7" s="1"/>
  <c r="N56" i="7" s="1"/>
  <c r="I22" i="7"/>
  <c r="J22" i="7" s="1"/>
  <c r="K22" i="7" s="1"/>
  <c r="M22" i="7" s="1"/>
  <c r="N22" i="7" s="1"/>
  <c r="I72" i="7"/>
  <c r="J72" i="7" s="1"/>
  <c r="K72" i="7" s="1"/>
  <c r="M72" i="7" s="1"/>
  <c r="N72" i="7" s="1"/>
  <c r="I96" i="7"/>
  <c r="J96" i="7" s="1"/>
  <c r="K96" i="7" s="1"/>
  <c r="M96" i="7" s="1"/>
  <c r="N96" i="7" s="1"/>
  <c r="I3" i="7"/>
  <c r="I61" i="7"/>
  <c r="J61" i="7" s="1"/>
  <c r="K61" i="7" s="1"/>
  <c r="M61" i="7" s="1"/>
  <c r="N61" i="7" s="1"/>
  <c r="I50" i="7"/>
  <c r="J50" i="7" s="1"/>
  <c r="K50" i="7" s="1"/>
  <c r="M50" i="7" s="1"/>
  <c r="N50" i="7" s="1"/>
  <c r="I82" i="7"/>
  <c r="J82" i="7" s="1"/>
  <c r="K82" i="7" s="1"/>
  <c r="M82" i="7" s="1"/>
  <c r="N82" i="7" s="1"/>
  <c r="I10" i="7"/>
  <c r="J10" i="7" s="1"/>
  <c r="K10" i="7" s="1"/>
  <c r="M10" i="7" s="1"/>
  <c r="N10" i="7" s="1"/>
  <c r="I21" i="7"/>
  <c r="J21" i="7" s="1"/>
  <c r="K21" i="7" s="1"/>
  <c r="M21" i="7" s="1"/>
  <c r="I49" i="7"/>
  <c r="J49" i="7" s="1"/>
  <c r="K49" i="7" s="1"/>
  <c r="M49" i="7" s="1"/>
  <c r="N49" i="7" s="1"/>
  <c r="I87" i="7"/>
  <c r="J87" i="7" s="1"/>
  <c r="K87" i="7" s="1"/>
  <c r="M87" i="7" s="1"/>
  <c r="N87" i="7" s="1"/>
  <c r="I90" i="7"/>
  <c r="J90" i="7" s="1"/>
  <c r="K90" i="7" s="1"/>
  <c r="M90" i="7" s="1"/>
  <c r="N90" i="7" s="1"/>
  <c r="I27" i="7"/>
  <c r="P65" i="7" l="1"/>
  <c r="Q65" i="7" s="1"/>
  <c r="R65" i="7" s="1"/>
  <c r="U65" i="7"/>
  <c r="P59" i="7"/>
  <c r="Q59" i="7" s="1"/>
  <c r="R59" i="7" s="1"/>
  <c r="U59" i="7"/>
  <c r="U22" i="7"/>
  <c r="N24" i="7"/>
  <c r="N23" i="7"/>
  <c r="P22" i="7"/>
  <c r="Q22" i="7" s="1"/>
  <c r="R22" i="7" s="1"/>
  <c r="U53" i="7"/>
  <c r="P53" i="7"/>
  <c r="Q53" i="7" s="1"/>
  <c r="R53" i="7" s="1"/>
  <c r="U79" i="7"/>
  <c r="P79" i="7"/>
  <c r="Q79" i="7" s="1"/>
  <c r="R79" i="7" s="1"/>
  <c r="P48" i="7"/>
  <c r="Q48" i="7" s="1"/>
  <c r="R48" i="7" s="1"/>
  <c r="U48" i="7"/>
  <c r="N16" i="7"/>
  <c r="P18" i="7" s="1"/>
  <c r="Q18" i="7" s="1"/>
  <c r="R18" i="7" s="1"/>
  <c r="U15" i="7"/>
  <c r="N17" i="7"/>
  <c r="P15" i="7"/>
  <c r="Q15" i="7" s="1"/>
  <c r="R15" i="7" s="1"/>
  <c r="P8" i="7"/>
  <c r="Q8" i="7" s="1"/>
  <c r="R8" i="7" s="1"/>
  <c r="U8" i="7"/>
  <c r="U76" i="7"/>
  <c r="P76" i="7"/>
  <c r="Q76" i="7" s="1"/>
  <c r="R76" i="7" s="1"/>
  <c r="U68" i="7"/>
  <c r="P68" i="7"/>
  <c r="Q68" i="7" s="1"/>
  <c r="R68" i="7" s="1"/>
  <c r="P57" i="7"/>
  <c r="Q57" i="7" s="1"/>
  <c r="R57" i="7" s="1"/>
  <c r="U57" i="7"/>
  <c r="U52" i="7"/>
  <c r="P52" i="7"/>
  <c r="Q52" i="7" s="1"/>
  <c r="R52" i="7" s="1"/>
  <c r="U25" i="7"/>
  <c r="P25" i="7"/>
  <c r="Q25" i="7" s="1"/>
  <c r="R25" i="7" s="1"/>
  <c r="P82" i="7"/>
  <c r="Q82" i="7" s="1"/>
  <c r="R82" i="7" s="1"/>
  <c r="U82" i="7"/>
  <c r="P12" i="7"/>
  <c r="Q12" i="7" s="1"/>
  <c r="R12" i="7" s="1"/>
  <c r="U12" i="7"/>
  <c r="P43" i="7"/>
  <c r="Q43" i="7" s="1"/>
  <c r="R43" i="7" s="1"/>
  <c r="U43" i="7"/>
  <c r="U91" i="7"/>
  <c r="P91" i="7"/>
  <c r="Q91" i="7" s="1"/>
  <c r="R91" i="7" s="1"/>
  <c r="U63" i="7"/>
  <c r="P63" i="7"/>
  <c r="Q63" i="7" s="1"/>
  <c r="R63" i="7" s="1"/>
  <c r="P33" i="7"/>
  <c r="Q33" i="7" s="1"/>
  <c r="R33" i="7" s="1"/>
  <c r="U33" i="7"/>
  <c r="P78" i="7"/>
  <c r="Q78" i="7" s="1"/>
  <c r="R78" i="7" s="1"/>
  <c r="U78" i="7"/>
  <c r="U104" i="7"/>
  <c r="P104" i="7"/>
  <c r="Q104" i="7" s="1"/>
  <c r="R104" i="7" s="1"/>
  <c r="U84" i="7"/>
  <c r="P84" i="7"/>
  <c r="Q84" i="7" s="1"/>
  <c r="R84" i="7" s="1"/>
  <c r="P94" i="7"/>
  <c r="Q94" i="7" s="1"/>
  <c r="R94" i="7" s="1"/>
  <c r="U94" i="7"/>
  <c r="U51" i="7"/>
  <c r="P51" i="7"/>
  <c r="Q51" i="7" s="1"/>
  <c r="R51" i="7" s="1"/>
  <c r="U11" i="7"/>
  <c r="P11" i="7"/>
  <c r="Q11" i="7" s="1"/>
  <c r="R11" i="7" s="1"/>
  <c r="P50" i="7"/>
  <c r="Q50" i="7" s="1"/>
  <c r="R50" i="7" s="1"/>
  <c r="U50" i="7"/>
  <c r="P98" i="7"/>
  <c r="Q98" i="7" s="1"/>
  <c r="R98" i="7" s="1"/>
  <c r="U98" i="7"/>
  <c r="P44" i="7"/>
  <c r="Q44" i="7" s="1"/>
  <c r="R44" i="7" s="1"/>
  <c r="U44" i="7"/>
  <c r="P40" i="7"/>
  <c r="Q40" i="7" s="1"/>
  <c r="R40" i="7" s="1"/>
  <c r="U40" i="7"/>
  <c r="U4" i="7"/>
  <c r="P4" i="7"/>
  <c r="Q4" i="7" s="1"/>
  <c r="R4" i="7" s="1"/>
  <c r="U74" i="7"/>
  <c r="P74" i="7"/>
  <c r="Q74" i="7" s="1"/>
  <c r="R74" i="7" s="1"/>
  <c r="U39" i="7"/>
  <c r="P39" i="7"/>
  <c r="Q39" i="7" s="1"/>
  <c r="R39" i="7" s="1"/>
  <c r="U67" i="7"/>
  <c r="P67" i="7"/>
  <c r="Q67" i="7" s="1"/>
  <c r="R67" i="7" s="1"/>
  <c r="P36" i="7"/>
  <c r="Q36" i="7" s="1"/>
  <c r="R36" i="7" s="1"/>
  <c r="U36" i="7"/>
  <c r="X36" i="7" s="1"/>
  <c r="P41" i="7"/>
  <c r="Q41" i="7" s="1"/>
  <c r="R41" i="7" s="1"/>
  <c r="U41" i="7"/>
  <c r="X41" i="7" s="1"/>
  <c r="U58" i="7"/>
  <c r="P58" i="7"/>
  <c r="Q58" i="7" s="1"/>
  <c r="R58" i="7" s="1"/>
  <c r="U29" i="7"/>
  <c r="P29" i="7"/>
  <c r="Q29" i="7" s="1"/>
  <c r="R29" i="7" s="1"/>
  <c r="P61" i="7"/>
  <c r="Q61" i="7" s="1"/>
  <c r="R61" i="7" s="1"/>
  <c r="U61" i="7"/>
  <c r="U14" i="7"/>
  <c r="P14" i="7"/>
  <c r="Q14" i="7" s="1"/>
  <c r="R14" i="7" s="1"/>
  <c r="P62" i="7"/>
  <c r="Q62" i="7" s="1"/>
  <c r="R62" i="7" s="1"/>
  <c r="U62" i="7"/>
  <c r="P19" i="7"/>
  <c r="Q19" i="7" s="1"/>
  <c r="R19" i="7" s="1"/>
  <c r="U19" i="7"/>
  <c r="N21" i="7"/>
  <c r="N20" i="7"/>
  <c r="P108" i="7"/>
  <c r="Q108" i="7" s="1"/>
  <c r="R108" i="7" s="1"/>
  <c r="U108" i="7"/>
  <c r="X108" i="7" s="1"/>
  <c r="U100" i="7"/>
  <c r="P100" i="7"/>
  <c r="Q100" i="7" s="1"/>
  <c r="R100" i="7" s="1"/>
  <c r="U66" i="7"/>
  <c r="P66" i="7"/>
  <c r="Q66" i="7" s="1"/>
  <c r="R66" i="7" s="1"/>
  <c r="P45" i="7"/>
  <c r="Q45" i="7" s="1"/>
  <c r="R45" i="7" s="1"/>
  <c r="U45" i="7"/>
  <c r="P103" i="7"/>
  <c r="Q103" i="7" s="1"/>
  <c r="R103" i="7" s="1"/>
  <c r="U103" i="7"/>
  <c r="U102" i="7"/>
  <c r="P102" i="7"/>
  <c r="Q102" i="7" s="1"/>
  <c r="R102" i="7" s="1"/>
  <c r="U5" i="7"/>
  <c r="P5" i="7"/>
  <c r="Q5" i="7" s="1"/>
  <c r="R5" i="7" s="1"/>
  <c r="U30" i="7"/>
  <c r="P30" i="7"/>
  <c r="Q30" i="7" s="1"/>
  <c r="R30" i="7" s="1"/>
  <c r="P55" i="7"/>
  <c r="Q55" i="7" s="1"/>
  <c r="R55" i="7" s="1"/>
  <c r="U55" i="7"/>
  <c r="I109" i="7"/>
  <c r="J27" i="7"/>
  <c r="K27" i="7" s="1"/>
  <c r="M27" i="7" s="1"/>
  <c r="N27" i="7" s="1"/>
  <c r="T27" i="7" s="1"/>
  <c r="P90" i="7"/>
  <c r="Q90" i="7" s="1"/>
  <c r="R90" i="7" s="1"/>
  <c r="U90" i="7"/>
  <c r="I26" i="7"/>
  <c r="I110" i="7" s="1"/>
  <c r="J3" i="7"/>
  <c r="K3" i="7" s="1"/>
  <c r="M3" i="7" s="1"/>
  <c r="N3" i="7" s="1"/>
  <c r="P38" i="7"/>
  <c r="Q38" i="7" s="1"/>
  <c r="R38" i="7" s="1"/>
  <c r="U38" i="7"/>
  <c r="U89" i="7"/>
  <c r="P89" i="7"/>
  <c r="Q89" i="7" s="1"/>
  <c r="R89" i="7" s="1"/>
  <c r="U85" i="7"/>
  <c r="P85" i="7"/>
  <c r="Q85" i="7" s="1"/>
  <c r="R85" i="7" s="1"/>
  <c r="U47" i="7"/>
  <c r="P47" i="7"/>
  <c r="Q47" i="7" s="1"/>
  <c r="R47" i="7" s="1"/>
  <c r="P9" i="7"/>
  <c r="Q9" i="7" s="1"/>
  <c r="R9" i="7" s="1"/>
  <c r="U9" i="7"/>
  <c r="P99" i="7"/>
  <c r="Q99" i="7" s="1"/>
  <c r="R99" i="7" s="1"/>
  <c r="U99" i="7"/>
  <c r="P46" i="7"/>
  <c r="Q46" i="7" s="1"/>
  <c r="R46" i="7" s="1"/>
  <c r="U46" i="7"/>
  <c r="U92" i="7"/>
  <c r="P92" i="7"/>
  <c r="Q92" i="7" s="1"/>
  <c r="R92" i="7" s="1"/>
  <c r="P69" i="7"/>
  <c r="Q69" i="7" s="1"/>
  <c r="R69" i="7" s="1"/>
  <c r="U69" i="7"/>
  <c r="P75" i="7"/>
  <c r="Q75" i="7" s="1"/>
  <c r="R75" i="7" s="1"/>
  <c r="U75" i="7"/>
  <c r="U28" i="7"/>
  <c r="X28" i="7" s="1"/>
  <c r="P28" i="7"/>
  <c r="Q28" i="7" s="1"/>
  <c r="R28" i="7" s="1"/>
  <c r="P54" i="7"/>
  <c r="Q54" i="7" s="1"/>
  <c r="R54" i="7" s="1"/>
  <c r="U54" i="7"/>
  <c r="U56" i="7"/>
  <c r="P56" i="7"/>
  <c r="Q56" i="7" s="1"/>
  <c r="R56" i="7" s="1"/>
  <c r="U86" i="7"/>
  <c r="P86" i="7"/>
  <c r="Q86" i="7" s="1"/>
  <c r="R86" i="7" s="1"/>
  <c r="U87" i="7"/>
  <c r="P87" i="7"/>
  <c r="Q87" i="7" s="1"/>
  <c r="R87" i="7" s="1"/>
  <c r="U96" i="7"/>
  <c r="P96" i="7"/>
  <c r="Q96" i="7" s="1"/>
  <c r="R96" i="7" s="1"/>
  <c r="U7" i="7"/>
  <c r="P7" i="7"/>
  <c r="Q7" i="7" s="1"/>
  <c r="R7" i="7" s="1"/>
  <c r="P6" i="7"/>
  <c r="Q6" i="7" s="1"/>
  <c r="R6" i="7" s="1"/>
  <c r="U6" i="7"/>
  <c r="U32" i="7"/>
  <c r="P32" i="7"/>
  <c r="Q32" i="7" s="1"/>
  <c r="R32" i="7" s="1"/>
  <c r="U34" i="7"/>
  <c r="X34" i="7" s="1"/>
  <c r="P34" i="7"/>
  <c r="Q34" i="7" s="1"/>
  <c r="R34" i="7" s="1"/>
  <c r="P101" i="7"/>
  <c r="Q101" i="7" s="1"/>
  <c r="R101" i="7" s="1"/>
  <c r="U101" i="7"/>
  <c r="U35" i="7"/>
  <c r="P35" i="7"/>
  <c r="Q35" i="7" s="1"/>
  <c r="R35" i="7" s="1"/>
  <c r="U60" i="7"/>
  <c r="P60" i="7"/>
  <c r="Q60" i="7" s="1"/>
  <c r="R60" i="7" s="1"/>
  <c r="P31" i="7"/>
  <c r="Q31" i="7" s="1"/>
  <c r="R31" i="7" s="1"/>
  <c r="U31" i="7"/>
  <c r="P73" i="7"/>
  <c r="Q73" i="7" s="1"/>
  <c r="R73" i="7" s="1"/>
  <c r="U73" i="7"/>
  <c r="U77" i="7"/>
  <c r="P77" i="7"/>
  <c r="Q77" i="7" s="1"/>
  <c r="R77" i="7" s="1"/>
  <c r="P105" i="7"/>
  <c r="Q105" i="7" s="1"/>
  <c r="R105" i="7" s="1"/>
  <c r="U105" i="7"/>
  <c r="P71" i="7"/>
  <c r="Q71" i="7" s="1"/>
  <c r="R71" i="7" s="1"/>
  <c r="U71" i="7"/>
  <c r="U10" i="7"/>
  <c r="P10" i="7"/>
  <c r="Q10" i="7" s="1"/>
  <c r="R10" i="7" s="1"/>
  <c r="P81" i="7"/>
  <c r="Q81" i="7" s="1"/>
  <c r="R81" i="7" s="1"/>
  <c r="U81" i="7"/>
  <c r="P49" i="7"/>
  <c r="Q49" i="7" s="1"/>
  <c r="R49" i="7" s="1"/>
  <c r="U49" i="7"/>
  <c r="U72" i="7"/>
  <c r="P72" i="7"/>
  <c r="Q72" i="7" s="1"/>
  <c r="R72" i="7" s="1"/>
  <c r="P93" i="7"/>
  <c r="Q93" i="7" s="1"/>
  <c r="R93" i="7" s="1"/>
  <c r="U93" i="7"/>
  <c r="U97" i="7"/>
  <c r="P97" i="7"/>
  <c r="Q97" i="7" s="1"/>
  <c r="R97" i="7" s="1"/>
  <c r="U106" i="7"/>
  <c r="P106" i="7"/>
  <c r="Q106" i="7" s="1"/>
  <c r="R106" i="7" s="1"/>
  <c r="U64" i="7"/>
  <c r="P64" i="7"/>
  <c r="Q64" i="7" s="1"/>
  <c r="R64" i="7" s="1"/>
  <c r="U83" i="7"/>
  <c r="P83" i="7"/>
  <c r="Q83" i="7" s="1"/>
  <c r="R83" i="7" s="1"/>
  <c r="P88" i="7"/>
  <c r="Q88" i="7" s="1"/>
  <c r="R88" i="7" s="1"/>
  <c r="U88" i="7"/>
  <c r="U70" i="7"/>
  <c r="P70" i="7"/>
  <c r="Q70" i="7" s="1"/>
  <c r="R70" i="7" s="1"/>
  <c r="U80" i="7"/>
  <c r="P80" i="7"/>
  <c r="Q80" i="7" s="1"/>
  <c r="R80" i="7" s="1"/>
  <c r="U37" i="7"/>
  <c r="P37" i="7"/>
  <c r="Q37" i="7" s="1"/>
  <c r="R37" i="7" s="1"/>
  <c r="P13" i="7"/>
  <c r="Q13" i="7" s="1"/>
  <c r="R13" i="7" s="1"/>
  <c r="U13" i="7"/>
  <c r="P42" i="7"/>
  <c r="Q42" i="7" s="1"/>
  <c r="R42" i="7" s="1"/>
  <c r="U42" i="7"/>
  <c r="U95" i="7"/>
  <c r="P95" i="7"/>
  <c r="Q95" i="7" s="1"/>
  <c r="R95" i="7" s="1"/>
  <c r="P3" i="7" l="1"/>
  <c r="Q3" i="7" s="1"/>
  <c r="U3" i="7"/>
  <c r="U20" i="7"/>
  <c r="P20" i="7"/>
  <c r="Q20" i="7" s="1"/>
  <c r="R20" i="7" s="1"/>
  <c r="P16" i="7"/>
  <c r="Q16" i="7" s="1"/>
  <c r="R16" i="7" s="1"/>
  <c r="U16" i="7"/>
  <c r="U24" i="7"/>
  <c r="P24" i="7"/>
  <c r="Q24" i="7" s="1"/>
  <c r="R24" i="7" s="1"/>
  <c r="P23" i="7"/>
  <c r="Q23" i="7" s="1"/>
  <c r="R23" i="7" s="1"/>
  <c r="U23" i="7"/>
  <c r="U21" i="7"/>
  <c r="P21" i="7"/>
  <c r="Q21" i="7" s="1"/>
  <c r="R21" i="7" s="1"/>
  <c r="P27" i="7"/>
  <c r="Q27" i="7" s="1"/>
  <c r="U27" i="7"/>
  <c r="X27" i="7" s="1"/>
  <c r="U17" i="7"/>
  <c r="P17" i="7"/>
  <c r="Q17" i="7" s="1"/>
  <c r="R17" i="7" s="1"/>
  <c r="R27" i="7" l="1"/>
  <c r="R109" i="7" s="1"/>
  <c r="Q109" i="7"/>
  <c r="R3" i="7"/>
  <c r="R26" i="7" s="1"/>
  <c r="S26" i="7" s="1"/>
  <c r="Q26" i="7"/>
  <c r="U109" i="7" l="1"/>
  <c r="S109" i="7"/>
  <c r="R110" i="7"/>
  <c r="U110" i="7" s="1"/>
  <c r="Q110" i="7"/>
  <c r="U26" i="7"/>
</calcChain>
</file>

<file path=xl/sharedStrings.xml><?xml version="1.0" encoding="utf-8"?>
<sst xmlns="http://schemas.openxmlformats.org/spreadsheetml/2006/main" count="251" uniqueCount="194">
  <si>
    <t>Pro Forma</t>
  </si>
  <si>
    <t>Adj.</t>
  </si>
  <si>
    <t>%</t>
  </si>
  <si>
    <t>Total</t>
  </si>
  <si>
    <t>WM Brem-Air</t>
  </si>
  <si>
    <t>Disposal Summary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</si>
  <si>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</si>
  <si>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</si>
  <si>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</si>
  <si>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</si>
  <si>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</si>
  <si>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</si>
  <si>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</si>
  <si>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</si>
  <si>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Roll Off garbage</t>
  </si>
  <si>
    <t>Roll Off soils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</si>
  <si>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</si>
  <si>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</si>
  <si>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</si>
  <si>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</si>
  <si>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</si>
  <si>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</si>
  <si>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</si>
  <si>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</si>
  <si>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</si>
  <si>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</si>
  <si>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</si>
  <si>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</si>
  <si>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</si>
  <si>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</si>
  <si>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</si>
  <si>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</si>
  <si>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</si>
  <si>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</si>
  <si>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</si>
  <si>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</si>
  <si>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</si>
  <si>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</si>
  <si>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</si>
  <si>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</si>
  <si>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</si>
  <si>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</si>
  <si>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</si>
  <si>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</si>
  <si>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</si>
  <si>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</si>
  <si>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</si>
  <si>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</si>
  <si>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</si>
  <si>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</si>
  <si>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</si>
  <si>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</si>
  <si>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</si>
  <si>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</si>
  <si>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</si>
  <si>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</si>
  <si>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</si>
  <si>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</si>
  <si>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</si>
  <si>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</si>
  <si>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</si>
  <si>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</si>
  <si>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</si>
  <si>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</si>
  <si>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</si>
  <si>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</si>
  <si>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</si>
  <si>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</si>
  <si>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</si>
  <si>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</si>
  <si>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</si>
  <si>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</si>
  <si>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</si>
  <si>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</si>
  <si>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</si>
  <si>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</si>
  <si>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</si>
  <si>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</si>
  <si>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</si>
  <si>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</si>
  <si>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</si>
  <si>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</si>
  <si>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</si>
  <si>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</si>
  <si>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</si>
  <si>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</si>
  <si>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</si>
  <si>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</si>
  <si>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</si>
  <si>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</si>
  <si>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</si>
  <si>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</si>
  <si>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</si>
  <si>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</si>
  <si>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</si>
  <si>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</si>
  <si>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</si>
  <si>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</si>
  <si>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</si>
  <si>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</si>
  <si>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</si>
  <si>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</si>
  <si>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</si>
  <si>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</si>
  <si>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</si>
  <si>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</si>
  <si>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</si>
  <si>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</si>
  <si>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</si>
  <si>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</si>
  <si>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1 - 20 gallon can weekly</t>
  </si>
  <si>
    <t>1 -32 gallon can EOW</t>
  </si>
  <si>
    <t>1 - 32 gallon can monthly</t>
  </si>
  <si>
    <t>1 - 32 gallon can on call</t>
  </si>
  <si>
    <t>1 - 32 gallon can weekly</t>
  </si>
  <si>
    <t>2 - 32 gallon can weekly</t>
  </si>
  <si>
    <t>3 - 32 gallon can weekly</t>
  </si>
  <si>
    <t>4 - 32 gallon can weekly</t>
  </si>
  <si>
    <t>5 - 32 gallon can weekly</t>
  </si>
  <si>
    <t>1 - 32 gallon cart EOW</t>
  </si>
  <si>
    <t>1 - 32 gallon cart monthly</t>
  </si>
  <si>
    <t>1 - 32 gallon cart weekly</t>
  </si>
  <si>
    <t>2 - 32 gallon cart weekly</t>
  </si>
  <si>
    <t>4 - 32 gallon cart weekly</t>
  </si>
  <si>
    <t>1 - 64 gallon cart weekly</t>
  </si>
  <si>
    <t>2 - 64 gallon cart weekly</t>
  </si>
  <si>
    <t>3 - 64 gallon cart weekly</t>
  </si>
  <si>
    <t>1 - 96 gallon cart weekly</t>
  </si>
  <si>
    <t>2 - 96 gallon cart weekly</t>
  </si>
  <si>
    <t>3 - 96 gallon cart weekly</t>
  </si>
  <si>
    <t>Company Proposed Tariff</t>
  </si>
  <si>
    <t>1 - 32 gallon can</t>
  </si>
  <si>
    <t>2 - 32 gallon can</t>
  </si>
  <si>
    <t>3 - 32 gallon can</t>
  </si>
  <si>
    <t>4 - 32 gallon can</t>
  </si>
  <si>
    <t>5 - 32 gallon can</t>
  </si>
  <si>
    <t>6 - 32 gallon can</t>
  </si>
  <si>
    <t>96 - 32 gallon can</t>
  </si>
  <si>
    <t>1 - 32 gallon cart</t>
  </si>
  <si>
    <t>2 - 32 gallon cart</t>
  </si>
  <si>
    <t>1 - 64 gallon cart</t>
  </si>
  <si>
    <t>2 - 64 gallon cart</t>
  </si>
  <si>
    <t>3 - 64 gallon cart</t>
  </si>
  <si>
    <t>4 - 64 gallon cart</t>
  </si>
  <si>
    <t>6 - 64 gallon cart</t>
  </si>
  <si>
    <t>1 - 96 gallon cart</t>
  </si>
  <si>
    <t>2 - 96 gallon cart</t>
  </si>
  <si>
    <t>3 - 96 gallon cart</t>
  </si>
  <si>
    <t>4 - 96 gallon cart</t>
  </si>
  <si>
    <t>1 - 1 yard frontload</t>
  </si>
  <si>
    <t>1 - 1.5 yard frontload</t>
  </si>
  <si>
    <t>2 - 1.5 yard frontload</t>
  </si>
  <si>
    <t>1 - 2 yard frontload</t>
  </si>
  <si>
    <t>2 - 2 yard frontload</t>
  </si>
  <si>
    <t>1 - 3 yard frontload</t>
  </si>
  <si>
    <t>2 - 3 yard frontload</t>
  </si>
  <si>
    <t>3 - 3 yard frontload</t>
  </si>
  <si>
    <t>6 - 3 yard frontload</t>
  </si>
  <si>
    <t>4 - 3 yard frontload</t>
  </si>
  <si>
    <t>5 - 3 yard frontload</t>
  </si>
  <si>
    <t>1 - 4 yard frontload</t>
  </si>
  <si>
    <t>2 - 4 yard frontload</t>
  </si>
  <si>
    <t>4 - 4 yard frontload</t>
  </si>
  <si>
    <t>1 - 6 yard frontload</t>
  </si>
  <si>
    <t>2 - 6 yard frontload</t>
  </si>
  <si>
    <t>3 - 6 yard frontload</t>
  </si>
  <si>
    <t>4 - 6 yard frontload</t>
  </si>
  <si>
    <t>5 - 6 yard frontload</t>
  </si>
  <si>
    <t>6 - 6 yard frontload</t>
  </si>
  <si>
    <t>7 - 6 yard frontload</t>
  </si>
  <si>
    <t>1 - 8 yard frontload</t>
  </si>
  <si>
    <t>5 - 8 yard frontload</t>
  </si>
  <si>
    <t>1 - 2 yard compactor</t>
  </si>
  <si>
    <t>1 - 3 yard compactor</t>
  </si>
  <si>
    <t>1 - 4 yard compactor</t>
  </si>
  <si>
    <t>Extra Bag, Box, or Can</t>
  </si>
  <si>
    <t>Yardage MSW (Loose)</t>
  </si>
  <si>
    <t>na</t>
  </si>
  <si>
    <t>(per TG-143718)</t>
  </si>
  <si>
    <t>Roll Off</t>
  </si>
  <si>
    <t>after RO</t>
  </si>
  <si>
    <t>before RO</t>
  </si>
  <si>
    <t>Estimated</t>
  </si>
  <si>
    <t>1 - 20 gallon can cart</t>
  </si>
  <si>
    <t/>
  </si>
  <si>
    <t>Disposal Tariff Rate Increase</t>
  </si>
  <si>
    <t>1-6 yard compactor</t>
  </si>
  <si>
    <t>Special Pickups - Compact 2 YD</t>
  </si>
  <si>
    <t>Special Pickups - Compact 3 YD</t>
  </si>
  <si>
    <t>Special Pickups - Compact 4 YD</t>
  </si>
  <si>
    <t>Special Pickups - Compact 6 YD</t>
  </si>
  <si>
    <t>No Current Customers</t>
  </si>
  <si>
    <t>1 - 64 gallon cart EOW</t>
  </si>
  <si>
    <t>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</si>
</sst>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0.000%"/>
    <numFmt numFmtId="170" formatCode="_(&quot;$&quot;* #,##0.000000_);_(&quot;$&quot;* \(#,##0.000000\);_(&quot;$&quot;* &quot;-&quot;??_);_(@_)"/>
    <numFmt numFmtId="171" formatCode="0.0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81">
    <xf numFmtId="0" fontId="0" fillId="0" borderId="0" xfId="0"/>
    <xf numFmtId="0" fontId="0" fillId="0" borderId="0" xfId="0" applyBorder="1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0" fontId="15" fillId="0" borderId="0" xfId="14" applyFont="1" applyBorder="1"/>
    <xf numFmtId="44" fontId="21" fillId="0" borderId="0" xfId="13" applyFont="1" applyBorder="1"/>
    <xf numFmtId="166" fontId="15" fillId="0" borderId="0" xfId="13" applyNumberFormat="1" applyFont="1" applyBorder="1"/>
    <xf numFmtId="166" fontId="22" fillId="0" borderId="0" xfId="13" applyNumberFormat="1" applyFont="1" applyBorder="1"/>
    <xf numFmtId="44" fontId="15" fillId="0" borderId="0" xfId="14" applyNumberFormat="1" applyFont="1" applyBorder="1"/>
    <xf numFmtId="166" fontId="17" fillId="0" borderId="0" xfId="13" applyNumberFormat="1" applyFont="1" applyBorder="1"/>
    <xf numFmtId="166" fontId="23" fillId="0" borderId="0" xfId="13" applyNumberFormat="1" applyFont="1" applyBorder="1"/>
    <xf numFmtId="43" fontId="15" fillId="0" borderId="0" xfId="14" applyNumberFormat="1" applyFont="1" applyBorder="1"/>
    <xf numFmtId="166" fontId="15" fillId="0" borderId="0" xfId="14" applyNumberFormat="1" applyFont="1" applyBorder="1"/>
    <xf numFmtId="43" fontId="22" fillId="0" borderId="0" xfId="5" applyFont="1" applyBorder="1"/>
    <xf numFmtId="166" fontId="22" fillId="0" borderId="0" xfId="14" applyNumberFormat="1" applyFont="1" applyBorder="1"/>
    <xf numFmtId="43" fontId="17" fillId="0" borderId="0" xfId="14" applyNumberFormat="1" applyFont="1" applyBorder="1"/>
    <xf numFmtId="43" fontId="18" fillId="0" borderId="0" xfId="14" applyNumberFormat="1" applyFont="1" applyBorder="1"/>
    <xf numFmtId="43" fontId="23" fillId="0" borderId="0" xfId="14" applyNumberFormat="1" applyFont="1" applyBorder="1"/>
    <xf numFmtId="43" fontId="22" fillId="0" borderId="0" xfId="14" applyNumberFormat="1" applyFont="1" applyBorder="1"/>
    <xf numFmtId="0" fontId="2" fillId="0" borderId="0" xfId="14" applyBorder="1"/>
    <xf numFmtId="168" fontId="15" fillId="0" borderId="0" xfId="14" applyNumberFormat="1" applyFont="1" applyBorder="1"/>
    <xf numFmtId="0" fontId="1" fillId="0" borderId="0" xfId="0" applyFont="1"/>
    <xf numFmtId="44" fontId="1" fillId="0" borderId="0" xfId="12" applyFont="1"/>
    <xf numFmtId="44" fontId="0" fillId="0" borderId="0" xfId="0" applyNumberFormat="1"/>
    <xf numFmtId="0" fontId="0" fillId="0" borderId="0" xfId="0" applyFill="1"/>
    <xf numFmtId="0" fontId="1" fillId="0" borderId="0" xfId="0" applyFont="1" applyFill="1"/>
    <xf numFmtId="165" fontId="12" fillId="0" borderId="0" xfId="23" applyNumberFormat="1" applyFont="1"/>
    <xf numFmtId="0" fontId="6" fillId="0" borderId="0" xfId="15" applyFont="1" applyBorder="1"/>
    <xf numFmtId="0" fontId="13" fillId="0" borderId="0" xfId="0" applyFont="1" applyBorder="1" applyAlignment="1">
      <alignment horizontal="center"/>
    </xf>
    <xf numFmtId="165" fontId="15" fillId="0" borderId="0" xfId="23" applyNumberFormat="1" applyFont="1" applyBorder="1"/>
    <xf numFmtId="166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67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4" fillId="0" borderId="0" xfId="12" applyNumberFormat="1" applyFont="1" applyBorder="1"/>
    <xf numFmtId="0" fontId="24" fillId="0" borderId="0" xfId="0" applyFont="1"/>
    <xf numFmtId="164" fontId="24" fillId="0" borderId="0" xfId="1" applyNumberFormat="1" applyFont="1" applyBorder="1"/>
    <xf numFmtId="164" fontId="24" fillId="0" borderId="0" xfId="1" applyNumberFormat="1" applyFont="1"/>
    <xf numFmtId="164" fontId="25" fillId="0" borderId="0" xfId="1" applyNumberFormat="1" applyFont="1" applyBorder="1"/>
    <xf numFmtId="164" fontId="25" fillId="0" borderId="0" xfId="1" applyNumberFormat="1" applyFont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2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12" fillId="0" borderId="0" xfId="1" applyNumberFormat="1" applyFont="1"/>
    <xf numFmtId="0" fontId="0" fillId="4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2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wrapText="1"/>
    </xf>
    <xf numFmtId="164" fontId="13" fillId="5" borderId="2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2" fillId="6" borderId="0" xfId="11" applyFont="1" applyFill="1" applyBorder="1"/>
    <xf numFmtId="0" fontId="0" fillId="0" borderId="0" xfId="0" applyFont="1" applyFill="1" applyBorder="1"/>
    <xf numFmtId="43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 wrapText="1"/>
    </xf>
    <xf numFmtId="43" fontId="26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4" fontId="26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4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4" fontId="12" fillId="0" borderId="0" xfId="1" applyNumberFormat="1" applyFont="1" applyBorder="1"/>
    <xf numFmtId="164" fontId="1" fillId="0" borderId="0" xfId="1" applyNumberFormat="1" applyFont="1"/>
    <xf numFmtId="0" fontId="0" fillId="0" borderId="0" xfId="0" applyFont="1" applyBorder="1" applyAlignment="1">
      <alignment horizontal="center"/>
    </xf>
    <xf numFmtId="0" fontId="27" fillId="0" borderId="0" xfId="22" applyFont="1" applyFill="1" applyBorder="1" applyAlignment="1">
      <alignment horizontal="left"/>
    </xf>
    <xf numFmtId="164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4" fontId="12" fillId="0" borderId="0" xfId="1" applyNumberFormat="1" applyFont="1" applyFill="1" applyBorder="1"/>
    <xf numFmtId="166" fontId="0" fillId="0" borderId="0" xfId="0" applyNumberFormat="1" applyFont="1" applyBorder="1"/>
    <xf numFmtId="0" fontId="14" fillId="0" borderId="0" xfId="18" applyFont="1" applyBorder="1" applyAlignment="1">
      <alignment horizontal="left"/>
    </xf>
    <xf numFmtId="0" fontId="0" fillId="0" borderId="0" xfId="0" applyFont="1" applyFill="1" applyBorder="1" applyAlignment="1"/>
    <xf numFmtId="164" fontId="13" fillId="0" borderId="2" xfId="1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43" fontId="0" fillId="0" borderId="0" xfId="0" applyNumberFormat="1" applyFont="1" applyBorder="1"/>
    <xf numFmtId="164" fontId="26" fillId="0" borderId="0" xfId="1" applyNumberFormat="1" applyFont="1" applyFill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26" fillId="0" borderId="0" xfId="22" applyFont="1" applyFill="1" applyBorder="1" applyAlignment="1">
      <alignment horizontal="left"/>
    </xf>
    <xf numFmtId="43" fontId="12" fillId="0" borderId="0" xfId="1" applyFont="1" applyBorder="1"/>
    <xf numFmtId="44" fontId="0" fillId="0" borderId="0" xfId="0" applyNumberFormat="1" applyFont="1" applyBorder="1"/>
    <xf numFmtId="166" fontId="12" fillId="0" borderId="0" xfId="11" applyNumberFormat="1" applyFont="1" applyBorder="1"/>
    <xf numFmtId="44" fontId="12" fillId="0" borderId="0" xfId="11" applyFont="1" applyBorder="1" applyAlignment="1">
      <alignment horizontal="right"/>
    </xf>
    <xf numFmtId="168" fontId="12" fillId="0" borderId="0" xfId="11" applyNumberFormat="1" applyFont="1" applyBorder="1"/>
    <xf numFmtId="44" fontId="1" fillId="0" borderId="0" xfId="12" applyFont="1" applyFill="1"/>
    <xf numFmtId="43" fontId="12" fillId="0" borderId="0" xfId="11" applyNumberFormat="1" applyFont="1" applyFill="1" applyBorder="1"/>
    <xf numFmtId="164" fontId="12" fillId="0" borderId="0" xfId="1" applyNumberFormat="1" applyFont="1" applyFill="1" applyBorder="1"/>
    <xf numFmtId="44" fontId="12" fillId="0" borderId="0" xfId="1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68" fontId="12" fillId="0" borderId="0" xfId="11" applyNumberFormat="1" applyFont="1" applyFill="1"/>
    <xf numFmtId="168" fontId="12" fillId="0" borderId="2" xfId="11" applyNumberFormat="1" applyFont="1" applyFill="1" applyBorder="1"/>
    <xf numFmtId="170" fontId="12" fillId="0" borderId="0" xfId="11" applyNumberFormat="1" applyFont="1" applyFill="1"/>
    <xf numFmtId="164" fontId="1" fillId="0" borderId="0" xfId="1" applyNumberFormat="1" applyFont="1" applyFill="1"/>
    <xf numFmtId="0" fontId="0" fillId="7" borderId="0" xfId="0" applyFont="1" applyFill="1" applyBorder="1" applyAlignment="1">
      <alignment horizontal="center" vertical="center"/>
    </xf>
    <xf numFmtId="0" fontId="12" fillId="7" borderId="0" xfId="1" applyNumberFormat="1" applyFont="1" applyFill="1" applyBorder="1"/>
    <xf numFmtId="164" fontId="12" fillId="7" borderId="0" xfId="1" applyNumberFormat="1" applyFont="1" applyFill="1" applyBorder="1"/>
    <xf numFmtId="0" fontId="0" fillId="0" borderId="0" xfId="0" applyFont="1" applyFill="1" applyBorder="1" applyAlignment="1">
      <alignment horizontal="left"/>
    </xf>
    <xf numFmtId="43" fontId="11" fillId="0" borderId="3" xfId="7" applyNumberFormat="1" applyFont="1" applyFill="1" applyBorder="1"/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ont="1" applyFill="1" applyBorder="1"/>
    <xf numFmtId="164" fontId="13" fillId="5" borderId="2" xfId="0" applyNumberFormat="1" applyFont="1" applyFill="1" applyBorder="1" applyAlignment="1">
      <alignment horizontal="right"/>
    </xf>
    <xf numFmtId="164" fontId="0" fillId="0" borderId="0" xfId="0" applyNumberFormat="1" applyFont="1" applyBorder="1"/>
    <xf numFmtId="44" fontId="29" fillId="0" borderId="0" xfId="11" applyFont="1" applyBorder="1" applyAlignment="1">
      <alignment horizontal="right"/>
    </xf>
    <xf numFmtId="44" fontId="12" fillId="0" borderId="0" xfId="11" applyNumberFormat="1" applyFont="1" applyFill="1" applyBorder="1"/>
    <xf numFmtId="44" fontId="12" fillId="0" borderId="0" xfId="11" applyFont="1"/>
    <xf numFmtId="166" fontId="12" fillId="0" borderId="0" xfId="11" applyNumberFormat="1" applyFont="1"/>
    <xf numFmtId="166" fontId="30" fillId="0" borderId="0" xfId="11" applyNumberFormat="1" applyFont="1"/>
    <xf numFmtId="166" fontId="29" fillId="0" borderId="0" xfId="0" applyNumberFormat="1" applyFont="1"/>
    <xf numFmtId="169" fontId="12" fillId="0" borderId="0" xfId="23" applyNumberFormat="1" applyFont="1"/>
    <xf numFmtId="167" fontId="12" fillId="0" borderId="0" xfId="23" applyNumberFormat="1" applyFont="1"/>
    <xf numFmtId="167" fontId="12" fillId="0" borderId="0" xfId="23" applyNumberFormat="1" applyFont="1" applyBorder="1"/>
    <xf numFmtId="167" fontId="31" fillId="0" borderId="0" xfId="23" applyNumberFormat="1" applyFont="1"/>
    <xf numFmtId="167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67" fontId="0" fillId="0" borderId="0" xfId="0" applyNumberFormat="1"/>
    <xf numFmtId="167" fontId="31" fillId="0" borderId="0" xfId="0" applyNumberFormat="1" applyFont="1"/>
    <xf numFmtId="167" fontId="10" fillId="0" borderId="0" xfId="24" applyNumberFormat="1" applyFont="1" applyAlignment="1">
      <alignment horizontal="right"/>
    </xf>
    <xf numFmtId="167" fontId="33" fillId="0" borderId="0" xfId="23" applyNumberFormat="1" applyFont="1"/>
    <xf numFmtId="10" fontId="12" fillId="0" borderId="0" xfId="23" applyNumberFormat="1" applyFont="1" applyFill="1" applyBorder="1"/>
    <xf numFmtId="10" fontId="13" fillId="0" borderId="0" xfId="23" applyNumberFormat="1" applyFont="1" applyFill="1" applyBorder="1"/>
    <xf numFmtId="10" fontId="13" fillId="0" borderId="0" xfId="23" applyNumberFormat="1" applyFont="1" applyBorder="1"/>
    <xf numFmtId="0" fontId="0" fillId="0" borderId="0" xfId="0" applyFont="1" applyFill="1" applyBorder="1" applyAlignment="1">
      <alignment horizontal="center" vertical="center" textRotation="90"/>
    </xf>
    <xf numFmtId="0" fontId="27" fillId="5" borderId="2" xfId="22" quotePrefix="1" applyFont="1" applyFill="1" applyBorder="1" applyAlignment="1">
      <alignment horizontal="left"/>
    </xf>
    <xf numFmtId="44" fontId="1" fillId="8" borderId="0" xfId="12" applyFont="1" applyFill="1"/>
    <xf numFmtId="44" fontId="12" fillId="8" borderId="0" xfId="11" applyFont="1" applyFill="1" applyBorder="1"/>
    <xf numFmtId="44" fontId="12" fillId="8" borderId="2" xfId="11" applyFont="1" applyFill="1" applyBorder="1"/>
    <xf numFmtId="44" fontId="13" fillId="8" borderId="0" xfId="11" applyFont="1" applyFill="1" applyBorder="1" applyAlignment="1">
      <alignment horizontal="right"/>
    </xf>
    <xf numFmtId="0" fontId="0" fillId="8" borderId="0" xfId="0" applyFont="1" applyFill="1" applyBorder="1"/>
    <xf numFmtId="44" fontId="12" fillId="0" borderId="0" xfId="11" applyFont="1" applyBorder="1"/>
    <xf numFmtId="44" fontId="12" fillId="0" borderId="0" xfId="11" applyFont="1" applyFill="1" applyBorder="1"/>
    <xf numFmtId="165" fontId="12" fillId="0" borderId="0" xfId="23" applyNumberFormat="1" applyFont="1"/>
    <xf numFmtId="44" fontId="0" fillId="0" borderId="0" xfId="0" applyNumberFormat="1" applyFont="1" applyFill="1" applyBorder="1"/>
    <xf numFmtId="44" fontId="0" fillId="0" borderId="0" xfId="11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</cellXfs>
  <cellStyles count="35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2" xfId="12" xr:uid="{00000000-0005-0000-0000-00000B000000}"/>
    <cellStyle name="Currency 2 6" xfId="13" xr:uid="{00000000-0005-0000-0000-00000C000000}"/>
    <cellStyle name="Normal" xfId="0" builtinId="0"/>
    <cellStyle name="Normal 10" xfId="14" xr:uid="{00000000-0005-0000-0000-00000E000000}"/>
    <cellStyle name="Normal 2" xfId="15" xr:uid="{00000000-0005-0000-0000-00000F000000}"/>
    <cellStyle name="Normal 2 2 2 2 3" xfId="16" xr:uid="{00000000-0005-0000-0000-000010000000}"/>
    <cellStyle name="Normal 2 8" xfId="17" xr:uid="{00000000-0005-0000-0000-000011000000}"/>
    <cellStyle name="Normal 90" xfId="18" xr:uid="{00000000-0005-0000-0000-000012000000}"/>
    <cellStyle name="Normal 93" xfId="19" xr:uid="{00000000-0005-0000-0000-000013000000}"/>
    <cellStyle name="Normal 94" xfId="20" xr:uid="{00000000-0005-0000-0000-000014000000}"/>
    <cellStyle name="Normal 98" xfId="21" xr:uid="{00000000-0005-0000-0000-000015000000}"/>
    <cellStyle name="Normal_Price out" xfId="22" xr:uid="{00000000-0005-0000-0000-000016000000}"/>
    <cellStyle name="Percent" xfId="23" builtinId="5"/>
    <cellStyle name="Percent 2" xfId="24" xr:uid="{00000000-0005-0000-0000-000018000000}"/>
    <cellStyle name="Percent 2 6" xfId="25" xr:uid="{00000000-0005-0000-0000-000019000000}"/>
    <cellStyle name="Percent 3" xfId="26" xr:uid="{00000000-0005-0000-0000-00001A000000}"/>
    <cellStyle name="PS_Comma" xfId="27" xr:uid="{00000000-0005-0000-0000-00001B000000}"/>
    <cellStyle name="PSChar" xfId="28" xr:uid="{00000000-0005-0000-0000-00001C000000}"/>
    <cellStyle name="PSDate" xfId="29" xr:uid="{00000000-0005-0000-0000-00001D000000}"/>
    <cellStyle name="PSDec" xfId="30" xr:uid="{00000000-0005-0000-0000-00001E000000}"/>
    <cellStyle name="PSHeading" xfId="31" xr:uid="{00000000-0005-0000-0000-00001F000000}"/>
    <cellStyle name="PSInt" xfId="32" xr:uid="{00000000-0005-0000-0000-000020000000}"/>
    <cellStyle name="PSSpacer" xfId="33" xr:uid="{00000000-0005-0000-0000-000021000000}"/>
    <cellStyle name="WM_STANDARD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workbookViewId="0">
      <selection activeCell="H22" sqref="H22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5" max="5" width="11.5703125" bestFit="1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74" t="s">
        <v>17</v>
      </c>
      <c r="B1" s="174"/>
      <c r="C1" s="174"/>
      <c r="D1" s="174"/>
      <c r="E1" s="174"/>
      <c r="F1" s="174"/>
      <c r="G1" s="174"/>
      <c r="H1" s="174"/>
    </row>
    <row r="2" spans="1:8" x14ac:dyDescent="0.25">
      <c r="A2" s="51" t="s">
        <v>18</v>
      </c>
      <c r="B2" s="52" t="s">
        <v>19</v>
      </c>
      <c r="C2" s="52" t="s">
        <v>20</v>
      </c>
      <c r="D2" s="52" t="s">
        <v>21</v>
      </c>
      <c r="E2" s="53" t="s">
        <v>22</v>
      </c>
      <c r="F2" s="53" t="s">
        <v>23</v>
      </c>
      <c r="G2" s="53" t="s">
        <v>24</v>
      </c>
      <c r="H2" s="52" t="s">
        <v>25</v>
      </c>
    </row>
    <row r="3" spans="1:8" x14ac:dyDescent="0.25">
      <c r="A3" s="51" t="s">
        <v>26</v>
      </c>
      <c r="B3" s="54">
        <f>52*5/12</f>
        <v>21.666666666666668</v>
      </c>
      <c r="C3" s="55">
        <f>$B$3*2</f>
        <v>43.333333333333336</v>
      </c>
      <c r="D3" s="55">
        <f>$B$3*3</f>
        <v>65</v>
      </c>
      <c r="E3" s="55">
        <f>$B$3*4</f>
        <v>86.666666666666671</v>
      </c>
      <c r="F3" s="55">
        <f>$B$3*5</f>
        <v>108.33333333333334</v>
      </c>
      <c r="G3" s="55">
        <f>$B$3*6</f>
        <v>130</v>
      </c>
      <c r="H3" s="55">
        <f>$B$3*7</f>
        <v>151.66666666666669</v>
      </c>
    </row>
    <row r="4" spans="1:8" x14ac:dyDescent="0.25">
      <c r="A4" s="51" t="s">
        <v>27</v>
      </c>
      <c r="B4" s="54">
        <f>52*4/12</f>
        <v>17.333333333333332</v>
      </c>
      <c r="C4" s="55">
        <f>$B$4*2</f>
        <v>34.666666666666664</v>
      </c>
      <c r="D4" s="55">
        <f>$B$4*3</f>
        <v>52</v>
      </c>
      <c r="E4" s="55">
        <f>$B$4*4</f>
        <v>69.333333333333329</v>
      </c>
      <c r="F4" s="55">
        <f>$B$4*5</f>
        <v>86.666666666666657</v>
      </c>
      <c r="G4" s="55">
        <f>$B$4*6</f>
        <v>104</v>
      </c>
      <c r="H4" s="55">
        <f>$B$4*7</f>
        <v>121.33333333333333</v>
      </c>
    </row>
    <row r="5" spans="1:8" x14ac:dyDescent="0.25">
      <c r="A5" s="51" t="s">
        <v>28</v>
      </c>
      <c r="B5" s="54">
        <f>52*3/12</f>
        <v>13</v>
      </c>
      <c r="C5" s="55">
        <f>$B$5*2</f>
        <v>26</v>
      </c>
      <c r="D5" s="55">
        <f>$B$5*3</f>
        <v>39</v>
      </c>
      <c r="E5" s="55">
        <f>$B$5*4</f>
        <v>52</v>
      </c>
      <c r="F5" s="55">
        <f>$B$5*5</f>
        <v>65</v>
      </c>
      <c r="G5" s="55">
        <f>$B$5*6</f>
        <v>78</v>
      </c>
      <c r="H5" s="55">
        <f>$B$5*7</f>
        <v>91</v>
      </c>
    </row>
    <row r="6" spans="1:8" x14ac:dyDescent="0.25">
      <c r="A6" s="51" t="s">
        <v>29</v>
      </c>
      <c r="B6" s="54">
        <f>52*2/12</f>
        <v>8.6666666666666661</v>
      </c>
      <c r="C6" s="56">
        <f>$B$6*2</f>
        <v>17.333333333333332</v>
      </c>
      <c r="D6" s="56">
        <f>$B$6*3</f>
        <v>26</v>
      </c>
      <c r="E6" s="56">
        <f>$B$6*4</f>
        <v>34.666666666666664</v>
      </c>
      <c r="F6" s="56">
        <f>$B$6*5</f>
        <v>43.333333333333329</v>
      </c>
      <c r="G6" s="56">
        <f>$B$6*6</f>
        <v>52</v>
      </c>
      <c r="H6" s="56">
        <f>$B$6*7</f>
        <v>60.666666666666664</v>
      </c>
    </row>
    <row r="7" spans="1:8" x14ac:dyDescent="0.25">
      <c r="A7" s="51" t="s">
        <v>30</v>
      </c>
      <c r="B7" s="54">
        <f>52/12</f>
        <v>4.333333333333333</v>
      </c>
      <c r="C7" s="56">
        <f>$B$7*2</f>
        <v>8.6666666666666661</v>
      </c>
      <c r="D7" s="56">
        <f>$B$7*3</f>
        <v>13</v>
      </c>
      <c r="E7" s="56">
        <f>$B$7*4</f>
        <v>17.333333333333332</v>
      </c>
      <c r="F7" s="56">
        <f>$B$7*5</f>
        <v>21.666666666666664</v>
      </c>
      <c r="G7" s="56">
        <f>$B$7*6</f>
        <v>26</v>
      </c>
      <c r="H7" s="56">
        <f>$B$7*7</f>
        <v>30.333333333333332</v>
      </c>
    </row>
    <row r="8" spans="1:8" x14ac:dyDescent="0.25">
      <c r="A8" s="51" t="s">
        <v>31</v>
      </c>
      <c r="B8" s="54">
        <f>26/12</f>
        <v>2.1666666666666665</v>
      </c>
      <c r="C8" s="56">
        <f>$B$8*2</f>
        <v>4.333333333333333</v>
      </c>
      <c r="D8" s="56">
        <f>$B$8*3</f>
        <v>6.5</v>
      </c>
      <c r="E8" s="56">
        <f>$B$8*4</f>
        <v>8.6666666666666661</v>
      </c>
      <c r="F8" s="56">
        <f>$B$8*5</f>
        <v>10.833333333333332</v>
      </c>
      <c r="G8" s="56">
        <f>$B$8*6</f>
        <v>13</v>
      </c>
      <c r="H8" s="56">
        <f>$B$8*7</f>
        <v>15.166666666666666</v>
      </c>
    </row>
    <row r="9" spans="1:8" x14ac:dyDescent="0.25">
      <c r="A9" s="51" t="s">
        <v>32</v>
      </c>
      <c r="B9" s="54">
        <f>12/12</f>
        <v>1</v>
      </c>
      <c r="C9" s="56">
        <f>$B$9*2</f>
        <v>2</v>
      </c>
      <c r="D9" s="56">
        <f>$B$9*3</f>
        <v>3</v>
      </c>
      <c r="E9" s="56">
        <f>$B$9*4</f>
        <v>4</v>
      </c>
      <c r="F9" s="56">
        <f>$B$9*5</f>
        <v>5</v>
      </c>
      <c r="G9" s="56">
        <f>$B$9*6</f>
        <v>6</v>
      </c>
      <c r="H9" s="56">
        <f>$B$9*7</f>
        <v>7</v>
      </c>
    </row>
    <row r="10" spans="1:8" x14ac:dyDescent="0.25">
      <c r="A10" s="51"/>
      <c r="B10" s="54"/>
      <c r="C10" s="56"/>
      <c r="D10" s="56"/>
      <c r="E10" s="56"/>
      <c r="F10" s="56"/>
      <c r="G10" s="56"/>
      <c r="H10" s="56"/>
    </row>
    <row r="11" spans="1:8" x14ac:dyDescent="0.25">
      <c r="A11" s="174" t="s">
        <v>33</v>
      </c>
      <c r="B11" s="174"/>
      <c r="C11" s="56"/>
      <c r="D11" s="56"/>
      <c r="E11" s="56"/>
      <c r="F11" s="56"/>
      <c r="G11" s="56"/>
      <c r="H11" s="56"/>
    </row>
    <row r="12" spans="1:8" x14ac:dyDescent="0.25">
      <c r="A12" s="57" t="s">
        <v>34</v>
      </c>
      <c r="B12" s="58" t="s">
        <v>35</v>
      </c>
      <c r="C12" s="56"/>
      <c r="D12" s="56"/>
      <c r="E12" s="56"/>
      <c r="F12" s="56"/>
      <c r="G12" s="56"/>
      <c r="H12" s="56"/>
    </row>
    <row r="13" spans="1:8" x14ac:dyDescent="0.25">
      <c r="A13" s="59" t="s">
        <v>36</v>
      </c>
      <c r="B13" s="60">
        <v>20</v>
      </c>
      <c r="C13" s="56"/>
      <c r="D13" s="56"/>
      <c r="E13" s="56"/>
      <c r="F13" s="56"/>
      <c r="G13" s="56"/>
      <c r="H13" s="56"/>
    </row>
    <row r="14" spans="1:8" x14ac:dyDescent="0.25">
      <c r="A14" s="59" t="s">
        <v>37</v>
      </c>
      <c r="B14" s="60">
        <v>34</v>
      </c>
      <c r="C14" s="56"/>
      <c r="D14" s="56"/>
      <c r="E14" s="56"/>
      <c r="F14" s="56"/>
      <c r="G14" s="56"/>
      <c r="H14" s="56"/>
    </row>
    <row r="15" spans="1:8" x14ac:dyDescent="0.25">
      <c r="A15" s="59" t="s">
        <v>38</v>
      </c>
      <c r="B15" s="60">
        <v>51</v>
      </c>
      <c r="C15" s="56"/>
      <c r="D15" s="56"/>
      <c r="E15" s="56"/>
      <c r="F15" s="56"/>
      <c r="G15" s="56"/>
      <c r="H15" s="56"/>
    </row>
    <row r="16" spans="1:8" x14ac:dyDescent="0.25">
      <c r="A16" s="59" t="s">
        <v>39</v>
      </c>
      <c r="B16" s="60">
        <v>77</v>
      </c>
      <c r="C16" s="56"/>
      <c r="D16" s="56"/>
      <c r="E16" s="56"/>
      <c r="F16" s="51" t="s">
        <v>40</v>
      </c>
      <c r="G16" s="60">
        <v>2000</v>
      </c>
      <c r="H16" s="56"/>
    </row>
    <row r="17" spans="1:8" x14ac:dyDescent="0.25">
      <c r="A17" s="59" t="s">
        <v>41</v>
      </c>
      <c r="B17" s="60">
        <v>97</v>
      </c>
      <c r="C17" s="56"/>
      <c r="D17" s="56"/>
      <c r="E17" s="56"/>
      <c r="F17" s="51" t="s">
        <v>42</v>
      </c>
      <c r="G17" s="61" t="s">
        <v>43</v>
      </c>
      <c r="H17" s="56"/>
    </row>
    <row r="18" spans="1:8" x14ac:dyDescent="0.25">
      <c r="A18" s="59" t="s">
        <v>44</v>
      </c>
      <c r="B18" s="60">
        <v>117</v>
      </c>
      <c r="C18" s="56"/>
      <c r="D18" s="56"/>
      <c r="E18" s="56"/>
      <c r="F18" s="51"/>
      <c r="G18" s="51"/>
      <c r="H18" s="56"/>
    </row>
    <row r="19" spans="1:8" x14ac:dyDescent="0.25">
      <c r="A19" s="59" t="s">
        <v>45</v>
      </c>
      <c r="B19" s="60">
        <v>157</v>
      </c>
      <c r="C19" s="56"/>
      <c r="D19" s="56"/>
      <c r="E19" s="56"/>
      <c r="F19" s="62"/>
      <c r="G19" s="63"/>
      <c r="H19" s="56"/>
    </row>
    <row r="20" spans="1:8" x14ac:dyDescent="0.25">
      <c r="A20" s="59" t="s">
        <v>46</v>
      </c>
      <c r="B20" s="60">
        <v>37</v>
      </c>
      <c r="C20" s="56" t="s">
        <v>47</v>
      </c>
      <c r="D20" s="56"/>
      <c r="E20" s="56"/>
      <c r="F20" s="62"/>
      <c r="G20" s="63"/>
      <c r="H20" s="56"/>
    </row>
    <row r="21" spans="1:8" x14ac:dyDescent="0.25">
      <c r="A21" s="59" t="s">
        <v>48</v>
      </c>
      <c r="B21" s="60">
        <v>47</v>
      </c>
      <c r="C21" s="56"/>
      <c r="D21" s="56"/>
      <c r="E21" s="56"/>
      <c r="F21" s="56"/>
      <c r="G21" s="56"/>
      <c r="H21" s="56"/>
    </row>
    <row r="22" spans="1:8" x14ac:dyDescent="0.25">
      <c r="A22" s="59" t="s">
        <v>49</v>
      </c>
      <c r="B22" s="60">
        <v>68</v>
      </c>
      <c r="C22" s="56"/>
      <c r="D22" s="56"/>
      <c r="E22" s="56"/>
      <c r="F22" s="56"/>
      <c r="G22" s="56"/>
      <c r="H22" s="56"/>
    </row>
    <row r="23" spans="1:8" x14ac:dyDescent="0.25">
      <c r="A23" s="59" t="s">
        <v>50</v>
      </c>
      <c r="B23" s="60">
        <v>34</v>
      </c>
      <c r="C23" s="56"/>
      <c r="D23" s="56"/>
      <c r="E23" s="56"/>
      <c r="F23" s="56"/>
      <c r="G23" s="56"/>
      <c r="H23" s="56"/>
    </row>
    <row r="24" spans="1:8" x14ac:dyDescent="0.25">
      <c r="A24" s="59" t="s">
        <v>51</v>
      </c>
      <c r="B24" s="60">
        <v>34</v>
      </c>
      <c r="C24" s="56"/>
      <c r="D24" s="56"/>
      <c r="E24" s="56"/>
      <c r="F24" s="56"/>
      <c r="G24" s="56"/>
      <c r="H24" s="56"/>
    </row>
    <row r="25" spans="1:8" x14ac:dyDescent="0.25">
      <c r="A25" s="57" t="s">
        <v>52</v>
      </c>
      <c r="B25" s="60"/>
      <c r="C25" s="56"/>
      <c r="D25" s="56"/>
      <c r="E25" s="56"/>
      <c r="F25" s="56"/>
      <c r="G25" s="56"/>
      <c r="H25" s="56"/>
    </row>
    <row r="26" spans="1:8" x14ac:dyDescent="0.25">
      <c r="A26" s="59" t="s">
        <v>53</v>
      </c>
      <c r="B26" s="60">
        <v>29</v>
      </c>
      <c r="C26" s="56"/>
      <c r="D26" s="56"/>
      <c r="E26" s="56"/>
      <c r="F26" s="56"/>
      <c r="G26" s="56"/>
      <c r="H26" s="56"/>
    </row>
    <row r="27" spans="1:8" x14ac:dyDescent="0.25">
      <c r="A27" s="59" t="s">
        <v>54</v>
      </c>
      <c r="B27" s="60">
        <v>175</v>
      </c>
      <c r="C27" s="56"/>
      <c r="D27" s="56"/>
      <c r="E27" s="56"/>
      <c r="F27" s="56"/>
      <c r="G27" s="56"/>
      <c r="H27" s="56"/>
    </row>
    <row r="28" spans="1:8" x14ac:dyDescent="0.25">
      <c r="A28" s="59" t="s">
        <v>55</v>
      </c>
      <c r="B28" s="60">
        <v>250</v>
      </c>
      <c r="C28" s="56"/>
      <c r="D28" s="56"/>
      <c r="E28" s="56"/>
      <c r="F28" s="56"/>
      <c r="G28" s="56"/>
      <c r="H28" s="56"/>
    </row>
    <row r="29" spans="1:8" x14ac:dyDescent="0.25">
      <c r="A29" s="59" t="s">
        <v>56</v>
      </c>
      <c r="B29" s="60">
        <v>324</v>
      </c>
      <c r="C29" s="56"/>
      <c r="D29" s="56"/>
      <c r="E29" s="56"/>
      <c r="F29" s="56"/>
      <c r="G29" s="56"/>
      <c r="H29" s="56"/>
    </row>
    <row r="30" spans="1:8" x14ac:dyDescent="0.25">
      <c r="A30" s="59" t="s">
        <v>57</v>
      </c>
      <c r="B30" s="60">
        <v>473</v>
      </c>
      <c r="C30" s="56"/>
      <c r="D30" s="56"/>
      <c r="E30" s="56"/>
      <c r="F30" s="56"/>
      <c r="G30" s="56"/>
      <c r="H30" s="56"/>
    </row>
    <row r="31" spans="1:8" x14ac:dyDescent="0.25">
      <c r="A31" s="59" t="s">
        <v>58</v>
      </c>
      <c r="B31" s="60">
        <v>613</v>
      </c>
      <c r="C31" s="56"/>
      <c r="D31" s="56"/>
      <c r="E31" s="56"/>
      <c r="F31" s="56"/>
      <c r="G31" s="56"/>
      <c r="H31" s="56"/>
    </row>
    <row r="32" spans="1:8" x14ac:dyDescent="0.25">
      <c r="A32" s="59" t="s">
        <v>59</v>
      </c>
      <c r="B32" s="60">
        <v>840</v>
      </c>
      <c r="C32" s="56"/>
      <c r="D32" s="56"/>
      <c r="E32" s="56"/>
      <c r="F32" s="56"/>
      <c r="G32" s="56"/>
      <c r="H32" s="56"/>
    </row>
    <row r="33" spans="1:8" x14ac:dyDescent="0.25">
      <c r="A33" s="59" t="s">
        <v>60</v>
      </c>
      <c r="B33" s="60">
        <v>980</v>
      </c>
      <c r="C33" s="56"/>
      <c r="D33" s="56"/>
      <c r="E33" s="56"/>
      <c r="F33" s="56"/>
      <c r="G33" s="56"/>
      <c r="H33" s="56"/>
    </row>
    <row r="34" spans="1:8" x14ac:dyDescent="0.25">
      <c r="A34" s="59" t="s">
        <v>61</v>
      </c>
      <c r="B34" s="60">
        <v>482</v>
      </c>
      <c r="C34" s="56" t="s">
        <v>47</v>
      </c>
      <c r="D34" s="56"/>
      <c r="E34" s="56"/>
      <c r="F34" s="56"/>
      <c r="G34" s="56"/>
      <c r="H34" s="56"/>
    </row>
    <row r="35" spans="1:8" x14ac:dyDescent="0.25">
      <c r="A35" s="59" t="s">
        <v>62</v>
      </c>
      <c r="B35" s="60">
        <v>689</v>
      </c>
      <c r="C35" s="56" t="s">
        <v>47</v>
      </c>
      <c r="D35" s="56"/>
      <c r="E35" s="56"/>
      <c r="F35" s="56"/>
      <c r="G35" s="56"/>
      <c r="H35" s="56"/>
    </row>
    <row r="36" spans="1:8" x14ac:dyDescent="0.25">
      <c r="A36" s="59" t="s">
        <v>63</v>
      </c>
      <c r="B36" s="60">
        <v>892</v>
      </c>
      <c r="C36" s="56" t="s">
        <v>47</v>
      </c>
      <c r="D36" s="56"/>
      <c r="E36" s="56"/>
      <c r="F36" s="56"/>
      <c r="G36" s="56"/>
      <c r="H36" s="56"/>
    </row>
    <row r="37" spans="1:8" x14ac:dyDescent="0.25">
      <c r="A37" s="59" t="s">
        <v>64</v>
      </c>
      <c r="B37" s="60">
        <v>1301</v>
      </c>
      <c r="C37" s="56"/>
      <c r="D37" s="56"/>
      <c r="E37" s="56"/>
      <c r="F37" s="56"/>
      <c r="G37" s="56"/>
      <c r="H37" s="56"/>
    </row>
    <row r="38" spans="1:8" x14ac:dyDescent="0.25">
      <c r="A38" s="59" t="s">
        <v>65</v>
      </c>
      <c r="B38" s="60">
        <v>1686</v>
      </c>
      <c r="C38" s="56"/>
      <c r="D38" s="56"/>
      <c r="E38" s="56"/>
      <c r="F38" s="56"/>
      <c r="G38" s="56"/>
      <c r="H38" s="56"/>
    </row>
    <row r="39" spans="1:8" x14ac:dyDescent="0.25">
      <c r="A39" s="59" t="s">
        <v>66</v>
      </c>
      <c r="B39" s="60">
        <v>2046</v>
      </c>
      <c r="C39" s="56"/>
      <c r="D39" s="56"/>
      <c r="E39" s="56"/>
      <c r="F39" s="56"/>
      <c r="G39" s="56"/>
      <c r="H39" s="56"/>
    </row>
    <row r="40" spans="1:8" x14ac:dyDescent="0.25">
      <c r="A40" s="59" t="s">
        <v>67</v>
      </c>
      <c r="B40" s="60">
        <v>2310</v>
      </c>
      <c r="C40" s="56"/>
      <c r="D40" s="56"/>
      <c r="E40" s="56"/>
      <c r="F40" s="56"/>
      <c r="G40" s="56"/>
      <c r="H40" s="56"/>
    </row>
    <row r="41" spans="1:8" x14ac:dyDescent="0.25">
      <c r="A41" s="59" t="s">
        <v>68</v>
      </c>
      <c r="B41" s="60">
        <v>2800</v>
      </c>
      <c r="C41" s="56" t="s">
        <v>47</v>
      </c>
      <c r="D41" s="56"/>
      <c r="E41" s="56"/>
      <c r="F41" s="56"/>
      <c r="G41" s="56"/>
      <c r="H41" s="56"/>
    </row>
    <row r="42" spans="1:8" x14ac:dyDescent="0.25">
      <c r="A42" s="59" t="s">
        <v>69</v>
      </c>
      <c r="B42" s="60">
        <v>125</v>
      </c>
      <c r="C42" s="56"/>
      <c r="D42" s="56"/>
      <c r="E42" s="56"/>
      <c r="F42" s="56"/>
      <c r="G42" s="56"/>
      <c r="H42" s="56"/>
    </row>
    <row r="43" spans="1:8" x14ac:dyDescent="0.25">
      <c r="A43" s="51"/>
      <c r="B43" s="175" t="s">
        <v>70</v>
      </c>
      <c r="C43" s="175"/>
      <c r="D43" s="51"/>
      <c r="E43" s="51"/>
      <c r="F43" s="51"/>
      <c r="G43" s="51"/>
      <c r="H43" s="51"/>
    </row>
    <row r="44" spans="1:8" x14ac:dyDescent="0.25">
      <c r="A44" s="51"/>
      <c r="B44" s="51"/>
      <c r="C44" s="51"/>
      <c r="D44" s="51"/>
      <c r="E44" s="51"/>
      <c r="F44" s="51"/>
      <c r="G44" s="51"/>
      <c r="H44" s="51"/>
    </row>
    <row r="45" spans="1:8" x14ac:dyDescent="0.25">
      <c r="A45" s="51"/>
      <c r="B45" s="51"/>
      <c r="C45" s="51"/>
      <c r="D45" s="51"/>
      <c r="E45" s="51"/>
      <c r="F45" s="51"/>
      <c r="G45" s="51"/>
      <c r="H45" s="51"/>
    </row>
    <row r="46" spans="1:8" x14ac:dyDescent="0.25">
      <c r="A46" s="64" t="s">
        <v>71</v>
      </c>
      <c r="B46" s="65" t="s">
        <v>72</v>
      </c>
      <c r="C46" s="65" t="s">
        <v>73</v>
      </c>
      <c r="D46" s="51"/>
      <c r="E46" s="51"/>
      <c r="F46" s="176" t="s">
        <v>74</v>
      </c>
      <c r="G46" s="176"/>
      <c r="H46" s="51"/>
    </row>
    <row r="47" spans="1:8" x14ac:dyDescent="0.25">
      <c r="A47" s="66" t="s">
        <v>75</v>
      </c>
      <c r="B47" s="126">
        <v>121.54</v>
      </c>
      <c r="C47" s="127">
        <f>B47/2000</f>
        <v>6.0770000000000005E-2</v>
      </c>
      <c r="D47" s="51"/>
      <c r="E47" s="51"/>
      <c r="F47" s="51" t="s">
        <v>76</v>
      </c>
      <c r="G47" s="148">
        <v>1.7500000000000002E-2</v>
      </c>
      <c r="H47" s="51"/>
    </row>
    <row r="48" spans="1:8" x14ac:dyDescent="0.25">
      <c r="A48" s="66" t="s">
        <v>77</v>
      </c>
      <c r="B48" s="125">
        <v>125.19</v>
      </c>
      <c r="C48" s="128">
        <f>B48/2000</f>
        <v>6.2594999999999998E-2</v>
      </c>
      <c r="D48" s="51"/>
      <c r="E48" s="51"/>
      <c r="F48" s="51" t="s">
        <v>78</v>
      </c>
      <c r="G48" s="149">
        <v>5.1000000000000004E-3</v>
      </c>
      <c r="H48" s="51"/>
    </row>
    <row r="49" spans="1:8" x14ac:dyDescent="0.25">
      <c r="A49" s="59" t="s">
        <v>79</v>
      </c>
      <c r="B49" s="126">
        <f>B48-B47</f>
        <v>3.6499999999999915</v>
      </c>
      <c r="C49" s="129">
        <f>C48-C47</f>
        <v>1.8249999999999933E-3</v>
      </c>
      <c r="D49" s="170">
        <f>+B49/B47</f>
        <v>3.0031265427019841E-2</v>
      </c>
      <c r="E49" s="51"/>
      <c r="F49" s="51" t="s">
        <v>80</v>
      </c>
      <c r="G49" s="156">
        <v>1.8339999999999999E-2</v>
      </c>
      <c r="H49" s="51"/>
    </row>
    <row r="50" spans="1:8" x14ac:dyDescent="0.25">
      <c r="A50" s="51"/>
      <c r="B50" s="51"/>
      <c r="C50" s="51"/>
      <c r="D50" s="51"/>
      <c r="E50" s="51"/>
      <c r="G50" s="154">
        <f>SUM(G47:G49)</f>
        <v>4.0940000000000004E-2</v>
      </c>
      <c r="H50" s="51"/>
    </row>
    <row r="51" spans="1:8" x14ac:dyDescent="0.25">
      <c r="A51" s="51"/>
      <c r="C51" s="67" t="s">
        <v>81</v>
      </c>
      <c r="D51" s="51"/>
      <c r="E51" s="51"/>
      <c r="H51" s="51"/>
    </row>
    <row r="52" spans="1:8" x14ac:dyDescent="0.25">
      <c r="A52" s="51" t="s">
        <v>82</v>
      </c>
      <c r="C52" s="68">
        <f>B49</f>
        <v>3.6499999999999915</v>
      </c>
      <c r="D52" s="51"/>
      <c r="E52" s="51"/>
      <c r="F52" s="51"/>
      <c r="G52" s="150"/>
      <c r="H52" s="51"/>
    </row>
    <row r="53" spans="1:8" x14ac:dyDescent="0.25">
      <c r="A53" s="51" t="s">
        <v>84</v>
      </c>
      <c r="C53" s="68">
        <f>C52/$G$57</f>
        <v>3.8058098554834854</v>
      </c>
      <c r="D53" s="51"/>
      <c r="E53" s="51"/>
      <c r="F53" s="51" t="s">
        <v>3</v>
      </c>
      <c r="G53" s="151">
        <f>+G52+G50</f>
        <v>4.0940000000000004E-2</v>
      </c>
      <c r="H53" s="51"/>
    </row>
    <row r="54" spans="1:8" x14ac:dyDescent="0.25">
      <c r="A54" s="51" t="s">
        <v>85</v>
      </c>
      <c r="C54" s="70">
        <f>+'Co. Tonnage'!E9</f>
        <v>53795.479280000014</v>
      </c>
      <c r="D54" s="51"/>
      <c r="E54" s="51"/>
      <c r="F54" s="51"/>
      <c r="G54" s="51"/>
      <c r="H54" s="51"/>
    </row>
    <row r="55" spans="1:8" ht="17.25" x14ac:dyDescent="0.4">
      <c r="A55" s="57" t="s">
        <v>86</v>
      </c>
      <c r="C55" s="153">
        <f>C53*C54</f>
        <v>204735.36522428168</v>
      </c>
      <c r="D55" s="51"/>
      <c r="E55" s="51"/>
      <c r="F55" s="51" t="s">
        <v>83</v>
      </c>
      <c r="G55" s="69">
        <f>1-G50</f>
        <v>0.95906000000000002</v>
      </c>
      <c r="H55" s="51" t="s">
        <v>181</v>
      </c>
    </row>
    <row r="56" spans="1:8" x14ac:dyDescent="0.25">
      <c r="A56" s="51"/>
      <c r="B56" s="51"/>
      <c r="C56" s="51"/>
      <c r="D56" s="51"/>
      <c r="E56" s="51"/>
      <c r="F56" s="51"/>
      <c r="G56" s="51"/>
      <c r="H56" s="51"/>
    </row>
    <row r="57" spans="1:8" x14ac:dyDescent="0.25">
      <c r="A57" s="51" t="s">
        <v>179</v>
      </c>
      <c r="C57" s="144">
        <f>+'Co. Tonnage'!J11</f>
        <v>42794.216687039938</v>
      </c>
      <c r="F57" s="51" t="s">
        <v>83</v>
      </c>
      <c r="G57" s="69">
        <f>1-G53</f>
        <v>0.95906000000000002</v>
      </c>
      <c r="H57" t="s">
        <v>180</v>
      </c>
    </row>
    <row r="58" spans="1:8" ht="17.25" x14ac:dyDescent="0.4">
      <c r="A58" s="51"/>
      <c r="B58" s="155"/>
      <c r="C58" s="145"/>
    </row>
    <row r="59" spans="1:8" ht="17.25" x14ac:dyDescent="0.4">
      <c r="A59" s="57"/>
      <c r="B59" s="144"/>
      <c r="C59" s="146">
        <f>+C57+C55</f>
        <v>247529.58191132161</v>
      </c>
    </row>
    <row r="60" spans="1:8" ht="17.25" x14ac:dyDescent="0.4">
      <c r="A60" s="57"/>
      <c r="B60" s="143"/>
      <c r="C60" s="146"/>
      <c r="E60" s="30"/>
    </row>
    <row r="61" spans="1:8" ht="17.25" x14ac:dyDescent="0.4">
      <c r="A61" s="57"/>
      <c r="B61" s="145"/>
      <c r="C61" s="146"/>
    </row>
    <row r="62" spans="1:8" ht="17.25" x14ac:dyDescent="0.4">
      <c r="A62" s="57"/>
      <c r="B62" s="157"/>
      <c r="C62" s="146"/>
    </row>
    <row r="64" spans="1:8" ht="48.75" customHeight="1" x14ac:dyDescent="0.25">
      <c r="A64" s="177"/>
      <c r="B64" s="177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2:X133"/>
  <sheetViews>
    <sheetView tabSelected="1" zoomScale="110" zoomScaleNormal="110" workbookViewId="0">
      <pane xSplit="3" ySplit="2" topLeftCell="L3" activePane="bottomRight" state="frozen"/>
      <selection pane="topRight" activeCell="D1" sqref="D1"/>
      <selection pane="bottomLeft" activeCell="A2" sqref="A2"/>
      <selection pane="bottomRight" activeCell="L14" sqref="L14"/>
    </sheetView>
  </sheetViews>
  <sheetFormatPr defaultColWidth="8.85546875" defaultRowHeight="15" x14ac:dyDescent="0.25"/>
  <cols>
    <col min="1" max="1" width="4.5703125" style="75" customWidth="1"/>
    <col min="2" max="2" width="21.140625" style="95" customWidth="1"/>
    <col min="3" max="3" width="28.28515625" style="75" customWidth="1"/>
    <col min="4" max="4" width="13" style="99" customWidth="1"/>
    <col min="5" max="5" width="18.42578125" style="75" customWidth="1"/>
    <col min="6" max="6" width="13.28515625" style="75" customWidth="1"/>
    <col min="7" max="7" width="14.5703125" style="75" customWidth="1"/>
    <col min="8" max="8" width="21.42578125" style="75" customWidth="1"/>
    <col min="9" max="9" width="16.28515625" style="93" customWidth="1"/>
    <col min="10" max="10" width="14.140625" style="75" customWidth="1"/>
    <col min="11" max="12" width="14.28515625" style="75" customWidth="1"/>
    <col min="13" max="13" width="10.7109375" style="75" customWidth="1"/>
    <col min="14" max="14" width="16.28515625" style="75" customWidth="1"/>
    <col min="15" max="15" width="16.5703125" style="75" customWidth="1"/>
    <col min="16" max="16" width="13.5703125" style="75" bestFit="1" customWidth="1"/>
    <col min="17" max="17" width="16.5703125" style="75" bestFit="1" customWidth="1"/>
    <col min="18" max="18" width="16.28515625" style="75" customWidth="1"/>
    <col min="19" max="16384" width="8.85546875" style="75"/>
  </cols>
  <sheetData>
    <row r="2" spans="1:22" ht="42" customHeight="1" x14ac:dyDescent="0.25">
      <c r="A2" s="64"/>
      <c r="B2" s="71" t="s">
        <v>87</v>
      </c>
      <c r="C2" s="72" t="s">
        <v>88</v>
      </c>
      <c r="D2" s="71" t="s">
        <v>89</v>
      </c>
      <c r="E2" s="71" t="s">
        <v>90</v>
      </c>
      <c r="F2" s="64" t="s">
        <v>91</v>
      </c>
      <c r="G2" s="71" t="s">
        <v>33</v>
      </c>
      <c r="H2" s="73" t="s">
        <v>92</v>
      </c>
      <c r="I2" s="74" t="s">
        <v>93</v>
      </c>
      <c r="J2" s="71" t="s">
        <v>79</v>
      </c>
      <c r="K2" s="71" t="s">
        <v>94</v>
      </c>
      <c r="L2" s="71" t="s">
        <v>95</v>
      </c>
      <c r="M2" s="73" t="s">
        <v>185</v>
      </c>
      <c r="N2" s="73" t="s">
        <v>130</v>
      </c>
      <c r="O2" s="73" t="s">
        <v>96</v>
      </c>
      <c r="P2" s="71" t="s">
        <v>97</v>
      </c>
      <c r="Q2" s="73" t="s">
        <v>98</v>
      </c>
      <c r="R2" s="71" t="s">
        <v>99</v>
      </c>
    </row>
    <row r="3" spans="1:22" s="78" customFormat="1" x14ac:dyDescent="0.25">
      <c r="A3" s="178" t="s">
        <v>100</v>
      </c>
      <c r="B3" s="76">
        <v>22</v>
      </c>
      <c r="C3" s="28" t="s">
        <v>110</v>
      </c>
      <c r="D3" s="123">
        <v>431</v>
      </c>
      <c r="E3" s="81">
        <v>4.333333333333333</v>
      </c>
      <c r="F3" s="123">
        <v>22412</v>
      </c>
      <c r="G3" s="136">
        <f>References!B13</f>
        <v>20</v>
      </c>
      <c r="H3" s="123">
        <f t="shared" ref="H3:H25" si="0">G3*F3</f>
        <v>448240</v>
      </c>
      <c r="I3" s="80">
        <f t="shared" ref="I3:I25" si="1">$C$125*H3</f>
        <v>338110.70062872424</v>
      </c>
      <c r="J3" s="124">
        <f>(References!$C$49*I3)</f>
        <v>617.05202864741943</v>
      </c>
      <c r="K3" s="124">
        <f>J3/References!$G$57</f>
        <v>643.39251834861159</v>
      </c>
      <c r="L3" s="163">
        <v>11.33</v>
      </c>
      <c r="M3" s="142">
        <f>ROUND(((K3/F3)*E3),2)</f>
        <v>0.12</v>
      </c>
      <c r="N3" s="164">
        <f>M3+L3</f>
        <v>11.45</v>
      </c>
      <c r="O3" s="124">
        <f>D3*L3*12</f>
        <v>58598.760000000009</v>
      </c>
      <c r="P3" s="77">
        <f t="shared" ref="P3:P25" si="2">+N3</f>
        <v>11.45</v>
      </c>
      <c r="Q3" s="77">
        <f>D3*P3*12</f>
        <v>59219.399999999994</v>
      </c>
      <c r="R3" s="77">
        <f t="shared" ref="R3:R25" si="3">Q3-O3</f>
        <v>620.63999999998487</v>
      </c>
      <c r="S3" s="171"/>
      <c r="U3" s="158">
        <f t="shared" ref="U3:U25" si="4">+N3/L3-1</f>
        <v>1.0591350397175514E-2</v>
      </c>
      <c r="V3" s="29"/>
    </row>
    <row r="4" spans="1:22" s="78" customFormat="1" x14ac:dyDescent="0.25">
      <c r="A4" s="178"/>
      <c r="B4" s="76">
        <v>22</v>
      </c>
      <c r="C4" s="28" t="s">
        <v>183</v>
      </c>
      <c r="D4" s="123">
        <v>1.0000000000000001E-5</v>
      </c>
      <c r="E4" s="81">
        <v>4.333333333333333</v>
      </c>
      <c r="F4" s="123">
        <v>22412</v>
      </c>
      <c r="G4" s="136">
        <v>20</v>
      </c>
      <c r="H4" s="123">
        <f t="shared" si="0"/>
        <v>448240</v>
      </c>
      <c r="I4" s="80">
        <f t="shared" si="1"/>
        <v>338110.70062872424</v>
      </c>
      <c r="J4" s="124">
        <f>(References!$C$49*I4)</f>
        <v>617.05202864741943</v>
      </c>
      <c r="K4" s="124">
        <f>J4/References!$G$57</f>
        <v>643.39251834861159</v>
      </c>
      <c r="L4" s="163">
        <v>12.33</v>
      </c>
      <c r="M4" s="142">
        <f t="shared" ref="M4:M25" si="5">ROUND(((K4/F4)*E4),2)</f>
        <v>0.12</v>
      </c>
      <c r="N4" s="164">
        <f t="shared" ref="N4:N15" si="6">M4+L4</f>
        <v>12.45</v>
      </c>
      <c r="O4" s="124">
        <f>D4*L4*12</f>
        <v>1.4796000000000002E-3</v>
      </c>
      <c r="P4" s="77">
        <f t="shared" si="2"/>
        <v>12.45</v>
      </c>
      <c r="Q4" s="77">
        <f>D4*P4*12</f>
        <v>1.4939999999999999E-3</v>
      </c>
      <c r="R4" s="77">
        <f>Q4-O4</f>
        <v>1.4399999999999699E-5</v>
      </c>
      <c r="S4" s="171"/>
      <c r="U4" s="158">
        <f t="shared" si="4"/>
        <v>9.7323600973235891E-3</v>
      </c>
      <c r="V4" s="29"/>
    </row>
    <row r="5" spans="1:22" s="78" customFormat="1" x14ac:dyDescent="0.25">
      <c r="A5" s="178"/>
      <c r="B5" s="76">
        <v>22</v>
      </c>
      <c r="C5" s="28" t="s">
        <v>111</v>
      </c>
      <c r="D5" s="123">
        <v>2130</v>
      </c>
      <c r="E5" s="81">
        <v>2.1666666666666665</v>
      </c>
      <c r="F5" s="123">
        <v>55380</v>
      </c>
      <c r="G5" s="136">
        <f>References!$B$14</f>
        <v>34</v>
      </c>
      <c r="H5" s="123">
        <f t="shared" si="0"/>
        <v>1882920</v>
      </c>
      <c r="I5" s="80">
        <f t="shared" si="1"/>
        <v>1420300.2865157893</v>
      </c>
      <c r="J5" s="124">
        <f>(References!$C$49*I5)</f>
        <v>2592.0480228913061</v>
      </c>
      <c r="K5" s="124">
        <f>J5/References!$G$57</f>
        <v>2702.6964140839009</v>
      </c>
      <c r="L5" s="163">
        <v>9.68</v>
      </c>
      <c r="M5" s="142">
        <f t="shared" si="5"/>
        <v>0.11</v>
      </c>
      <c r="N5" s="164">
        <f t="shared" si="6"/>
        <v>9.7899999999999991</v>
      </c>
      <c r="O5" s="124">
        <f>D5*L5*12</f>
        <v>247420.79999999999</v>
      </c>
      <c r="P5" s="77">
        <f t="shared" si="2"/>
        <v>9.7899999999999991</v>
      </c>
      <c r="Q5" s="77">
        <f>D5*P5*12</f>
        <v>250232.39999999997</v>
      </c>
      <c r="R5" s="77">
        <f t="shared" si="3"/>
        <v>2811.5999999999767</v>
      </c>
      <c r="S5" s="171"/>
      <c r="U5" s="158">
        <f t="shared" si="4"/>
        <v>1.1363636363636243E-2</v>
      </c>
      <c r="V5" s="29"/>
    </row>
    <row r="6" spans="1:22" s="78" customFormat="1" x14ac:dyDescent="0.25">
      <c r="A6" s="178"/>
      <c r="B6" s="76">
        <v>22</v>
      </c>
      <c r="C6" s="28" t="s">
        <v>112</v>
      </c>
      <c r="D6" s="123">
        <v>237</v>
      </c>
      <c r="E6" s="81">
        <v>1</v>
      </c>
      <c r="F6" s="123">
        <v>2844</v>
      </c>
      <c r="G6" s="136">
        <f>References!$B$14</f>
        <v>34</v>
      </c>
      <c r="H6" s="123">
        <f t="shared" si="0"/>
        <v>96696</v>
      </c>
      <c r="I6" s="80">
        <f t="shared" si="1"/>
        <v>72938.497920745853</v>
      </c>
      <c r="J6" s="124">
        <f>(References!$C$49*I6)</f>
        <v>133.1127587053607</v>
      </c>
      <c r="K6" s="124">
        <f>J6/References!$G$57</f>
        <v>138.79502711546795</v>
      </c>
      <c r="L6" s="163">
        <v>6.5</v>
      </c>
      <c r="M6" s="142">
        <f t="shared" si="5"/>
        <v>0.05</v>
      </c>
      <c r="N6" s="164">
        <f t="shared" si="6"/>
        <v>6.55</v>
      </c>
      <c r="O6" s="124">
        <f>D6*L6*12</f>
        <v>18486</v>
      </c>
      <c r="P6" s="77">
        <f t="shared" si="2"/>
        <v>6.55</v>
      </c>
      <c r="Q6" s="77">
        <f>D6*P6*12</f>
        <v>18628.199999999997</v>
      </c>
      <c r="R6" s="77">
        <f t="shared" si="3"/>
        <v>142.19999999999709</v>
      </c>
      <c r="S6" s="171"/>
      <c r="U6" s="158">
        <f t="shared" si="4"/>
        <v>7.692307692307665E-3</v>
      </c>
      <c r="V6" s="29"/>
    </row>
    <row r="7" spans="1:22" s="78" customFormat="1" x14ac:dyDescent="0.25">
      <c r="A7" s="178"/>
      <c r="B7" s="76">
        <v>23</v>
      </c>
      <c r="C7" s="28" t="s">
        <v>113</v>
      </c>
      <c r="D7" s="123">
        <v>66</v>
      </c>
      <c r="E7" s="81">
        <v>1</v>
      </c>
      <c r="F7" s="123">
        <v>792</v>
      </c>
      <c r="G7" s="136">
        <f>References!$B$14</f>
        <v>34</v>
      </c>
      <c r="H7" s="123">
        <f t="shared" si="0"/>
        <v>26928</v>
      </c>
      <c r="I7" s="80">
        <f t="shared" si="1"/>
        <v>20311.986762739351</v>
      </c>
      <c r="J7" s="124">
        <f>(References!$C$49*I7)</f>
        <v>37.069375841999175</v>
      </c>
      <c r="K7" s="124">
        <f>J7/References!$G$57</f>
        <v>38.651779703041704</v>
      </c>
      <c r="L7" s="163">
        <v>6.48</v>
      </c>
      <c r="M7" s="142">
        <f t="shared" si="5"/>
        <v>0.05</v>
      </c>
      <c r="N7" s="164">
        <f t="shared" si="6"/>
        <v>6.53</v>
      </c>
      <c r="O7" s="124">
        <f>F7*L7</f>
        <v>5132.1600000000008</v>
      </c>
      <c r="P7" s="77">
        <f t="shared" si="2"/>
        <v>6.53</v>
      </c>
      <c r="Q7" s="77">
        <f>F7*P7</f>
        <v>5171.76</v>
      </c>
      <c r="R7" s="77">
        <f t="shared" si="3"/>
        <v>39.599999999999454</v>
      </c>
      <c r="S7" s="171"/>
      <c r="U7" s="158">
        <f t="shared" si="4"/>
        <v>7.7160493827159726E-3</v>
      </c>
      <c r="V7" s="29"/>
    </row>
    <row r="8" spans="1:22" s="78" customFormat="1" x14ac:dyDescent="0.25">
      <c r="A8" s="178"/>
      <c r="B8" s="76">
        <v>22</v>
      </c>
      <c r="C8" s="28" t="s">
        <v>114</v>
      </c>
      <c r="D8" s="123">
        <v>7505</v>
      </c>
      <c r="E8" s="81">
        <v>4.333333333333333</v>
      </c>
      <c r="F8" s="123">
        <v>390260</v>
      </c>
      <c r="G8" s="136">
        <f>References!$B$14</f>
        <v>34</v>
      </c>
      <c r="H8" s="123">
        <f t="shared" si="0"/>
        <v>13268840</v>
      </c>
      <c r="I8" s="80">
        <f t="shared" si="1"/>
        <v>10008782.77023568</v>
      </c>
      <c r="J8" s="124">
        <f>(References!$C$49*I8)</f>
        <v>18266.028555680048</v>
      </c>
      <c r="K8" s="124">
        <f>J8/References!$G$57</f>
        <v>19045.7620541781</v>
      </c>
      <c r="L8" s="163">
        <v>14.57</v>
      </c>
      <c r="M8" s="142">
        <f t="shared" si="5"/>
        <v>0.21</v>
      </c>
      <c r="N8" s="164">
        <f t="shared" si="6"/>
        <v>14.780000000000001</v>
      </c>
      <c r="O8" s="124">
        <f t="shared" ref="O8:O24" si="7">D8*L8*12</f>
        <v>1312174.2000000002</v>
      </c>
      <c r="P8" s="77">
        <f t="shared" si="2"/>
        <v>14.780000000000001</v>
      </c>
      <c r="Q8" s="77">
        <f t="shared" ref="Q8:Q24" si="8">D8*P8*12</f>
        <v>1331086.8</v>
      </c>
      <c r="R8" s="77">
        <f t="shared" si="3"/>
        <v>18912.59999999986</v>
      </c>
      <c r="S8" s="171"/>
      <c r="U8" s="158">
        <f t="shared" si="4"/>
        <v>1.441317776252582E-2</v>
      </c>
      <c r="V8" s="29"/>
    </row>
    <row r="9" spans="1:22" s="78" customFormat="1" x14ac:dyDescent="0.25">
      <c r="A9" s="178"/>
      <c r="B9" s="76">
        <v>22</v>
      </c>
      <c r="C9" s="28" t="s">
        <v>115</v>
      </c>
      <c r="D9" s="123">
        <v>1012</v>
      </c>
      <c r="E9" s="81">
        <v>8.6666666666666661</v>
      </c>
      <c r="F9" s="123">
        <v>105248</v>
      </c>
      <c r="G9" s="136">
        <f>References!$B$14</f>
        <v>34</v>
      </c>
      <c r="H9" s="123">
        <f t="shared" si="0"/>
        <v>3578432</v>
      </c>
      <c r="I9" s="80">
        <f t="shared" si="1"/>
        <v>2699237.3520262511</v>
      </c>
      <c r="J9" s="124">
        <f>(References!$C$49*I9)</f>
        <v>4926.1081674478901</v>
      </c>
      <c r="K9" s="124">
        <f>J9/References!$G$57</f>
        <v>5136.3920583153194</v>
      </c>
      <c r="L9" s="163">
        <v>23.55</v>
      </c>
      <c r="M9" s="142">
        <f t="shared" si="5"/>
        <v>0.42</v>
      </c>
      <c r="N9" s="164">
        <f t="shared" si="6"/>
        <v>23.970000000000002</v>
      </c>
      <c r="O9" s="124">
        <f t="shared" si="7"/>
        <v>285991.2</v>
      </c>
      <c r="P9" s="77">
        <f t="shared" si="2"/>
        <v>23.970000000000002</v>
      </c>
      <c r="Q9" s="77">
        <f t="shared" si="8"/>
        <v>291091.68000000005</v>
      </c>
      <c r="R9" s="77">
        <f t="shared" si="3"/>
        <v>5100.4800000000396</v>
      </c>
      <c r="S9" s="171"/>
      <c r="U9" s="158">
        <f t="shared" si="4"/>
        <v>1.7834394904458595E-2</v>
      </c>
      <c r="V9" s="29"/>
    </row>
    <row r="10" spans="1:22" s="78" customFormat="1" x14ac:dyDescent="0.25">
      <c r="A10" s="178"/>
      <c r="B10" s="76">
        <v>22</v>
      </c>
      <c r="C10" s="28" t="s">
        <v>116</v>
      </c>
      <c r="D10" s="123">
        <v>50</v>
      </c>
      <c r="E10" s="81">
        <v>13</v>
      </c>
      <c r="F10" s="123">
        <v>7800</v>
      </c>
      <c r="G10" s="136">
        <f>References!$B$14</f>
        <v>34</v>
      </c>
      <c r="H10" s="123">
        <f t="shared" si="0"/>
        <v>265200</v>
      </c>
      <c r="I10" s="80">
        <f t="shared" si="1"/>
        <v>200042.29387546328</v>
      </c>
      <c r="J10" s="124">
        <f>(References!$C$49*I10)</f>
        <v>365.07718632271911</v>
      </c>
      <c r="K10" s="124">
        <f>J10/References!$G$57</f>
        <v>380.66146677238038</v>
      </c>
      <c r="L10" s="163">
        <v>31.7</v>
      </c>
      <c r="M10" s="142">
        <f t="shared" si="5"/>
        <v>0.63</v>
      </c>
      <c r="N10" s="164">
        <f t="shared" si="6"/>
        <v>32.33</v>
      </c>
      <c r="O10" s="124">
        <f t="shared" si="7"/>
        <v>19020</v>
      </c>
      <c r="P10" s="77">
        <f t="shared" si="2"/>
        <v>32.33</v>
      </c>
      <c r="Q10" s="77">
        <f t="shared" si="8"/>
        <v>19398</v>
      </c>
      <c r="R10" s="77">
        <f t="shared" si="3"/>
        <v>378</v>
      </c>
      <c r="S10" s="171"/>
      <c r="U10" s="158">
        <f t="shared" si="4"/>
        <v>1.987381703470037E-2</v>
      </c>
      <c r="V10" s="29"/>
    </row>
    <row r="11" spans="1:22" s="78" customFormat="1" x14ac:dyDescent="0.25">
      <c r="A11" s="178"/>
      <c r="B11" s="76">
        <v>22</v>
      </c>
      <c r="C11" s="28" t="s">
        <v>117</v>
      </c>
      <c r="D11" s="123">
        <v>12</v>
      </c>
      <c r="E11" s="81">
        <v>17.333333333333332</v>
      </c>
      <c r="F11" s="123">
        <v>2496</v>
      </c>
      <c r="G11" s="136">
        <f>References!$B$14</f>
        <v>34</v>
      </c>
      <c r="H11" s="123">
        <f t="shared" si="0"/>
        <v>84864</v>
      </c>
      <c r="I11" s="80">
        <f t="shared" si="1"/>
        <v>64013.534040148254</v>
      </c>
      <c r="J11" s="124">
        <f>(References!$C$49*I11)</f>
        <v>116.82469962327013</v>
      </c>
      <c r="K11" s="124">
        <f>J11/References!$G$57</f>
        <v>121.81166936716173</v>
      </c>
      <c r="L11" s="163">
        <v>39.870000000000005</v>
      </c>
      <c r="M11" s="142">
        <f t="shared" si="5"/>
        <v>0.85</v>
      </c>
      <c r="N11" s="164">
        <f t="shared" si="6"/>
        <v>40.720000000000006</v>
      </c>
      <c r="O11" s="124">
        <f t="shared" si="7"/>
        <v>5741.2800000000007</v>
      </c>
      <c r="P11" s="77">
        <f t="shared" si="2"/>
        <v>40.720000000000006</v>
      </c>
      <c r="Q11" s="77">
        <f t="shared" si="8"/>
        <v>5863.6800000000012</v>
      </c>
      <c r="R11" s="77">
        <f t="shared" si="3"/>
        <v>122.40000000000055</v>
      </c>
      <c r="S11" s="171"/>
      <c r="U11" s="158">
        <f t="shared" si="4"/>
        <v>2.1319287684976151E-2</v>
      </c>
      <c r="V11" s="29"/>
    </row>
    <row r="12" spans="1:22" s="78" customFormat="1" x14ac:dyDescent="0.25">
      <c r="A12" s="178"/>
      <c r="B12" s="76">
        <v>22</v>
      </c>
      <c r="C12" s="28" t="s">
        <v>118</v>
      </c>
      <c r="D12" s="123">
        <v>7</v>
      </c>
      <c r="E12" s="81">
        <v>21.666666666666664</v>
      </c>
      <c r="F12" s="123">
        <v>1820</v>
      </c>
      <c r="G12" s="136">
        <f>References!$B$14</f>
        <v>34</v>
      </c>
      <c r="H12" s="123">
        <f t="shared" si="0"/>
        <v>61880</v>
      </c>
      <c r="I12" s="80">
        <f t="shared" si="1"/>
        <v>46676.535237608099</v>
      </c>
      <c r="J12" s="124">
        <f>(References!$C$49*I12)</f>
        <v>85.184676808634464</v>
      </c>
      <c r="K12" s="124">
        <f>J12/References!$G$57</f>
        <v>88.821008913555417</v>
      </c>
      <c r="L12" s="163">
        <v>48.03</v>
      </c>
      <c r="M12" s="142">
        <f t="shared" si="5"/>
        <v>1.06</v>
      </c>
      <c r="N12" s="164">
        <f t="shared" si="6"/>
        <v>49.09</v>
      </c>
      <c r="O12" s="124">
        <f t="shared" si="7"/>
        <v>4034.5200000000004</v>
      </c>
      <c r="P12" s="77">
        <f t="shared" si="2"/>
        <v>49.09</v>
      </c>
      <c r="Q12" s="77">
        <f t="shared" si="8"/>
        <v>4123.5599999999995</v>
      </c>
      <c r="R12" s="77">
        <f t="shared" si="3"/>
        <v>89.039999999999054</v>
      </c>
      <c r="S12" s="171"/>
      <c r="U12" s="158">
        <f t="shared" si="4"/>
        <v>2.206953987091409E-2</v>
      </c>
      <c r="V12" s="29"/>
    </row>
    <row r="13" spans="1:22" s="78" customFormat="1" x14ac:dyDescent="0.25">
      <c r="A13" s="178"/>
      <c r="B13" s="76">
        <v>22</v>
      </c>
      <c r="C13" s="28" t="s">
        <v>119</v>
      </c>
      <c r="D13" s="123">
        <v>2226</v>
      </c>
      <c r="E13" s="81">
        <v>2.1666666666666665</v>
      </c>
      <c r="F13" s="123">
        <v>57876</v>
      </c>
      <c r="G13" s="136">
        <f>References!$B$14</f>
        <v>34</v>
      </c>
      <c r="H13" s="123">
        <f t="shared" si="0"/>
        <v>1967784</v>
      </c>
      <c r="I13" s="80">
        <f t="shared" si="1"/>
        <v>1484313.8205559377</v>
      </c>
      <c r="J13" s="124">
        <f>(References!$C$49*I13)</f>
        <v>2708.8727225145763</v>
      </c>
      <c r="K13" s="124">
        <f>J13/References!$G$57</f>
        <v>2824.5080834510627</v>
      </c>
      <c r="L13" s="163">
        <v>11.37</v>
      </c>
      <c r="M13" s="142">
        <f t="shared" si="5"/>
        <v>0.11</v>
      </c>
      <c r="N13" s="164">
        <f t="shared" si="6"/>
        <v>11.479999999999999</v>
      </c>
      <c r="O13" s="124">
        <f t="shared" si="7"/>
        <v>303715.44</v>
      </c>
      <c r="P13" s="77">
        <f t="shared" si="2"/>
        <v>11.479999999999999</v>
      </c>
      <c r="Q13" s="77">
        <f t="shared" si="8"/>
        <v>306653.75999999995</v>
      </c>
      <c r="R13" s="77">
        <f t="shared" si="3"/>
        <v>2938.3199999999488</v>
      </c>
      <c r="S13" s="171"/>
      <c r="U13" s="158">
        <f t="shared" si="4"/>
        <v>9.674582233949014E-3</v>
      </c>
      <c r="V13" s="29"/>
    </row>
    <row r="14" spans="1:22" s="78" customFormat="1" x14ac:dyDescent="0.25">
      <c r="A14" s="178"/>
      <c r="B14" s="76">
        <v>22</v>
      </c>
      <c r="C14" s="28" t="s">
        <v>120</v>
      </c>
      <c r="D14" s="123">
        <v>207</v>
      </c>
      <c r="E14" s="81">
        <v>1</v>
      </c>
      <c r="F14" s="123">
        <v>2484</v>
      </c>
      <c r="G14" s="136">
        <f>References!$B$14</f>
        <v>34</v>
      </c>
      <c r="H14" s="123">
        <f t="shared" si="0"/>
        <v>84456</v>
      </c>
      <c r="I14" s="80">
        <f t="shared" si="1"/>
        <v>63705.776664955236</v>
      </c>
      <c r="J14" s="124">
        <f>(References!$C$49*I14)</f>
        <v>116.26304241354288</v>
      </c>
      <c r="K14" s="124">
        <f>J14/References!$G$57</f>
        <v>121.22603634135807</v>
      </c>
      <c r="L14" s="163">
        <v>7.79</v>
      </c>
      <c r="M14" s="142">
        <f t="shared" si="5"/>
        <v>0.05</v>
      </c>
      <c r="N14" s="164">
        <f t="shared" si="6"/>
        <v>7.84</v>
      </c>
      <c r="O14" s="124">
        <f t="shared" si="7"/>
        <v>19350.36</v>
      </c>
      <c r="P14" s="77">
        <f t="shared" si="2"/>
        <v>7.84</v>
      </c>
      <c r="Q14" s="77">
        <f t="shared" si="8"/>
        <v>19474.559999999998</v>
      </c>
      <c r="R14" s="77">
        <f t="shared" si="3"/>
        <v>124.19999999999709</v>
      </c>
      <c r="S14" s="171"/>
      <c r="U14" s="158">
        <f t="shared" si="4"/>
        <v>6.4184852374840062E-3</v>
      </c>
      <c r="V14" s="29"/>
    </row>
    <row r="15" spans="1:22" s="78" customFormat="1" x14ac:dyDescent="0.25">
      <c r="A15" s="178"/>
      <c r="B15" s="76">
        <v>22</v>
      </c>
      <c r="C15" s="28" t="s">
        <v>121</v>
      </c>
      <c r="D15" s="123">
        <v>9769</v>
      </c>
      <c r="E15" s="81">
        <v>4.333333333333333</v>
      </c>
      <c r="F15" s="123">
        <v>507987.99999999994</v>
      </c>
      <c r="G15" s="136">
        <f>References!$B$14</f>
        <v>34</v>
      </c>
      <c r="H15" s="123">
        <f t="shared" si="0"/>
        <v>17271591.999999996</v>
      </c>
      <c r="I15" s="80">
        <f t="shared" si="1"/>
        <v>13028087.792462669</v>
      </c>
      <c r="J15" s="124">
        <f>(References!$C$49*I15)</f>
        <v>23776.260221244283</v>
      </c>
      <c r="K15" s="124">
        <f>J15/References!$G$57</f>
        <v>24791.212459329221</v>
      </c>
      <c r="L15" s="163">
        <v>16.809999999999999</v>
      </c>
      <c r="M15" s="142">
        <f t="shared" si="5"/>
        <v>0.21</v>
      </c>
      <c r="N15" s="164">
        <f t="shared" si="6"/>
        <v>17.02</v>
      </c>
      <c r="O15" s="124">
        <f t="shared" si="7"/>
        <v>1970602.6799999997</v>
      </c>
      <c r="P15" s="77">
        <f t="shared" si="2"/>
        <v>17.02</v>
      </c>
      <c r="Q15" s="77">
        <f t="shared" si="8"/>
        <v>1995220.56</v>
      </c>
      <c r="R15" s="77">
        <f t="shared" si="3"/>
        <v>24617.880000000354</v>
      </c>
      <c r="S15" s="171"/>
      <c r="U15" s="158">
        <f t="shared" si="4"/>
        <v>1.2492563950029734E-2</v>
      </c>
      <c r="V15" s="29"/>
    </row>
    <row r="16" spans="1:22" s="78" customFormat="1" x14ac:dyDescent="0.25">
      <c r="A16" s="178"/>
      <c r="B16" s="131" t="s">
        <v>177</v>
      </c>
      <c r="C16" s="28" t="s">
        <v>122</v>
      </c>
      <c r="D16" s="123">
        <v>38</v>
      </c>
      <c r="E16" s="81">
        <v>8.6666666666666661</v>
      </c>
      <c r="F16" s="123">
        <v>3952</v>
      </c>
      <c r="G16" s="137">
        <f>References!$B$14</f>
        <v>34</v>
      </c>
      <c r="H16" s="123">
        <f t="shared" si="0"/>
        <v>134368</v>
      </c>
      <c r="I16" s="80">
        <f t="shared" si="1"/>
        <v>101354.76223023473</v>
      </c>
      <c r="J16" s="124">
        <f>(References!$C$49*I16)</f>
        <v>184.97244107017769</v>
      </c>
      <c r="K16" s="124">
        <f>J16/References!$G$57</f>
        <v>192.86847649800606</v>
      </c>
      <c r="L16" s="163">
        <v>33.619999999999997</v>
      </c>
      <c r="M16" s="142">
        <f t="shared" si="5"/>
        <v>0.42</v>
      </c>
      <c r="N16" s="164">
        <f>N15*2</f>
        <v>34.04</v>
      </c>
      <c r="O16" s="124">
        <f t="shared" si="7"/>
        <v>15330.72</v>
      </c>
      <c r="P16" s="77">
        <f t="shared" si="2"/>
        <v>34.04</v>
      </c>
      <c r="Q16" s="77">
        <f t="shared" si="8"/>
        <v>15522.24</v>
      </c>
      <c r="R16" s="77">
        <f t="shared" si="3"/>
        <v>191.52000000000044</v>
      </c>
      <c r="S16" s="171"/>
      <c r="U16" s="158">
        <f t="shared" si="4"/>
        <v>1.2492563950029734E-2</v>
      </c>
      <c r="V16" s="121"/>
    </row>
    <row r="17" spans="1:24" s="78" customFormat="1" x14ac:dyDescent="0.25">
      <c r="A17" s="178"/>
      <c r="B17" s="131" t="s">
        <v>177</v>
      </c>
      <c r="C17" s="28" t="s">
        <v>123</v>
      </c>
      <c r="D17" s="123">
        <v>1</v>
      </c>
      <c r="E17" s="81">
        <v>17.333333333333332</v>
      </c>
      <c r="F17" s="123">
        <v>208</v>
      </c>
      <c r="G17" s="137">
        <f>References!$B$14</f>
        <v>34</v>
      </c>
      <c r="H17" s="123">
        <f t="shared" si="0"/>
        <v>7072</v>
      </c>
      <c r="I17" s="80">
        <f t="shared" si="1"/>
        <v>5334.4611700123542</v>
      </c>
      <c r="J17" s="124">
        <f>(References!$C$49*I17)</f>
        <v>9.7353916352725101</v>
      </c>
      <c r="K17" s="124">
        <f>J17/References!$G$57</f>
        <v>10.150972447263477</v>
      </c>
      <c r="L17" s="163">
        <v>67.239999999999995</v>
      </c>
      <c r="M17" s="142">
        <f t="shared" si="5"/>
        <v>0.85</v>
      </c>
      <c r="N17" s="164">
        <f>N15*4</f>
        <v>68.08</v>
      </c>
      <c r="O17" s="124">
        <f t="shared" si="7"/>
        <v>806.87999999999988</v>
      </c>
      <c r="P17" s="77">
        <f t="shared" si="2"/>
        <v>68.08</v>
      </c>
      <c r="Q17" s="77">
        <f t="shared" si="8"/>
        <v>816.96</v>
      </c>
      <c r="R17" s="77">
        <f t="shared" si="3"/>
        <v>10.080000000000155</v>
      </c>
      <c r="S17" s="171"/>
      <c r="U17" s="158">
        <f t="shared" si="4"/>
        <v>1.2492563950029734E-2</v>
      </c>
      <c r="V17" s="121"/>
    </row>
    <row r="18" spans="1:24" s="78" customFormat="1" x14ac:dyDescent="0.25">
      <c r="A18" s="178"/>
      <c r="B18" s="131"/>
      <c r="C18" s="28" t="s">
        <v>192</v>
      </c>
      <c r="D18" s="123">
        <v>1</v>
      </c>
      <c r="E18" s="81">
        <v>2.17</v>
      </c>
      <c r="F18" s="123">
        <f>D18*E18*12</f>
        <v>26.04</v>
      </c>
      <c r="G18" s="137">
        <v>47</v>
      </c>
      <c r="H18" s="123">
        <f t="shared" si="0"/>
        <v>1223.8799999999999</v>
      </c>
      <c r="I18" s="80">
        <f t="shared" si="1"/>
        <v>923.18160870400447</v>
      </c>
      <c r="J18" s="169">
        <f>(References!$C$49*I18)</f>
        <v>1.6848064358848021</v>
      </c>
      <c r="K18" s="169">
        <f>J18/References!$G$57</f>
        <v>1.7567268324033971</v>
      </c>
      <c r="L18" s="163">
        <v>16.05</v>
      </c>
      <c r="M18" s="142">
        <f t="shared" si="5"/>
        <v>0.15</v>
      </c>
      <c r="N18" s="164">
        <f t="shared" ref="N18" si="9">M18+L18</f>
        <v>16.2</v>
      </c>
      <c r="O18" s="169">
        <f t="shared" ref="O18" si="10">D18*L18*12</f>
        <v>192.60000000000002</v>
      </c>
      <c r="P18" s="77">
        <f t="shared" ref="P18" si="11">+N18</f>
        <v>16.2</v>
      </c>
      <c r="Q18" s="77">
        <f t="shared" ref="Q18" si="12">D18*P18*12</f>
        <v>194.39999999999998</v>
      </c>
      <c r="R18" s="77">
        <f t="shared" ref="R18" si="13">Q18-O18</f>
        <v>1.7999999999999545</v>
      </c>
      <c r="S18" s="171"/>
      <c r="U18" s="158"/>
      <c r="V18" s="121"/>
    </row>
    <row r="19" spans="1:24" s="78" customFormat="1" x14ac:dyDescent="0.25">
      <c r="A19" s="178"/>
      <c r="B19" s="76">
        <v>22</v>
      </c>
      <c r="C19" s="28" t="s">
        <v>124</v>
      </c>
      <c r="D19" s="123">
        <v>13668</v>
      </c>
      <c r="E19" s="81">
        <v>4.333333333333333</v>
      </c>
      <c r="F19" s="123">
        <v>710735.99999999988</v>
      </c>
      <c r="G19" s="137">
        <f>References!$B$21</f>
        <v>47</v>
      </c>
      <c r="H19" s="123">
        <f t="shared" si="0"/>
        <v>33404591.999999996</v>
      </c>
      <c r="I19" s="80">
        <f t="shared" si="1"/>
        <v>25197327.336553354</v>
      </c>
      <c r="J19" s="124">
        <f>(References!$C$49*I19)</f>
        <v>45985.122389209704</v>
      </c>
      <c r="K19" s="124">
        <f>J19/References!$G$57</f>
        <v>47948.118354649036</v>
      </c>
      <c r="L19" s="163">
        <v>21.520000000000003</v>
      </c>
      <c r="M19" s="142">
        <f t="shared" si="5"/>
        <v>0.28999999999999998</v>
      </c>
      <c r="N19" s="164">
        <f>M19+L19</f>
        <v>21.810000000000002</v>
      </c>
      <c r="O19" s="124">
        <f t="shared" si="7"/>
        <v>3529624.3200000003</v>
      </c>
      <c r="P19" s="77">
        <f t="shared" si="2"/>
        <v>21.810000000000002</v>
      </c>
      <c r="Q19" s="77">
        <f t="shared" si="8"/>
        <v>3577188.96</v>
      </c>
      <c r="R19" s="77">
        <f t="shared" si="3"/>
        <v>47564.639999999665</v>
      </c>
      <c r="S19" s="171"/>
      <c r="U19" s="158">
        <f t="shared" si="4"/>
        <v>1.3475836431226629E-2</v>
      </c>
      <c r="V19" s="121"/>
    </row>
    <row r="20" spans="1:24" s="78" customFormat="1" x14ac:dyDescent="0.25">
      <c r="A20" s="178"/>
      <c r="B20" s="131" t="s">
        <v>177</v>
      </c>
      <c r="C20" s="28" t="s">
        <v>125</v>
      </c>
      <c r="D20" s="123">
        <v>98</v>
      </c>
      <c r="E20" s="81">
        <v>8.6666666666666661</v>
      </c>
      <c r="F20" s="123">
        <v>10192</v>
      </c>
      <c r="G20" s="137">
        <f>References!$B$21</f>
        <v>47</v>
      </c>
      <c r="H20" s="123">
        <f t="shared" si="0"/>
        <v>479024</v>
      </c>
      <c r="I20" s="80">
        <f t="shared" si="1"/>
        <v>361331.29630995449</v>
      </c>
      <c r="J20" s="124">
        <f>(References!$C$49*I20)</f>
        <v>659.42961576566449</v>
      </c>
      <c r="K20" s="124">
        <f>J20/References!$G$57</f>
        <v>687.57910429552317</v>
      </c>
      <c r="L20" s="163">
        <v>43.040000000000006</v>
      </c>
      <c r="M20" s="142">
        <f t="shared" si="5"/>
        <v>0.57999999999999996</v>
      </c>
      <c r="N20" s="164">
        <f>N19*2</f>
        <v>43.620000000000005</v>
      </c>
      <c r="O20" s="124">
        <f t="shared" si="7"/>
        <v>50615.040000000008</v>
      </c>
      <c r="P20" s="77">
        <f t="shared" si="2"/>
        <v>43.620000000000005</v>
      </c>
      <c r="Q20" s="77">
        <f t="shared" si="8"/>
        <v>51297.120000000003</v>
      </c>
      <c r="R20" s="77">
        <f t="shared" si="3"/>
        <v>682.07999999999447</v>
      </c>
      <c r="S20" s="171"/>
      <c r="U20" s="158">
        <f t="shared" si="4"/>
        <v>1.3475836431226629E-2</v>
      </c>
      <c r="V20" s="121"/>
    </row>
    <row r="21" spans="1:24" s="78" customFormat="1" x14ac:dyDescent="0.25">
      <c r="A21" s="178"/>
      <c r="B21" s="131" t="s">
        <v>177</v>
      </c>
      <c r="C21" s="28" t="s">
        <v>126</v>
      </c>
      <c r="D21" s="123">
        <v>6</v>
      </c>
      <c r="E21" s="81">
        <v>13</v>
      </c>
      <c r="F21" s="123">
        <v>936</v>
      </c>
      <c r="G21" s="137">
        <f>References!$B$21</f>
        <v>47</v>
      </c>
      <c r="H21" s="123">
        <f t="shared" si="0"/>
        <v>43992</v>
      </c>
      <c r="I21" s="80">
        <f t="shared" si="1"/>
        <v>33183.48639581215</v>
      </c>
      <c r="J21" s="124">
        <f>(References!$C$49*I21)</f>
        <v>60.55986267235695</v>
      </c>
      <c r="K21" s="124">
        <f>J21/References!$G$57</f>
        <v>63.145019782241931</v>
      </c>
      <c r="L21" s="163">
        <v>64.56</v>
      </c>
      <c r="M21" s="142">
        <f t="shared" si="5"/>
        <v>0.88</v>
      </c>
      <c r="N21" s="164">
        <f>N19*3</f>
        <v>65.430000000000007</v>
      </c>
      <c r="O21" s="124">
        <f t="shared" si="7"/>
        <v>4648.32</v>
      </c>
      <c r="P21" s="77">
        <f t="shared" si="2"/>
        <v>65.430000000000007</v>
      </c>
      <c r="Q21" s="77">
        <f t="shared" si="8"/>
        <v>4710.9600000000009</v>
      </c>
      <c r="R21" s="77">
        <f t="shared" si="3"/>
        <v>62.640000000001237</v>
      </c>
      <c r="S21" s="171"/>
      <c r="U21" s="158">
        <f t="shared" si="4"/>
        <v>1.3475836431226851E-2</v>
      </c>
      <c r="V21" s="121"/>
    </row>
    <row r="22" spans="1:24" s="78" customFormat="1" x14ac:dyDescent="0.25">
      <c r="A22" s="178"/>
      <c r="B22" s="76">
        <v>22</v>
      </c>
      <c r="C22" s="28" t="s">
        <v>127</v>
      </c>
      <c r="D22" s="123">
        <v>2150</v>
      </c>
      <c r="E22" s="81">
        <v>4.333333333333333</v>
      </c>
      <c r="F22" s="123">
        <v>111800</v>
      </c>
      <c r="G22" s="137">
        <f>References!$B$22</f>
        <v>68</v>
      </c>
      <c r="H22" s="123">
        <f t="shared" si="0"/>
        <v>7602400</v>
      </c>
      <c r="I22" s="80">
        <f t="shared" si="1"/>
        <v>5734545.7577632815</v>
      </c>
      <c r="J22" s="124">
        <f>(References!$C$49*I22)</f>
        <v>10465.54600791795</v>
      </c>
      <c r="K22" s="124">
        <f>J22/References!$G$57</f>
        <v>10912.295380808238</v>
      </c>
      <c r="L22" s="163">
        <v>28.43</v>
      </c>
      <c r="M22" s="142">
        <f t="shared" si="5"/>
        <v>0.42</v>
      </c>
      <c r="N22" s="164">
        <f>M22+L22</f>
        <v>28.85</v>
      </c>
      <c r="O22" s="124">
        <f t="shared" si="7"/>
        <v>733494</v>
      </c>
      <c r="P22" s="77">
        <f t="shared" si="2"/>
        <v>28.85</v>
      </c>
      <c r="Q22" s="77">
        <f t="shared" si="8"/>
        <v>744330</v>
      </c>
      <c r="R22" s="77">
        <f t="shared" si="3"/>
        <v>10836</v>
      </c>
      <c r="S22" s="171"/>
      <c r="U22" s="158">
        <f t="shared" si="4"/>
        <v>1.4773126978543827E-2</v>
      </c>
      <c r="V22" s="121"/>
    </row>
    <row r="23" spans="1:24" s="78" customFormat="1" x14ac:dyDescent="0.25">
      <c r="A23" s="178"/>
      <c r="B23" s="131" t="s">
        <v>177</v>
      </c>
      <c r="C23" s="28" t="s">
        <v>128</v>
      </c>
      <c r="D23" s="123">
        <v>55</v>
      </c>
      <c r="E23" s="81">
        <v>8.6666666666666661</v>
      </c>
      <c r="F23" s="123">
        <v>5720</v>
      </c>
      <c r="G23" s="137">
        <f>References!$B$22</f>
        <v>68</v>
      </c>
      <c r="H23" s="123">
        <f t="shared" si="0"/>
        <v>388960</v>
      </c>
      <c r="I23" s="80">
        <f t="shared" si="1"/>
        <v>293395.36435067951</v>
      </c>
      <c r="J23" s="124">
        <f>(References!$C$49*I23)</f>
        <v>535.44653993998816</v>
      </c>
      <c r="K23" s="124">
        <f>J23/References!$G$57</f>
        <v>558.3034845994913</v>
      </c>
      <c r="L23" s="163">
        <v>56.86</v>
      </c>
      <c r="M23" s="142">
        <f t="shared" si="5"/>
        <v>0.85</v>
      </c>
      <c r="N23" s="164">
        <f>N22*2</f>
        <v>57.7</v>
      </c>
      <c r="O23" s="124">
        <f t="shared" si="7"/>
        <v>37527.600000000006</v>
      </c>
      <c r="P23" s="77">
        <f t="shared" si="2"/>
        <v>57.7</v>
      </c>
      <c r="Q23" s="77">
        <f t="shared" si="8"/>
        <v>38082</v>
      </c>
      <c r="R23" s="77">
        <f t="shared" si="3"/>
        <v>554.39999999999418</v>
      </c>
      <c r="S23" s="171"/>
      <c r="U23" s="158">
        <f t="shared" si="4"/>
        <v>1.4773126978543827E-2</v>
      </c>
      <c r="V23" s="121"/>
    </row>
    <row r="24" spans="1:24" s="78" customFormat="1" x14ac:dyDescent="0.25">
      <c r="A24" s="178"/>
      <c r="B24" s="131" t="s">
        <v>177</v>
      </c>
      <c r="C24" s="28" t="s">
        <v>129</v>
      </c>
      <c r="D24" s="123">
        <v>6</v>
      </c>
      <c r="E24" s="81">
        <v>13</v>
      </c>
      <c r="F24" s="123">
        <v>936</v>
      </c>
      <c r="G24" s="137">
        <f>References!$B$22</f>
        <v>68</v>
      </c>
      <c r="H24" s="123">
        <f t="shared" si="0"/>
        <v>63648</v>
      </c>
      <c r="I24" s="80">
        <f t="shared" si="1"/>
        <v>48010.15053011119</v>
      </c>
      <c r="J24" s="124">
        <f>(References!$C$49*I24)</f>
        <v>87.618524717452601</v>
      </c>
      <c r="K24" s="124">
        <f>J24/References!$G$57</f>
        <v>91.358752025371302</v>
      </c>
      <c r="L24" s="163">
        <v>85.289999999999992</v>
      </c>
      <c r="M24" s="142">
        <f t="shared" si="5"/>
        <v>1.27</v>
      </c>
      <c r="N24" s="164">
        <f>N22*3</f>
        <v>86.550000000000011</v>
      </c>
      <c r="O24" s="124">
        <f t="shared" si="7"/>
        <v>6140.8799999999992</v>
      </c>
      <c r="P24" s="77">
        <f t="shared" si="2"/>
        <v>86.550000000000011</v>
      </c>
      <c r="Q24" s="77">
        <f t="shared" si="8"/>
        <v>6231.6</v>
      </c>
      <c r="R24" s="77">
        <f t="shared" si="3"/>
        <v>90.720000000001164</v>
      </c>
      <c r="S24" s="171"/>
      <c r="U24" s="158">
        <f t="shared" si="4"/>
        <v>1.4773126978544049E-2</v>
      </c>
      <c r="V24" s="121"/>
    </row>
    <row r="25" spans="1:24" s="78" customFormat="1" x14ac:dyDescent="0.25">
      <c r="A25" s="178"/>
      <c r="B25" s="76">
        <v>23</v>
      </c>
      <c r="C25" s="28" t="s">
        <v>175</v>
      </c>
      <c r="D25" s="123">
        <v>5952.7429687499998</v>
      </c>
      <c r="E25" s="81">
        <v>1</v>
      </c>
      <c r="F25" s="123">
        <v>71432.915624999994</v>
      </c>
      <c r="G25" s="136">
        <f>References!B24</f>
        <v>34</v>
      </c>
      <c r="H25" s="123">
        <f t="shared" si="0"/>
        <v>2428719.1312499996</v>
      </c>
      <c r="I25" s="80">
        <f t="shared" si="1"/>
        <v>1832000.5512612078</v>
      </c>
      <c r="J25" s="124">
        <f>(References!$C$49*I25)</f>
        <v>3343.4010060516921</v>
      </c>
      <c r="K25" s="124">
        <f>J25/References!$G$57</f>
        <v>3486.1228766205368</v>
      </c>
      <c r="L25" s="163">
        <v>4.03</v>
      </c>
      <c r="M25" s="142">
        <f t="shared" si="5"/>
        <v>0.05</v>
      </c>
      <c r="N25" s="164">
        <f>M25+L25</f>
        <v>4.08</v>
      </c>
      <c r="O25" s="124">
        <f>F25*L25</f>
        <v>287874.64996875002</v>
      </c>
      <c r="P25" s="77">
        <f t="shared" si="2"/>
        <v>4.08</v>
      </c>
      <c r="Q25" s="77">
        <f>F25*P25</f>
        <v>291446.29574999999</v>
      </c>
      <c r="R25" s="77">
        <f t="shared" si="3"/>
        <v>3571.6457812499721</v>
      </c>
      <c r="S25" s="171"/>
      <c r="U25" s="158">
        <f t="shared" si="4"/>
        <v>1.2406947890818865E-2</v>
      </c>
      <c r="V25" s="121"/>
    </row>
    <row r="26" spans="1:24" s="78" customFormat="1" x14ac:dyDescent="0.25">
      <c r="A26" s="84"/>
      <c r="B26" s="85"/>
      <c r="C26" s="162" t="s">
        <v>184</v>
      </c>
      <c r="D26" s="87">
        <f>SUM(D3:D25)</f>
        <v>45627.74297875</v>
      </c>
      <c r="E26" s="88"/>
      <c r="F26" s="87">
        <f>SUM(F3:F25)</f>
        <v>2095750.9556249999</v>
      </c>
      <c r="G26" s="138"/>
      <c r="H26" s="89">
        <f>SUM(H3:H25)</f>
        <v>84040071.011249989</v>
      </c>
      <c r="I26" s="90">
        <f>SUM(I3:I25)</f>
        <v>63392038.395728789</v>
      </c>
      <c r="J26" s="91"/>
      <c r="K26" s="91"/>
      <c r="L26" s="91"/>
      <c r="M26" s="91"/>
      <c r="N26" s="165"/>
      <c r="O26" s="92">
        <f>SUM(O3:O25)</f>
        <v>8916522.411448352</v>
      </c>
      <c r="P26" s="92"/>
      <c r="Q26" s="92">
        <f>SUM(Q3:Q25)</f>
        <v>9035984.8972440008</v>
      </c>
      <c r="R26" s="92">
        <f>SUM(R3:R25)</f>
        <v>119462.4857956498</v>
      </c>
      <c r="S26" s="78">
        <f>R26/O26</f>
        <v>1.339787871135345E-2</v>
      </c>
      <c r="U26" s="159">
        <f>+Q26/O26-1</f>
        <v>1.3397878711353339E-2</v>
      </c>
      <c r="V26" s="121"/>
    </row>
    <row r="27" spans="1:24" s="78" customFormat="1" ht="15" customHeight="1" x14ac:dyDescent="0.25">
      <c r="A27" s="179" t="s">
        <v>101</v>
      </c>
      <c r="B27" s="76">
        <v>34</v>
      </c>
      <c r="C27" t="s">
        <v>131</v>
      </c>
      <c r="D27" s="123"/>
      <c r="E27" s="79"/>
      <c r="F27" s="94">
        <v>2184</v>
      </c>
      <c r="G27" s="137">
        <f>References!$B$26</f>
        <v>29</v>
      </c>
      <c r="H27" s="83">
        <f t="shared" ref="H27:H90" si="14">F27*G27</f>
        <v>63336</v>
      </c>
      <c r="I27" s="80">
        <f t="shared" ref="I27:I58" si="15">$C$125*H27</f>
        <v>47774.806654963584</v>
      </c>
      <c r="J27" s="124">
        <f>References!$C$49*I27</f>
        <v>87.189022145308215</v>
      </c>
      <c r="K27" s="124">
        <f>J27/References!$G$57</f>
        <v>90.910915005639083</v>
      </c>
      <c r="L27" s="163">
        <v>3.1100000000000003</v>
      </c>
      <c r="M27" s="124">
        <f t="shared" ref="M27:M90" si="16">ROUND((K27/F27),2)</f>
        <v>0.04</v>
      </c>
      <c r="N27" s="164">
        <f t="shared" ref="N27:N90" si="17">M27+L27</f>
        <v>3.1500000000000004</v>
      </c>
      <c r="O27" s="124">
        <f t="shared" ref="O27:O58" si="18">F27*L27</f>
        <v>6792.2400000000007</v>
      </c>
      <c r="P27" s="77">
        <f t="shared" ref="P27:P68" si="19">+N27</f>
        <v>3.1500000000000004</v>
      </c>
      <c r="Q27" s="77">
        <f t="shared" ref="Q27:Q58" si="20">F27*P27</f>
        <v>6879.6</v>
      </c>
      <c r="R27" s="77">
        <f t="shared" ref="R27:R90" si="21">Q27-O27</f>
        <v>87.359999999999673</v>
      </c>
      <c r="S27" s="171">
        <v>15.377785016286644</v>
      </c>
      <c r="T27" s="171">
        <f>N27/L27*S27</f>
        <v>15.575570032573291</v>
      </c>
      <c r="U27" s="158">
        <f t="shared" ref="U27:U58" si="22">+N27/L27-1</f>
        <v>1.2861736334405238E-2</v>
      </c>
      <c r="V27" s="121"/>
      <c r="W27" s="169">
        <v>14.39</v>
      </c>
      <c r="X27" s="78">
        <f>ROUND(+W27*U27+W27,2)</f>
        <v>14.58</v>
      </c>
    </row>
    <row r="28" spans="1:24" s="78" customFormat="1" x14ac:dyDescent="0.25">
      <c r="A28" s="178"/>
      <c r="B28" s="76">
        <v>34</v>
      </c>
      <c r="C28" t="s">
        <v>132</v>
      </c>
      <c r="D28" s="123"/>
      <c r="E28" s="79"/>
      <c r="F28" s="94">
        <v>832</v>
      </c>
      <c r="G28" s="137">
        <f>References!$B$26</f>
        <v>29</v>
      </c>
      <c r="H28" s="83">
        <f t="shared" si="14"/>
        <v>24128</v>
      </c>
      <c r="I28" s="80">
        <f t="shared" si="15"/>
        <v>18199.926344748033</v>
      </c>
      <c r="J28" s="124">
        <f>References!$C$49*I28</f>
        <v>33.214865579165036</v>
      </c>
      <c r="K28" s="124">
        <f>J28/References!$G$57</f>
        <v>34.632729525957743</v>
      </c>
      <c r="L28" s="163">
        <v>3.1100000000000003</v>
      </c>
      <c r="M28" s="124">
        <f t="shared" si="16"/>
        <v>0.04</v>
      </c>
      <c r="N28" s="164">
        <f t="shared" si="17"/>
        <v>3.1500000000000004</v>
      </c>
      <c r="O28" s="124">
        <f t="shared" si="18"/>
        <v>2587.5200000000004</v>
      </c>
      <c r="P28" s="77">
        <f t="shared" si="19"/>
        <v>3.1500000000000004</v>
      </c>
      <c r="Q28" s="77">
        <f t="shared" si="20"/>
        <v>2620.8000000000002</v>
      </c>
      <c r="R28" s="77">
        <f t="shared" si="21"/>
        <v>33.279999999999745</v>
      </c>
      <c r="S28" s="171">
        <v>13.209902280130292</v>
      </c>
      <c r="T28" s="171">
        <f>N28/L28*S28</f>
        <v>13.379804560260586</v>
      </c>
      <c r="U28" s="158">
        <f t="shared" si="22"/>
        <v>1.2861736334405238E-2</v>
      </c>
      <c r="V28" s="121"/>
      <c r="W28" s="78">
        <v>12.36</v>
      </c>
      <c r="X28" s="78">
        <f>ROUND(+W28*U28+W28,2)</f>
        <v>12.52</v>
      </c>
    </row>
    <row r="29" spans="1:24" s="78" customFormat="1" x14ac:dyDescent="0.25">
      <c r="A29" s="178"/>
      <c r="B29" s="76">
        <v>34</v>
      </c>
      <c r="C29" t="s">
        <v>133</v>
      </c>
      <c r="D29" s="123"/>
      <c r="E29" s="79"/>
      <c r="F29" s="94">
        <v>467.99999999999994</v>
      </c>
      <c r="G29" s="137">
        <f>References!$B$26</f>
        <v>29</v>
      </c>
      <c r="H29" s="83">
        <f t="shared" si="14"/>
        <v>13571.999999999998</v>
      </c>
      <c r="I29" s="80">
        <f t="shared" si="15"/>
        <v>10237.458568920767</v>
      </c>
      <c r="J29" s="124">
        <f>References!$C$49*I29</f>
        <v>18.683361888280331</v>
      </c>
      <c r="K29" s="124">
        <f>J29/References!$G$57</f>
        <v>19.480910358351231</v>
      </c>
      <c r="L29" s="163">
        <v>3.1100000000000003</v>
      </c>
      <c r="M29" s="124">
        <f t="shared" si="16"/>
        <v>0.04</v>
      </c>
      <c r="N29" s="164">
        <f t="shared" si="17"/>
        <v>3.1500000000000004</v>
      </c>
      <c r="O29" s="124">
        <f t="shared" si="18"/>
        <v>1455.48</v>
      </c>
      <c r="P29" s="77">
        <f t="shared" si="19"/>
        <v>3.1500000000000004</v>
      </c>
      <c r="Q29" s="77">
        <f t="shared" si="20"/>
        <v>1474.2</v>
      </c>
      <c r="R29" s="77">
        <f t="shared" si="21"/>
        <v>18.720000000000027</v>
      </c>
      <c r="S29" s="171"/>
      <c r="U29" s="158">
        <f t="shared" si="22"/>
        <v>1.2861736334405238E-2</v>
      </c>
      <c r="V29" s="121"/>
    </row>
    <row r="30" spans="1:24" s="78" customFormat="1" x14ac:dyDescent="0.25">
      <c r="A30" s="178"/>
      <c r="B30" s="76">
        <v>34</v>
      </c>
      <c r="C30" t="s">
        <v>134</v>
      </c>
      <c r="D30" s="123"/>
      <c r="E30" s="79"/>
      <c r="F30" s="94">
        <v>624</v>
      </c>
      <c r="G30" s="137">
        <f>References!$B$26</f>
        <v>29</v>
      </c>
      <c r="H30" s="83">
        <f t="shared" si="14"/>
        <v>18096</v>
      </c>
      <c r="I30" s="80">
        <f t="shared" si="15"/>
        <v>13649.944758561025</v>
      </c>
      <c r="J30" s="124">
        <f>References!$C$49*I30</f>
        <v>24.91114918437378</v>
      </c>
      <c r="K30" s="124">
        <f>J30/References!$G$57</f>
        <v>25.974547144468314</v>
      </c>
      <c r="L30" s="163">
        <v>3.1100000000000003</v>
      </c>
      <c r="M30" s="124">
        <f t="shared" si="16"/>
        <v>0.04</v>
      </c>
      <c r="N30" s="164">
        <f t="shared" si="17"/>
        <v>3.1500000000000004</v>
      </c>
      <c r="O30" s="124">
        <f t="shared" si="18"/>
        <v>1940.64</v>
      </c>
      <c r="P30" s="77">
        <f t="shared" si="19"/>
        <v>3.1500000000000004</v>
      </c>
      <c r="Q30" s="77">
        <f t="shared" si="20"/>
        <v>1965.6000000000001</v>
      </c>
      <c r="R30" s="77">
        <f t="shared" si="21"/>
        <v>24.960000000000036</v>
      </c>
      <c r="S30" s="171"/>
      <c r="U30" s="158">
        <f t="shared" si="22"/>
        <v>1.2861736334405238E-2</v>
      </c>
      <c r="V30" s="121"/>
    </row>
    <row r="31" spans="1:24" s="78" customFormat="1" x14ac:dyDescent="0.25">
      <c r="A31" s="178"/>
      <c r="B31" s="76">
        <v>34</v>
      </c>
      <c r="C31" t="s">
        <v>135</v>
      </c>
      <c r="D31" s="123"/>
      <c r="E31" s="79"/>
      <c r="F31" s="94">
        <v>260</v>
      </c>
      <c r="G31" s="137">
        <f>References!$B$26</f>
        <v>29</v>
      </c>
      <c r="H31" s="83">
        <f t="shared" si="14"/>
        <v>7540</v>
      </c>
      <c r="I31" s="80">
        <f t="shared" si="15"/>
        <v>5687.4769827337605</v>
      </c>
      <c r="J31" s="124">
        <f>References!$C$49*I31</f>
        <v>10.379645493489075</v>
      </c>
      <c r="K31" s="124">
        <f>J31/References!$G$57</f>
        <v>10.822727976861797</v>
      </c>
      <c r="L31" s="163">
        <v>3.1100000000000003</v>
      </c>
      <c r="M31" s="124">
        <f t="shared" si="16"/>
        <v>0.04</v>
      </c>
      <c r="N31" s="164">
        <f t="shared" si="17"/>
        <v>3.1500000000000004</v>
      </c>
      <c r="O31" s="124">
        <f t="shared" si="18"/>
        <v>808.60000000000014</v>
      </c>
      <c r="P31" s="77">
        <f t="shared" si="19"/>
        <v>3.1500000000000004</v>
      </c>
      <c r="Q31" s="77">
        <f t="shared" si="20"/>
        <v>819.00000000000011</v>
      </c>
      <c r="R31" s="77">
        <f t="shared" si="21"/>
        <v>10.399999999999977</v>
      </c>
      <c r="S31" s="171"/>
      <c r="U31" s="158">
        <f t="shared" si="22"/>
        <v>1.2861736334405238E-2</v>
      </c>
      <c r="V31" s="121"/>
    </row>
    <row r="32" spans="1:24" s="78" customFormat="1" x14ac:dyDescent="0.25">
      <c r="A32" s="178"/>
      <c r="B32" s="76">
        <v>34</v>
      </c>
      <c r="C32" s="31" t="s">
        <v>136</v>
      </c>
      <c r="D32" s="123"/>
      <c r="E32" s="79"/>
      <c r="F32" s="94">
        <v>312</v>
      </c>
      <c r="G32" s="137">
        <f>References!$B$26</f>
        <v>29</v>
      </c>
      <c r="H32" s="83">
        <f t="shared" si="14"/>
        <v>9048</v>
      </c>
      <c r="I32" s="80">
        <f t="shared" si="15"/>
        <v>6824.9723792805125</v>
      </c>
      <c r="J32" s="124">
        <f>References!$C$49*I32</f>
        <v>12.45557459218689</v>
      </c>
      <c r="K32" s="124">
        <f>J32/References!$G$57</f>
        <v>12.987273572234157</v>
      </c>
      <c r="L32" s="163">
        <v>3.1100000000000003</v>
      </c>
      <c r="M32" s="124">
        <f t="shared" si="16"/>
        <v>0.04</v>
      </c>
      <c r="N32" s="164">
        <f t="shared" si="17"/>
        <v>3.1500000000000004</v>
      </c>
      <c r="O32" s="124">
        <f t="shared" si="18"/>
        <v>970.32</v>
      </c>
      <c r="P32" s="77">
        <f t="shared" si="19"/>
        <v>3.1500000000000004</v>
      </c>
      <c r="Q32" s="77">
        <f t="shared" si="20"/>
        <v>982.80000000000007</v>
      </c>
      <c r="R32" s="77">
        <f t="shared" si="21"/>
        <v>12.480000000000018</v>
      </c>
      <c r="S32" s="171"/>
      <c r="U32" s="158">
        <f t="shared" si="22"/>
        <v>1.2861736334405238E-2</v>
      </c>
      <c r="V32" s="121"/>
    </row>
    <row r="33" spans="1:24" s="78" customFormat="1" x14ac:dyDescent="0.25">
      <c r="A33" s="178"/>
      <c r="B33" s="76">
        <v>34</v>
      </c>
      <c r="C33" s="31" t="s">
        <v>137</v>
      </c>
      <c r="D33" s="123"/>
      <c r="E33" s="79"/>
      <c r="F33" s="94">
        <v>4992</v>
      </c>
      <c r="G33" s="137">
        <f>References!$B$26</f>
        <v>29</v>
      </c>
      <c r="H33" s="83">
        <f t="shared" si="14"/>
        <v>144768</v>
      </c>
      <c r="I33" s="80">
        <f t="shared" si="15"/>
        <v>109199.5580684882</v>
      </c>
      <c r="J33" s="124">
        <f>References!$C$49*I33</f>
        <v>199.28919347499024</v>
      </c>
      <c r="K33" s="124">
        <f>J33/References!$G$57</f>
        <v>207.79637715574651</v>
      </c>
      <c r="L33" s="163">
        <v>3.1100000000000003</v>
      </c>
      <c r="M33" s="124">
        <f t="shared" si="16"/>
        <v>0.04</v>
      </c>
      <c r="N33" s="164">
        <f t="shared" si="17"/>
        <v>3.1500000000000004</v>
      </c>
      <c r="O33" s="124">
        <f t="shared" si="18"/>
        <v>15525.12</v>
      </c>
      <c r="P33" s="77">
        <f t="shared" si="19"/>
        <v>3.1500000000000004</v>
      </c>
      <c r="Q33" s="77">
        <f t="shared" si="20"/>
        <v>15724.800000000001</v>
      </c>
      <c r="R33" s="77">
        <f t="shared" si="21"/>
        <v>199.68000000000029</v>
      </c>
      <c r="S33" s="171"/>
      <c r="T33" s="171"/>
      <c r="U33" s="158">
        <f t="shared" si="22"/>
        <v>1.2861736334405238E-2</v>
      </c>
      <c r="V33" s="122"/>
    </row>
    <row r="34" spans="1:24" s="78" customFormat="1" x14ac:dyDescent="0.25">
      <c r="A34" s="178"/>
      <c r="B34" s="76">
        <v>27</v>
      </c>
      <c r="C34" s="31" t="s">
        <v>138</v>
      </c>
      <c r="D34" s="123"/>
      <c r="E34" s="79"/>
      <c r="F34" s="94">
        <v>1248</v>
      </c>
      <c r="G34" s="137">
        <f>References!$B$26</f>
        <v>29</v>
      </c>
      <c r="H34" s="83">
        <f t="shared" si="14"/>
        <v>36192</v>
      </c>
      <c r="I34" s="80">
        <f t="shared" si="15"/>
        <v>27299.88951712205</v>
      </c>
      <c r="J34" s="124">
        <f>References!$C$49*I34</f>
        <v>49.82229836874756</v>
      </c>
      <c r="K34" s="124">
        <f>J34/References!$G$57</f>
        <v>51.949094288936628</v>
      </c>
      <c r="L34" s="163">
        <v>3.83</v>
      </c>
      <c r="M34" s="124">
        <f t="shared" si="16"/>
        <v>0.04</v>
      </c>
      <c r="N34" s="164">
        <f t="shared" si="17"/>
        <v>3.87</v>
      </c>
      <c r="O34" s="124">
        <f t="shared" si="18"/>
        <v>4779.84</v>
      </c>
      <c r="P34" s="77">
        <f t="shared" si="19"/>
        <v>3.87</v>
      </c>
      <c r="Q34" s="77">
        <f t="shared" si="20"/>
        <v>4829.76</v>
      </c>
      <c r="R34" s="77">
        <f t="shared" si="21"/>
        <v>49.920000000000073</v>
      </c>
      <c r="S34" s="171">
        <v>17.57353562005277</v>
      </c>
      <c r="T34" s="171">
        <f>N34/L34*S34</f>
        <v>17.757071240105542</v>
      </c>
      <c r="U34" s="158">
        <f t="shared" si="22"/>
        <v>1.0443864229765065E-2</v>
      </c>
      <c r="V34" s="122"/>
      <c r="W34" s="78">
        <v>16.62</v>
      </c>
      <c r="X34" s="78">
        <f>ROUND(+W34*U34+W34,2)</f>
        <v>16.79</v>
      </c>
    </row>
    <row r="35" spans="1:24" s="78" customFormat="1" x14ac:dyDescent="0.25">
      <c r="A35" s="178"/>
      <c r="B35" s="76">
        <v>27</v>
      </c>
      <c r="C35" s="31" t="s">
        <v>139</v>
      </c>
      <c r="D35" s="123"/>
      <c r="E35" s="79"/>
      <c r="F35" s="94">
        <v>104</v>
      </c>
      <c r="G35" s="137">
        <f>References!$B$26</f>
        <v>29</v>
      </c>
      <c r="H35" s="83">
        <f t="shared" si="14"/>
        <v>3016</v>
      </c>
      <c r="I35" s="80">
        <f t="shared" si="15"/>
        <v>2274.9907930935042</v>
      </c>
      <c r="J35" s="124">
        <f>References!$C$49*I35</f>
        <v>4.1518581973956294</v>
      </c>
      <c r="K35" s="124">
        <f>J35/References!$G$57</f>
        <v>4.3290911907447178</v>
      </c>
      <c r="L35" s="163">
        <v>3.83</v>
      </c>
      <c r="M35" s="124">
        <f t="shared" si="16"/>
        <v>0.04</v>
      </c>
      <c r="N35" s="164">
        <f t="shared" si="17"/>
        <v>3.87</v>
      </c>
      <c r="O35" s="124">
        <f t="shared" si="18"/>
        <v>398.32</v>
      </c>
      <c r="P35" s="77">
        <f t="shared" si="19"/>
        <v>3.87</v>
      </c>
      <c r="Q35" s="77">
        <f t="shared" si="20"/>
        <v>402.48</v>
      </c>
      <c r="R35" s="77">
        <f t="shared" si="21"/>
        <v>4.160000000000025</v>
      </c>
      <c r="S35" s="171"/>
      <c r="U35" s="158">
        <f t="shared" si="22"/>
        <v>1.0443864229765065E-2</v>
      </c>
      <c r="V35" s="122"/>
    </row>
    <row r="36" spans="1:24" s="78" customFormat="1" x14ac:dyDescent="0.25">
      <c r="A36" s="178"/>
      <c r="B36" s="76">
        <v>27</v>
      </c>
      <c r="C36" s="31" t="s">
        <v>140</v>
      </c>
      <c r="D36" s="123"/>
      <c r="E36" s="79"/>
      <c r="F36" s="94">
        <v>4160</v>
      </c>
      <c r="G36" s="137">
        <f>References!$B$21</f>
        <v>47</v>
      </c>
      <c r="H36" s="83">
        <f t="shared" si="14"/>
        <v>195520</v>
      </c>
      <c r="I36" s="80">
        <f t="shared" si="15"/>
        <v>147482.16175916509</v>
      </c>
      <c r="J36" s="124">
        <f>References!$C$49*I36</f>
        <v>269.15494521047532</v>
      </c>
      <c r="K36" s="124">
        <f>J36/References!$G$57</f>
        <v>280.64453236551969</v>
      </c>
      <c r="L36" s="163">
        <v>5.04</v>
      </c>
      <c r="M36" s="124">
        <f t="shared" si="16"/>
        <v>7.0000000000000007E-2</v>
      </c>
      <c r="N36" s="164">
        <f t="shared" si="17"/>
        <v>5.1100000000000003</v>
      </c>
      <c r="O36" s="124">
        <f t="shared" si="18"/>
        <v>20966.400000000001</v>
      </c>
      <c r="P36" s="77">
        <f t="shared" si="19"/>
        <v>5.1100000000000003</v>
      </c>
      <c r="Q36" s="77">
        <f t="shared" si="20"/>
        <v>21257.600000000002</v>
      </c>
      <c r="R36" s="77">
        <f t="shared" si="21"/>
        <v>291.20000000000073</v>
      </c>
      <c r="S36" s="171">
        <v>22.390985915492955</v>
      </c>
      <c r="T36" s="171">
        <f>N36/L36*S36</f>
        <v>22.701971830985912</v>
      </c>
      <c r="U36" s="158">
        <f t="shared" si="22"/>
        <v>1.388888888888884E-2</v>
      </c>
      <c r="V36" s="122"/>
      <c r="W36" s="78">
        <v>20.86</v>
      </c>
      <c r="X36" s="78">
        <f>ROUND(+W36*U36+W36,2)</f>
        <v>21.15</v>
      </c>
    </row>
    <row r="37" spans="1:24" s="78" customFormat="1" x14ac:dyDescent="0.25">
      <c r="A37" s="178"/>
      <c r="B37" s="76">
        <v>27</v>
      </c>
      <c r="C37" s="31" t="s">
        <v>141</v>
      </c>
      <c r="D37" s="123"/>
      <c r="E37" s="79"/>
      <c r="F37" s="94">
        <v>2600</v>
      </c>
      <c r="G37" s="137">
        <f>References!$B$21</f>
        <v>47</v>
      </c>
      <c r="H37" s="83">
        <f t="shared" si="14"/>
        <v>122200</v>
      </c>
      <c r="I37" s="80">
        <f t="shared" si="15"/>
        <v>92176.351099478183</v>
      </c>
      <c r="J37" s="124">
        <f>References!$C$49*I37</f>
        <v>168.22184075654707</v>
      </c>
      <c r="K37" s="124">
        <f>J37/References!$G$57</f>
        <v>175.40283272844979</v>
      </c>
      <c r="L37" s="163">
        <v>5.04</v>
      </c>
      <c r="M37" s="124">
        <f t="shared" si="16"/>
        <v>7.0000000000000007E-2</v>
      </c>
      <c r="N37" s="164">
        <f t="shared" si="17"/>
        <v>5.1100000000000003</v>
      </c>
      <c r="O37" s="124">
        <f t="shared" si="18"/>
        <v>13104</v>
      </c>
      <c r="P37" s="77">
        <f t="shared" si="19"/>
        <v>5.1100000000000003</v>
      </c>
      <c r="Q37" s="77">
        <f t="shared" si="20"/>
        <v>13286</v>
      </c>
      <c r="R37" s="77">
        <f t="shared" si="21"/>
        <v>182</v>
      </c>
      <c r="S37" s="171"/>
      <c r="U37" s="158">
        <f t="shared" si="22"/>
        <v>1.388888888888884E-2</v>
      </c>
      <c r="V37" s="122"/>
    </row>
    <row r="38" spans="1:24" s="78" customFormat="1" x14ac:dyDescent="0.25">
      <c r="A38" s="178"/>
      <c r="B38" s="76">
        <v>27</v>
      </c>
      <c r="C38" s="31" t="s">
        <v>142</v>
      </c>
      <c r="D38" s="123"/>
      <c r="E38" s="79"/>
      <c r="F38" s="94">
        <v>312</v>
      </c>
      <c r="G38" s="137">
        <f>References!$B$21</f>
        <v>47</v>
      </c>
      <c r="H38" s="83">
        <f t="shared" si="14"/>
        <v>14664</v>
      </c>
      <c r="I38" s="80">
        <f t="shared" si="15"/>
        <v>11061.162131937383</v>
      </c>
      <c r="J38" s="124">
        <f>References!$C$49*I38</f>
        <v>20.186620890785647</v>
      </c>
      <c r="K38" s="124">
        <f>J38/References!$G$57</f>
        <v>21.048339927413974</v>
      </c>
      <c r="L38" s="163">
        <v>5.04</v>
      </c>
      <c r="M38" s="124">
        <f t="shared" si="16"/>
        <v>7.0000000000000007E-2</v>
      </c>
      <c r="N38" s="164">
        <f t="shared" si="17"/>
        <v>5.1100000000000003</v>
      </c>
      <c r="O38" s="124">
        <f t="shared" si="18"/>
        <v>1572.48</v>
      </c>
      <c r="P38" s="77">
        <f t="shared" si="19"/>
        <v>5.1100000000000003</v>
      </c>
      <c r="Q38" s="77">
        <f t="shared" si="20"/>
        <v>1594.3200000000002</v>
      </c>
      <c r="R38" s="77">
        <f t="shared" si="21"/>
        <v>21.840000000000146</v>
      </c>
      <c r="S38" s="171"/>
      <c r="U38" s="158">
        <f t="shared" si="22"/>
        <v>1.388888888888884E-2</v>
      </c>
      <c r="V38" s="122"/>
    </row>
    <row r="39" spans="1:24" s="78" customFormat="1" x14ac:dyDescent="0.25">
      <c r="A39" s="178"/>
      <c r="B39" s="76">
        <v>27</v>
      </c>
      <c r="C39" s="31" t="s">
        <v>143</v>
      </c>
      <c r="D39" s="123"/>
      <c r="E39" s="79"/>
      <c r="F39" s="94">
        <v>208</v>
      </c>
      <c r="G39" s="137">
        <f>References!$B$21</f>
        <v>47</v>
      </c>
      <c r="H39" s="83">
        <f t="shared" si="14"/>
        <v>9776</v>
      </c>
      <c r="I39" s="80">
        <f t="shared" si="15"/>
        <v>7374.1080879582551</v>
      </c>
      <c r="J39" s="124">
        <f>References!$C$49*I39</f>
        <v>13.457747260523766</v>
      </c>
      <c r="K39" s="124">
        <f>J39/References!$G$57</f>
        <v>14.032226618275985</v>
      </c>
      <c r="L39" s="163">
        <v>5.04</v>
      </c>
      <c r="M39" s="124">
        <f t="shared" si="16"/>
        <v>7.0000000000000007E-2</v>
      </c>
      <c r="N39" s="164">
        <f t="shared" si="17"/>
        <v>5.1100000000000003</v>
      </c>
      <c r="O39" s="124">
        <f t="shared" si="18"/>
        <v>1048.32</v>
      </c>
      <c r="P39" s="77">
        <f t="shared" si="19"/>
        <v>5.1100000000000003</v>
      </c>
      <c r="Q39" s="77">
        <f t="shared" si="20"/>
        <v>1062.8800000000001</v>
      </c>
      <c r="R39" s="77">
        <f t="shared" si="21"/>
        <v>14.560000000000173</v>
      </c>
      <c r="S39" s="171"/>
      <c r="U39" s="158">
        <f t="shared" si="22"/>
        <v>1.388888888888884E-2</v>
      </c>
      <c r="V39" s="122"/>
    </row>
    <row r="40" spans="1:24" s="78" customFormat="1" x14ac:dyDescent="0.25">
      <c r="A40" s="178"/>
      <c r="B40" s="76">
        <v>27</v>
      </c>
      <c r="C40" s="31" t="s">
        <v>144</v>
      </c>
      <c r="D40" s="123"/>
      <c r="E40" s="79"/>
      <c r="F40" s="94">
        <v>312</v>
      </c>
      <c r="G40" s="137">
        <f>References!$B$21</f>
        <v>47</v>
      </c>
      <c r="H40" s="83">
        <f t="shared" si="14"/>
        <v>14664</v>
      </c>
      <c r="I40" s="80">
        <f t="shared" si="15"/>
        <v>11061.162131937383</v>
      </c>
      <c r="J40" s="124">
        <f>References!$C$49*I40</f>
        <v>20.186620890785647</v>
      </c>
      <c r="K40" s="124">
        <f>J40/References!$G$57</f>
        <v>21.048339927413974</v>
      </c>
      <c r="L40" s="163">
        <v>5.04</v>
      </c>
      <c r="M40" s="124">
        <f t="shared" si="16"/>
        <v>7.0000000000000007E-2</v>
      </c>
      <c r="N40" s="164">
        <f t="shared" si="17"/>
        <v>5.1100000000000003</v>
      </c>
      <c r="O40" s="124">
        <f t="shared" si="18"/>
        <v>1572.48</v>
      </c>
      <c r="P40" s="77">
        <f t="shared" si="19"/>
        <v>5.1100000000000003</v>
      </c>
      <c r="Q40" s="77">
        <f t="shared" si="20"/>
        <v>1594.3200000000002</v>
      </c>
      <c r="R40" s="77">
        <f t="shared" si="21"/>
        <v>21.840000000000146</v>
      </c>
      <c r="S40" s="171"/>
      <c r="U40" s="158">
        <f t="shared" si="22"/>
        <v>1.388888888888884E-2</v>
      </c>
      <c r="V40" s="122"/>
    </row>
    <row r="41" spans="1:24" s="78" customFormat="1" x14ac:dyDescent="0.25">
      <c r="A41" s="178"/>
      <c r="B41" s="76">
        <v>27</v>
      </c>
      <c r="C41" s="31" t="s">
        <v>145</v>
      </c>
      <c r="D41" s="123"/>
      <c r="E41" s="79"/>
      <c r="F41" s="94">
        <v>4524</v>
      </c>
      <c r="G41" s="137">
        <f>References!$B$22</f>
        <v>68</v>
      </c>
      <c r="H41" s="83">
        <f t="shared" si="14"/>
        <v>307632</v>
      </c>
      <c r="I41" s="80">
        <f t="shared" si="15"/>
        <v>232049.0608955374</v>
      </c>
      <c r="J41" s="124">
        <f>References!$C$49*I41</f>
        <v>423.48953613435418</v>
      </c>
      <c r="K41" s="124">
        <f>J41/References!$G$57</f>
        <v>441.56730145596123</v>
      </c>
      <c r="L41" s="163">
        <v>6.61</v>
      </c>
      <c r="M41" s="124">
        <f t="shared" si="16"/>
        <v>0.1</v>
      </c>
      <c r="N41" s="164">
        <f t="shared" si="17"/>
        <v>6.71</v>
      </c>
      <c r="O41" s="124">
        <f t="shared" si="18"/>
        <v>29903.640000000003</v>
      </c>
      <c r="P41" s="77">
        <f t="shared" si="19"/>
        <v>6.71</v>
      </c>
      <c r="Q41" s="77">
        <f t="shared" si="20"/>
        <v>30356.04</v>
      </c>
      <c r="R41" s="77">
        <f t="shared" si="21"/>
        <v>452.39999999999782</v>
      </c>
      <c r="S41" s="171">
        <v>28.39</v>
      </c>
      <c r="T41" s="171">
        <f>N41/L41*S41</f>
        <v>28.819500756429651</v>
      </c>
      <c r="U41" s="158">
        <f t="shared" si="22"/>
        <v>1.5128593040847127E-2</v>
      </c>
      <c r="V41" s="122"/>
      <c r="W41" s="78">
        <v>26.68</v>
      </c>
      <c r="X41" s="78">
        <f>ROUND(+W41*U41+W41,2)</f>
        <v>27.08</v>
      </c>
    </row>
    <row r="42" spans="1:24" s="78" customFormat="1" x14ac:dyDescent="0.25">
      <c r="A42" s="178"/>
      <c r="B42" s="76">
        <v>27</v>
      </c>
      <c r="C42" s="32" t="s">
        <v>145</v>
      </c>
      <c r="D42" s="123"/>
      <c r="E42" s="79"/>
      <c r="F42" s="94">
        <v>104</v>
      </c>
      <c r="G42" s="137">
        <f>References!$B$22</f>
        <v>68</v>
      </c>
      <c r="H42" s="83">
        <f t="shared" si="14"/>
        <v>7072</v>
      </c>
      <c r="I42" s="80">
        <f t="shared" si="15"/>
        <v>5334.4611700123542</v>
      </c>
      <c r="J42" s="124">
        <f>References!$C$49*I42</f>
        <v>9.7353916352725101</v>
      </c>
      <c r="K42" s="124">
        <f>J42/References!$G$57</f>
        <v>10.150972447263477</v>
      </c>
      <c r="L42" s="163">
        <v>6.61</v>
      </c>
      <c r="M42" s="124">
        <f t="shared" si="16"/>
        <v>0.1</v>
      </c>
      <c r="N42" s="164">
        <f t="shared" si="17"/>
        <v>6.71</v>
      </c>
      <c r="O42" s="124">
        <f t="shared" si="18"/>
        <v>687.44</v>
      </c>
      <c r="P42" s="77">
        <f t="shared" si="19"/>
        <v>6.71</v>
      </c>
      <c r="Q42" s="77">
        <f t="shared" si="20"/>
        <v>697.84</v>
      </c>
      <c r="R42" s="77">
        <f t="shared" si="21"/>
        <v>10.399999999999977</v>
      </c>
      <c r="S42" s="171"/>
      <c r="U42" s="158">
        <f t="shared" si="22"/>
        <v>1.5128593040847127E-2</v>
      </c>
      <c r="V42" s="122"/>
    </row>
    <row r="43" spans="1:24" s="78" customFormat="1" x14ac:dyDescent="0.25">
      <c r="A43" s="178"/>
      <c r="B43" s="76">
        <v>27</v>
      </c>
      <c r="C43" s="32" t="s">
        <v>145</v>
      </c>
      <c r="D43" s="123"/>
      <c r="E43" s="79"/>
      <c r="F43" s="94">
        <v>156</v>
      </c>
      <c r="G43" s="137">
        <f>References!$B$22</f>
        <v>68</v>
      </c>
      <c r="H43" s="83">
        <f t="shared" si="14"/>
        <v>10608</v>
      </c>
      <c r="I43" s="80">
        <f t="shared" si="15"/>
        <v>8001.6917550185317</v>
      </c>
      <c r="J43" s="124">
        <f>References!$C$49*I43</f>
        <v>14.603087452908767</v>
      </c>
      <c r="K43" s="124">
        <f>J43/References!$G$57</f>
        <v>15.226458670895216</v>
      </c>
      <c r="L43" s="163">
        <v>6.61</v>
      </c>
      <c r="M43" s="124">
        <f t="shared" si="16"/>
        <v>0.1</v>
      </c>
      <c r="N43" s="164">
        <f t="shared" si="17"/>
        <v>6.71</v>
      </c>
      <c r="O43" s="124">
        <f t="shared" si="18"/>
        <v>1031.1600000000001</v>
      </c>
      <c r="P43" s="77">
        <f t="shared" si="19"/>
        <v>6.71</v>
      </c>
      <c r="Q43" s="77">
        <f t="shared" si="20"/>
        <v>1046.76</v>
      </c>
      <c r="R43" s="77">
        <f t="shared" si="21"/>
        <v>15.599999999999909</v>
      </c>
      <c r="S43" s="171"/>
      <c r="U43" s="158">
        <f t="shared" si="22"/>
        <v>1.5128593040847127E-2</v>
      </c>
      <c r="V43" s="122"/>
    </row>
    <row r="44" spans="1:24" s="78" customFormat="1" x14ac:dyDescent="0.25">
      <c r="A44" s="178"/>
      <c r="B44" s="76">
        <v>27</v>
      </c>
      <c r="C44" s="31" t="s">
        <v>146</v>
      </c>
      <c r="D44" s="123"/>
      <c r="E44" s="79"/>
      <c r="F44" s="94">
        <v>2808</v>
      </c>
      <c r="G44" s="137">
        <f>References!$B$22</f>
        <v>68</v>
      </c>
      <c r="H44" s="83">
        <f t="shared" si="14"/>
        <v>190944</v>
      </c>
      <c r="I44" s="80">
        <f t="shared" si="15"/>
        <v>144030.45159033357</v>
      </c>
      <c r="J44" s="124">
        <f>References!$C$49*I44</f>
        <v>262.8555741523578</v>
      </c>
      <c r="K44" s="124">
        <f>J44/References!$G$57</f>
        <v>274.07625607611391</v>
      </c>
      <c r="L44" s="163">
        <v>6.61</v>
      </c>
      <c r="M44" s="124">
        <f t="shared" si="16"/>
        <v>0.1</v>
      </c>
      <c r="N44" s="164">
        <f t="shared" si="17"/>
        <v>6.71</v>
      </c>
      <c r="O44" s="124">
        <f t="shared" si="18"/>
        <v>18560.88</v>
      </c>
      <c r="P44" s="77">
        <f t="shared" si="19"/>
        <v>6.71</v>
      </c>
      <c r="Q44" s="77">
        <f t="shared" si="20"/>
        <v>18841.68</v>
      </c>
      <c r="R44" s="77">
        <f t="shared" si="21"/>
        <v>280.79999999999927</v>
      </c>
      <c r="S44" s="171"/>
      <c r="U44" s="158">
        <f t="shared" si="22"/>
        <v>1.5128593040847127E-2</v>
      </c>
      <c r="V44" s="122"/>
    </row>
    <row r="45" spans="1:24" s="78" customFormat="1" x14ac:dyDescent="0.25">
      <c r="A45" s="178"/>
      <c r="B45" s="76">
        <v>27</v>
      </c>
      <c r="C45" s="31" t="s">
        <v>147</v>
      </c>
      <c r="D45" s="123"/>
      <c r="E45" s="79"/>
      <c r="F45" s="94">
        <v>1092</v>
      </c>
      <c r="G45" s="137">
        <f>References!$B$22</f>
        <v>68</v>
      </c>
      <c r="H45" s="83">
        <f t="shared" si="14"/>
        <v>74256</v>
      </c>
      <c r="I45" s="80">
        <f t="shared" si="15"/>
        <v>56011.842285129722</v>
      </c>
      <c r="J45" s="124">
        <f>References!$C$49*I45</f>
        <v>102.22161217036137</v>
      </c>
      <c r="K45" s="124">
        <f>J45/References!$G$57</f>
        <v>106.58521069626651</v>
      </c>
      <c r="L45" s="163">
        <v>6.61</v>
      </c>
      <c r="M45" s="124">
        <f t="shared" si="16"/>
        <v>0.1</v>
      </c>
      <c r="N45" s="164">
        <f t="shared" si="17"/>
        <v>6.71</v>
      </c>
      <c r="O45" s="124">
        <f t="shared" si="18"/>
        <v>7218.1200000000008</v>
      </c>
      <c r="P45" s="77">
        <f t="shared" si="19"/>
        <v>6.71</v>
      </c>
      <c r="Q45" s="77">
        <f t="shared" si="20"/>
        <v>7327.32</v>
      </c>
      <c r="R45" s="77">
        <f t="shared" si="21"/>
        <v>109.19999999999891</v>
      </c>
      <c r="S45" s="171"/>
      <c r="U45" s="158">
        <f t="shared" si="22"/>
        <v>1.5128593040847127E-2</v>
      </c>
      <c r="V45" s="122"/>
    </row>
    <row r="46" spans="1:24" s="78" customFormat="1" x14ac:dyDescent="0.25">
      <c r="A46" s="178"/>
      <c r="B46" s="76">
        <v>27</v>
      </c>
      <c r="C46" s="31" t="s">
        <v>148</v>
      </c>
      <c r="D46" s="123"/>
      <c r="E46" s="79"/>
      <c r="F46" s="94">
        <v>416</v>
      </c>
      <c r="G46" s="137">
        <f>References!$B$22</f>
        <v>68</v>
      </c>
      <c r="H46" s="83">
        <f t="shared" si="14"/>
        <v>28288</v>
      </c>
      <c r="I46" s="80">
        <f t="shared" si="15"/>
        <v>21337.844680049417</v>
      </c>
      <c r="J46" s="124">
        <f>References!$C$49*I46</f>
        <v>38.94156654109004</v>
      </c>
      <c r="K46" s="124">
        <f>J46/References!$G$57</f>
        <v>40.603889789053909</v>
      </c>
      <c r="L46" s="163">
        <v>6.61</v>
      </c>
      <c r="M46" s="124">
        <f t="shared" si="16"/>
        <v>0.1</v>
      </c>
      <c r="N46" s="164">
        <f t="shared" si="17"/>
        <v>6.71</v>
      </c>
      <c r="O46" s="124">
        <f t="shared" si="18"/>
        <v>2749.76</v>
      </c>
      <c r="P46" s="77">
        <f t="shared" si="19"/>
        <v>6.71</v>
      </c>
      <c r="Q46" s="77">
        <f t="shared" si="20"/>
        <v>2791.36</v>
      </c>
      <c r="R46" s="77">
        <f t="shared" si="21"/>
        <v>41.599999999999909</v>
      </c>
      <c r="S46" s="171"/>
      <c r="U46" s="158">
        <f t="shared" si="22"/>
        <v>1.5128593040847127E-2</v>
      </c>
      <c r="V46" s="122"/>
    </row>
    <row r="47" spans="1:24" s="78" customFormat="1" x14ac:dyDescent="0.25">
      <c r="A47" s="178"/>
      <c r="B47" s="76">
        <v>33</v>
      </c>
      <c r="C47" s="31" t="s">
        <v>149</v>
      </c>
      <c r="D47" s="123"/>
      <c r="E47" s="79"/>
      <c r="F47" s="94">
        <v>6084</v>
      </c>
      <c r="G47" s="137">
        <f>References!$B$27</f>
        <v>175</v>
      </c>
      <c r="H47" s="83">
        <f t="shared" si="14"/>
        <v>1064700</v>
      </c>
      <c r="I47" s="80">
        <f t="shared" si="15"/>
        <v>803110.9739411982</v>
      </c>
      <c r="J47" s="124">
        <f>References!$C$49*I47</f>
        <v>1465.6775274426814</v>
      </c>
      <c r="K47" s="124">
        <f>J47/References!$G$57</f>
        <v>1528.2438298361742</v>
      </c>
      <c r="L47" s="163">
        <v>13.500000000000002</v>
      </c>
      <c r="M47" s="124">
        <f t="shared" si="16"/>
        <v>0.25</v>
      </c>
      <c r="N47" s="164">
        <f t="shared" si="17"/>
        <v>13.750000000000002</v>
      </c>
      <c r="O47" s="124">
        <f t="shared" si="18"/>
        <v>82134.000000000015</v>
      </c>
      <c r="P47" s="77">
        <f t="shared" si="19"/>
        <v>13.750000000000002</v>
      </c>
      <c r="Q47" s="77">
        <f t="shared" si="20"/>
        <v>83655.000000000015</v>
      </c>
      <c r="R47" s="77">
        <f t="shared" si="21"/>
        <v>1521</v>
      </c>
      <c r="S47" s="171">
        <f>T47-L47</f>
        <v>11.799999999999999</v>
      </c>
      <c r="T47" s="78">
        <v>25.3</v>
      </c>
      <c r="U47" s="158">
        <f t="shared" si="22"/>
        <v>1.8518518518518601E-2</v>
      </c>
      <c r="V47" s="122"/>
    </row>
    <row r="48" spans="1:24" s="78" customFormat="1" x14ac:dyDescent="0.25">
      <c r="A48" s="178"/>
      <c r="B48" s="76">
        <v>33</v>
      </c>
      <c r="C48" s="31" t="s">
        <v>150</v>
      </c>
      <c r="D48" s="123"/>
      <c r="E48" s="79"/>
      <c r="F48" s="94">
        <v>21112</v>
      </c>
      <c r="G48" s="137">
        <f>References!$B$28</f>
        <v>250</v>
      </c>
      <c r="H48" s="83">
        <f t="shared" si="14"/>
        <v>5278000</v>
      </c>
      <c r="I48" s="80">
        <f t="shared" si="15"/>
        <v>3981233.8879136322</v>
      </c>
      <c r="J48" s="124">
        <f>References!$C$49*I48</f>
        <v>7265.7518454423525</v>
      </c>
      <c r="K48" s="124">
        <f>J48/References!$G$57</f>
        <v>7575.9095838032581</v>
      </c>
      <c r="L48" s="163">
        <v>20</v>
      </c>
      <c r="M48" s="124">
        <f t="shared" si="16"/>
        <v>0.36</v>
      </c>
      <c r="N48" s="164">
        <f t="shared" si="17"/>
        <v>20.36</v>
      </c>
      <c r="O48" s="124">
        <f t="shared" si="18"/>
        <v>422240</v>
      </c>
      <c r="P48" s="77">
        <f t="shared" si="19"/>
        <v>20.36</v>
      </c>
      <c r="Q48" s="77">
        <f t="shared" si="20"/>
        <v>429840.32</v>
      </c>
      <c r="R48" s="77">
        <f t="shared" si="21"/>
        <v>7600.320000000007</v>
      </c>
      <c r="S48" s="171"/>
      <c r="U48" s="158">
        <f t="shared" si="22"/>
        <v>1.8000000000000016E-2</v>
      </c>
      <c r="V48" s="122"/>
    </row>
    <row r="49" spans="1:22" s="78" customFormat="1" x14ac:dyDescent="0.25">
      <c r="A49" s="178"/>
      <c r="B49" s="76">
        <v>33</v>
      </c>
      <c r="C49" s="31" t="s">
        <v>150</v>
      </c>
      <c r="D49" s="123"/>
      <c r="E49" s="79"/>
      <c r="F49" s="94">
        <v>312</v>
      </c>
      <c r="G49" s="137">
        <f>References!$B$28</f>
        <v>250</v>
      </c>
      <c r="H49" s="83">
        <f t="shared" si="14"/>
        <v>78000</v>
      </c>
      <c r="I49" s="80">
        <f t="shared" si="15"/>
        <v>58835.968786900965</v>
      </c>
      <c r="J49" s="124">
        <f>References!$C$49*I49</f>
        <v>107.37564303609386</v>
      </c>
      <c r="K49" s="124">
        <f>J49/References!$G$57</f>
        <v>111.95925493305305</v>
      </c>
      <c r="L49" s="163">
        <v>20</v>
      </c>
      <c r="M49" s="124">
        <f t="shared" si="16"/>
        <v>0.36</v>
      </c>
      <c r="N49" s="164">
        <f t="shared" si="17"/>
        <v>20.36</v>
      </c>
      <c r="O49" s="124">
        <f t="shared" si="18"/>
        <v>6240</v>
      </c>
      <c r="P49" s="77">
        <f t="shared" si="19"/>
        <v>20.36</v>
      </c>
      <c r="Q49" s="77">
        <f t="shared" si="20"/>
        <v>6352.32</v>
      </c>
      <c r="R49" s="77">
        <f t="shared" si="21"/>
        <v>112.31999999999971</v>
      </c>
      <c r="S49" s="171"/>
      <c r="U49" s="158">
        <f t="shared" si="22"/>
        <v>1.8000000000000016E-2</v>
      </c>
      <c r="V49" s="122"/>
    </row>
    <row r="50" spans="1:22" s="78" customFormat="1" x14ac:dyDescent="0.25">
      <c r="A50" s="178"/>
      <c r="B50" s="76">
        <v>33</v>
      </c>
      <c r="C50" s="31" t="s">
        <v>151</v>
      </c>
      <c r="D50" s="123"/>
      <c r="E50" s="79"/>
      <c r="F50" s="94">
        <v>520</v>
      </c>
      <c r="G50" s="137">
        <f>References!$B$28</f>
        <v>250</v>
      </c>
      <c r="H50" s="83">
        <f t="shared" si="14"/>
        <v>130000</v>
      </c>
      <c r="I50" s="80">
        <f t="shared" si="15"/>
        <v>98059.947978168275</v>
      </c>
      <c r="J50" s="124">
        <f>References!$C$49*I50</f>
        <v>178.95940506015646</v>
      </c>
      <c r="K50" s="124">
        <f>J50/References!$G$57</f>
        <v>186.59875822175511</v>
      </c>
      <c r="L50" s="163">
        <v>20</v>
      </c>
      <c r="M50" s="124">
        <f t="shared" si="16"/>
        <v>0.36</v>
      </c>
      <c r="N50" s="164">
        <f t="shared" si="17"/>
        <v>20.36</v>
      </c>
      <c r="O50" s="124">
        <f t="shared" si="18"/>
        <v>10400</v>
      </c>
      <c r="P50" s="77">
        <f t="shared" si="19"/>
        <v>20.36</v>
      </c>
      <c r="Q50" s="77">
        <f t="shared" si="20"/>
        <v>10587.199999999999</v>
      </c>
      <c r="R50" s="77">
        <f t="shared" si="21"/>
        <v>187.19999999999891</v>
      </c>
      <c r="S50" s="171"/>
      <c r="U50" s="158">
        <f t="shared" si="22"/>
        <v>1.8000000000000016E-2</v>
      </c>
      <c r="V50" s="122"/>
    </row>
    <row r="51" spans="1:22" s="78" customFormat="1" x14ac:dyDescent="0.25">
      <c r="A51" s="178"/>
      <c r="B51" s="76">
        <v>33</v>
      </c>
      <c r="C51" s="31" t="s">
        <v>150</v>
      </c>
      <c r="D51" s="123"/>
      <c r="E51" s="79"/>
      <c r="F51" s="94">
        <v>156</v>
      </c>
      <c r="G51" s="137">
        <f>References!$B$28</f>
        <v>250</v>
      </c>
      <c r="H51" s="83">
        <f t="shared" si="14"/>
        <v>39000</v>
      </c>
      <c r="I51" s="80">
        <f t="shared" si="15"/>
        <v>29417.984393450482</v>
      </c>
      <c r="J51" s="124">
        <f>References!$C$49*I51</f>
        <v>53.687821518046931</v>
      </c>
      <c r="K51" s="124">
        <f>J51/References!$G$57</f>
        <v>55.979627466526523</v>
      </c>
      <c r="L51" s="163">
        <v>20</v>
      </c>
      <c r="M51" s="124">
        <f t="shared" si="16"/>
        <v>0.36</v>
      </c>
      <c r="N51" s="164">
        <f t="shared" si="17"/>
        <v>20.36</v>
      </c>
      <c r="O51" s="124">
        <f t="shared" si="18"/>
        <v>3120</v>
      </c>
      <c r="P51" s="77">
        <f t="shared" si="19"/>
        <v>20.36</v>
      </c>
      <c r="Q51" s="77">
        <f t="shared" si="20"/>
        <v>3176.16</v>
      </c>
      <c r="R51" s="77">
        <f t="shared" si="21"/>
        <v>56.159999999999854</v>
      </c>
      <c r="S51" s="171"/>
      <c r="U51" s="158">
        <f t="shared" si="22"/>
        <v>1.8000000000000016E-2</v>
      </c>
      <c r="V51" s="122"/>
    </row>
    <row r="52" spans="1:22" s="78" customFormat="1" x14ac:dyDescent="0.25">
      <c r="A52" s="178"/>
      <c r="B52" s="76">
        <v>33</v>
      </c>
      <c r="C52" s="31" t="s">
        <v>152</v>
      </c>
      <c r="D52" s="123"/>
      <c r="E52" s="79"/>
      <c r="F52" s="94">
        <v>11752</v>
      </c>
      <c r="G52" s="137">
        <f>References!$B$29</f>
        <v>324</v>
      </c>
      <c r="H52" s="83">
        <f t="shared" si="14"/>
        <v>3807648</v>
      </c>
      <c r="I52" s="80">
        <f t="shared" si="15"/>
        <v>2872136.6523013576</v>
      </c>
      <c r="J52" s="124">
        <f>References!$C$49*I52</f>
        <v>5241.6493904499584</v>
      </c>
      <c r="K52" s="124">
        <f>J52/References!$G$57</f>
        <v>5465.4029888119185</v>
      </c>
      <c r="L52" s="163">
        <v>25.23</v>
      </c>
      <c r="M52" s="124">
        <f t="shared" si="16"/>
        <v>0.47</v>
      </c>
      <c r="N52" s="164">
        <f t="shared" si="17"/>
        <v>25.7</v>
      </c>
      <c r="O52" s="124">
        <f t="shared" si="18"/>
        <v>296502.96000000002</v>
      </c>
      <c r="P52" s="77">
        <f t="shared" si="19"/>
        <v>25.7</v>
      </c>
      <c r="Q52" s="77">
        <f t="shared" si="20"/>
        <v>302026.39999999997</v>
      </c>
      <c r="R52" s="77">
        <f t="shared" si="21"/>
        <v>5523.4399999999441</v>
      </c>
      <c r="S52" s="171"/>
      <c r="U52" s="158">
        <f t="shared" si="22"/>
        <v>1.8628616726119596E-2</v>
      </c>
      <c r="V52" s="122"/>
    </row>
    <row r="53" spans="1:22" s="78" customFormat="1" x14ac:dyDescent="0.25">
      <c r="A53" s="178"/>
      <c r="B53" s="76">
        <v>33</v>
      </c>
      <c r="C53" s="31" t="s">
        <v>152</v>
      </c>
      <c r="D53" s="123"/>
      <c r="E53" s="79"/>
      <c r="F53" s="94">
        <v>624</v>
      </c>
      <c r="G53" s="137">
        <f>References!$B$29</f>
        <v>324</v>
      </c>
      <c r="H53" s="83">
        <f t="shared" si="14"/>
        <v>202176</v>
      </c>
      <c r="I53" s="80">
        <f t="shared" si="15"/>
        <v>152502.8310956473</v>
      </c>
      <c r="J53" s="124">
        <f>References!$C$49*I53</f>
        <v>278.31766674955531</v>
      </c>
      <c r="K53" s="124">
        <f>J53/References!$G$57</f>
        <v>290.19838878647352</v>
      </c>
      <c r="L53" s="163">
        <v>25.23</v>
      </c>
      <c r="M53" s="124">
        <f t="shared" si="16"/>
        <v>0.47</v>
      </c>
      <c r="N53" s="164">
        <f t="shared" si="17"/>
        <v>25.7</v>
      </c>
      <c r="O53" s="124">
        <f t="shared" si="18"/>
        <v>15743.52</v>
      </c>
      <c r="P53" s="77">
        <f t="shared" si="19"/>
        <v>25.7</v>
      </c>
      <c r="Q53" s="77">
        <f t="shared" si="20"/>
        <v>16036.8</v>
      </c>
      <c r="R53" s="77">
        <f t="shared" si="21"/>
        <v>293.27999999999884</v>
      </c>
      <c r="S53" s="171"/>
      <c r="U53" s="158">
        <f t="shared" si="22"/>
        <v>1.8628616726119596E-2</v>
      </c>
      <c r="V53" s="122"/>
    </row>
    <row r="54" spans="1:22" s="78" customFormat="1" x14ac:dyDescent="0.25">
      <c r="A54" s="178"/>
      <c r="B54" s="76">
        <v>33</v>
      </c>
      <c r="C54" s="31" t="s">
        <v>152</v>
      </c>
      <c r="D54" s="123"/>
      <c r="E54" s="79"/>
      <c r="F54" s="94">
        <v>156</v>
      </c>
      <c r="G54" s="137">
        <f>References!$B$29</f>
        <v>324</v>
      </c>
      <c r="H54" s="83">
        <f t="shared" si="14"/>
        <v>50544</v>
      </c>
      <c r="I54" s="80">
        <f t="shared" si="15"/>
        <v>38125.707773911825</v>
      </c>
      <c r="J54" s="124">
        <f>References!$C$49*I54</f>
        <v>69.579416687388829</v>
      </c>
      <c r="K54" s="124">
        <f>J54/References!$G$57</f>
        <v>72.549597196618379</v>
      </c>
      <c r="L54" s="163">
        <v>25.23</v>
      </c>
      <c r="M54" s="124">
        <f t="shared" si="16"/>
        <v>0.47</v>
      </c>
      <c r="N54" s="164">
        <f t="shared" si="17"/>
        <v>25.7</v>
      </c>
      <c r="O54" s="124">
        <f t="shared" si="18"/>
        <v>3935.88</v>
      </c>
      <c r="P54" s="77">
        <f t="shared" si="19"/>
        <v>25.7</v>
      </c>
      <c r="Q54" s="77">
        <f t="shared" si="20"/>
        <v>4009.2</v>
      </c>
      <c r="R54" s="77">
        <f t="shared" si="21"/>
        <v>73.319999999999709</v>
      </c>
      <c r="S54" s="171"/>
      <c r="U54" s="158">
        <f t="shared" si="22"/>
        <v>1.8628616726119596E-2</v>
      </c>
      <c r="V54" s="122"/>
    </row>
    <row r="55" spans="1:22" s="78" customFormat="1" x14ac:dyDescent="0.25">
      <c r="A55" s="178"/>
      <c r="B55" s="76">
        <v>33</v>
      </c>
      <c r="C55" s="31" t="s">
        <v>153</v>
      </c>
      <c r="D55" s="123"/>
      <c r="E55" s="79"/>
      <c r="F55" s="94">
        <v>104</v>
      </c>
      <c r="G55" s="137">
        <f>References!$B$29</f>
        <v>324</v>
      </c>
      <c r="H55" s="83">
        <f t="shared" si="14"/>
        <v>33696</v>
      </c>
      <c r="I55" s="80">
        <f t="shared" si="15"/>
        <v>25417.138515941217</v>
      </c>
      <c r="J55" s="124">
        <f>References!$C$49*I55</f>
        <v>46.386277791592548</v>
      </c>
      <c r="K55" s="124">
        <f>J55/References!$G$57</f>
        <v>48.366398131078917</v>
      </c>
      <c r="L55" s="163">
        <v>25.23</v>
      </c>
      <c r="M55" s="124">
        <f t="shared" si="16"/>
        <v>0.47</v>
      </c>
      <c r="N55" s="164">
        <f t="shared" si="17"/>
        <v>25.7</v>
      </c>
      <c r="O55" s="124">
        <f t="shared" si="18"/>
        <v>2623.92</v>
      </c>
      <c r="P55" s="77">
        <f t="shared" si="19"/>
        <v>25.7</v>
      </c>
      <c r="Q55" s="77">
        <f t="shared" si="20"/>
        <v>2672.7999999999997</v>
      </c>
      <c r="R55" s="77">
        <f t="shared" si="21"/>
        <v>48.879999999999654</v>
      </c>
      <c r="S55" s="171"/>
      <c r="U55" s="158">
        <f t="shared" si="22"/>
        <v>1.8628616726119596E-2</v>
      </c>
      <c r="V55" s="122"/>
    </row>
    <row r="56" spans="1:22" s="78" customFormat="1" x14ac:dyDescent="0.25">
      <c r="A56" s="178"/>
      <c r="B56" s="76">
        <v>33</v>
      </c>
      <c r="C56" s="31" t="s">
        <v>154</v>
      </c>
      <c r="D56" s="123"/>
      <c r="E56" s="79"/>
      <c r="F56" s="94">
        <v>11544</v>
      </c>
      <c r="G56" s="137">
        <f>References!$B$30</f>
        <v>473</v>
      </c>
      <c r="H56" s="83">
        <f t="shared" si="14"/>
        <v>5460312</v>
      </c>
      <c r="I56" s="80">
        <f t="shared" si="15"/>
        <v>4118753.1589582153</v>
      </c>
      <c r="J56" s="124">
        <f>References!$C$49*I56</f>
        <v>7516.7245150987155</v>
      </c>
      <c r="K56" s="124">
        <f>J56/References!$G$57</f>
        <v>7837.5956823334463</v>
      </c>
      <c r="L56" s="163">
        <v>35.71</v>
      </c>
      <c r="M56" s="124">
        <f t="shared" si="16"/>
        <v>0.68</v>
      </c>
      <c r="N56" s="164">
        <f t="shared" si="17"/>
        <v>36.39</v>
      </c>
      <c r="O56" s="124">
        <f t="shared" si="18"/>
        <v>412236.24</v>
      </c>
      <c r="P56" s="77">
        <f t="shared" si="19"/>
        <v>36.39</v>
      </c>
      <c r="Q56" s="77">
        <f t="shared" si="20"/>
        <v>420086.16000000003</v>
      </c>
      <c r="R56" s="77">
        <f t="shared" si="21"/>
        <v>7849.9200000000419</v>
      </c>
      <c r="S56" s="171"/>
      <c r="U56" s="158">
        <f t="shared" si="22"/>
        <v>1.9042285074208909E-2</v>
      </c>
      <c r="V56" s="122"/>
    </row>
    <row r="57" spans="1:22" s="78" customFormat="1" x14ac:dyDescent="0.25">
      <c r="A57" s="178"/>
      <c r="B57" s="76">
        <v>33</v>
      </c>
      <c r="C57" s="31" t="s">
        <v>154</v>
      </c>
      <c r="D57" s="123"/>
      <c r="E57" s="79"/>
      <c r="F57" s="94">
        <v>2912</v>
      </c>
      <c r="G57" s="137">
        <f>References!$B$30</f>
        <v>473</v>
      </c>
      <c r="H57" s="83">
        <f t="shared" si="14"/>
        <v>1377376</v>
      </c>
      <c r="I57" s="80">
        <f t="shared" si="15"/>
        <v>1038964.7608182885</v>
      </c>
      <c r="J57" s="124">
        <f>References!$C$49*I57</f>
        <v>1896.1106884933697</v>
      </c>
      <c r="K57" s="124">
        <f>J57/References!$G$57</f>
        <v>1977.0511631111397</v>
      </c>
      <c r="L57" s="163">
        <v>35.71</v>
      </c>
      <c r="M57" s="124">
        <f t="shared" si="16"/>
        <v>0.68</v>
      </c>
      <c r="N57" s="164">
        <f t="shared" si="17"/>
        <v>36.39</v>
      </c>
      <c r="O57" s="124">
        <f t="shared" si="18"/>
        <v>103987.52</v>
      </c>
      <c r="P57" s="77">
        <f t="shared" si="19"/>
        <v>36.39</v>
      </c>
      <c r="Q57" s="77">
        <f t="shared" si="20"/>
        <v>105967.68000000001</v>
      </c>
      <c r="R57" s="77">
        <f t="shared" si="21"/>
        <v>1980.1600000000035</v>
      </c>
      <c r="S57" s="171"/>
      <c r="U57" s="158">
        <f t="shared" si="22"/>
        <v>1.9042285074208909E-2</v>
      </c>
      <c r="V57" s="122"/>
    </row>
    <row r="58" spans="1:22" s="78" customFormat="1" x14ac:dyDescent="0.25">
      <c r="A58" s="178"/>
      <c r="B58" s="76">
        <v>33</v>
      </c>
      <c r="C58" s="31" t="s">
        <v>154</v>
      </c>
      <c r="D58" s="123"/>
      <c r="E58" s="79"/>
      <c r="F58" s="94">
        <v>1404</v>
      </c>
      <c r="G58" s="137">
        <f>References!$B$30</f>
        <v>473</v>
      </c>
      <c r="H58" s="83">
        <f t="shared" si="14"/>
        <v>664092</v>
      </c>
      <c r="I58" s="80">
        <f t="shared" si="15"/>
        <v>500929.43825167482</v>
      </c>
      <c r="J58" s="124">
        <f>References!$C$49*I58</f>
        <v>914.1962248093032</v>
      </c>
      <c r="K58" s="124">
        <f>J58/References!$G$57</f>
        <v>953.22109650001369</v>
      </c>
      <c r="L58" s="163">
        <v>35.71</v>
      </c>
      <c r="M58" s="124">
        <f t="shared" si="16"/>
        <v>0.68</v>
      </c>
      <c r="N58" s="164">
        <f t="shared" si="17"/>
        <v>36.39</v>
      </c>
      <c r="O58" s="124">
        <f t="shared" si="18"/>
        <v>50136.840000000004</v>
      </c>
      <c r="P58" s="77">
        <f t="shared" si="19"/>
        <v>36.39</v>
      </c>
      <c r="Q58" s="77">
        <f t="shared" si="20"/>
        <v>51091.56</v>
      </c>
      <c r="R58" s="77">
        <f t="shared" si="21"/>
        <v>954.71999999999389</v>
      </c>
      <c r="S58" s="171"/>
      <c r="U58" s="158">
        <f t="shared" si="22"/>
        <v>1.9042285074208909E-2</v>
      </c>
      <c r="V58" s="122"/>
    </row>
    <row r="59" spans="1:22" s="78" customFormat="1" x14ac:dyDescent="0.25">
      <c r="A59" s="178"/>
      <c r="B59" s="76">
        <v>33</v>
      </c>
      <c r="C59" s="31" t="s">
        <v>154</v>
      </c>
      <c r="D59" s="123"/>
      <c r="E59" s="79"/>
      <c r="F59" s="94">
        <v>208</v>
      </c>
      <c r="G59" s="137">
        <f>References!$B$30</f>
        <v>473</v>
      </c>
      <c r="H59" s="83">
        <f t="shared" si="14"/>
        <v>98384</v>
      </c>
      <c r="I59" s="80">
        <f t="shared" ref="I59:I90" si="23">$C$125*H59</f>
        <v>74211.768629877755</v>
      </c>
      <c r="J59" s="124">
        <f>References!$C$49*I59</f>
        <v>135.4364777495264</v>
      </c>
      <c r="K59" s="124">
        <f>J59/References!$G$57</f>
        <v>141.21794022222426</v>
      </c>
      <c r="L59" s="163">
        <v>35.71</v>
      </c>
      <c r="M59" s="124">
        <f t="shared" si="16"/>
        <v>0.68</v>
      </c>
      <c r="N59" s="164">
        <f t="shared" si="17"/>
        <v>36.39</v>
      </c>
      <c r="O59" s="124">
        <f t="shared" ref="O59:O90" si="24">F59*L59</f>
        <v>7427.68</v>
      </c>
      <c r="P59" s="77">
        <f t="shared" si="19"/>
        <v>36.39</v>
      </c>
      <c r="Q59" s="77">
        <f t="shared" ref="Q59:Q90" si="25">F59*P59</f>
        <v>7569.12</v>
      </c>
      <c r="R59" s="77">
        <f t="shared" si="21"/>
        <v>141.4399999999996</v>
      </c>
      <c r="S59" s="171"/>
      <c r="U59" s="158">
        <f t="shared" ref="U59:U90" si="26">+N59/L59-1</f>
        <v>1.9042285074208909E-2</v>
      </c>
      <c r="V59" s="122"/>
    </row>
    <row r="60" spans="1:22" s="78" customFormat="1" x14ac:dyDescent="0.25">
      <c r="A60" s="178"/>
      <c r="B60" s="76">
        <v>33</v>
      </c>
      <c r="C60" s="31" t="s">
        <v>154</v>
      </c>
      <c r="D60" s="123"/>
      <c r="E60" s="79"/>
      <c r="F60" s="94">
        <v>780</v>
      </c>
      <c r="G60" s="137">
        <f>References!$B$30</f>
        <v>473</v>
      </c>
      <c r="H60" s="83">
        <f t="shared" si="14"/>
        <v>368940</v>
      </c>
      <c r="I60" s="80">
        <f t="shared" si="23"/>
        <v>278294.13236204156</v>
      </c>
      <c r="J60" s="124">
        <f>References!$C$49*I60</f>
        <v>507.88679156072396</v>
      </c>
      <c r="K60" s="124">
        <f>J60/References!$G$57</f>
        <v>529.56727583334089</v>
      </c>
      <c r="L60" s="163">
        <v>35.71</v>
      </c>
      <c r="M60" s="124">
        <f t="shared" si="16"/>
        <v>0.68</v>
      </c>
      <c r="N60" s="164">
        <f t="shared" si="17"/>
        <v>36.39</v>
      </c>
      <c r="O60" s="124">
        <f t="shared" si="24"/>
        <v>27853.8</v>
      </c>
      <c r="P60" s="77">
        <f t="shared" si="19"/>
        <v>36.39</v>
      </c>
      <c r="Q60" s="77">
        <f t="shared" si="25"/>
        <v>28384.2</v>
      </c>
      <c r="R60" s="77">
        <f t="shared" si="21"/>
        <v>530.40000000000146</v>
      </c>
      <c r="S60" s="171"/>
      <c r="U60" s="158">
        <f t="shared" si="26"/>
        <v>1.9042285074208909E-2</v>
      </c>
      <c r="V60" s="122"/>
    </row>
    <row r="61" spans="1:22" s="78" customFormat="1" x14ac:dyDescent="0.25">
      <c r="A61" s="178"/>
      <c r="B61" s="76">
        <v>33</v>
      </c>
      <c r="C61" s="31" t="s">
        <v>154</v>
      </c>
      <c r="D61" s="123"/>
      <c r="E61" s="79"/>
      <c r="F61" s="94">
        <v>312</v>
      </c>
      <c r="G61" s="137">
        <f>References!$B$30</f>
        <v>473</v>
      </c>
      <c r="H61" s="83">
        <f t="shared" si="14"/>
        <v>147576</v>
      </c>
      <c r="I61" s="80">
        <f t="shared" si="23"/>
        <v>111317.65294481663</v>
      </c>
      <c r="J61" s="124">
        <f>References!$C$49*I61</f>
        <v>203.15471662428959</v>
      </c>
      <c r="K61" s="124">
        <f>J61/References!$G$57</f>
        <v>211.82691033333637</v>
      </c>
      <c r="L61" s="163">
        <v>35.71</v>
      </c>
      <c r="M61" s="124">
        <f t="shared" si="16"/>
        <v>0.68</v>
      </c>
      <c r="N61" s="164">
        <f t="shared" si="17"/>
        <v>36.39</v>
      </c>
      <c r="O61" s="124">
        <f t="shared" si="24"/>
        <v>11141.52</v>
      </c>
      <c r="P61" s="77">
        <f t="shared" si="19"/>
        <v>36.39</v>
      </c>
      <c r="Q61" s="77">
        <f t="shared" si="25"/>
        <v>11353.68</v>
      </c>
      <c r="R61" s="77">
        <f t="shared" si="21"/>
        <v>212.15999999999985</v>
      </c>
      <c r="S61" s="171"/>
      <c r="U61" s="158">
        <f t="shared" si="26"/>
        <v>1.9042285074208909E-2</v>
      </c>
      <c r="V61" s="122"/>
    </row>
    <row r="62" spans="1:22" s="78" customFormat="1" x14ac:dyDescent="0.25">
      <c r="A62" s="178"/>
      <c r="B62" s="76">
        <v>33</v>
      </c>
      <c r="C62" s="31" t="s">
        <v>155</v>
      </c>
      <c r="D62" s="123"/>
      <c r="E62" s="79"/>
      <c r="F62" s="94">
        <v>832</v>
      </c>
      <c r="G62" s="137">
        <f>References!$B$30</f>
        <v>473</v>
      </c>
      <c r="H62" s="83">
        <f t="shared" si="14"/>
        <v>393536</v>
      </c>
      <c r="I62" s="80">
        <f t="shared" si="23"/>
        <v>296847.07451951102</v>
      </c>
      <c r="J62" s="124">
        <f>References!$C$49*I62</f>
        <v>541.74591099810561</v>
      </c>
      <c r="K62" s="124">
        <f>J62/References!$G$57</f>
        <v>564.87176088889703</v>
      </c>
      <c r="L62" s="163">
        <v>35.71</v>
      </c>
      <c r="M62" s="124">
        <f t="shared" si="16"/>
        <v>0.68</v>
      </c>
      <c r="N62" s="164">
        <f t="shared" si="17"/>
        <v>36.39</v>
      </c>
      <c r="O62" s="124">
        <f t="shared" si="24"/>
        <v>29710.720000000001</v>
      </c>
      <c r="P62" s="77">
        <f t="shared" si="19"/>
        <v>36.39</v>
      </c>
      <c r="Q62" s="77">
        <f t="shared" si="25"/>
        <v>30276.48</v>
      </c>
      <c r="R62" s="77">
        <f t="shared" si="21"/>
        <v>565.7599999999984</v>
      </c>
      <c r="S62" s="171"/>
      <c r="U62" s="158">
        <f t="shared" si="26"/>
        <v>1.9042285074208909E-2</v>
      </c>
      <c r="V62" s="122"/>
    </row>
    <row r="63" spans="1:22" s="78" customFormat="1" x14ac:dyDescent="0.25">
      <c r="A63" s="178"/>
      <c r="B63" s="76">
        <v>33</v>
      </c>
      <c r="C63" s="31" t="s">
        <v>155</v>
      </c>
      <c r="D63" s="123"/>
      <c r="E63" s="79"/>
      <c r="F63" s="94">
        <v>624</v>
      </c>
      <c r="G63" s="137">
        <f>References!$B$30</f>
        <v>473</v>
      </c>
      <c r="H63" s="83">
        <f t="shared" si="14"/>
        <v>295152</v>
      </c>
      <c r="I63" s="80">
        <f t="shared" si="23"/>
        <v>222635.30588963325</v>
      </c>
      <c r="J63" s="124">
        <f>References!$C$49*I63</f>
        <v>406.30943324857918</v>
      </c>
      <c r="K63" s="124">
        <f>J63/References!$G$57</f>
        <v>423.65382066667274</v>
      </c>
      <c r="L63" s="163">
        <v>35.71</v>
      </c>
      <c r="M63" s="124">
        <f t="shared" si="16"/>
        <v>0.68</v>
      </c>
      <c r="N63" s="164">
        <f t="shared" si="17"/>
        <v>36.39</v>
      </c>
      <c r="O63" s="124">
        <f t="shared" si="24"/>
        <v>22283.040000000001</v>
      </c>
      <c r="P63" s="77">
        <f t="shared" si="19"/>
        <v>36.39</v>
      </c>
      <c r="Q63" s="77">
        <f t="shared" si="25"/>
        <v>22707.360000000001</v>
      </c>
      <c r="R63" s="77">
        <f t="shared" si="21"/>
        <v>424.31999999999971</v>
      </c>
      <c r="S63" s="171"/>
      <c r="U63" s="158">
        <f t="shared" si="26"/>
        <v>1.9042285074208909E-2</v>
      </c>
      <c r="V63" s="122"/>
    </row>
    <row r="64" spans="1:22" s="78" customFormat="1" x14ac:dyDescent="0.25">
      <c r="A64" s="178"/>
      <c r="B64" s="76">
        <v>33</v>
      </c>
      <c r="C64" s="31" t="s">
        <v>155</v>
      </c>
      <c r="D64" s="123"/>
      <c r="E64" s="79"/>
      <c r="F64" s="94">
        <v>312</v>
      </c>
      <c r="G64" s="137">
        <f>References!$B$30</f>
        <v>473</v>
      </c>
      <c r="H64" s="83">
        <f t="shared" si="14"/>
        <v>147576</v>
      </c>
      <c r="I64" s="80">
        <f t="shared" si="23"/>
        <v>111317.65294481663</v>
      </c>
      <c r="J64" s="124">
        <f>References!$C$49*I64</f>
        <v>203.15471662428959</v>
      </c>
      <c r="K64" s="124">
        <f>J64/References!$G$57</f>
        <v>211.82691033333637</v>
      </c>
      <c r="L64" s="163">
        <v>35.71</v>
      </c>
      <c r="M64" s="124">
        <f t="shared" si="16"/>
        <v>0.68</v>
      </c>
      <c r="N64" s="164">
        <f t="shared" si="17"/>
        <v>36.39</v>
      </c>
      <c r="O64" s="124">
        <f t="shared" si="24"/>
        <v>11141.52</v>
      </c>
      <c r="P64" s="77">
        <f t="shared" si="19"/>
        <v>36.39</v>
      </c>
      <c r="Q64" s="77">
        <f t="shared" si="25"/>
        <v>11353.68</v>
      </c>
      <c r="R64" s="77">
        <f t="shared" si="21"/>
        <v>212.15999999999985</v>
      </c>
      <c r="S64" s="171"/>
      <c r="U64" s="158">
        <f t="shared" si="26"/>
        <v>1.9042285074208909E-2</v>
      </c>
      <c r="V64" s="122"/>
    </row>
    <row r="65" spans="1:22" s="78" customFormat="1" x14ac:dyDescent="0.25">
      <c r="A65" s="178"/>
      <c r="B65" s="76">
        <v>33</v>
      </c>
      <c r="C65" s="31" t="s">
        <v>156</v>
      </c>
      <c r="D65" s="123"/>
      <c r="E65" s="79"/>
      <c r="F65" s="94">
        <v>312</v>
      </c>
      <c r="G65" s="137">
        <f>References!$B$30</f>
        <v>473</v>
      </c>
      <c r="H65" s="83">
        <f t="shared" si="14"/>
        <v>147576</v>
      </c>
      <c r="I65" s="80">
        <f t="shared" si="23"/>
        <v>111317.65294481663</v>
      </c>
      <c r="J65" s="124">
        <f>References!$C$49*I65</f>
        <v>203.15471662428959</v>
      </c>
      <c r="K65" s="124">
        <f>J65/References!$G$57</f>
        <v>211.82691033333637</v>
      </c>
      <c r="L65" s="163">
        <v>35.71</v>
      </c>
      <c r="M65" s="124">
        <f t="shared" si="16"/>
        <v>0.68</v>
      </c>
      <c r="N65" s="164">
        <f t="shared" si="17"/>
        <v>36.39</v>
      </c>
      <c r="O65" s="124">
        <f t="shared" si="24"/>
        <v>11141.52</v>
      </c>
      <c r="P65" s="77">
        <f t="shared" si="19"/>
        <v>36.39</v>
      </c>
      <c r="Q65" s="77">
        <f t="shared" si="25"/>
        <v>11353.68</v>
      </c>
      <c r="R65" s="77">
        <f t="shared" si="21"/>
        <v>212.15999999999985</v>
      </c>
      <c r="S65" s="171"/>
      <c r="U65" s="158">
        <f t="shared" si="26"/>
        <v>1.9042285074208909E-2</v>
      </c>
      <c r="V65" s="122"/>
    </row>
    <row r="66" spans="1:22" s="78" customFormat="1" x14ac:dyDescent="0.25">
      <c r="A66" s="178"/>
      <c r="B66" s="76">
        <v>33</v>
      </c>
      <c r="C66" s="31" t="s">
        <v>156</v>
      </c>
      <c r="D66" s="123"/>
      <c r="E66" s="79"/>
      <c r="F66" s="94">
        <v>1248</v>
      </c>
      <c r="G66" s="137">
        <f>References!$B$30</f>
        <v>473</v>
      </c>
      <c r="H66" s="83">
        <f t="shared" si="14"/>
        <v>590304</v>
      </c>
      <c r="I66" s="80">
        <f t="shared" si="23"/>
        <v>445270.6117792665</v>
      </c>
      <c r="J66" s="124">
        <f>References!$C$49*I66</f>
        <v>812.61886649715836</v>
      </c>
      <c r="K66" s="124">
        <f>J66/References!$G$57</f>
        <v>847.30764133334549</v>
      </c>
      <c r="L66" s="163">
        <v>35.71</v>
      </c>
      <c r="M66" s="124">
        <f t="shared" si="16"/>
        <v>0.68</v>
      </c>
      <c r="N66" s="164">
        <f t="shared" si="17"/>
        <v>36.39</v>
      </c>
      <c r="O66" s="124">
        <f t="shared" si="24"/>
        <v>44566.080000000002</v>
      </c>
      <c r="P66" s="77">
        <f t="shared" si="19"/>
        <v>36.39</v>
      </c>
      <c r="Q66" s="77">
        <f t="shared" si="25"/>
        <v>45414.720000000001</v>
      </c>
      <c r="R66" s="77">
        <f t="shared" si="21"/>
        <v>848.63999999999942</v>
      </c>
      <c r="S66" s="171"/>
      <c r="U66" s="158">
        <f t="shared" si="26"/>
        <v>1.9042285074208909E-2</v>
      </c>
      <c r="V66" s="122"/>
    </row>
    <row r="67" spans="1:22" s="78" customFormat="1" x14ac:dyDescent="0.25">
      <c r="A67" s="178"/>
      <c r="B67" s="76">
        <v>33</v>
      </c>
      <c r="C67" s="31" t="s">
        <v>157</v>
      </c>
      <c r="D67" s="123"/>
      <c r="E67" s="79"/>
      <c r="F67" s="94">
        <v>935.99999999999989</v>
      </c>
      <c r="G67" s="137">
        <f>References!$B$30</f>
        <v>473</v>
      </c>
      <c r="H67" s="83">
        <f t="shared" si="14"/>
        <v>442727.99999999994</v>
      </c>
      <c r="I67" s="80">
        <f t="shared" si="23"/>
        <v>333952.95883444988</v>
      </c>
      <c r="J67" s="124">
        <f>References!$C$49*I67</f>
        <v>609.4641498728688</v>
      </c>
      <c r="K67" s="124">
        <f>J67/References!$G$57</f>
        <v>635.4807310000092</v>
      </c>
      <c r="L67" s="163">
        <v>35.71</v>
      </c>
      <c r="M67" s="124">
        <f t="shared" si="16"/>
        <v>0.68</v>
      </c>
      <c r="N67" s="164">
        <f t="shared" si="17"/>
        <v>36.39</v>
      </c>
      <c r="O67" s="124">
        <f t="shared" si="24"/>
        <v>33424.559999999998</v>
      </c>
      <c r="P67" s="77">
        <f t="shared" si="19"/>
        <v>36.39</v>
      </c>
      <c r="Q67" s="77">
        <f t="shared" si="25"/>
        <v>34061.039999999994</v>
      </c>
      <c r="R67" s="77">
        <f t="shared" si="21"/>
        <v>636.47999999999593</v>
      </c>
      <c r="S67" s="171"/>
      <c r="U67" s="158">
        <f t="shared" si="26"/>
        <v>1.9042285074208909E-2</v>
      </c>
      <c r="V67" s="122"/>
    </row>
    <row r="68" spans="1:22" s="78" customFormat="1" x14ac:dyDescent="0.25">
      <c r="A68" s="178"/>
      <c r="B68" s="76">
        <v>33</v>
      </c>
      <c r="C68" s="31" t="s">
        <v>158</v>
      </c>
      <c r="D68" s="123"/>
      <c r="E68" s="79"/>
      <c r="F68" s="94">
        <v>1248</v>
      </c>
      <c r="G68" s="137">
        <f>References!$B$30</f>
        <v>473</v>
      </c>
      <c r="H68" s="83">
        <f t="shared" si="14"/>
        <v>590304</v>
      </c>
      <c r="I68" s="80">
        <f t="shared" si="23"/>
        <v>445270.6117792665</v>
      </c>
      <c r="J68" s="124">
        <f>References!$C$49*I68</f>
        <v>812.61886649715836</v>
      </c>
      <c r="K68" s="124">
        <f>J68/References!$G$57</f>
        <v>847.30764133334549</v>
      </c>
      <c r="L68" s="163">
        <v>35.71</v>
      </c>
      <c r="M68" s="124">
        <f t="shared" si="16"/>
        <v>0.68</v>
      </c>
      <c r="N68" s="164">
        <f t="shared" si="17"/>
        <v>36.39</v>
      </c>
      <c r="O68" s="124">
        <f t="shared" si="24"/>
        <v>44566.080000000002</v>
      </c>
      <c r="P68" s="77">
        <f t="shared" si="19"/>
        <v>36.39</v>
      </c>
      <c r="Q68" s="77">
        <f t="shared" si="25"/>
        <v>45414.720000000001</v>
      </c>
      <c r="R68" s="77">
        <f t="shared" si="21"/>
        <v>848.63999999999942</v>
      </c>
      <c r="S68" s="171"/>
      <c r="U68" s="158">
        <f t="shared" si="26"/>
        <v>1.9042285074208909E-2</v>
      </c>
      <c r="V68" s="122"/>
    </row>
    <row r="69" spans="1:22" s="78" customFormat="1" x14ac:dyDescent="0.25">
      <c r="A69" s="178"/>
      <c r="B69" s="76">
        <v>33</v>
      </c>
      <c r="C69" s="31" t="s">
        <v>158</v>
      </c>
      <c r="D69" s="123"/>
      <c r="E69" s="79"/>
      <c r="F69" s="94">
        <v>208</v>
      </c>
      <c r="G69" s="137">
        <f>References!$B$30</f>
        <v>473</v>
      </c>
      <c r="H69" s="83">
        <f t="shared" si="14"/>
        <v>98384</v>
      </c>
      <c r="I69" s="80">
        <f t="shared" si="23"/>
        <v>74211.768629877755</v>
      </c>
      <c r="J69" s="124">
        <f>References!$C$49*I69</f>
        <v>135.4364777495264</v>
      </c>
      <c r="K69" s="124">
        <f>J69/References!$G$57</f>
        <v>141.21794022222426</v>
      </c>
      <c r="L69" s="163">
        <v>35.71</v>
      </c>
      <c r="M69" s="124">
        <f t="shared" si="16"/>
        <v>0.68</v>
      </c>
      <c r="N69" s="164">
        <f t="shared" si="17"/>
        <v>36.39</v>
      </c>
      <c r="O69" s="124">
        <f t="shared" si="24"/>
        <v>7427.68</v>
      </c>
      <c r="P69" s="77">
        <f t="shared" ref="P69:P108" si="27">+N69</f>
        <v>36.39</v>
      </c>
      <c r="Q69" s="77">
        <f t="shared" si="25"/>
        <v>7569.12</v>
      </c>
      <c r="R69" s="77">
        <f t="shared" si="21"/>
        <v>141.4399999999996</v>
      </c>
      <c r="S69" s="171"/>
      <c r="U69" s="158">
        <f t="shared" si="26"/>
        <v>1.9042285074208909E-2</v>
      </c>
      <c r="V69" s="122"/>
    </row>
    <row r="70" spans="1:22" s="78" customFormat="1" x14ac:dyDescent="0.25">
      <c r="A70" s="178"/>
      <c r="B70" s="76">
        <v>33</v>
      </c>
      <c r="C70" s="31" t="s">
        <v>158</v>
      </c>
      <c r="D70" s="123"/>
      <c r="E70" s="79"/>
      <c r="F70" s="94">
        <v>416</v>
      </c>
      <c r="G70" s="137">
        <f>References!$B$30</f>
        <v>473</v>
      </c>
      <c r="H70" s="83">
        <f t="shared" si="14"/>
        <v>196768</v>
      </c>
      <c r="I70" s="80">
        <f t="shared" si="23"/>
        <v>148423.53725975551</v>
      </c>
      <c r="J70" s="124">
        <f>References!$C$49*I70</f>
        <v>270.87295549905281</v>
      </c>
      <c r="K70" s="124">
        <f>J70/References!$G$57</f>
        <v>282.43588044444851</v>
      </c>
      <c r="L70" s="163">
        <v>35.71</v>
      </c>
      <c r="M70" s="124">
        <f t="shared" si="16"/>
        <v>0.68</v>
      </c>
      <c r="N70" s="164">
        <f t="shared" si="17"/>
        <v>36.39</v>
      </c>
      <c r="O70" s="124">
        <f t="shared" si="24"/>
        <v>14855.36</v>
      </c>
      <c r="P70" s="77">
        <f t="shared" si="27"/>
        <v>36.39</v>
      </c>
      <c r="Q70" s="77">
        <f t="shared" si="25"/>
        <v>15138.24</v>
      </c>
      <c r="R70" s="77">
        <f t="shared" si="21"/>
        <v>282.8799999999992</v>
      </c>
      <c r="S70" s="171"/>
      <c r="U70" s="158">
        <f t="shared" si="26"/>
        <v>1.9042285074208909E-2</v>
      </c>
      <c r="V70" s="122"/>
    </row>
    <row r="71" spans="1:22" s="78" customFormat="1" x14ac:dyDescent="0.25">
      <c r="A71" s="178"/>
      <c r="B71" s="76">
        <v>33</v>
      </c>
      <c r="C71" s="31" t="s">
        <v>159</v>
      </c>
      <c r="D71" s="123"/>
      <c r="E71" s="79"/>
      <c r="F71" s="94">
        <v>260</v>
      </c>
      <c r="G71" s="137">
        <f>References!$B$30</f>
        <v>473</v>
      </c>
      <c r="H71" s="83">
        <f t="shared" si="14"/>
        <v>122980</v>
      </c>
      <c r="I71" s="80">
        <f t="shared" si="23"/>
        <v>92764.710787347198</v>
      </c>
      <c r="J71" s="124">
        <f>References!$C$49*I71</f>
        <v>169.29559718690803</v>
      </c>
      <c r="K71" s="124">
        <f>J71/References!$G$57</f>
        <v>176.52242527778034</v>
      </c>
      <c r="L71" s="163">
        <v>35.71</v>
      </c>
      <c r="M71" s="124">
        <f t="shared" si="16"/>
        <v>0.68</v>
      </c>
      <c r="N71" s="164">
        <f t="shared" si="17"/>
        <v>36.39</v>
      </c>
      <c r="O71" s="124">
        <f t="shared" si="24"/>
        <v>9284.6</v>
      </c>
      <c r="P71" s="77">
        <f t="shared" si="27"/>
        <v>36.39</v>
      </c>
      <c r="Q71" s="77">
        <f t="shared" si="25"/>
        <v>9461.4</v>
      </c>
      <c r="R71" s="77">
        <f t="shared" si="21"/>
        <v>176.79999999999927</v>
      </c>
      <c r="S71" s="171"/>
      <c r="U71" s="158">
        <f t="shared" si="26"/>
        <v>1.9042285074208909E-2</v>
      </c>
      <c r="V71" s="122"/>
    </row>
    <row r="72" spans="1:22" s="78" customFormat="1" x14ac:dyDescent="0.25">
      <c r="A72" s="178"/>
      <c r="B72" s="76">
        <v>33</v>
      </c>
      <c r="C72" s="31" t="s">
        <v>159</v>
      </c>
      <c r="D72" s="123"/>
      <c r="E72" s="79"/>
      <c r="F72" s="94">
        <v>520</v>
      </c>
      <c r="G72" s="137">
        <f>References!$B$30</f>
        <v>473</v>
      </c>
      <c r="H72" s="83">
        <f t="shared" si="14"/>
        <v>245960</v>
      </c>
      <c r="I72" s="80">
        <f t="shared" si="23"/>
        <v>185529.4215746944</v>
      </c>
      <c r="J72" s="124">
        <f>References!$C$49*I72</f>
        <v>338.59119437381605</v>
      </c>
      <c r="K72" s="124">
        <f>J72/References!$G$57</f>
        <v>353.04485055556069</v>
      </c>
      <c r="L72" s="163">
        <v>35.71</v>
      </c>
      <c r="M72" s="124">
        <f t="shared" si="16"/>
        <v>0.68</v>
      </c>
      <c r="N72" s="164">
        <f t="shared" si="17"/>
        <v>36.39</v>
      </c>
      <c r="O72" s="124">
        <f t="shared" si="24"/>
        <v>18569.2</v>
      </c>
      <c r="P72" s="77">
        <f t="shared" si="27"/>
        <v>36.39</v>
      </c>
      <c r="Q72" s="77">
        <f t="shared" si="25"/>
        <v>18922.8</v>
      </c>
      <c r="R72" s="77">
        <f t="shared" si="21"/>
        <v>353.59999999999854</v>
      </c>
      <c r="S72" s="171"/>
      <c r="U72" s="158">
        <f t="shared" si="26"/>
        <v>1.9042285074208909E-2</v>
      </c>
      <c r="V72" s="122"/>
    </row>
    <row r="73" spans="1:22" s="78" customFormat="1" x14ac:dyDescent="0.25">
      <c r="A73" s="178"/>
      <c r="B73" s="76">
        <v>33</v>
      </c>
      <c r="C73" s="31" t="s">
        <v>160</v>
      </c>
      <c r="D73" s="123"/>
      <c r="E73" s="79"/>
      <c r="F73" s="94">
        <v>6396</v>
      </c>
      <c r="G73" s="137">
        <f>References!$B$31</f>
        <v>613</v>
      </c>
      <c r="H73" s="83">
        <f t="shared" si="14"/>
        <v>3920748</v>
      </c>
      <c r="I73" s="80">
        <f t="shared" si="23"/>
        <v>2957448.807042364</v>
      </c>
      <c r="J73" s="124">
        <f>References!$C$49*I73</f>
        <v>5397.3440728522946</v>
      </c>
      <c r="K73" s="124">
        <f>J73/References!$G$57</f>
        <v>5627.7439084648449</v>
      </c>
      <c r="L73" s="163">
        <v>45.690000000000005</v>
      </c>
      <c r="M73" s="124">
        <f t="shared" si="16"/>
        <v>0.88</v>
      </c>
      <c r="N73" s="164">
        <f t="shared" si="17"/>
        <v>46.570000000000007</v>
      </c>
      <c r="O73" s="124">
        <f t="shared" si="24"/>
        <v>292233.24000000005</v>
      </c>
      <c r="P73" s="77">
        <f t="shared" si="27"/>
        <v>46.570000000000007</v>
      </c>
      <c r="Q73" s="77">
        <f t="shared" si="25"/>
        <v>297861.72000000003</v>
      </c>
      <c r="R73" s="77">
        <f t="shared" si="21"/>
        <v>5628.4799999999814</v>
      </c>
      <c r="S73" s="171"/>
      <c r="U73" s="158">
        <f t="shared" si="26"/>
        <v>1.9260231998249111E-2</v>
      </c>
      <c r="V73" s="122"/>
    </row>
    <row r="74" spans="1:22" s="78" customFormat="1" x14ac:dyDescent="0.25">
      <c r="A74" s="178"/>
      <c r="B74" s="76">
        <v>33</v>
      </c>
      <c r="C74" s="31" t="s">
        <v>160</v>
      </c>
      <c r="D74" s="123"/>
      <c r="E74" s="79"/>
      <c r="F74" s="94">
        <v>3535.9999999999995</v>
      </c>
      <c r="G74" s="137">
        <f>References!$B$31</f>
        <v>613</v>
      </c>
      <c r="H74" s="83">
        <f t="shared" si="14"/>
        <v>2167567.9999999995</v>
      </c>
      <c r="I74" s="80">
        <f t="shared" si="23"/>
        <v>1635012.3486087862</v>
      </c>
      <c r="J74" s="124">
        <f>References!$C$49*I74</f>
        <v>2983.8975362110241</v>
      </c>
      <c r="K74" s="124">
        <f>J74/References!$G$57</f>
        <v>3111.2730550862552</v>
      </c>
      <c r="L74" s="163">
        <v>45.690000000000005</v>
      </c>
      <c r="M74" s="124">
        <f t="shared" si="16"/>
        <v>0.88</v>
      </c>
      <c r="N74" s="164">
        <f t="shared" si="17"/>
        <v>46.570000000000007</v>
      </c>
      <c r="O74" s="124">
        <f t="shared" si="24"/>
        <v>161559.84</v>
      </c>
      <c r="P74" s="77">
        <f t="shared" si="27"/>
        <v>46.570000000000007</v>
      </c>
      <c r="Q74" s="77">
        <f t="shared" si="25"/>
        <v>164671.52000000002</v>
      </c>
      <c r="R74" s="77">
        <f t="shared" si="21"/>
        <v>3111.6800000000221</v>
      </c>
      <c r="S74" s="171"/>
      <c r="U74" s="158">
        <f t="shared" si="26"/>
        <v>1.9260231998249111E-2</v>
      </c>
      <c r="V74" s="122"/>
    </row>
    <row r="75" spans="1:22" s="78" customFormat="1" x14ac:dyDescent="0.25">
      <c r="A75" s="178"/>
      <c r="B75" s="76">
        <v>33</v>
      </c>
      <c r="C75" s="31" t="s">
        <v>160</v>
      </c>
      <c r="D75" s="123"/>
      <c r="E75" s="79"/>
      <c r="F75" s="94">
        <v>624</v>
      </c>
      <c r="G75" s="137">
        <f>References!$B$31</f>
        <v>613</v>
      </c>
      <c r="H75" s="83">
        <f t="shared" si="14"/>
        <v>382512</v>
      </c>
      <c r="I75" s="80">
        <f t="shared" si="23"/>
        <v>288531.59093096235</v>
      </c>
      <c r="J75" s="124">
        <f>References!$C$49*I75</f>
        <v>526.57015344900435</v>
      </c>
      <c r="K75" s="124">
        <f>J75/References!$G$57</f>
        <v>549.04818619169225</v>
      </c>
      <c r="L75" s="163">
        <v>45.690000000000005</v>
      </c>
      <c r="M75" s="124">
        <f t="shared" si="16"/>
        <v>0.88</v>
      </c>
      <c r="N75" s="164">
        <f t="shared" si="17"/>
        <v>46.570000000000007</v>
      </c>
      <c r="O75" s="124">
        <f t="shared" si="24"/>
        <v>28510.560000000001</v>
      </c>
      <c r="P75" s="77">
        <f t="shared" si="27"/>
        <v>46.570000000000007</v>
      </c>
      <c r="Q75" s="77">
        <f t="shared" si="25"/>
        <v>29059.680000000004</v>
      </c>
      <c r="R75" s="77">
        <f t="shared" si="21"/>
        <v>549.12000000000262</v>
      </c>
      <c r="S75" s="171"/>
      <c r="U75" s="158">
        <f t="shared" si="26"/>
        <v>1.9260231998249111E-2</v>
      </c>
      <c r="V75" s="122"/>
    </row>
    <row r="76" spans="1:22" s="78" customFormat="1" x14ac:dyDescent="0.25">
      <c r="A76" s="178"/>
      <c r="B76" s="76">
        <v>33</v>
      </c>
      <c r="C76" s="31" t="s">
        <v>160</v>
      </c>
      <c r="D76" s="123"/>
      <c r="E76" s="79"/>
      <c r="F76" s="94">
        <v>208</v>
      </c>
      <c r="G76" s="137">
        <f>References!$B$31</f>
        <v>613</v>
      </c>
      <c r="H76" s="83">
        <f t="shared" si="14"/>
        <v>127504</v>
      </c>
      <c r="I76" s="80">
        <f t="shared" si="23"/>
        <v>96177.196976987456</v>
      </c>
      <c r="J76" s="124">
        <f>References!$C$49*I76</f>
        <v>175.52338448300145</v>
      </c>
      <c r="K76" s="124">
        <f>J76/References!$G$57</f>
        <v>183.01606206389741</v>
      </c>
      <c r="L76" s="163">
        <v>45.690000000000005</v>
      </c>
      <c r="M76" s="124">
        <f t="shared" si="16"/>
        <v>0.88</v>
      </c>
      <c r="N76" s="164">
        <f t="shared" si="17"/>
        <v>46.570000000000007</v>
      </c>
      <c r="O76" s="124">
        <f t="shared" si="24"/>
        <v>9503.52</v>
      </c>
      <c r="P76" s="77">
        <f t="shared" si="27"/>
        <v>46.570000000000007</v>
      </c>
      <c r="Q76" s="77">
        <f t="shared" si="25"/>
        <v>9686.5600000000013</v>
      </c>
      <c r="R76" s="77">
        <f t="shared" si="21"/>
        <v>183.04000000000087</v>
      </c>
      <c r="S76" s="171"/>
      <c r="U76" s="158">
        <f t="shared" si="26"/>
        <v>1.9260231998249111E-2</v>
      </c>
      <c r="V76" s="122"/>
    </row>
    <row r="77" spans="1:22" s="78" customFormat="1" x14ac:dyDescent="0.25">
      <c r="A77" s="178"/>
      <c r="B77" s="76">
        <v>33</v>
      </c>
      <c r="C77" s="31" t="s">
        <v>161</v>
      </c>
      <c r="D77" s="123"/>
      <c r="E77" s="79"/>
      <c r="F77" s="94">
        <v>520</v>
      </c>
      <c r="G77" s="137">
        <f>References!$B$31</f>
        <v>613</v>
      </c>
      <c r="H77" s="83">
        <f t="shared" si="14"/>
        <v>318760</v>
      </c>
      <c r="I77" s="80">
        <f t="shared" si="23"/>
        <v>240442.99244246862</v>
      </c>
      <c r="J77" s="124">
        <f>References!$C$49*I77</f>
        <v>438.80846120750363</v>
      </c>
      <c r="K77" s="124">
        <f>J77/References!$G$57</f>
        <v>457.54015515974351</v>
      </c>
      <c r="L77" s="163">
        <v>45.690000000000005</v>
      </c>
      <c r="M77" s="124">
        <f t="shared" si="16"/>
        <v>0.88</v>
      </c>
      <c r="N77" s="164">
        <f t="shared" si="17"/>
        <v>46.570000000000007</v>
      </c>
      <c r="O77" s="124">
        <f t="shared" si="24"/>
        <v>23758.800000000003</v>
      </c>
      <c r="P77" s="77">
        <f t="shared" si="27"/>
        <v>46.570000000000007</v>
      </c>
      <c r="Q77" s="77">
        <f t="shared" si="25"/>
        <v>24216.400000000005</v>
      </c>
      <c r="R77" s="77">
        <f t="shared" si="21"/>
        <v>457.60000000000218</v>
      </c>
      <c r="S77" s="171"/>
      <c r="U77" s="158">
        <f t="shared" si="26"/>
        <v>1.9260231998249111E-2</v>
      </c>
      <c r="V77" s="122"/>
    </row>
    <row r="78" spans="1:22" s="78" customFormat="1" x14ac:dyDescent="0.25">
      <c r="A78" s="178"/>
      <c r="B78" s="76">
        <v>33</v>
      </c>
      <c r="C78" s="31" t="s">
        <v>161</v>
      </c>
      <c r="D78" s="123"/>
      <c r="E78" s="79"/>
      <c r="F78" s="94">
        <v>416</v>
      </c>
      <c r="G78" s="137">
        <f>References!$B$31</f>
        <v>613</v>
      </c>
      <c r="H78" s="83">
        <f t="shared" si="14"/>
        <v>255008</v>
      </c>
      <c r="I78" s="80">
        <f t="shared" si="23"/>
        <v>192354.39395397491</v>
      </c>
      <c r="J78" s="124">
        <f>References!$C$49*I78</f>
        <v>351.0467689660029</v>
      </c>
      <c r="K78" s="124">
        <f>J78/References!$G$57</f>
        <v>366.03212412779482</v>
      </c>
      <c r="L78" s="163">
        <v>45.690000000000005</v>
      </c>
      <c r="M78" s="124">
        <f t="shared" si="16"/>
        <v>0.88</v>
      </c>
      <c r="N78" s="164">
        <f t="shared" si="17"/>
        <v>46.570000000000007</v>
      </c>
      <c r="O78" s="124">
        <f t="shared" si="24"/>
        <v>19007.04</v>
      </c>
      <c r="P78" s="77">
        <f t="shared" si="27"/>
        <v>46.570000000000007</v>
      </c>
      <c r="Q78" s="77">
        <f t="shared" si="25"/>
        <v>19373.120000000003</v>
      </c>
      <c r="R78" s="77">
        <f t="shared" si="21"/>
        <v>366.08000000000175</v>
      </c>
      <c r="S78" s="171"/>
      <c r="U78" s="158">
        <f t="shared" si="26"/>
        <v>1.9260231998249111E-2</v>
      </c>
      <c r="V78" s="122"/>
    </row>
    <row r="79" spans="1:22" s="78" customFormat="1" x14ac:dyDescent="0.25">
      <c r="A79" s="178"/>
      <c r="B79" s="76">
        <v>33</v>
      </c>
      <c r="C79" s="31" t="s">
        <v>160</v>
      </c>
      <c r="D79" s="123"/>
      <c r="E79" s="79"/>
      <c r="F79" s="94">
        <v>260</v>
      </c>
      <c r="G79" s="137">
        <f>References!$B$31</f>
        <v>613</v>
      </c>
      <c r="H79" s="83">
        <f t="shared" si="14"/>
        <v>159380</v>
      </c>
      <c r="I79" s="80">
        <f t="shared" si="23"/>
        <v>120221.49622123431</v>
      </c>
      <c r="J79" s="124">
        <f>References!$C$49*I79</f>
        <v>219.40423060375181</v>
      </c>
      <c r="K79" s="124">
        <f>J79/References!$G$57</f>
        <v>228.77007757987175</v>
      </c>
      <c r="L79" s="163">
        <v>45.690000000000005</v>
      </c>
      <c r="M79" s="124">
        <f t="shared" si="16"/>
        <v>0.88</v>
      </c>
      <c r="N79" s="164">
        <f t="shared" si="17"/>
        <v>46.570000000000007</v>
      </c>
      <c r="O79" s="124">
        <f t="shared" si="24"/>
        <v>11879.400000000001</v>
      </c>
      <c r="P79" s="77">
        <f t="shared" si="27"/>
        <v>46.570000000000007</v>
      </c>
      <c r="Q79" s="77">
        <f t="shared" si="25"/>
        <v>12108.200000000003</v>
      </c>
      <c r="R79" s="77">
        <f t="shared" si="21"/>
        <v>228.80000000000109</v>
      </c>
      <c r="S79" s="171"/>
      <c r="U79" s="158">
        <f t="shared" si="26"/>
        <v>1.9260231998249111E-2</v>
      </c>
      <c r="V79" s="122"/>
    </row>
    <row r="80" spans="1:22" s="78" customFormat="1" x14ac:dyDescent="0.25">
      <c r="A80" s="178"/>
      <c r="B80" s="76">
        <v>33</v>
      </c>
      <c r="C80" s="31" t="s">
        <v>162</v>
      </c>
      <c r="D80" s="123"/>
      <c r="E80" s="79"/>
      <c r="F80" s="94">
        <v>624</v>
      </c>
      <c r="G80" s="137">
        <f>References!$B$31</f>
        <v>613</v>
      </c>
      <c r="H80" s="83">
        <f t="shared" si="14"/>
        <v>382512</v>
      </c>
      <c r="I80" s="80">
        <f t="shared" si="23"/>
        <v>288531.59093096235</v>
      </c>
      <c r="J80" s="124">
        <f>References!$C$49*I80</f>
        <v>526.57015344900435</v>
      </c>
      <c r="K80" s="124">
        <f>J80/References!$G$57</f>
        <v>549.04818619169225</v>
      </c>
      <c r="L80" s="163">
        <v>45.690000000000005</v>
      </c>
      <c r="M80" s="124">
        <f t="shared" si="16"/>
        <v>0.88</v>
      </c>
      <c r="N80" s="164">
        <f t="shared" si="17"/>
        <v>46.570000000000007</v>
      </c>
      <c r="O80" s="124">
        <f t="shared" si="24"/>
        <v>28510.560000000001</v>
      </c>
      <c r="P80" s="77">
        <f t="shared" si="27"/>
        <v>46.570000000000007</v>
      </c>
      <c r="Q80" s="77">
        <f t="shared" si="25"/>
        <v>29059.680000000004</v>
      </c>
      <c r="R80" s="77">
        <f t="shared" si="21"/>
        <v>549.12000000000262</v>
      </c>
      <c r="S80" s="171"/>
      <c r="U80" s="158">
        <f t="shared" si="26"/>
        <v>1.9260231998249111E-2</v>
      </c>
      <c r="V80" s="122"/>
    </row>
    <row r="81" spans="1:22" s="78" customFormat="1" x14ac:dyDescent="0.25">
      <c r="A81" s="178"/>
      <c r="B81" s="76">
        <v>33</v>
      </c>
      <c r="C81" s="31" t="s">
        <v>163</v>
      </c>
      <c r="D81" s="123"/>
      <c r="E81" s="79"/>
      <c r="F81" s="94">
        <v>6811.9999999999991</v>
      </c>
      <c r="G81" s="137">
        <f>References!$B$32</f>
        <v>840</v>
      </c>
      <c r="H81" s="83">
        <f t="shared" si="14"/>
        <v>5722079.9999999991</v>
      </c>
      <c r="I81" s="80">
        <f t="shared" si="23"/>
        <v>4316206.6702070544</v>
      </c>
      <c r="J81" s="124">
        <f>References!$C$49*I81</f>
        <v>7877.0771731278455</v>
      </c>
      <c r="K81" s="124">
        <f>J81/References!$G$57</f>
        <v>8213.3309418887711</v>
      </c>
      <c r="L81" s="163">
        <v>61.92</v>
      </c>
      <c r="M81" s="124">
        <f t="shared" si="16"/>
        <v>1.21</v>
      </c>
      <c r="N81" s="164">
        <f t="shared" si="17"/>
        <v>63.13</v>
      </c>
      <c r="O81" s="124">
        <f t="shared" si="24"/>
        <v>421799.04</v>
      </c>
      <c r="P81" s="77">
        <f t="shared" si="27"/>
        <v>63.13</v>
      </c>
      <c r="Q81" s="77">
        <f t="shared" si="25"/>
        <v>430041.55999999994</v>
      </c>
      <c r="R81" s="77">
        <f t="shared" si="21"/>
        <v>8242.5199999999604</v>
      </c>
      <c r="S81" s="171"/>
      <c r="U81" s="158">
        <f t="shared" si="26"/>
        <v>1.9541343669250644E-2</v>
      </c>
      <c r="V81" s="122"/>
    </row>
    <row r="82" spans="1:22" s="78" customFormat="1" x14ac:dyDescent="0.25">
      <c r="A82" s="178"/>
      <c r="B82" s="76">
        <v>33</v>
      </c>
      <c r="C82" s="31" t="s">
        <v>163</v>
      </c>
      <c r="D82" s="123"/>
      <c r="E82" s="79"/>
      <c r="F82" s="94">
        <v>5512</v>
      </c>
      <c r="G82" s="137">
        <f>References!$B$32</f>
        <v>840</v>
      </c>
      <c r="H82" s="83">
        <f t="shared" si="14"/>
        <v>4630080</v>
      </c>
      <c r="I82" s="80">
        <f t="shared" si="23"/>
        <v>3492503.1071904413</v>
      </c>
      <c r="J82" s="124">
        <f>References!$C$49*I82</f>
        <v>6373.8181706225323</v>
      </c>
      <c r="K82" s="124">
        <f>J82/References!$G$57</f>
        <v>6645.9013728260297</v>
      </c>
      <c r="L82" s="163">
        <v>61.92</v>
      </c>
      <c r="M82" s="124">
        <f t="shared" si="16"/>
        <v>1.21</v>
      </c>
      <c r="N82" s="164">
        <f t="shared" si="17"/>
        <v>63.13</v>
      </c>
      <c r="O82" s="124">
        <f t="shared" si="24"/>
        <v>341303.04000000004</v>
      </c>
      <c r="P82" s="77">
        <f t="shared" si="27"/>
        <v>63.13</v>
      </c>
      <c r="Q82" s="77">
        <f t="shared" si="25"/>
        <v>347972.56</v>
      </c>
      <c r="R82" s="77">
        <f t="shared" si="21"/>
        <v>6669.5199999999604</v>
      </c>
      <c r="S82" s="171"/>
      <c r="U82" s="158">
        <f t="shared" si="26"/>
        <v>1.9541343669250644E-2</v>
      </c>
      <c r="V82" s="122"/>
    </row>
    <row r="83" spans="1:22" s="78" customFormat="1" x14ac:dyDescent="0.25">
      <c r="A83" s="178"/>
      <c r="B83" s="76">
        <v>33</v>
      </c>
      <c r="C83" s="31" t="s">
        <v>163</v>
      </c>
      <c r="D83" s="123"/>
      <c r="E83" s="79"/>
      <c r="F83" s="94">
        <v>4055.9999999999995</v>
      </c>
      <c r="G83" s="137">
        <f>References!$B$32</f>
        <v>840</v>
      </c>
      <c r="H83" s="83">
        <f t="shared" si="14"/>
        <v>3407039.9999999995</v>
      </c>
      <c r="I83" s="80">
        <f t="shared" si="23"/>
        <v>2569955.1166118341</v>
      </c>
      <c r="J83" s="124">
        <f>References!$C$49*I83</f>
        <v>4690.1680878165798</v>
      </c>
      <c r="K83" s="124">
        <f>J83/References!$G$57</f>
        <v>4890.3802554757576</v>
      </c>
      <c r="L83" s="163">
        <v>61.92</v>
      </c>
      <c r="M83" s="124">
        <f t="shared" si="16"/>
        <v>1.21</v>
      </c>
      <c r="N83" s="164">
        <f t="shared" si="17"/>
        <v>63.13</v>
      </c>
      <c r="O83" s="124">
        <f t="shared" si="24"/>
        <v>251147.51999999999</v>
      </c>
      <c r="P83" s="77">
        <f t="shared" si="27"/>
        <v>63.13</v>
      </c>
      <c r="Q83" s="77">
        <f t="shared" si="25"/>
        <v>256055.27999999997</v>
      </c>
      <c r="R83" s="77">
        <f t="shared" si="21"/>
        <v>4907.7599999999802</v>
      </c>
      <c r="S83" s="171"/>
      <c r="U83" s="158">
        <f t="shared" si="26"/>
        <v>1.9541343669250644E-2</v>
      </c>
      <c r="V83" s="122"/>
    </row>
    <row r="84" spans="1:22" s="78" customFormat="1" x14ac:dyDescent="0.25">
      <c r="A84" s="178"/>
      <c r="B84" s="76">
        <v>33</v>
      </c>
      <c r="C84" s="31" t="s">
        <v>163</v>
      </c>
      <c r="D84" s="123"/>
      <c r="E84" s="79"/>
      <c r="F84" s="94">
        <v>1456</v>
      </c>
      <c r="G84" s="137">
        <f>References!$B$32</f>
        <v>840</v>
      </c>
      <c r="H84" s="83">
        <f t="shared" si="14"/>
        <v>1223040</v>
      </c>
      <c r="I84" s="80">
        <f t="shared" si="23"/>
        <v>922547.99057860719</v>
      </c>
      <c r="J84" s="124">
        <f>References!$C$49*I84</f>
        <v>1683.650082805952</v>
      </c>
      <c r="K84" s="124">
        <f>J84/References!$G$57</f>
        <v>1755.5211173502721</v>
      </c>
      <c r="L84" s="163">
        <v>61.92</v>
      </c>
      <c r="M84" s="124">
        <f t="shared" si="16"/>
        <v>1.21</v>
      </c>
      <c r="N84" s="164">
        <f t="shared" si="17"/>
        <v>63.13</v>
      </c>
      <c r="O84" s="124">
        <f t="shared" si="24"/>
        <v>90155.520000000004</v>
      </c>
      <c r="P84" s="77">
        <f t="shared" si="27"/>
        <v>63.13</v>
      </c>
      <c r="Q84" s="77">
        <f t="shared" si="25"/>
        <v>91917.28</v>
      </c>
      <c r="R84" s="77">
        <f t="shared" si="21"/>
        <v>1761.7599999999948</v>
      </c>
      <c r="S84" s="171"/>
      <c r="U84" s="158">
        <f t="shared" si="26"/>
        <v>1.9541343669250644E-2</v>
      </c>
      <c r="V84" s="122"/>
    </row>
    <row r="85" spans="1:22" s="78" customFormat="1" x14ac:dyDescent="0.25">
      <c r="A85" s="178"/>
      <c r="B85" s="76">
        <v>33</v>
      </c>
      <c r="C85" s="31" t="s">
        <v>163</v>
      </c>
      <c r="D85" s="123"/>
      <c r="E85" s="79"/>
      <c r="F85" s="94">
        <v>1560</v>
      </c>
      <c r="G85" s="137">
        <f>References!$B$32</f>
        <v>840</v>
      </c>
      <c r="H85" s="83">
        <f t="shared" si="14"/>
        <v>1310400</v>
      </c>
      <c r="I85" s="80">
        <f t="shared" si="23"/>
        <v>988444.27561993629</v>
      </c>
      <c r="J85" s="124">
        <f>References!$C$49*I85</f>
        <v>1803.9108030063771</v>
      </c>
      <c r="K85" s="124">
        <f>J85/References!$G$57</f>
        <v>1880.9154828752914</v>
      </c>
      <c r="L85" s="163">
        <v>61.92</v>
      </c>
      <c r="M85" s="124">
        <f t="shared" si="16"/>
        <v>1.21</v>
      </c>
      <c r="N85" s="164">
        <f t="shared" si="17"/>
        <v>63.13</v>
      </c>
      <c r="O85" s="124">
        <f t="shared" si="24"/>
        <v>96595.199999999997</v>
      </c>
      <c r="P85" s="77">
        <f t="shared" si="27"/>
        <v>63.13</v>
      </c>
      <c r="Q85" s="77">
        <f t="shared" si="25"/>
        <v>98482.8</v>
      </c>
      <c r="R85" s="77">
        <f t="shared" si="21"/>
        <v>1887.6000000000058</v>
      </c>
      <c r="S85" s="171"/>
      <c r="U85" s="158">
        <f t="shared" si="26"/>
        <v>1.9541343669250644E-2</v>
      </c>
      <c r="V85" s="122"/>
    </row>
    <row r="86" spans="1:22" s="78" customFormat="1" x14ac:dyDescent="0.25">
      <c r="A86" s="178"/>
      <c r="B86" s="76">
        <v>33</v>
      </c>
      <c r="C86" s="31" t="s">
        <v>163</v>
      </c>
      <c r="D86" s="123"/>
      <c r="E86" s="79"/>
      <c r="F86" s="94">
        <v>624</v>
      </c>
      <c r="G86" s="137">
        <f>References!$B$32</f>
        <v>840</v>
      </c>
      <c r="H86" s="83">
        <f t="shared" si="14"/>
        <v>524160</v>
      </c>
      <c r="I86" s="80">
        <f t="shared" si="23"/>
        <v>395377.71024797449</v>
      </c>
      <c r="J86" s="124">
        <f>References!$C$49*I86</f>
        <v>721.56432120255079</v>
      </c>
      <c r="K86" s="124">
        <f>J86/References!$G$57</f>
        <v>752.36619315011649</v>
      </c>
      <c r="L86" s="163">
        <v>61.92</v>
      </c>
      <c r="M86" s="124">
        <f t="shared" si="16"/>
        <v>1.21</v>
      </c>
      <c r="N86" s="164">
        <f t="shared" si="17"/>
        <v>63.13</v>
      </c>
      <c r="O86" s="124">
        <f t="shared" si="24"/>
        <v>38638.080000000002</v>
      </c>
      <c r="P86" s="77">
        <f t="shared" si="27"/>
        <v>63.13</v>
      </c>
      <c r="Q86" s="77">
        <f t="shared" si="25"/>
        <v>39393.120000000003</v>
      </c>
      <c r="R86" s="77">
        <f t="shared" si="21"/>
        <v>755.04000000000087</v>
      </c>
      <c r="S86" s="171"/>
      <c r="U86" s="158">
        <f t="shared" si="26"/>
        <v>1.9541343669250644E-2</v>
      </c>
      <c r="V86" s="122"/>
    </row>
    <row r="87" spans="1:22" s="78" customFormat="1" x14ac:dyDescent="0.25">
      <c r="A87" s="178"/>
      <c r="B87" s="76">
        <v>33</v>
      </c>
      <c r="C87" s="31" t="s">
        <v>164</v>
      </c>
      <c r="D87" s="123"/>
      <c r="E87" s="79"/>
      <c r="F87" s="94">
        <v>832</v>
      </c>
      <c r="G87" s="137">
        <f>References!$B$32</f>
        <v>840</v>
      </c>
      <c r="H87" s="83">
        <f t="shared" si="14"/>
        <v>698880</v>
      </c>
      <c r="I87" s="80">
        <f t="shared" si="23"/>
        <v>527170.2803306327</v>
      </c>
      <c r="J87" s="124">
        <f>References!$C$49*I87</f>
        <v>962.08576160340112</v>
      </c>
      <c r="K87" s="124">
        <f>J87/References!$G$57</f>
        <v>1003.1549242001555</v>
      </c>
      <c r="L87" s="163">
        <v>61.92</v>
      </c>
      <c r="M87" s="124">
        <f t="shared" si="16"/>
        <v>1.21</v>
      </c>
      <c r="N87" s="164">
        <f t="shared" si="17"/>
        <v>63.13</v>
      </c>
      <c r="O87" s="124">
        <f t="shared" si="24"/>
        <v>51517.440000000002</v>
      </c>
      <c r="P87" s="77">
        <f t="shared" si="27"/>
        <v>63.13</v>
      </c>
      <c r="Q87" s="77">
        <f t="shared" si="25"/>
        <v>52524.160000000003</v>
      </c>
      <c r="R87" s="77">
        <f t="shared" si="21"/>
        <v>1006.7200000000012</v>
      </c>
      <c r="S87" s="171"/>
      <c r="U87" s="158">
        <f t="shared" si="26"/>
        <v>1.9541343669250644E-2</v>
      </c>
      <c r="V87" s="122"/>
    </row>
    <row r="88" spans="1:22" s="78" customFormat="1" x14ac:dyDescent="0.25">
      <c r="A88" s="178"/>
      <c r="B88" s="76">
        <v>33</v>
      </c>
      <c r="C88" s="31" t="s">
        <v>164</v>
      </c>
      <c r="D88" s="123"/>
      <c r="E88" s="79"/>
      <c r="F88" s="94">
        <v>1456</v>
      </c>
      <c r="G88" s="137">
        <f>References!$B$32</f>
        <v>840</v>
      </c>
      <c r="H88" s="83">
        <f t="shared" si="14"/>
        <v>1223040</v>
      </c>
      <c r="I88" s="80">
        <f t="shared" si="23"/>
        <v>922547.99057860719</v>
      </c>
      <c r="J88" s="124">
        <f>References!$C$49*I88</f>
        <v>1683.650082805952</v>
      </c>
      <c r="K88" s="124">
        <f>J88/References!$G$57</f>
        <v>1755.5211173502721</v>
      </c>
      <c r="L88" s="163">
        <v>61.92</v>
      </c>
      <c r="M88" s="124">
        <f t="shared" si="16"/>
        <v>1.21</v>
      </c>
      <c r="N88" s="164">
        <f t="shared" si="17"/>
        <v>63.13</v>
      </c>
      <c r="O88" s="124">
        <f t="shared" si="24"/>
        <v>90155.520000000004</v>
      </c>
      <c r="P88" s="77">
        <f t="shared" si="27"/>
        <v>63.13</v>
      </c>
      <c r="Q88" s="77">
        <f t="shared" si="25"/>
        <v>91917.28</v>
      </c>
      <c r="R88" s="77">
        <f t="shared" si="21"/>
        <v>1761.7599999999948</v>
      </c>
      <c r="S88" s="171"/>
      <c r="U88" s="158">
        <f t="shared" si="26"/>
        <v>1.9541343669250644E-2</v>
      </c>
      <c r="V88" s="122"/>
    </row>
    <row r="89" spans="1:22" s="78" customFormat="1" x14ac:dyDescent="0.25">
      <c r="A89" s="178"/>
      <c r="B89" s="76">
        <v>33</v>
      </c>
      <c r="C89" s="31" t="s">
        <v>164</v>
      </c>
      <c r="D89" s="123"/>
      <c r="E89" s="79"/>
      <c r="F89" s="94">
        <v>312</v>
      </c>
      <c r="G89" s="137">
        <f>References!$B$32</f>
        <v>840</v>
      </c>
      <c r="H89" s="83">
        <f t="shared" si="14"/>
        <v>262080</v>
      </c>
      <c r="I89" s="80">
        <f t="shared" si="23"/>
        <v>197688.85512398725</v>
      </c>
      <c r="J89" s="124">
        <f>References!$C$49*I89</f>
        <v>360.78216060127539</v>
      </c>
      <c r="K89" s="124">
        <f>J89/References!$G$57</f>
        <v>376.18309657505824</v>
      </c>
      <c r="L89" s="163">
        <v>61.92</v>
      </c>
      <c r="M89" s="124">
        <f t="shared" si="16"/>
        <v>1.21</v>
      </c>
      <c r="N89" s="164">
        <f t="shared" si="17"/>
        <v>63.13</v>
      </c>
      <c r="O89" s="124">
        <f t="shared" si="24"/>
        <v>19319.04</v>
      </c>
      <c r="P89" s="77">
        <f t="shared" si="27"/>
        <v>63.13</v>
      </c>
      <c r="Q89" s="77">
        <f t="shared" si="25"/>
        <v>19696.560000000001</v>
      </c>
      <c r="R89" s="77">
        <f t="shared" si="21"/>
        <v>377.52000000000044</v>
      </c>
      <c r="S89" s="171"/>
      <c r="U89" s="158">
        <f t="shared" si="26"/>
        <v>1.9541343669250644E-2</v>
      </c>
      <c r="V89" s="122"/>
    </row>
    <row r="90" spans="1:22" s="78" customFormat="1" x14ac:dyDescent="0.25">
      <c r="A90" s="178"/>
      <c r="B90" s="76">
        <v>33</v>
      </c>
      <c r="C90" s="31" t="s">
        <v>165</v>
      </c>
      <c r="D90" s="123"/>
      <c r="E90" s="79"/>
      <c r="F90" s="94">
        <v>780</v>
      </c>
      <c r="G90" s="137">
        <f>References!$B$32</f>
        <v>840</v>
      </c>
      <c r="H90" s="83">
        <f t="shared" si="14"/>
        <v>655200</v>
      </c>
      <c r="I90" s="80">
        <f t="shared" si="23"/>
        <v>494222.13780996815</v>
      </c>
      <c r="J90" s="124">
        <f>References!$C$49*I90</f>
        <v>901.95540150318857</v>
      </c>
      <c r="K90" s="124">
        <f>J90/References!$G$57</f>
        <v>940.45774143764572</v>
      </c>
      <c r="L90" s="163">
        <v>61.92</v>
      </c>
      <c r="M90" s="124">
        <f t="shared" si="16"/>
        <v>1.21</v>
      </c>
      <c r="N90" s="164">
        <f t="shared" si="17"/>
        <v>63.13</v>
      </c>
      <c r="O90" s="124">
        <f t="shared" si="24"/>
        <v>48297.599999999999</v>
      </c>
      <c r="P90" s="77">
        <f t="shared" si="27"/>
        <v>63.13</v>
      </c>
      <c r="Q90" s="77">
        <f t="shared" si="25"/>
        <v>49241.4</v>
      </c>
      <c r="R90" s="77">
        <f t="shared" si="21"/>
        <v>943.80000000000291</v>
      </c>
      <c r="S90" s="171"/>
      <c r="U90" s="158">
        <f t="shared" si="26"/>
        <v>1.9541343669250644E-2</v>
      </c>
      <c r="V90" s="122"/>
    </row>
    <row r="91" spans="1:22" s="78" customFormat="1" x14ac:dyDescent="0.25">
      <c r="A91" s="178"/>
      <c r="B91" s="76">
        <v>33</v>
      </c>
      <c r="C91" s="31" t="s">
        <v>165</v>
      </c>
      <c r="D91" s="123"/>
      <c r="E91" s="79"/>
      <c r="F91" s="94">
        <v>935.99999999999989</v>
      </c>
      <c r="G91" s="137">
        <f>References!$B$32</f>
        <v>840</v>
      </c>
      <c r="H91" s="83">
        <f t="shared" ref="H91:H108" si="28">F91*G91</f>
        <v>786239.99999999988</v>
      </c>
      <c r="I91" s="80">
        <f t="shared" ref="I91:I108" si="29">$C$125*H91</f>
        <v>593066.56537196168</v>
      </c>
      <c r="J91" s="124">
        <f>References!$C$49*I91</f>
        <v>1082.346481803826</v>
      </c>
      <c r="K91" s="124">
        <f>J91/References!$G$57</f>
        <v>1128.5492897251747</v>
      </c>
      <c r="L91" s="163">
        <v>61.92</v>
      </c>
      <c r="M91" s="124">
        <f t="shared" ref="M91:M108" si="30">ROUND((K91/F91),2)</f>
        <v>1.21</v>
      </c>
      <c r="N91" s="164">
        <f t="shared" ref="N91:N108" si="31">M91+L91</f>
        <v>63.13</v>
      </c>
      <c r="O91" s="124">
        <f t="shared" ref="O91:O108" si="32">F91*L91</f>
        <v>57957.119999999995</v>
      </c>
      <c r="P91" s="77">
        <f t="shared" si="27"/>
        <v>63.13</v>
      </c>
      <c r="Q91" s="77">
        <f t="shared" ref="Q91:Q108" si="33">F91*P91</f>
        <v>59089.679999999993</v>
      </c>
      <c r="R91" s="77">
        <f t="shared" ref="R91:R108" si="34">Q91-O91</f>
        <v>1132.5599999999977</v>
      </c>
      <c r="S91" s="171"/>
      <c r="U91" s="158">
        <f t="shared" ref="U91:U108" si="35">+N91/L91-1</f>
        <v>1.9541343669250644E-2</v>
      </c>
      <c r="V91" s="122"/>
    </row>
    <row r="92" spans="1:22" s="78" customFormat="1" x14ac:dyDescent="0.25">
      <c r="A92" s="178"/>
      <c r="B92" s="76">
        <v>33</v>
      </c>
      <c r="C92" s="31" t="s">
        <v>165</v>
      </c>
      <c r="D92" s="123"/>
      <c r="E92" s="79"/>
      <c r="F92" s="94">
        <v>467.99999999999994</v>
      </c>
      <c r="G92" s="137">
        <f>References!$B$32</f>
        <v>840</v>
      </c>
      <c r="H92" s="83">
        <f t="shared" si="28"/>
        <v>393119.99999999994</v>
      </c>
      <c r="I92" s="80">
        <f t="shared" si="29"/>
        <v>296533.28268598084</v>
      </c>
      <c r="J92" s="124">
        <f>References!$C$49*I92</f>
        <v>541.173240901913</v>
      </c>
      <c r="K92" s="124">
        <f>J92/References!$G$57</f>
        <v>564.27464486258737</v>
      </c>
      <c r="L92" s="163">
        <v>61.92</v>
      </c>
      <c r="M92" s="124">
        <f t="shared" si="30"/>
        <v>1.21</v>
      </c>
      <c r="N92" s="164">
        <f t="shared" si="31"/>
        <v>63.13</v>
      </c>
      <c r="O92" s="124">
        <f t="shared" si="32"/>
        <v>28978.559999999998</v>
      </c>
      <c r="P92" s="77">
        <f t="shared" si="27"/>
        <v>63.13</v>
      </c>
      <c r="Q92" s="77">
        <f t="shared" si="33"/>
        <v>29544.839999999997</v>
      </c>
      <c r="R92" s="77">
        <f t="shared" si="34"/>
        <v>566.27999999999884</v>
      </c>
      <c r="S92" s="171"/>
      <c r="U92" s="158">
        <f t="shared" si="35"/>
        <v>1.9541343669250644E-2</v>
      </c>
      <c r="V92" s="122"/>
    </row>
    <row r="93" spans="1:22" s="78" customFormat="1" x14ac:dyDescent="0.25">
      <c r="A93" s="178"/>
      <c r="B93" s="76">
        <v>33</v>
      </c>
      <c r="C93" s="31" t="s">
        <v>165</v>
      </c>
      <c r="D93" s="123"/>
      <c r="E93" s="79"/>
      <c r="F93" s="94">
        <v>624</v>
      </c>
      <c r="G93" s="137">
        <f>References!$B$32</f>
        <v>840</v>
      </c>
      <c r="H93" s="83">
        <f t="shared" si="28"/>
        <v>524160</v>
      </c>
      <c r="I93" s="80">
        <f t="shared" si="29"/>
        <v>395377.71024797449</v>
      </c>
      <c r="J93" s="124">
        <f>References!$C$49*I93</f>
        <v>721.56432120255079</v>
      </c>
      <c r="K93" s="124">
        <f>J93/References!$G$57</f>
        <v>752.36619315011649</v>
      </c>
      <c r="L93" s="163">
        <v>61.92</v>
      </c>
      <c r="M93" s="124">
        <f t="shared" si="30"/>
        <v>1.21</v>
      </c>
      <c r="N93" s="164">
        <f t="shared" si="31"/>
        <v>63.13</v>
      </c>
      <c r="O93" s="124">
        <f t="shared" si="32"/>
        <v>38638.080000000002</v>
      </c>
      <c r="P93" s="77">
        <f t="shared" si="27"/>
        <v>63.13</v>
      </c>
      <c r="Q93" s="77">
        <f t="shared" si="33"/>
        <v>39393.120000000003</v>
      </c>
      <c r="R93" s="77">
        <f t="shared" si="34"/>
        <v>755.04000000000087</v>
      </c>
      <c r="S93" s="171"/>
      <c r="U93" s="158">
        <f t="shared" si="35"/>
        <v>1.9541343669250644E-2</v>
      </c>
      <c r="V93" s="122"/>
    </row>
    <row r="94" spans="1:22" s="78" customFormat="1" x14ac:dyDescent="0.25">
      <c r="A94" s="178"/>
      <c r="B94" s="76">
        <v>33</v>
      </c>
      <c r="C94" s="31" t="s">
        <v>166</v>
      </c>
      <c r="D94" s="123"/>
      <c r="E94" s="79"/>
      <c r="F94" s="94">
        <v>416</v>
      </c>
      <c r="G94" s="137">
        <f>References!$B$32</f>
        <v>840</v>
      </c>
      <c r="H94" s="83">
        <f t="shared" si="28"/>
        <v>349440</v>
      </c>
      <c r="I94" s="80">
        <f t="shared" si="29"/>
        <v>263585.14016531635</v>
      </c>
      <c r="J94" s="124">
        <f>References!$C$49*I94</f>
        <v>481.04288080170056</v>
      </c>
      <c r="K94" s="124">
        <f>J94/References!$G$57</f>
        <v>501.57746210007775</v>
      </c>
      <c r="L94" s="163">
        <v>61.92</v>
      </c>
      <c r="M94" s="124">
        <f t="shared" si="30"/>
        <v>1.21</v>
      </c>
      <c r="N94" s="164">
        <f t="shared" si="31"/>
        <v>63.13</v>
      </c>
      <c r="O94" s="124">
        <f t="shared" si="32"/>
        <v>25758.720000000001</v>
      </c>
      <c r="P94" s="77">
        <f t="shared" si="27"/>
        <v>63.13</v>
      </c>
      <c r="Q94" s="77">
        <f t="shared" si="33"/>
        <v>26262.080000000002</v>
      </c>
      <c r="R94" s="77">
        <f t="shared" si="34"/>
        <v>503.36000000000058</v>
      </c>
      <c r="S94" s="171"/>
      <c r="U94" s="158">
        <f t="shared" si="35"/>
        <v>1.9541343669250644E-2</v>
      </c>
      <c r="V94" s="122"/>
    </row>
    <row r="95" spans="1:22" s="78" customFormat="1" x14ac:dyDescent="0.25">
      <c r="A95" s="178"/>
      <c r="B95" s="76">
        <v>33</v>
      </c>
      <c r="C95" s="31" t="s">
        <v>166</v>
      </c>
      <c r="D95" s="123"/>
      <c r="E95" s="79"/>
      <c r="F95" s="94">
        <v>416</v>
      </c>
      <c r="G95" s="137">
        <f>References!$B$32</f>
        <v>840</v>
      </c>
      <c r="H95" s="83">
        <f t="shared" si="28"/>
        <v>349440</v>
      </c>
      <c r="I95" s="80">
        <f t="shared" si="29"/>
        <v>263585.14016531635</v>
      </c>
      <c r="J95" s="124">
        <f>References!$C$49*I95</f>
        <v>481.04288080170056</v>
      </c>
      <c r="K95" s="124">
        <f>J95/References!$G$57</f>
        <v>501.57746210007775</v>
      </c>
      <c r="L95" s="163">
        <v>61.92</v>
      </c>
      <c r="M95" s="124">
        <f t="shared" si="30"/>
        <v>1.21</v>
      </c>
      <c r="N95" s="164">
        <f t="shared" si="31"/>
        <v>63.13</v>
      </c>
      <c r="O95" s="124">
        <f t="shared" si="32"/>
        <v>25758.720000000001</v>
      </c>
      <c r="P95" s="77">
        <f t="shared" si="27"/>
        <v>63.13</v>
      </c>
      <c r="Q95" s="77">
        <f t="shared" si="33"/>
        <v>26262.080000000002</v>
      </c>
      <c r="R95" s="77">
        <f t="shared" si="34"/>
        <v>503.36000000000058</v>
      </c>
      <c r="S95" s="171"/>
      <c r="U95" s="158">
        <f t="shared" si="35"/>
        <v>1.9541343669250644E-2</v>
      </c>
      <c r="V95" s="122"/>
    </row>
    <row r="96" spans="1:22" s="78" customFormat="1" x14ac:dyDescent="0.25">
      <c r="A96" s="178"/>
      <c r="B96" s="76">
        <v>33</v>
      </c>
      <c r="C96" s="31" t="s">
        <v>167</v>
      </c>
      <c r="D96" s="123"/>
      <c r="E96" s="79"/>
      <c r="F96" s="94">
        <v>520</v>
      </c>
      <c r="G96" s="137">
        <f>References!$B$32</f>
        <v>840</v>
      </c>
      <c r="H96" s="83">
        <f t="shared" si="28"/>
        <v>436800</v>
      </c>
      <c r="I96" s="80">
        <f t="shared" si="29"/>
        <v>329481.42520664545</v>
      </c>
      <c r="J96" s="124">
        <f>References!$C$49*I96</f>
        <v>601.30360100212579</v>
      </c>
      <c r="K96" s="124">
        <f>J96/References!$G$57</f>
        <v>626.97182762509726</v>
      </c>
      <c r="L96" s="163">
        <v>61.92</v>
      </c>
      <c r="M96" s="124">
        <f t="shared" si="30"/>
        <v>1.21</v>
      </c>
      <c r="N96" s="164">
        <f t="shared" si="31"/>
        <v>63.13</v>
      </c>
      <c r="O96" s="124">
        <f t="shared" si="32"/>
        <v>32198.400000000001</v>
      </c>
      <c r="P96" s="77">
        <f t="shared" si="27"/>
        <v>63.13</v>
      </c>
      <c r="Q96" s="77">
        <f t="shared" si="33"/>
        <v>32827.599999999999</v>
      </c>
      <c r="R96" s="77">
        <f t="shared" si="34"/>
        <v>629.19999999999709</v>
      </c>
      <c r="S96" s="171"/>
      <c r="U96" s="158">
        <f t="shared" si="35"/>
        <v>1.9541343669250644E-2</v>
      </c>
      <c r="V96" s="122"/>
    </row>
    <row r="97" spans="1:24" s="78" customFormat="1" x14ac:dyDescent="0.25">
      <c r="A97" s="178"/>
      <c r="B97" s="76">
        <v>33</v>
      </c>
      <c r="C97" s="31" t="s">
        <v>168</v>
      </c>
      <c r="D97" s="123"/>
      <c r="E97" s="79"/>
      <c r="F97" s="94">
        <v>624</v>
      </c>
      <c r="G97" s="137">
        <f>References!$B$32</f>
        <v>840</v>
      </c>
      <c r="H97" s="83">
        <f t="shared" si="28"/>
        <v>524160</v>
      </c>
      <c r="I97" s="80">
        <f t="shared" si="29"/>
        <v>395377.71024797449</v>
      </c>
      <c r="J97" s="124">
        <f>References!$C$49*I97</f>
        <v>721.56432120255079</v>
      </c>
      <c r="K97" s="124">
        <f>J97/References!$G$57</f>
        <v>752.36619315011649</v>
      </c>
      <c r="L97" s="163">
        <v>61.92</v>
      </c>
      <c r="M97" s="124">
        <f t="shared" si="30"/>
        <v>1.21</v>
      </c>
      <c r="N97" s="164">
        <f t="shared" si="31"/>
        <v>63.13</v>
      </c>
      <c r="O97" s="124">
        <f t="shared" si="32"/>
        <v>38638.080000000002</v>
      </c>
      <c r="P97" s="77">
        <f t="shared" si="27"/>
        <v>63.13</v>
      </c>
      <c r="Q97" s="77">
        <f t="shared" si="33"/>
        <v>39393.120000000003</v>
      </c>
      <c r="R97" s="77">
        <f t="shared" si="34"/>
        <v>755.04000000000087</v>
      </c>
      <c r="S97" s="171"/>
      <c r="U97" s="158">
        <f t="shared" si="35"/>
        <v>1.9541343669250644E-2</v>
      </c>
      <c r="V97" s="122"/>
    </row>
    <row r="98" spans="1:24" s="78" customFormat="1" x14ac:dyDescent="0.25">
      <c r="A98" s="178"/>
      <c r="B98" s="76">
        <v>33</v>
      </c>
      <c r="C98" s="31" t="s">
        <v>169</v>
      </c>
      <c r="D98" s="123"/>
      <c r="E98" s="79"/>
      <c r="F98" s="94">
        <v>728</v>
      </c>
      <c r="G98" s="137">
        <f>References!$B$32</f>
        <v>840</v>
      </c>
      <c r="H98" s="83">
        <f t="shared" si="28"/>
        <v>611520</v>
      </c>
      <c r="I98" s="80">
        <f t="shared" si="29"/>
        <v>461273.9952893036</v>
      </c>
      <c r="J98" s="124">
        <f>References!$C$49*I98</f>
        <v>841.82504140297601</v>
      </c>
      <c r="K98" s="124">
        <f>J98/References!$G$57</f>
        <v>877.76055867513605</v>
      </c>
      <c r="L98" s="163">
        <v>61.92</v>
      </c>
      <c r="M98" s="124">
        <f t="shared" si="30"/>
        <v>1.21</v>
      </c>
      <c r="N98" s="164">
        <f t="shared" si="31"/>
        <v>63.13</v>
      </c>
      <c r="O98" s="124">
        <f t="shared" si="32"/>
        <v>45077.760000000002</v>
      </c>
      <c r="P98" s="77">
        <f t="shared" si="27"/>
        <v>63.13</v>
      </c>
      <c r="Q98" s="77">
        <f t="shared" si="33"/>
        <v>45958.64</v>
      </c>
      <c r="R98" s="77">
        <f t="shared" si="34"/>
        <v>880.87999999999738</v>
      </c>
      <c r="S98" s="171"/>
      <c r="U98" s="158">
        <f t="shared" si="35"/>
        <v>1.9541343669250644E-2</v>
      </c>
      <c r="V98" s="122"/>
    </row>
    <row r="99" spans="1:24" s="78" customFormat="1" x14ac:dyDescent="0.25">
      <c r="A99" s="178"/>
      <c r="B99" s="76">
        <v>33</v>
      </c>
      <c r="C99" s="31" t="s">
        <v>170</v>
      </c>
      <c r="D99" s="123"/>
      <c r="E99" s="79"/>
      <c r="F99" s="94">
        <v>780</v>
      </c>
      <c r="G99" s="137">
        <f>References!$B$33</f>
        <v>980</v>
      </c>
      <c r="H99" s="83">
        <f t="shared" si="28"/>
        <v>764400</v>
      </c>
      <c r="I99" s="80">
        <f t="shared" si="29"/>
        <v>576592.49411162944</v>
      </c>
      <c r="J99" s="124">
        <f>References!$C$49*I99</f>
        <v>1052.2813017537198</v>
      </c>
      <c r="K99" s="124">
        <f>J99/References!$G$57</f>
        <v>1097.2006983439198</v>
      </c>
      <c r="L99" s="163">
        <v>75.17</v>
      </c>
      <c r="M99" s="124">
        <f t="shared" si="30"/>
        <v>1.41</v>
      </c>
      <c r="N99" s="164">
        <f t="shared" si="31"/>
        <v>76.58</v>
      </c>
      <c r="O99" s="124">
        <f t="shared" si="32"/>
        <v>58632.6</v>
      </c>
      <c r="P99" s="77">
        <f t="shared" si="27"/>
        <v>76.58</v>
      </c>
      <c r="Q99" s="77">
        <f t="shared" si="33"/>
        <v>59732.4</v>
      </c>
      <c r="R99" s="77">
        <f t="shared" si="34"/>
        <v>1099.8000000000029</v>
      </c>
      <c r="S99" s="171"/>
      <c r="U99" s="158">
        <f t="shared" si="35"/>
        <v>1.8757483038446043E-2</v>
      </c>
      <c r="V99" s="122"/>
    </row>
    <row r="100" spans="1:24" s="78" customFormat="1" x14ac:dyDescent="0.25">
      <c r="A100" s="178"/>
      <c r="B100" s="76">
        <v>33</v>
      </c>
      <c r="C100" s="31" t="s">
        <v>171</v>
      </c>
      <c r="D100" s="123"/>
      <c r="E100" s="79"/>
      <c r="F100" s="94">
        <v>260</v>
      </c>
      <c r="G100" s="137">
        <f>References!$B$33</f>
        <v>980</v>
      </c>
      <c r="H100" s="83">
        <f t="shared" si="28"/>
        <v>254800</v>
      </c>
      <c r="I100" s="80">
        <f t="shared" si="29"/>
        <v>192197.49803720982</v>
      </c>
      <c r="J100" s="124">
        <f>References!$C$49*I100</f>
        <v>350.76043391790665</v>
      </c>
      <c r="K100" s="124">
        <f>J100/References!$G$57</f>
        <v>365.73356611463998</v>
      </c>
      <c r="L100" s="163">
        <v>75.17</v>
      </c>
      <c r="M100" s="124">
        <f t="shared" si="30"/>
        <v>1.41</v>
      </c>
      <c r="N100" s="164">
        <f t="shared" si="31"/>
        <v>76.58</v>
      </c>
      <c r="O100" s="124">
        <f t="shared" si="32"/>
        <v>19544.2</v>
      </c>
      <c r="P100" s="77">
        <f t="shared" si="27"/>
        <v>76.58</v>
      </c>
      <c r="Q100" s="77">
        <f t="shared" si="33"/>
        <v>19910.8</v>
      </c>
      <c r="R100" s="77">
        <f t="shared" si="34"/>
        <v>366.59999999999854</v>
      </c>
      <c r="S100" s="171"/>
      <c r="U100" s="158">
        <f t="shared" si="35"/>
        <v>1.8757483038446043E-2</v>
      </c>
      <c r="V100" s="122"/>
    </row>
    <row r="101" spans="1:24" s="78" customFormat="1" x14ac:dyDescent="0.25">
      <c r="A101" s="178"/>
      <c r="B101" s="76">
        <v>33</v>
      </c>
      <c r="C101" s="31" t="s">
        <v>170</v>
      </c>
      <c r="D101" s="123"/>
      <c r="E101" s="79"/>
      <c r="F101" s="94">
        <v>624</v>
      </c>
      <c r="G101" s="137">
        <f>References!$B$33</f>
        <v>980</v>
      </c>
      <c r="H101" s="83">
        <f t="shared" si="28"/>
        <v>611520</v>
      </c>
      <c r="I101" s="80">
        <f t="shared" si="29"/>
        <v>461273.9952893036</v>
      </c>
      <c r="J101" s="124">
        <f>References!$C$49*I101</f>
        <v>841.82504140297601</v>
      </c>
      <c r="K101" s="124">
        <f>J101/References!$G$57</f>
        <v>877.76055867513605</v>
      </c>
      <c r="L101" s="163">
        <v>75.17</v>
      </c>
      <c r="M101" s="124">
        <f t="shared" si="30"/>
        <v>1.41</v>
      </c>
      <c r="N101" s="164">
        <f t="shared" si="31"/>
        <v>76.58</v>
      </c>
      <c r="O101" s="124">
        <f t="shared" si="32"/>
        <v>46906.080000000002</v>
      </c>
      <c r="P101" s="77">
        <f t="shared" si="27"/>
        <v>76.58</v>
      </c>
      <c r="Q101" s="77">
        <f t="shared" si="33"/>
        <v>47785.919999999998</v>
      </c>
      <c r="R101" s="77">
        <f t="shared" si="34"/>
        <v>879.83999999999651</v>
      </c>
      <c r="S101" s="171"/>
      <c r="U101" s="158">
        <f t="shared" si="35"/>
        <v>1.8757483038446043E-2</v>
      </c>
      <c r="V101" s="122"/>
    </row>
    <row r="102" spans="1:24" s="78" customFormat="1" x14ac:dyDescent="0.25">
      <c r="A102" s="178"/>
      <c r="B102" s="76">
        <v>33</v>
      </c>
      <c r="C102" s="31" t="s">
        <v>170</v>
      </c>
      <c r="D102" s="123"/>
      <c r="E102" s="79"/>
      <c r="F102" s="94">
        <v>312</v>
      </c>
      <c r="G102" s="137">
        <f>References!$B$33</f>
        <v>980</v>
      </c>
      <c r="H102" s="83">
        <f t="shared" si="28"/>
        <v>305760</v>
      </c>
      <c r="I102" s="80">
        <f t="shared" si="29"/>
        <v>230636.9976446518</v>
      </c>
      <c r="J102" s="124">
        <f>References!$C$49*I102</f>
        <v>420.91252070148801</v>
      </c>
      <c r="K102" s="124">
        <f>J102/References!$G$57</f>
        <v>438.88027933756803</v>
      </c>
      <c r="L102" s="163">
        <v>75.17</v>
      </c>
      <c r="M102" s="124">
        <f t="shared" si="30"/>
        <v>1.41</v>
      </c>
      <c r="N102" s="164">
        <f t="shared" si="31"/>
        <v>76.58</v>
      </c>
      <c r="O102" s="124">
        <f t="shared" si="32"/>
        <v>23453.040000000001</v>
      </c>
      <c r="P102" s="77">
        <f t="shared" si="27"/>
        <v>76.58</v>
      </c>
      <c r="Q102" s="77">
        <f t="shared" si="33"/>
        <v>23892.959999999999</v>
      </c>
      <c r="R102" s="77">
        <f t="shared" si="34"/>
        <v>439.91999999999825</v>
      </c>
      <c r="S102" s="171"/>
      <c r="U102" s="158">
        <f t="shared" si="35"/>
        <v>1.8757483038446043E-2</v>
      </c>
      <c r="V102" s="122"/>
    </row>
    <row r="103" spans="1:24" s="78" customFormat="1" x14ac:dyDescent="0.25">
      <c r="A103" s="178"/>
      <c r="B103" s="76">
        <v>33</v>
      </c>
      <c r="C103" s="31" t="s">
        <v>170</v>
      </c>
      <c r="D103" s="123"/>
      <c r="E103" s="79"/>
      <c r="F103" s="94">
        <v>624</v>
      </c>
      <c r="G103" s="137">
        <f>References!$B$33</f>
        <v>980</v>
      </c>
      <c r="H103" s="83">
        <f t="shared" si="28"/>
        <v>611520</v>
      </c>
      <c r="I103" s="80">
        <f t="shared" si="29"/>
        <v>461273.9952893036</v>
      </c>
      <c r="J103" s="124">
        <f>References!$C$49*I103</f>
        <v>841.82504140297601</v>
      </c>
      <c r="K103" s="124">
        <f>J103/References!$G$57</f>
        <v>877.76055867513605</v>
      </c>
      <c r="L103" s="163">
        <v>75.17</v>
      </c>
      <c r="M103" s="124">
        <f t="shared" si="30"/>
        <v>1.41</v>
      </c>
      <c r="N103" s="164">
        <f t="shared" si="31"/>
        <v>76.58</v>
      </c>
      <c r="O103" s="124">
        <f t="shared" si="32"/>
        <v>46906.080000000002</v>
      </c>
      <c r="P103" s="77">
        <f t="shared" si="27"/>
        <v>76.58</v>
      </c>
      <c r="Q103" s="77">
        <f t="shared" si="33"/>
        <v>47785.919999999998</v>
      </c>
      <c r="R103" s="77">
        <f t="shared" si="34"/>
        <v>879.83999999999651</v>
      </c>
      <c r="S103" s="171"/>
      <c r="U103" s="158">
        <f t="shared" si="35"/>
        <v>1.8757483038446043E-2</v>
      </c>
      <c r="V103" s="122"/>
    </row>
    <row r="104" spans="1:24" s="78" customFormat="1" x14ac:dyDescent="0.25">
      <c r="A104" s="178"/>
      <c r="B104" s="76">
        <v>35</v>
      </c>
      <c r="C104" s="31" t="s">
        <v>172</v>
      </c>
      <c r="D104" s="123"/>
      <c r="E104" s="79"/>
      <c r="F104" s="94">
        <v>52</v>
      </c>
      <c r="G104" s="137">
        <f>References!B36</f>
        <v>892</v>
      </c>
      <c r="H104" s="83">
        <f t="shared" si="28"/>
        <v>46384</v>
      </c>
      <c r="I104" s="80">
        <f t="shared" si="29"/>
        <v>34987.789438610445</v>
      </c>
      <c r="J104" s="124">
        <f>References!$C$49*I104</f>
        <v>63.852715725463831</v>
      </c>
      <c r="K104" s="124">
        <f>J104/References!$G$57</f>
        <v>66.578436933522227</v>
      </c>
      <c r="L104" s="163">
        <v>71.539999999999992</v>
      </c>
      <c r="M104" s="124">
        <f t="shared" si="30"/>
        <v>1.28</v>
      </c>
      <c r="N104" s="164">
        <f t="shared" si="31"/>
        <v>72.819999999999993</v>
      </c>
      <c r="O104" s="124">
        <f t="shared" si="32"/>
        <v>3720.0799999999995</v>
      </c>
      <c r="P104" s="77">
        <f t="shared" si="27"/>
        <v>72.819999999999993</v>
      </c>
      <c r="Q104" s="77">
        <f t="shared" si="33"/>
        <v>3786.6399999999994</v>
      </c>
      <c r="R104" s="77">
        <f t="shared" si="34"/>
        <v>66.559999999999945</v>
      </c>
      <c r="S104" s="171"/>
      <c r="U104" s="158">
        <f t="shared" si="35"/>
        <v>1.7892088342186252E-2</v>
      </c>
      <c r="V104" s="122"/>
    </row>
    <row r="105" spans="1:24" s="78" customFormat="1" x14ac:dyDescent="0.25">
      <c r="A105" s="178"/>
      <c r="B105" s="76">
        <v>35</v>
      </c>
      <c r="C105" s="31" t="s">
        <v>173</v>
      </c>
      <c r="D105" s="123"/>
      <c r="E105" s="79"/>
      <c r="F105" s="94">
        <v>312</v>
      </c>
      <c r="G105" s="137">
        <f>References!B37</f>
        <v>1301</v>
      </c>
      <c r="H105" s="83">
        <f t="shared" si="28"/>
        <v>405912</v>
      </c>
      <c r="I105" s="80">
        <f t="shared" si="29"/>
        <v>306182.38156703266</v>
      </c>
      <c r="J105" s="124">
        <f>References!$C$49*I105</f>
        <v>558.78284635983255</v>
      </c>
      <c r="K105" s="124">
        <f>J105/References!$G$57</f>
        <v>582.63596267160813</v>
      </c>
      <c r="L105" s="163">
        <v>95</v>
      </c>
      <c r="M105" s="124">
        <f t="shared" si="30"/>
        <v>1.87</v>
      </c>
      <c r="N105" s="164">
        <f t="shared" si="31"/>
        <v>96.87</v>
      </c>
      <c r="O105" s="124">
        <f t="shared" si="32"/>
        <v>29640</v>
      </c>
      <c r="P105" s="77">
        <f t="shared" si="27"/>
        <v>96.87</v>
      </c>
      <c r="Q105" s="77">
        <f t="shared" si="33"/>
        <v>30223.440000000002</v>
      </c>
      <c r="R105" s="77">
        <f t="shared" si="34"/>
        <v>583.44000000000233</v>
      </c>
      <c r="S105" s="171"/>
      <c r="U105" s="158">
        <f t="shared" si="35"/>
        <v>1.9684210526315749E-2</v>
      </c>
      <c r="V105" s="122"/>
    </row>
    <row r="106" spans="1:24" s="78" customFormat="1" x14ac:dyDescent="0.25">
      <c r="A106" s="178"/>
      <c r="B106" s="76">
        <v>35</v>
      </c>
      <c r="C106" s="31" t="s">
        <v>174</v>
      </c>
      <c r="D106" s="123"/>
      <c r="E106" s="79"/>
      <c r="F106" s="94">
        <v>156</v>
      </c>
      <c r="G106" s="137">
        <f>References!B38</f>
        <v>1686</v>
      </c>
      <c r="H106" s="83">
        <f t="shared" si="28"/>
        <v>263016</v>
      </c>
      <c r="I106" s="80">
        <f t="shared" si="29"/>
        <v>198394.88674943006</v>
      </c>
      <c r="J106" s="124">
        <f>References!$C$49*I106</f>
        <v>362.07066831770851</v>
      </c>
      <c r="K106" s="124">
        <f>J106/References!$G$57</f>
        <v>377.5266076342549</v>
      </c>
      <c r="L106" s="163">
        <v>110.19999999999999</v>
      </c>
      <c r="M106" s="124">
        <f t="shared" si="30"/>
        <v>2.42</v>
      </c>
      <c r="N106" s="164">
        <f t="shared" si="31"/>
        <v>112.61999999999999</v>
      </c>
      <c r="O106" s="124">
        <f t="shared" si="32"/>
        <v>17191.199999999997</v>
      </c>
      <c r="P106" s="77">
        <f t="shared" si="27"/>
        <v>112.61999999999999</v>
      </c>
      <c r="Q106" s="77">
        <f t="shared" si="33"/>
        <v>17568.719999999998</v>
      </c>
      <c r="R106" s="77">
        <f t="shared" si="34"/>
        <v>377.52000000000044</v>
      </c>
      <c r="S106" s="171"/>
      <c r="U106" s="158">
        <f t="shared" si="35"/>
        <v>2.1960072595281321E-2</v>
      </c>
      <c r="V106" s="122"/>
    </row>
    <row r="107" spans="1:24" s="78" customFormat="1" x14ac:dyDescent="0.25">
      <c r="A107" s="173"/>
      <c r="B107" s="76">
        <v>27</v>
      </c>
      <c r="C107" s="31" t="s">
        <v>193</v>
      </c>
      <c r="D107" s="123"/>
      <c r="E107" s="79"/>
      <c r="F107" s="94">
        <v>100</v>
      </c>
      <c r="G107" s="137">
        <f>G108</f>
        <v>125</v>
      </c>
      <c r="H107" s="83">
        <f t="shared" ref="H107" si="36">F107*G107</f>
        <v>12500</v>
      </c>
      <c r="I107" s="80">
        <f t="shared" ref="I107" si="37">$C$125*H107</f>
        <v>9428.8411517469503</v>
      </c>
      <c r="J107" s="169">
        <f>References!$C$49*I107</f>
        <v>17.20763510193812</v>
      </c>
      <c r="K107" s="169">
        <f>J107/References!$G$57</f>
        <v>17.942188290553375</v>
      </c>
      <c r="L107" s="163">
        <v>14.06</v>
      </c>
      <c r="M107" s="169">
        <f t="shared" ref="M107" si="38">ROUND((K107/F107),2)</f>
        <v>0.18</v>
      </c>
      <c r="N107" s="164">
        <f t="shared" ref="N107" si="39">M107+L107</f>
        <v>14.24</v>
      </c>
      <c r="O107" s="169">
        <f t="shared" ref="O107" si="40">F107*L107</f>
        <v>1406</v>
      </c>
      <c r="P107" s="77">
        <f t="shared" ref="P107" si="41">+N107</f>
        <v>14.24</v>
      </c>
      <c r="Q107" s="77">
        <f t="shared" ref="Q107" si="42">F107*P107</f>
        <v>1424</v>
      </c>
      <c r="R107" s="77">
        <f t="shared" ref="R107" si="43">Q107-O107</f>
        <v>18</v>
      </c>
      <c r="S107" s="171"/>
      <c r="U107" s="158"/>
      <c r="V107" s="122"/>
    </row>
    <row r="108" spans="1:24" s="78" customFormat="1" x14ac:dyDescent="0.25">
      <c r="A108" s="161"/>
      <c r="B108" s="76">
        <v>27</v>
      </c>
      <c r="C108" s="31" t="s">
        <v>176</v>
      </c>
      <c r="D108" s="123"/>
      <c r="E108" s="79"/>
      <c r="F108" s="130">
        <v>4861.2880794701996</v>
      </c>
      <c r="G108" s="137">
        <f>References!B42</f>
        <v>125</v>
      </c>
      <c r="H108" s="83">
        <f t="shared" si="28"/>
        <v>607661.00993377494</v>
      </c>
      <c r="I108" s="80">
        <f t="shared" si="29"/>
        <v>458363.13094205514</v>
      </c>
      <c r="J108" s="124">
        <f>References!$C$49*I108</f>
        <v>836.51271396924756</v>
      </c>
      <c r="K108" s="124">
        <f>J108/References!$G$57</f>
        <v>872.22146056476913</v>
      </c>
      <c r="L108" s="163">
        <v>18.240000000000002</v>
      </c>
      <c r="M108" s="124">
        <f t="shared" si="30"/>
        <v>0.18</v>
      </c>
      <c r="N108" s="164">
        <f t="shared" si="31"/>
        <v>18.420000000000002</v>
      </c>
      <c r="O108" s="124">
        <f t="shared" si="32"/>
        <v>88669.894569536453</v>
      </c>
      <c r="P108" s="77">
        <f t="shared" si="27"/>
        <v>18.420000000000002</v>
      </c>
      <c r="Q108" s="77">
        <f t="shared" si="33"/>
        <v>89544.926423841083</v>
      </c>
      <c r="R108" s="77">
        <f t="shared" si="34"/>
        <v>875.03185430463054</v>
      </c>
      <c r="S108" s="171"/>
      <c r="U108" s="158">
        <f t="shared" si="35"/>
        <v>9.8684210526316374E-3</v>
      </c>
      <c r="V108" s="122"/>
      <c r="W108" s="78">
        <v>13.36</v>
      </c>
      <c r="X108" s="78">
        <f>ROUND(+W108*U108+W108,2)</f>
        <v>13.49</v>
      </c>
    </row>
    <row r="109" spans="1:24" s="78" customFormat="1" x14ac:dyDescent="0.25">
      <c r="A109" s="84"/>
      <c r="B109" s="65"/>
      <c r="C109" s="86" t="s">
        <v>3</v>
      </c>
      <c r="D109" s="87">
        <f>SUM(D27:D108)</f>
        <v>0</v>
      </c>
      <c r="E109" s="87"/>
      <c r="F109" s="87">
        <f>SUM(F27:F108)</f>
        <v>141409.28807947019</v>
      </c>
      <c r="G109" s="139"/>
      <c r="H109" s="87">
        <f>SUM(H27:H108)</f>
        <v>58595377.009933777</v>
      </c>
      <c r="I109" s="90">
        <f>SUM(I27:I108)</f>
        <v>44198920.164271243</v>
      </c>
      <c r="J109" s="92"/>
      <c r="K109" s="92"/>
      <c r="L109" s="92"/>
      <c r="M109" s="92"/>
      <c r="N109" s="92"/>
      <c r="O109" s="92">
        <f>SUM(O27:O108)</f>
        <v>4489332.5745695382</v>
      </c>
      <c r="P109" s="92"/>
      <c r="Q109" s="92">
        <f>SUM(Q27:Q108)</f>
        <v>4573702.7664238419</v>
      </c>
      <c r="R109" s="92">
        <f>SUM(R27:R108)</f>
        <v>84370.191854304518</v>
      </c>
      <c r="S109" s="78">
        <f>R109/O109</f>
        <v>1.8793482205402078E-2</v>
      </c>
      <c r="U109" s="159">
        <f>+R109/O109</f>
        <v>1.8793482205402078E-2</v>
      </c>
    </row>
    <row r="110" spans="1:24" ht="25.5" customHeight="1" x14ac:dyDescent="0.4">
      <c r="C110" s="96" t="s">
        <v>102</v>
      </c>
      <c r="D110" s="97">
        <f>D26+D109</f>
        <v>45627.74297875</v>
      </c>
      <c r="E110" s="97"/>
      <c r="F110" s="97">
        <f>F26+F109</f>
        <v>2237160.2437044703</v>
      </c>
      <c r="G110" s="97"/>
      <c r="H110" s="97">
        <f>H26+H109</f>
        <v>142635448.02118376</v>
      </c>
      <c r="I110" s="97">
        <f>I26+I109</f>
        <v>107590958.56000003</v>
      </c>
      <c r="J110" s="124"/>
      <c r="K110" s="98"/>
      <c r="L110" s="98"/>
      <c r="M110" s="98"/>
      <c r="N110" s="166"/>
      <c r="O110" s="141">
        <f>O26+O109</f>
        <v>13405854.98601789</v>
      </c>
      <c r="P110" s="141"/>
      <c r="Q110" s="141">
        <f>Q26+Q109</f>
        <v>13609687.663667843</v>
      </c>
      <c r="R110" s="141">
        <f>R26+R109</f>
        <v>203832.67764995433</v>
      </c>
      <c r="U110" s="160">
        <f>+R110/O110</f>
        <v>1.5204750302203689E-2</v>
      </c>
    </row>
    <row r="111" spans="1:24" x14ac:dyDescent="0.25">
      <c r="B111" s="95" t="s">
        <v>191</v>
      </c>
      <c r="G111" s="140"/>
      <c r="J111" s="100"/>
      <c r="N111" s="167"/>
    </row>
    <row r="112" spans="1:24" x14ac:dyDescent="0.25">
      <c r="B112" s="95">
        <v>35</v>
      </c>
      <c r="C112" s="78" t="s">
        <v>186</v>
      </c>
      <c r="F112" s="75">
        <v>1</v>
      </c>
      <c r="G112" s="140">
        <f>References!B40</f>
        <v>2310</v>
      </c>
      <c r="H112" s="83">
        <f>F112*G112</f>
        <v>2310</v>
      </c>
      <c r="I112" s="80">
        <f>$C$125*H112</f>
        <v>1742.4498448428365</v>
      </c>
      <c r="J112" s="124">
        <f>References!$C$49*I112</f>
        <v>3.179970966838165</v>
      </c>
      <c r="K112" s="124">
        <f>J112/References!$G$57</f>
        <v>3.3157163960942642</v>
      </c>
      <c r="L112" s="168">
        <v>131.34</v>
      </c>
      <c r="M112" s="124">
        <f>ROUND((K112/F112),2)</f>
        <v>3.32</v>
      </c>
      <c r="N112" s="164">
        <f>M112+L112</f>
        <v>134.66</v>
      </c>
      <c r="S112" s="171"/>
      <c r="U112" s="158">
        <f t="shared" ref="U112:U116" si="44">+N112/L112-1</f>
        <v>2.527790467488944E-2</v>
      </c>
    </row>
    <row r="113" spans="1:24" x14ac:dyDescent="0.25">
      <c r="B113" s="95">
        <v>35</v>
      </c>
      <c r="C113" s="78" t="s">
        <v>187</v>
      </c>
      <c r="F113" s="75">
        <v>1</v>
      </c>
      <c r="G113" s="140">
        <f>References!B36</f>
        <v>892</v>
      </c>
      <c r="H113" s="83">
        <f>F113*G113</f>
        <v>892</v>
      </c>
      <c r="I113" s="80">
        <f>$C$125*H113</f>
        <v>672.84210458866232</v>
      </c>
      <c r="J113" s="124">
        <f>References!$C$49*I113</f>
        <v>1.2279368408743043</v>
      </c>
      <c r="K113" s="124">
        <f>J113/References!$G$57</f>
        <v>1.280354556413889</v>
      </c>
      <c r="L113" s="168">
        <v>99.64</v>
      </c>
      <c r="M113" s="124">
        <f>ROUND((K113/F113),2)</f>
        <v>1.28</v>
      </c>
      <c r="N113" s="164">
        <f>M113+L113</f>
        <v>100.92</v>
      </c>
      <c r="S113" s="171"/>
      <c r="U113" s="158">
        <f t="shared" si="44"/>
        <v>1.284624648735444E-2</v>
      </c>
      <c r="W113" s="75">
        <v>66.790000000000006</v>
      </c>
      <c r="X113" s="172">
        <f>W113*(1+U113)</f>
        <v>67.648000802890408</v>
      </c>
    </row>
    <row r="114" spans="1:24" x14ac:dyDescent="0.25">
      <c r="B114" s="95">
        <v>35</v>
      </c>
      <c r="C114" s="78" t="s">
        <v>188</v>
      </c>
      <c r="F114" s="75">
        <v>1</v>
      </c>
      <c r="G114" s="140">
        <f>References!B37</f>
        <v>1301</v>
      </c>
      <c r="H114" s="83">
        <f>F114*G114</f>
        <v>1301</v>
      </c>
      <c r="I114" s="80">
        <f>$C$125*H114</f>
        <v>981.35378707382256</v>
      </c>
      <c r="J114" s="124">
        <f>References!$C$49*I114</f>
        <v>1.7909706614097196</v>
      </c>
      <c r="K114" s="124">
        <f>J114/References!$G$57</f>
        <v>1.8674229572807954</v>
      </c>
      <c r="L114" s="168">
        <v>129.54</v>
      </c>
      <c r="M114" s="124">
        <f>ROUND((K114/F114),2)</f>
        <v>1.87</v>
      </c>
      <c r="N114" s="164">
        <f>M114+L114</f>
        <v>131.41</v>
      </c>
      <c r="S114" s="171"/>
      <c r="U114" s="158">
        <f t="shared" si="44"/>
        <v>1.4435695538057791E-2</v>
      </c>
      <c r="W114" s="75">
        <v>87.97</v>
      </c>
      <c r="X114" s="172">
        <f t="shared" ref="X114:X116" si="45">W114*(1+U114)</f>
        <v>89.239908136482939</v>
      </c>
    </row>
    <row r="115" spans="1:24" x14ac:dyDescent="0.25">
      <c r="B115" s="95">
        <v>35</v>
      </c>
      <c r="C115" s="78" t="s">
        <v>189</v>
      </c>
      <c r="F115" s="78">
        <v>1</v>
      </c>
      <c r="G115" s="140">
        <f>References!B38</f>
        <v>1686</v>
      </c>
      <c r="H115" s="83">
        <f>F115*G115</f>
        <v>1686</v>
      </c>
      <c r="I115" s="80">
        <f>$C$125*H115</f>
        <v>1271.7620945476285</v>
      </c>
      <c r="J115" s="124">
        <f>References!$C$49*I115</f>
        <v>2.3209658225494136</v>
      </c>
      <c r="K115" s="124">
        <f>J115/References!$G$57</f>
        <v>2.420042356629839</v>
      </c>
      <c r="L115" s="169">
        <v>145.07</v>
      </c>
      <c r="M115" s="124">
        <f>ROUND((K115/F115),2)</f>
        <v>2.42</v>
      </c>
      <c r="N115" s="164">
        <f>M115+L115</f>
        <v>147.48999999999998</v>
      </c>
      <c r="S115" s="171"/>
      <c r="U115" s="158">
        <f t="shared" si="44"/>
        <v>1.6681601985248484E-2</v>
      </c>
      <c r="W115" s="75">
        <v>100.84</v>
      </c>
      <c r="X115" s="172">
        <f t="shared" si="45"/>
        <v>102.52217274419246</v>
      </c>
    </row>
    <row r="116" spans="1:24" x14ac:dyDescent="0.25">
      <c r="B116" s="95">
        <v>35</v>
      </c>
      <c r="C116" s="78" t="s">
        <v>190</v>
      </c>
      <c r="F116" s="78">
        <v>1</v>
      </c>
      <c r="G116" s="140">
        <f>References!B40</f>
        <v>2310</v>
      </c>
      <c r="H116" s="83">
        <f>F116*G116</f>
        <v>2310</v>
      </c>
      <c r="I116" s="80">
        <f>$C$125*H116</f>
        <v>1742.4498448428365</v>
      </c>
      <c r="J116" s="124">
        <f>References!$C$49*I116</f>
        <v>3.179970966838165</v>
      </c>
      <c r="K116" s="124">
        <f>J116/References!$G$57</f>
        <v>3.3157163960942642</v>
      </c>
      <c r="L116" s="169">
        <v>185.85999999999999</v>
      </c>
      <c r="M116" s="124">
        <f>ROUND((K116/F116),2)</f>
        <v>3.32</v>
      </c>
      <c r="N116" s="164">
        <f>M116+L116</f>
        <v>189.17999999999998</v>
      </c>
      <c r="S116" s="171"/>
      <c r="U116" s="158">
        <f t="shared" si="44"/>
        <v>1.7862907564833774E-2</v>
      </c>
      <c r="W116" s="78">
        <v>128.12</v>
      </c>
      <c r="X116" s="172">
        <f t="shared" si="45"/>
        <v>130.40859571720651</v>
      </c>
    </row>
    <row r="117" spans="1:24" x14ac:dyDescent="0.25">
      <c r="G117" s="140"/>
      <c r="J117" s="100"/>
    </row>
    <row r="118" spans="1:24" x14ac:dyDescent="0.25">
      <c r="A118" s="82"/>
      <c r="C118" s="102"/>
    </row>
    <row r="119" spans="1:24" x14ac:dyDescent="0.25">
      <c r="A119" s="82"/>
      <c r="C119" s="102"/>
    </row>
    <row r="120" spans="1:24" x14ac:dyDescent="0.25">
      <c r="A120" s="82"/>
      <c r="B120" s="180" t="s">
        <v>103</v>
      </c>
      <c r="C120" s="180"/>
      <c r="D120" s="75"/>
      <c r="E120" s="103"/>
      <c r="F120" s="103"/>
      <c r="H120" s="134"/>
    </row>
    <row r="121" spans="1:24" x14ac:dyDescent="0.25">
      <c r="A121" s="82"/>
      <c r="B121" s="75"/>
      <c r="C121" s="104" t="s">
        <v>3</v>
      </c>
      <c r="D121" s="75"/>
      <c r="E121" s="35"/>
      <c r="F121" s="35"/>
      <c r="H121" s="105" t="s">
        <v>104</v>
      </c>
      <c r="J121" s="106"/>
      <c r="O121" s="99"/>
    </row>
    <row r="122" spans="1:24" x14ac:dyDescent="0.25">
      <c r="A122" s="82"/>
      <c r="B122" s="75" t="s">
        <v>105</v>
      </c>
      <c r="C122" s="135">
        <f>'Co. Tonnage'!E9</f>
        <v>53795.479280000014</v>
      </c>
      <c r="D122" s="75"/>
      <c r="E122" s="93"/>
      <c r="F122" s="93"/>
      <c r="G122" s="107"/>
      <c r="H122" s="132" t="s">
        <v>108</v>
      </c>
      <c r="I122" s="133"/>
      <c r="J122" s="106"/>
      <c r="O122" s="99"/>
    </row>
    <row r="123" spans="1:24" x14ac:dyDescent="0.25">
      <c r="A123" s="82"/>
      <c r="B123" s="75" t="s">
        <v>106</v>
      </c>
      <c r="C123" s="108">
        <f>C122*2000</f>
        <v>107590958.56000003</v>
      </c>
      <c r="D123" s="75"/>
      <c r="E123" s="108"/>
      <c r="F123" s="108"/>
      <c r="G123" s="108"/>
      <c r="H123" s="109"/>
      <c r="J123" s="106"/>
    </row>
    <row r="124" spans="1:24" x14ac:dyDescent="0.25">
      <c r="A124" s="82"/>
      <c r="B124" s="75" t="s">
        <v>107</v>
      </c>
      <c r="C124" s="108">
        <f>F26+F109</f>
        <v>2237160.2437044703</v>
      </c>
      <c r="D124" s="75"/>
      <c r="E124" s="93"/>
      <c r="F124" s="93"/>
      <c r="G124" s="93"/>
      <c r="I124" s="123"/>
      <c r="J124" s="106"/>
      <c r="O124" s="99"/>
    </row>
    <row r="125" spans="1:24" x14ac:dyDescent="0.25">
      <c r="B125" s="110" t="s">
        <v>109</v>
      </c>
      <c r="C125" s="111">
        <f>C123/$H$110</f>
        <v>0.754307292139756</v>
      </c>
      <c r="D125" s="75"/>
      <c r="E125" s="111"/>
      <c r="F125" s="111"/>
      <c r="G125" s="111"/>
      <c r="H125" s="112"/>
      <c r="J125" s="106"/>
      <c r="L125" s="113"/>
      <c r="N125" s="113"/>
      <c r="O125" s="114"/>
    </row>
    <row r="126" spans="1:24" x14ac:dyDescent="0.25">
      <c r="E126" s="106"/>
      <c r="G126" s="115"/>
      <c r="H126" s="116"/>
      <c r="J126" s="106"/>
      <c r="L126" s="117"/>
      <c r="N126" s="118"/>
      <c r="O126" s="101"/>
    </row>
    <row r="127" spans="1:24" x14ac:dyDescent="0.25">
      <c r="D127" s="119"/>
      <c r="E127" s="120"/>
      <c r="G127" s="115"/>
      <c r="H127" s="116"/>
      <c r="J127" s="106"/>
      <c r="L127" s="117"/>
      <c r="N127" s="118"/>
      <c r="O127" s="101"/>
    </row>
    <row r="128" spans="1:24" x14ac:dyDescent="0.25">
      <c r="D128" s="119"/>
      <c r="E128" s="120"/>
      <c r="G128" s="115"/>
      <c r="H128" s="116"/>
      <c r="J128" s="106"/>
      <c r="L128" s="117"/>
      <c r="N128" s="118"/>
      <c r="O128" s="101"/>
    </row>
    <row r="129" spans="4:9" x14ac:dyDescent="0.25">
      <c r="D129" s="75"/>
      <c r="I129" s="75"/>
    </row>
    <row r="130" spans="4:9" x14ac:dyDescent="0.25">
      <c r="D130" s="75"/>
      <c r="E130" s="106"/>
      <c r="I130" s="75"/>
    </row>
    <row r="131" spans="4:9" x14ac:dyDescent="0.25">
      <c r="D131" s="75"/>
      <c r="I131" s="75"/>
    </row>
    <row r="132" spans="4:9" x14ac:dyDescent="0.25">
      <c r="D132" s="75"/>
      <c r="I132" s="75"/>
    </row>
    <row r="133" spans="4:9" x14ac:dyDescent="0.25">
      <c r="D133" s="75"/>
    </row>
  </sheetData>
  <mergeCells count="3">
    <mergeCell ref="A3:A25"/>
    <mergeCell ref="A27:A106"/>
    <mergeCell ref="B120:C120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workbookViewId="0">
      <selection activeCell="H6" sqref="H6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9" t="s">
        <v>4</v>
      </c>
      <c r="B1" s="2"/>
      <c r="C1" s="2"/>
      <c r="D1" s="2"/>
      <c r="E1" s="2"/>
      <c r="F1" s="2"/>
      <c r="G1" s="2"/>
      <c r="H1" s="2"/>
      <c r="I1" s="2"/>
      <c r="J1" s="2"/>
    </row>
    <row r="2" spans="1:18" ht="20.25" x14ac:dyDescent="0.3">
      <c r="A2" s="8" t="s">
        <v>5</v>
      </c>
      <c r="B2" s="2"/>
      <c r="C2" s="2"/>
      <c r="D2" s="2"/>
      <c r="E2" s="2"/>
      <c r="F2" s="2"/>
      <c r="G2" s="2"/>
      <c r="H2" s="2"/>
      <c r="I2" s="2"/>
      <c r="J2" s="2"/>
    </row>
    <row r="3" spans="1:18" ht="15.75" x14ac:dyDescent="0.25">
      <c r="A3" s="34" t="s">
        <v>178</v>
      </c>
      <c r="G3" s="6" t="s">
        <v>182</v>
      </c>
      <c r="I3" s="6" t="s">
        <v>16</v>
      </c>
      <c r="L3" s="42"/>
      <c r="M3" s="41"/>
      <c r="N3" s="41"/>
      <c r="O3" s="152"/>
      <c r="P3" s="43"/>
    </row>
    <row r="4" spans="1:18" ht="15.75" x14ac:dyDescent="0.25">
      <c r="A4" s="2"/>
      <c r="B4" s="2"/>
      <c r="C4" s="6" t="s">
        <v>3</v>
      </c>
      <c r="D4" s="6" t="s">
        <v>2</v>
      </c>
      <c r="E4" s="6" t="s">
        <v>16</v>
      </c>
      <c r="F4" s="7" t="s">
        <v>6</v>
      </c>
      <c r="G4" s="6" t="s">
        <v>16</v>
      </c>
      <c r="H4" s="7" t="s">
        <v>8</v>
      </c>
      <c r="I4" s="6" t="s">
        <v>0</v>
      </c>
      <c r="J4" s="6" t="s">
        <v>0</v>
      </c>
      <c r="L4" s="43"/>
      <c r="M4" s="43"/>
      <c r="N4" s="43"/>
      <c r="O4" s="43"/>
      <c r="P4" s="43"/>
    </row>
    <row r="5" spans="1:18" ht="20.25" x14ac:dyDescent="0.55000000000000004">
      <c r="A5" s="2"/>
      <c r="B5" s="2"/>
      <c r="C5" s="4" t="s">
        <v>9</v>
      </c>
      <c r="D5" s="4" t="s">
        <v>16</v>
      </c>
      <c r="E5" s="4" t="s">
        <v>9</v>
      </c>
      <c r="F5" s="5" t="s">
        <v>10</v>
      </c>
      <c r="G5" s="4" t="s">
        <v>7</v>
      </c>
      <c r="H5" s="5" t="s">
        <v>10</v>
      </c>
      <c r="I5" s="4" t="s">
        <v>11</v>
      </c>
      <c r="J5" s="4" t="s">
        <v>1</v>
      </c>
      <c r="L5" s="44"/>
      <c r="M5" s="44"/>
      <c r="N5" s="44"/>
      <c r="O5" s="44"/>
      <c r="P5" s="44"/>
      <c r="Q5" s="44"/>
    </row>
    <row r="6" spans="1:18" ht="15.75" x14ac:dyDescent="0.25">
      <c r="A6" s="3" t="s">
        <v>12</v>
      </c>
      <c r="B6" s="2"/>
      <c r="C6" s="18">
        <v>33423.860000000015</v>
      </c>
      <c r="D6" s="36">
        <v>0.65800000000000003</v>
      </c>
      <c r="E6" s="38">
        <f>+D6*C6</f>
        <v>21992.899880000012</v>
      </c>
      <c r="F6" s="10">
        <v>118</v>
      </c>
      <c r="G6" s="13">
        <f>+F6*E6</f>
        <v>2595162.1858400013</v>
      </c>
      <c r="H6" s="12">
        <v>121.54</v>
      </c>
      <c r="I6" s="13">
        <f>+H6*E6</f>
        <v>2673017.0514152017</v>
      </c>
      <c r="J6" s="19">
        <f>+I6-G6</f>
        <v>77854.865575200412</v>
      </c>
      <c r="K6" s="33"/>
      <c r="L6" s="47"/>
      <c r="M6" s="47"/>
      <c r="N6" s="47"/>
      <c r="O6" s="47"/>
      <c r="P6" s="48"/>
      <c r="Q6" s="147"/>
      <c r="R6" s="30"/>
    </row>
    <row r="7" spans="1:18" ht="15.75" x14ac:dyDescent="0.25">
      <c r="A7" s="2"/>
      <c r="B7" s="2"/>
      <c r="C7" s="11"/>
      <c r="D7" s="13"/>
      <c r="E7" s="13"/>
      <c r="F7" s="10"/>
      <c r="G7" s="13"/>
      <c r="H7" s="12"/>
      <c r="I7" s="13"/>
      <c r="J7" s="19"/>
      <c r="L7" s="48"/>
      <c r="M7" s="48"/>
      <c r="N7" s="48"/>
      <c r="O7" s="48"/>
      <c r="P7" s="48"/>
    </row>
    <row r="8" spans="1:18" ht="18" x14ac:dyDescent="0.4">
      <c r="A8" s="3" t="s">
        <v>13</v>
      </c>
      <c r="B8" s="2"/>
      <c r="C8" s="25">
        <v>40512.840000000004</v>
      </c>
      <c r="D8" s="36">
        <v>0.78500000000000003</v>
      </c>
      <c r="E8" s="39">
        <f>+D8*C8</f>
        <v>31802.579400000006</v>
      </c>
      <c r="F8" s="10">
        <v>118</v>
      </c>
      <c r="G8" s="14">
        <f>+F8*E8</f>
        <v>3752704.3692000005</v>
      </c>
      <c r="H8" s="12">
        <f>+H6</f>
        <v>121.54</v>
      </c>
      <c r="I8" s="14">
        <f>+H8*E8</f>
        <v>3865285.5002760007</v>
      </c>
      <c r="J8" s="21">
        <f>+I8-G8</f>
        <v>112581.13107600017</v>
      </c>
      <c r="K8" s="33"/>
      <c r="L8" s="49"/>
      <c r="M8" s="49"/>
      <c r="N8" s="49"/>
      <c r="O8" s="49"/>
      <c r="P8" s="50"/>
      <c r="Q8" s="147"/>
      <c r="R8" s="30"/>
    </row>
    <row r="9" spans="1:18" ht="15.75" x14ac:dyDescent="0.25">
      <c r="A9" s="3"/>
      <c r="B9" s="2"/>
      <c r="C9" s="23">
        <f>+C8+C6</f>
        <v>73936.700000000012</v>
      </c>
      <c r="D9" s="13"/>
      <c r="E9" s="23">
        <f>+E8+E6</f>
        <v>53795.479280000014</v>
      </c>
      <c r="F9" s="10"/>
      <c r="G9" s="37">
        <f>+G8+G6</f>
        <v>6347866.5550400019</v>
      </c>
      <c r="H9" s="12"/>
      <c r="J9" s="37">
        <f>+J8+J6</f>
        <v>190435.99665120058</v>
      </c>
      <c r="K9" s="37"/>
      <c r="L9" s="37"/>
      <c r="M9" s="37"/>
      <c r="N9" s="37"/>
      <c r="O9" s="37"/>
      <c r="P9" s="37"/>
      <c r="R9" s="30"/>
    </row>
    <row r="10" spans="1:18" ht="15.75" x14ac:dyDescent="0.25">
      <c r="A10" s="2"/>
      <c r="B10" s="2"/>
      <c r="C10" s="11"/>
      <c r="D10" s="13"/>
      <c r="E10" s="13"/>
      <c r="F10" s="10"/>
      <c r="G10" s="13"/>
      <c r="H10" s="12"/>
      <c r="I10" s="13"/>
      <c r="J10" s="19"/>
      <c r="L10" s="46"/>
      <c r="M10" s="46"/>
      <c r="N10" s="46"/>
      <c r="O10" s="46"/>
      <c r="P10" s="46"/>
    </row>
    <row r="11" spans="1:18" ht="15.75" x14ac:dyDescent="0.25">
      <c r="A11" s="3" t="s">
        <v>14</v>
      </c>
      <c r="B11" s="2"/>
      <c r="C11" s="18">
        <v>18977.648000000019</v>
      </c>
      <c r="D11" s="36">
        <v>0.63700000000000001</v>
      </c>
      <c r="E11" s="38">
        <f>+D11*C11</f>
        <v>12088.761776000012</v>
      </c>
      <c r="F11" s="10">
        <v>118</v>
      </c>
      <c r="G11" s="13">
        <f>+F11*E11</f>
        <v>1426473.8895680015</v>
      </c>
      <c r="H11" s="12">
        <f>+H8</f>
        <v>121.54</v>
      </c>
      <c r="I11" s="13">
        <f>+H11*E11</f>
        <v>1469268.1062550414</v>
      </c>
      <c r="J11" s="19">
        <f>+I11-G11</f>
        <v>42794.216687039938</v>
      </c>
      <c r="L11" s="45"/>
      <c r="M11" s="45"/>
      <c r="N11" s="47"/>
      <c r="O11" s="47"/>
      <c r="P11" s="48"/>
    </row>
    <row r="12" spans="1:18" ht="17.25" x14ac:dyDescent="0.35">
      <c r="A12" s="3" t="s">
        <v>15</v>
      </c>
      <c r="B12" s="2"/>
      <c r="C12" s="20">
        <v>1294.2819999999999</v>
      </c>
      <c r="D12" s="20">
        <v>0</v>
      </c>
      <c r="E12" s="39">
        <f>+D12*C12</f>
        <v>0</v>
      </c>
      <c r="F12" s="10"/>
      <c r="G12" s="14">
        <f>+F12*C12</f>
        <v>0</v>
      </c>
      <c r="H12" s="15"/>
      <c r="I12" s="14"/>
      <c r="J12" s="21">
        <f>+I12-G12</f>
        <v>0</v>
      </c>
      <c r="L12" s="46"/>
      <c r="M12" s="46"/>
      <c r="N12" s="46"/>
      <c r="O12" s="46"/>
      <c r="P12" s="46"/>
    </row>
    <row r="13" spans="1:18" ht="20.25" x14ac:dyDescent="0.55000000000000004">
      <c r="A13" s="2"/>
      <c r="B13" s="2"/>
      <c r="C13" s="22">
        <f>SUM(C11:C12)</f>
        <v>20271.930000000018</v>
      </c>
      <c r="D13" s="22"/>
      <c r="E13" s="22">
        <f>SUM(E11:E12)</f>
        <v>12088.761776000012</v>
      </c>
      <c r="F13" s="10"/>
      <c r="G13" s="16">
        <f>SUM(G11:G12)</f>
        <v>1426473.8895680015</v>
      </c>
      <c r="H13" s="11"/>
      <c r="I13" s="16">
        <f>SUM(I11:I12)</f>
        <v>1469268.1062550414</v>
      </c>
      <c r="J13" s="16">
        <f>SUM(J11:J12)</f>
        <v>42794.216687039938</v>
      </c>
      <c r="L13" s="16"/>
      <c r="M13" s="16"/>
      <c r="N13" s="16"/>
      <c r="O13" s="16"/>
      <c r="P13" s="16"/>
    </row>
    <row r="14" spans="1:18" ht="15.75" x14ac:dyDescent="0.25">
      <c r="A14" s="2"/>
      <c r="B14" s="2"/>
      <c r="C14" s="23"/>
      <c r="D14" s="23"/>
      <c r="E14" s="23"/>
      <c r="F14" s="10"/>
      <c r="G14" s="11"/>
      <c r="H14" s="11"/>
      <c r="I14" s="11"/>
      <c r="J14" s="11"/>
      <c r="L14" s="46"/>
      <c r="M14" s="46"/>
      <c r="N14" s="46"/>
      <c r="O14" s="46"/>
      <c r="P14" s="46"/>
    </row>
    <row r="15" spans="1:18" ht="18" x14ac:dyDescent="0.4">
      <c r="A15" s="2"/>
      <c r="B15" s="2"/>
      <c r="C15" s="24">
        <f>+C13+C9</f>
        <v>94208.630000000034</v>
      </c>
      <c r="D15" s="24"/>
      <c r="E15" s="24">
        <f>+E13+E9</f>
        <v>65884.241056000028</v>
      </c>
      <c r="F15" s="10"/>
      <c r="G15" s="17">
        <f>+G13+G9</f>
        <v>7774340.4446080029</v>
      </c>
      <c r="H15" s="17"/>
      <c r="I15" s="17">
        <f>+I13+N9</f>
        <v>1469268.1062550414</v>
      </c>
      <c r="J15" s="17">
        <f>+J13+J9</f>
        <v>233230.21333824052</v>
      </c>
      <c r="K15" s="17"/>
      <c r="L15" s="17"/>
      <c r="M15" s="17"/>
      <c r="N15" s="17"/>
      <c r="O15" s="17"/>
      <c r="P15" s="17"/>
    </row>
    <row r="16" spans="1:18" ht="17.25" x14ac:dyDescent="0.35">
      <c r="A16" s="2"/>
      <c r="B16" s="2"/>
      <c r="C16" s="25"/>
      <c r="D16" s="25"/>
      <c r="E16" s="25"/>
      <c r="F16" s="10"/>
      <c r="G16" s="14"/>
      <c r="H16" s="11"/>
      <c r="I16" s="11"/>
      <c r="J16" s="11"/>
      <c r="K16" s="2"/>
      <c r="L16" s="2"/>
      <c r="N16" s="2"/>
      <c r="O16" s="2"/>
    </row>
    <row r="17" spans="1:15" ht="15.75" x14ac:dyDescent="0.25">
      <c r="A17" s="2"/>
      <c r="B17" s="2"/>
      <c r="C17" s="11"/>
      <c r="D17" s="11"/>
      <c r="E17" s="11"/>
      <c r="F17" s="10"/>
      <c r="G17" s="15"/>
      <c r="H17" s="11"/>
      <c r="I17" s="11"/>
      <c r="J17" s="11"/>
      <c r="K17" s="2"/>
      <c r="L17" s="2"/>
      <c r="N17" s="2"/>
      <c r="O17" s="2"/>
    </row>
    <row r="18" spans="1:15" ht="15.75" x14ac:dyDescent="0.25">
      <c r="A18" s="2"/>
      <c r="B18" s="2"/>
      <c r="C18" s="18"/>
      <c r="D18" s="18"/>
      <c r="E18" s="18"/>
      <c r="F18" s="26"/>
      <c r="G18" s="11"/>
      <c r="H18" s="26"/>
      <c r="I18" s="26"/>
      <c r="J18" s="26"/>
      <c r="K18" s="2"/>
      <c r="L18" s="2"/>
      <c r="N18" s="2"/>
      <c r="O18" s="2"/>
    </row>
    <row r="19" spans="1:15" x14ac:dyDescent="0.25">
      <c r="C19" s="1"/>
      <c r="D19" s="1"/>
      <c r="E19" s="1"/>
      <c r="F19" s="1"/>
      <c r="G19" s="40"/>
      <c r="H19" s="1"/>
      <c r="I19" s="1"/>
      <c r="J19" s="1"/>
    </row>
    <row r="20" spans="1:15" ht="15.75" x14ac:dyDescent="0.25">
      <c r="A20" s="2"/>
      <c r="B20" s="2"/>
      <c r="C20" s="26"/>
      <c r="D20" s="26"/>
      <c r="E20" s="26"/>
      <c r="F20" s="26"/>
      <c r="G20" s="27"/>
      <c r="H20" s="26"/>
      <c r="I20" s="26"/>
      <c r="J20" s="26"/>
      <c r="K20" s="2"/>
      <c r="L20" s="2"/>
      <c r="N20" s="2"/>
      <c r="O20" s="2"/>
    </row>
    <row r="21" spans="1:15" x14ac:dyDescent="0.25">
      <c r="C21" s="1"/>
      <c r="D21" s="1"/>
      <c r="E21" s="1"/>
      <c r="F21" s="1"/>
      <c r="G21" s="1"/>
      <c r="H21" s="1"/>
      <c r="I21" s="1"/>
      <c r="J21" s="1"/>
    </row>
    <row r="22" spans="1:15" x14ac:dyDescent="0.25">
      <c r="C22" s="1"/>
      <c r="D22" s="1"/>
      <c r="E22" s="1"/>
      <c r="F22" s="1"/>
      <c r="G22" s="1"/>
      <c r="H22" s="1"/>
      <c r="I22" s="1"/>
      <c r="J22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2024-11-11T08:00:00+00:00</OpenedDate>
    <SignificantOrder xmlns="dc463f71-b30c-4ab2-9473-d307f9d35888">false</SignificantOrder>
    <Date1 xmlns="dc463f71-b30c-4ab2-9473-d307f9d35888">2024-11-11T08:00:00+00:00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240912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60F93811068BE42AC38C5CD4D6244AA" ma:contentTypeVersion="15" ma:contentTypeDescription="" ma:contentTypeScope="" ma:versionID="3371a2865081acea41835b0b3d18a0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88BB9-157B-4B6C-928A-BB85E3AFD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8E6CA-79AC-4C04-9679-4A60F868FE6F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8EC869A-D735-4DE9-B693-E76D3D20642A}"/>
</file>

<file path=customXml/itemProps4.xml><?xml version="1.0" encoding="utf-8"?>
<ds:datastoreItem xmlns:ds="http://schemas.openxmlformats.org/officeDocument/2006/customXml" ds:itemID="{E80704B4-807B-4AB5-9A84-A8ED857A0A4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4975ED3-C3E5-40D2-B8C5-8EEC1990F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Calculation</vt:lpstr>
      <vt:lpstr>Co. Tonnage</vt:lpstr>
      <vt:lpstr>Calculation!Print_Area</vt:lpstr>
      <vt:lpstr>'Co. Tonnage'!Print_Area</vt:lpstr>
      <vt:lpstr>References!Print_Area</vt:lpstr>
      <vt:lpstr>Calculation!Print_Titles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Burmester, Evan</cp:lastModifiedBy>
  <cp:lastPrinted>2019-06-05T19:11:46Z</cp:lastPrinted>
  <dcterms:created xsi:type="dcterms:W3CDTF">2013-04-10T21:01:30Z</dcterms:created>
  <dcterms:modified xsi:type="dcterms:W3CDTF">2024-11-15T18:20:34Z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fidentiality">
    <vt:lpwstr>None</vt:lpwstr>
  </property>
  <property fmtid="{D5CDD505-2E9C-101B-9397-08002B2CF9AE}" pid="5" name="DocumentDescription">
    <vt:lpwstr>Revised Accounting workpapers</vt:lpwstr>
  </property>
  <property fmtid="{D5CDD505-2E9C-101B-9397-08002B2CF9AE}" pid="6" name="EFilingId">
    <vt:lpwstr>18287.0000000000</vt:lpwstr>
  </property>
  <property fmtid="{D5CDD505-2E9C-101B-9397-08002B2CF9AE}" pid="7" name="ContentTypeId">
    <vt:lpwstr>0x0101006E56B4D1795A2E4DB2F0B01679ED314A00160F93811068BE42AC38C5CD4D6244AA</vt:lpwstr>
  </property>
  <property fmtid="{D5CDD505-2E9C-101B-9397-08002B2CF9AE}" pid="8" name="_docset_NoMedatataSyncRequired">
    <vt:lpwstr>False</vt:lpwstr>
  </property>
</Properties>
</file>