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asindisposal.sharepoint.com/sites/AccountingTeam/Shared Documents/Rate Making/WUTC/03-YAKIMA-Tariff 6 - G45/Rate Increase Filings/2024/DF Filing Eff. 1.1.2025/"/>
    </mc:Choice>
  </mc:AlternateContent>
  <xr:revisionPtr revIDLastSave="740" documentId="8_{E4071012-4604-47EE-83F6-9B880339D2D3}" xr6:coauthVersionLast="47" xr6:coauthVersionMax="47" xr10:uidLastSave="{3D640EED-63CF-433E-B042-F257F1D2B8CE}"/>
  <bookViews>
    <workbookView xWindow="-120" yWindow="-120" windowWidth="29040" windowHeight="15840" tabRatio="845" xr2:uid="{00000000-000D-0000-FFFF-FFFF00000000}"/>
  </bookViews>
  <sheets>
    <sheet name="Disp Increase Calc" sheetId="2" r:id="rId1"/>
    <sheet name="UnitCounts-TG-230188" sheetId="15" r:id="rId2"/>
    <sheet name="References" sheetId="7" r:id="rId3"/>
    <sheet name="RevenueIncrease" sheetId="4" r:id="rId4"/>
  </sheets>
  <externalReferences>
    <externalReference r:id="rId5"/>
    <externalReference r:id="rId6"/>
  </externalReferences>
  <definedNames>
    <definedName name="__CYA1">#REF!</definedName>
    <definedName name="__CYA10">#REF!</definedName>
    <definedName name="__CYA11">#REF!</definedName>
    <definedName name="__CYA2">#REF!</definedName>
    <definedName name="__CYA3">#REF!</definedName>
    <definedName name="__CYA4">#REF!</definedName>
    <definedName name="__CYA5">#REF!</definedName>
    <definedName name="__CYA6">#REF!</definedName>
    <definedName name="__CYA7">#REF!</definedName>
    <definedName name="__CYA8">#REF!</definedName>
    <definedName name="__CYA9">#REF!</definedName>
    <definedName name="__LYA12">#REF!</definedName>
    <definedName name="_123Graph_g" localSheetId="1" hidden="1">'[1]#REF'!$F$9:$F$83</definedName>
    <definedName name="_123Graph_g" hidden="1">#REF!</definedName>
    <definedName name="_132" localSheetId="1" hidden="1">[2]XXXXXX!$B$10:$B$10</definedName>
    <definedName name="_132" hidden="1">#REF!</definedName>
    <definedName name="_132Graph_h" localSheetId="1" hidden="1">#REF!</definedName>
    <definedName name="_132Graph_h" hidden="1">#REF!</definedName>
    <definedName name="_ACT1">#REF!</definedName>
    <definedName name="_ACT2">#REF!</definedName>
    <definedName name="_ACT3">#REF!</definedName>
    <definedName name="_CDW2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_cdw3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Rates";"Cost Analysis",#N/A,TRUE,"Cost Analysis";"Automation Integration",#N/A,TRUE,"Automation Integration";"Base Costs",#N/A,TRUE,"Base Costs";"Misc Costs",#N/A,TRUE,"Misc Costs";"SW Lifts",#N/A,TRUE,"SW Lifts";"Rec Lifts",#N/A,TRUE,"Recycling Lifts";#N/A,#N/A,TRUE,"YD Lifts"}</definedName>
    <definedName name="_cdw4" hidden="1">{#N/A,#N/A,TRUE,"Layout";#N/A,#N/A,TRUE,"P&amp;L By 1ST CONT-CURR";#N/A,#N/A,TRUE,"P&amp;L BY 1ST CONT-PROJ";#N/A,#N/A,TRUE,"P&amp;L By ADD CONT-CURR";#N/A,#N/A,TRUE,"P&amp;L BY ADD CONT-PROJ";"SCHEDULE 2",#N/A,TRUE,"RATE SCENARIO";"SCHEDULE 3",#N/A,TRUE,"RATE SCENARIO";"SCHEDULE 4",#N/A,TRUE,"RATE SCENARIO";"SCHEDULE 5a",#N/A,TRUE,"RATE SCENARIO";"SCHEDULE 5b",#N/A,TRUE,"RATE SCENARIO";#N/A,#N/A,TRUE,"Monthly P&amp;L CURR";#N/A,#N/A,TRUE,"Monthly P&amp;L-Proj";#N/A,#N/A,TRUE,"Assumptions";#N/A,#N/A,TRUE,"Containers";#N/A,#N/A,TRUE,"Costs"}</definedName>
    <definedName name="_cdw5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_cdw6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_cdw7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_cdw8" hidden="1">{"Page1",#N/A,TRUE,"SUMM";"Page2",#N/A,TRUE,"Rev";"Page3",#N/A,TRUE,"Dir_Costs"}</definedName>
    <definedName name="_CYA1">#REF!</definedName>
    <definedName name="_CYA10">#REF!</definedName>
    <definedName name="_CYA11">#REF!</definedName>
    <definedName name="_CYA2">#REF!</definedName>
    <definedName name="_CYA3">#REF!</definedName>
    <definedName name="_CYA4">#REF!</definedName>
    <definedName name="_CYA5">#REF!</definedName>
    <definedName name="_CYA6">#REF!</definedName>
    <definedName name="_CYA7">#REF!</definedName>
    <definedName name="_CYA8">#REF!</definedName>
    <definedName name="_CYA9">#REF!</definedName>
    <definedName name="_Fill" localSheetId="1" hidden="1">#REF!</definedName>
    <definedName name="_Fill" hidden="1">#REF!</definedName>
    <definedName name="_xlnm._FilterDatabase" localSheetId="0" hidden="1">'Disp Increase Calc'!$B$6:$S$72</definedName>
    <definedName name="_xlnm._FilterDatabase" localSheetId="1" hidden="1">'UnitCounts-TG-230188'!$A$2:$G$83</definedName>
    <definedName name="_Key1" localSheetId="1" hidden="1">#REF!</definedName>
    <definedName name="_Key1" hidden="1">#REF!</definedName>
    <definedName name="_Key2" localSheetId="1" hidden="1">'[1]#REF'!$D$12</definedName>
    <definedName name="_Key2" hidden="1">#REF!</definedName>
    <definedName name="_key5" localSheetId="1" hidden="1">[2]XXXXXX!$H$10</definedName>
    <definedName name="_key5" hidden="1">#REF!</definedName>
    <definedName name="_LYA12">#REF!</definedName>
    <definedName name="_max" localSheetId="1" hidden="1">#REF!</definedName>
    <definedName name="_max" hidden="1">#REF!</definedName>
    <definedName name="_Mon" localSheetId="1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Regression_Int">0</definedName>
    <definedName name="_Sort" localSheetId="1" hidden="1">#REF!</definedName>
    <definedName name="_Sort" hidden="1">#REF!</definedName>
    <definedName name="_Sort1" localSheetId="1" hidden="1">'[1]#REF'!$A$10:$Z$281</definedName>
    <definedName name="_Sort1" hidden="1">#REF!</definedName>
    <definedName name="_sort3" localSheetId="1" hidden="1">[2]XXXXXX!$G$10:$J$11</definedName>
    <definedName name="_sort3" hidden="1">#REF!</definedName>
    <definedName name="_xlcn.WorksheetConnection_Book1Table_Query_from_CORE1" hidden="1">#REF!</definedName>
    <definedName name="a">#REF!</definedName>
    <definedName name="acct">#REF!</definedName>
    <definedName name="ACCT.ConsolSum">#REF!</definedName>
    <definedName name="acct_period_month">#REF!</definedName>
    <definedName name="Acct_Type">#REF!</definedName>
    <definedName name="ACT_CUR">#REF!</definedName>
    <definedName name="ACT_YTD">#REF!</definedName>
    <definedName name="AmountCount">#REF!</definedName>
    <definedName name="AmountTotal">#REF!</definedName>
    <definedName name="Angie" localSheetId="1" hidden="1">#REF!</definedName>
    <definedName name="Angie" hidden="1">#REF!</definedName>
    <definedName name="Annex_tons">#REF!</definedName>
    <definedName name="Annual_Collected_Cont._Yards">#REF!</definedName>
    <definedName name="Asset_Replacement_Factor">#REF!</definedName>
    <definedName name="BDI_Cart_Rent">#REF!</definedName>
    <definedName name="BDI_Cust_per">#REF!</definedName>
    <definedName name="BDI_Driver_per">#REF!</definedName>
    <definedName name="BDI_Emp_per">#REF!</definedName>
    <definedName name="BDI_Rev_per">#REF!</definedName>
    <definedName name="Bin_Customer_Allocation">#REF!</definedName>
    <definedName name="Bin_Customers">#REF!</definedName>
    <definedName name="Bin_Labor_Hour_Allocation">#REF!</definedName>
    <definedName name="Bin_Rate_Increse">#REF!</definedName>
    <definedName name="Bin_Revenue_Allocation">#REF!</definedName>
    <definedName name="Bin_Route_Hour_Allocation">#REF!</definedName>
    <definedName name="BO_Tax_Rate">#REF!</definedName>
    <definedName name="BookRev">#REF!</definedName>
    <definedName name="BookRev_com">#REF!</definedName>
    <definedName name="BookRev_mfr">#REF!</definedName>
    <definedName name="BookRev_ro">#REF!</definedName>
    <definedName name="BookRev_rr">#REF!</definedName>
    <definedName name="BookRev_yw">#REF!</definedName>
    <definedName name="BREMAIR_COST_of_SERVICE_STUDY">#REF!</definedName>
    <definedName name="BRoom_Cust_per">#REF!</definedName>
    <definedName name="BRoom_Driver_per">#REF!</definedName>
    <definedName name="BRoom_Emp_per">#REF!</definedName>
    <definedName name="BRoom_Rev_per">#REF!</definedName>
    <definedName name="BUD_CUR">#REF!</definedName>
    <definedName name="BUD_YTD">#REF!</definedName>
    <definedName name="check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check2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CheckLine">#REF!</definedName>
    <definedName name="CheckTotals">#REF!</definedName>
    <definedName name="colgroup">#REF!</definedName>
    <definedName name="colsegment">#REF!</definedName>
    <definedName name="Combined_Tax_Rate">#REF!</definedName>
    <definedName name="Connell">#REF!</definedName>
    <definedName name="Connell_Hrs">#REF!</definedName>
    <definedName name="Connell_TipFee">#REF!</definedName>
    <definedName name="Contract">#REF!</definedName>
    <definedName name="Contract_and_Recycling_Hrs">#REF!</definedName>
    <definedName name="CPI_Escalation_Factor">#REF!</definedName>
    <definedName name="CRCTable">#REF!</definedName>
    <definedName name="CRCTableOLD">#REF!</definedName>
    <definedName name="CriteriaType">#REF!</definedName>
    <definedName name="CustCountAdj">#REF!</definedName>
    <definedName name="CustCountUnique">#REF!</definedName>
    <definedName name="Customer_Allocation">#REF!</definedName>
    <definedName name="Cutomers">#REF!</definedName>
    <definedName name="_xlnm.Database">#REF!</definedName>
    <definedName name="Database1">#REF!</definedName>
    <definedName name="Dayton">#REF!</definedName>
    <definedName name="Dayton_Hrs">#REF!</definedName>
    <definedName name="Dayton_TipFee">#REF!</definedName>
    <definedName name="Dental_Ins._Rate">#REF!</definedName>
    <definedName name="DEPT">#REF!</definedName>
    <definedName name="Disposal_Cost_for_32_gal">#REF!</definedName>
    <definedName name="Disposal_Cost_for_96_gal">#REF!</definedName>
    <definedName name="District">#REF!</definedName>
    <definedName name="DistrictNum">#REF!</definedName>
    <definedName name="Driver_Route_to_Labor_Ratio">#REF!</definedName>
    <definedName name="drlFilter">#REF!</definedName>
    <definedName name="Eds_Cust_per">#REF!</definedName>
    <definedName name="Eds_Driver_per">#REF!</definedName>
    <definedName name="Eds_Emp_per">#REF!</definedName>
    <definedName name="Eds_Rev_per">#REF!</definedName>
    <definedName name="Employee_Allocation">#REF!</definedName>
    <definedName name="End">#REF!</definedName>
    <definedName name="end_bal">#REF!</definedName>
    <definedName name="ExcludeIC">#REF!</definedName>
    <definedName name="FBTable">#REF!</definedName>
    <definedName name="FBTableOld">#REF!</definedName>
    <definedName name="filter">#REF!</definedName>
    <definedName name="Fuel_Escalation_Factor">#REF!</definedName>
    <definedName name="GLMappingStart">#REF!</definedName>
    <definedName name="Hatton">#REF!</definedName>
    <definedName name="Hatton_Hrs">#REF!</definedName>
    <definedName name="Hatton_TipFee">#REF!</definedName>
    <definedName name="Hour_Allocation">#REF!</definedName>
    <definedName name="IncomeStmnt">#REF!</definedName>
    <definedName name="Industrial_Ins._Rate">#REF!</definedName>
    <definedName name="INPUT">#REF!</definedName>
    <definedName name="Insurance">#REF!</definedName>
    <definedName name="Interfund_Increase_Factor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_4C" localSheetId="2">#REF!</definedName>
    <definedName name="IS_4C">#REF!</definedName>
    <definedName name="IS_Lines">#REF!</definedName>
    <definedName name="JEDetail">#REF!</definedName>
    <definedName name="JEType">#REF!</definedName>
    <definedName name="Kahlotus">#REF!</definedName>
    <definedName name="Kahlotus_Hrs">#REF!</definedName>
    <definedName name="Kahlotus_TipFee">#REF!</definedName>
    <definedName name="Ken_TipFee">#REF!</definedName>
    <definedName name="KENNEWICK">#REF!</definedName>
    <definedName name="Kennewick_Hrs">#REF!</definedName>
    <definedName name="Labor_Escalation_Factor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ife_Insurance_Rate">#REF!</definedName>
    <definedName name="lkj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ll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Medical_Ins._Rate">#REF!</definedName>
    <definedName name="MemoAttachment">#REF!</definedName>
    <definedName name="Mesa">#REF!</definedName>
    <definedName name="Mesa_Hrs">#REF!</definedName>
    <definedName name="Mesa_TipFee">#REF!</definedName>
    <definedName name="MetaSet">#REF!</definedName>
    <definedName name="MF_2015_hrs">#REF!</definedName>
    <definedName name="NewOnlyOrg">#N/A</definedName>
    <definedName name="NOTES">#REF!</definedName>
    <definedName name="NR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DEPTID">"DEPT_TBL"</definedName>
    <definedName name="OfficerSalary">#N/A</definedName>
    <definedName name="OffsetAcctBil">#REF!</definedName>
    <definedName name="OffsetAcctPmt">#REF!</definedName>
    <definedName name="Org11_13">#N/A</definedName>
    <definedName name="Org7_10">#N/A</definedName>
    <definedName name="Organics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organics2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p">#REF!</definedName>
    <definedName name="PAGE_1">#REF!</definedName>
    <definedName name="Pasco">#REF!</definedName>
    <definedName name="Pasco_Hrs">#REF!</definedName>
    <definedName name="Pasco_TipFee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ERS_Rate">#REF!</definedName>
    <definedName name="PILOT_Tax_Rate">#REF!</definedName>
    <definedName name="pMonth">#REF!</definedName>
    <definedName name="pOnlyShowLastTranx">#REF!</definedName>
    <definedName name="primtbl">#REF!</definedName>
    <definedName name="_xlnm.Print_Area" localSheetId="0">'Disp Increase Calc'!$A$1:$W$81</definedName>
    <definedName name="_xlnm.Print_Area" localSheetId="2">References!$A$1:$O$64</definedName>
    <definedName name="_xlnm.Print_Area" localSheetId="3">RevenueIncrease!$A$2:$M$18</definedName>
    <definedName name="_xlnm.Print_Area" localSheetId="1">'UnitCounts-TG-230188'!$A$1:$O$85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_xlnm.Print_Titles" localSheetId="0">'Disp Increase Calc'!$1:$6</definedName>
    <definedName name="_xlnm.Print_Titles" localSheetId="1">'UnitCounts-TG-230188'!$1:$2</definedName>
    <definedName name="Print1">#REF!</definedName>
    <definedName name="Print2">#REF!</definedName>
    <definedName name="Print5">#REF!</definedName>
    <definedName name="ProF">#REF!</definedName>
    <definedName name="ProRev">#REF!</definedName>
    <definedName name="ProRev_com">#REF!</definedName>
    <definedName name="ProRev_mfr">#REF!</definedName>
    <definedName name="ProRev_ro">#REF!</definedName>
    <definedName name="ProRev_rr">#REF!</definedName>
    <definedName name="ProRev_yw">#REF!</definedName>
    <definedName name="Prosser">#REF!</definedName>
    <definedName name="Prosser_Hrs">#REF!</definedName>
    <definedName name="Prosser_TipFee">#REF!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_TipFee">#REF!</definedName>
    <definedName name="RecMat_Tonnage_Cost">#REF!</definedName>
    <definedName name="RecyDisposal">#N/A</definedName>
    <definedName name="Refuse_and_BO_tax_rate">#REF!</definedName>
    <definedName name="Refuse_Tax_Rate">#REF!</definedName>
    <definedName name="RelatedSalary">#N/A</definedName>
    <definedName name="report_type">#REF!</definedName>
    <definedName name="ReportNames">#REF!</definedName>
    <definedName name="ReportVersion">#REF!</definedName>
    <definedName name="Res_FundBalance_Cost">#REF!</definedName>
    <definedName name="Residential_2015_hrs">#REF!</definedName>
    <definedName name="RetainedEarnings">#REF!</definedName>
    <definedName name="RevCust">#REF!</definedName>
    <definedName name="Revenue_Allocation">#REF!</definedName>
    <definedName name="rngCreateLog">#REF!</definedName>
    <definedName name="rngFilePassword">#REF!</definedName>
    <definedName name="rngSourceTab">#REF!</definedName>
    <definedName name="rowgroup">#REF!</definedName>
    <definedName name="rowsegment">#REF!</definedName>
    <definedName name="search1" localSheetId="1" hidden="1">#REF!</definedName>
    <definedName name="search1" hidden="1">#REF!</definedName>
    <definedName name="search2" localSheetId="1" hidden="1">#REF!</definedName>
    <definedName name="search2" hidden="1">#REF!</definedName>
    <definedName name="Sequential_Group">#REF!</definedName>
    <definedName name="Sequential_Segment">#REF!</definedName>
    <definedName name="Sequential_sort">#REF!</definedName>
    <definedName name="Social_Security_Rate">#REF!</definedName>
    <definedName name="sortcol">#REF!</definedName>
    <definedName name="SPECIAL1" localSheetId="1" hidden="1">#REF!</definedName>
    <definedName name="SPECIAL1" hidden="1">#REF!</definedName>
    <definedName name="SPECIAL2" localSheetId="1" hidden="1">#REF!</definedName>
    <definedName name="SPECIAL2" hidden="1">#REF!</definedName>
    <definedName name="SPWS_WBID">"115966228744984"</definedName>
    <definedName name="sSRCDate">#REF!</definedName>
    <definedName name="StatementLine">#REF!</definedName>
    <definedName name="Supplemental_filter">#REF!</definedName>
    <definedName name="SW_Customer_Allocation">#REF!</definedName>
    <definedName name="SW_Disposal_Cost">#REF!</definedName>
    <definedName name="SW_Disposal_Cost_2017">#REF!</definedName>
    <definedName name="SW_Labor_Hour_Allocation">#REF!</definedName>
    <definedName name="SW_Revenue_Allocation">#REF!</definedName>
    <definedName name="SW_Route_Hour_Allocation">#REF!</definedName>
    <definedName name="SWDisposal">#N/A</definedName>
    <definedName name="System">#REF!</definedName>
    <definedName name="TemplateEnd">#REF!</definedName>
    <definedName name="TemplateStart">#REF!</definedName>
    <definedName name="TheTable">#REF!</definedName>
    <definedName name="TheTableOLD">#REF!</definedName>
    <definedName name="timeseries">#REF!</definedName>
    <definedName name="Transactions">#REF!</definedName>
    <definedName name="trx_total" localSheetId="2">#REF!</definedName>
    <definedName name="trx_total">#REF!</definedName>
    <definedName name="Unemployment_Rate">#REF!</definedName>
    <definedName name="Uniforms_Rate">#REF!</definedName>
    <definedName name="Waitsburg">#REF!</definedName>
    <definedName name="Waitsburg_Hrs">#REF!</definedName>
    <definedName name="Waitsburg_TipFee">#REF!</definedName>
    <definedName name="Walla_Cust_per">#REF!</definedName>
    <definedName name="Walla_Driver_per">#REF!</definedName>
    <definedName name="Walla_Emp_per">#REF!</definedName>
    <definedName name="Walla_Rev_per">#REF!</definedName>
    <definedName name="Weight_per_Cont_Yard">#REF!</definedName>
    <definedName name="wrn.Change._.Pages._.Only.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Rates"}</definedName>
    <definedName name="wrn.Print._.All." hidden="1">{"Proposed Rates",#N/A,TRUE,"Proposed Rates";"Current Rates",#N/A,TRUE,"Proposed Rates";"Dollar Change in Rates",#N/A,TRUE,"Proposed Rates";"% Change in Rates",#N/A,TRUE,"Proposed Rates";"Rates as % of Baseline",#N/A,TRUE,"Proposed Rates";"Current Count",#N/A,TRUE,"Proposed Rates";"Cost Analysis",#N/A,TRUE,"Cost Analysis";"Automation Integration",#N/A,TRUE,"Automation Integration";"Base Costs",#N/A,TRUE,"Base Costs";"Misc Costs",#N/A,TRUE,"Misc Costs";"SW Lifts",#N/A,TRUE,"SW Lifts";"Rec Lifts",#N/A,TRUE,"Recycling Lifts";#N/A,#N/A,TRUE,"YD Lifts"}</definedName>
    <definedName name="wrn.PRINTALL." hidden="1">{#N/A,#N/A,TRUE,"Layout";#N/A,#N/A,TRUE,"P&amp;L By 1ST CONT-CURR";#N/A,#N/A,TRUE,"P&amp;L BY 1ST CONT-PROJ";#N/A,#N/A,TRUE,"P&amp;L By ADD CONT-CURR";#N/A,#N/A,TRUE,"P&amp;L BY ADD CONT-PROJ";"SCHEDULE 2",#N/A,TRUE,"RATE SCENARIO";"SCHEDULE 3",#N/A,TRUE,"RATE SCENARIO";"SCHEDULE 4",#N/A,TRUE,"RATE SCENARIO";"SCHEDULE 5a",#N/A,TRUE,"RATE SCENARIO";"SCHEDULE 5b",#N/A,TRUE,"RATE SCENARIO";#N/A,#N/A,TRUE,"Monthly P&amp;L CURR";#N/A,#N/A,TRUE,"Monthly P&amp;L-Proj";#N/A,#N/A,TRUE,"Assumptions";#N/A,#N/A,TRUE,"Containers";#N/A,#N/A,TRUE,"Costs"}</definedName>
    <definedName name="wrn.PrintReview.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.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localSheetId="1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2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intReviewPDXAM" hidden="1">{#N/A,#N/A,TRUE,"SUMM";#N/A,#N/A,TRUE,"Rev";#N/A,#N/A,TRUE,"Dir_Costs";#N/A,#N/A,TRUE,"G and A Costs";#N/A,#N/A,TRUE,"Itemize";#N/A,#N/A,TRUE,"Cust_Count1";#N/A,#N/A,TRUE,"Cust_Count2";#N/A,#N/A,TRUE,"Rev_Breakdown";#N/A,#N/A,TRUE,"Truck Hours";#N/A,#N/A,TRUE,"Labor Hours";#N/A,#N/A,TRUE,"Container Breakdown";#N/A,#N/A,TRUE,"Cart Breakdown"}</definedName>
    <definedName name="wrn.PrnPg1_Pg11." localSheetId="1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1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prnpg1_Pg12." hidden="1">{"Page1",#N/A,TRUE,"SUMM";"Page2",#N/A,TRUE,"Rev";"Page3",#N/A,TRUE,"Dir_Costs";"Page4",#N/A,TRUE,"G and A Costs";"Page5",#N/A,TRUE,"Itemize";"Page6",#N/A,TRUE,"Cust_Count1";"Page7",#N/A,TRUE,"Cust_Count2";"Page8",#N/A,TRUE,"Rev_Breakdown";"Page9",#N/A,TRUE,"Truck Hours";"Page10",#N/A,TRUE,"Labor Hours";"Page11",#N/A,TRUE,"Container Breakdown"}</definedName>
    <definedName name="wrn.test." localSheetId="1" hidden="1">{"Page1",#N/A,TRUE,"SUMM";"Page2",#N/A,TRUE,"Rev";"Page3",#N/A,TRUE,"Dir_Costs"}</definedName>
    <definedName name="wrn.test." hidden="1">{"Page1",#N/A,TRUE,"SUMM";"Page2",#N/A,TRUE,"Rev";"Page3",#N/A,TRUE,"Dir_Costs"}</definedName>
    <definedName name="WTable">#REF!</definedName>
    <definedName name="WTableOld">#REF!</definedName>
    <definedName name="WUTC">#REF!</definedName>
    <definedName name="WUTC_Hrs">#REF!</definedName>
    <definedName name="WUTC_TipFee">#REF!</definedName>
    <definedName name="ww">#REF!</definedName>
    <definedName name="xperiod">#REF!</definedName>
    <definedName name="xtabin">#REF!</definedName>
    <definedName name="xx">#REF!</definedName>
    <definedName name="xxx">#REF!</definedName>
    <definedName name="xxxx">#REF!</definedName>
    <definedName name="Yak_Cust_per">#REF!</definedName>
    <definedName name="Yak_Driver_per">#REF!</definedName>
    <definedName name="Yak_Emp_per">#REF!</definedName>
    <definedName name="Yak_Rev_per">#REF!</definedName>
    <definedName name="YD_2015_hrs">#REF!</definedName>
    <definedName name="YD_Disposal_Cost">#REF!</definedName>
    <definedName name="YD_Disposal_Cost_2017">#REF!</definedName>
    <definedName name="YearMonth">#REF!</definedName>
    <definedName name="YR_PD" localSheetId="2">#REF!</definedName>
    <definedName name="YR_PD">#REF!</definedName>
    <definedName name="YW_Customer_Allocation">#REF!</definedName>
    <definedName name="YW_Labor_Hour_Allocation">#REF!</definedName>
    <definedName name="YW_Revenue_Allocation">#REF!</definedName>
    <definedName name="YW_Route_Hour_Allocation">#REF!</definedName>
    <definedName name="YWMedWasteDisp">#N/A</definedName>
  </definedNames>
  <calcPr calcId="191028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2" l="1"/>
  <c r="N31" i="2"/>
  <c r="N32" i="2"/>
  <c r="N33" i="2"/>
  <c r="N34" i="2"/>
  <c r="N35" i="2"/>
  <c r="P71" i="2"/>
  <c r="P39" i="2" l="1"/>
  <c r="P60" i="2"/>
  <c r="P61" i="2"/>
  <c r="P62" i="2"/>
  <c r="P63" i="2"/>
  <c r="P64" i="2"/>
  <c r="P65" i="2"/>
  <c r="P66" i="2"/>
  <c r="P67" i="2"/>
  <c r="P68" i="2"/>
  <c r="P69" i="2"/>
  <c r="P70" i="2"/>
  <c r="P40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38" i="2"/>
  <c r="P35" i="2"/>
  <c r="P34" i="2"/>
  <c r="P33" i="2"/>
  <c r="P32" i="2"/>
  <c r="P31" i="2"/>
  <c r="P30" i="2"/>
  <c r="P21" i="2"/>
  <c r="P20" i="2"/>
  <c r="P19" i="2"/>
  <c r="P18" i="2"/>
  <c r="P17" i="2"/>
  <c r="P16" i="2"/>
  <c r="P9" i="2"/>
  <c r="P10" i="2"/>
  <c r="P11" i="2"/>
  <c r="P12" i="2"/>
  <c r="P8" i="2"/>
  <c r="V39" i="2" l="1"/>
  <c r="V40" i="2"/>
  <c r="W40" i="2"/>
  <c r="V41" i="2"/>
  <c r="V42" i="2"/>
  <c r="W42" i="2"/>
  <c r="V43" i="2"/>
  <c r="W43" i="2"/>
  <c r="V44" i="2"/>
  <c r="W44" i="2"/>
  <c r="V45" i="2"/>
  <c r="W45" i="2"/>
  <c r="V46" i="2"/>
  <c r="W46" i="2"/>
  <c r="V47" i="2"/>
  <c r="W47" i="2"/>
  <c r="V48" i="2"/>
  <c r="W48" i="2"/>
  <c r="V49" i="2"/>
  <c r="W49" i="2"/>
  <c r="V50" i="2"/>
  <c r="W50" i="2"/>
  <c r="V51" i="2"/>
  <c r="W51" i="2"/>
  <c r="V52" i="2"/>
  <c r="W52" i="2"/>
  <c r="V53" i="2"/>
  <c r="W53" i="2"/>
  <c r="V54" i="2"/>
  <c r="W54" i="2"/>
  <c r="V55" i="2"/>
  <c r="W55" i="2"/>
  <c r="V56" i="2"/>
  <c r="W56" i="2"/>
  <c r="V57" i="2"/>
  <c r="W57" i="2"/>
  <c r="V58" i="2"/>
  <c r="W58" i="2"/>
  <c r="V59" i="2"/>
  <c r="W59" i="2"/>
  <c r="V60" i="2"/>
  <c r="W60" i="2"/>
  <c r="V61" i="2"/>
  <c r="W61" i="2"/>
  <c r="V62" i="2"/>
  <c r="W62" i="2"/>
  <c r="V63" i="2"/>
  <c r="W63" i="2"/>
  <c r="V64" i="2"/>
  <c r="W64" i="2"/>
  <c r="V65" i="2"/>
  <c r="W65" i="2"/>
  <c r="V66" i="2"/>
  <c r="W66" i="2"/>
  <c r="V67" i="2"/>
  <c r="W67" i="2"/>
  <c r="V68" i="2"/>
  <c r="W68" i="2"/>
  <c r="V69" i="2"/>
  <c r="W69" i="2"/>
  <c r="V70" i="2"/>
  <c r="W70" i="2"/>
  <c r="V71" i="2"/>
  <c r="V38" i="2"/>
  <c r="W38" i="2" s="1"/>
  <c r="V35" i="2"/>
  <c r="V34" i="2"/>
  <c r="V33" i="2"/>
  <c r="V32" i="2"/>
  <c r="V31" i="2"/>
  <c r="V30" i="2"/>
  <c r="W31" i="2"/>
  <c r="W32" i="2"/>
  <c r="W33" i="2"/>
  <c r="W34" i="2"/>
  <c r="W35" i="2"/>
  <c r="W30" i="2"/>
  <c r="I17" i="2" l="1"/>
  <c r="I47" i="2"/>
  <c r="I46" i="2"/>
  <c r="I70" i="2"/>
  <c r="I67" i="2"/>
  <c r="Q71" i="2"/>
  <c r="Q39" i="2" l="1"/>
  <c r="Q38" i="2"/>
  <c r="I38" i="2"/>
  <c r="J38" i="2" s="1"/>
  <c r="Q70" i="2" l="1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J47" i="2"/>
  <c r="J46" i="2"/>
  <c r="I45" i="2"/>
  <c r="J45" i="2" s="1"/>
  <c r="I44" i="2"/>
  <c r="J44" i="2" s="1"/>
  <c r="I43" i="2"/>
  <c r="J43" i="2" s="1"/>
  <c r="I42" i="2"/>
  <c r="J42" i="2" s="1"/>
  <c r="I51" i="2"/>
  <c r="J51" i="2" s="1"/>
  <c r="I21" i="2"/>
  <c r="I69" i="2"/>
  <c r="J69" i="2" s="1"/>
  <c r="I68" i="2"/>
  <c r="J68" i="2" s="1"/>
  <c r="I65" i="2"/>
  <c r="J65" i="2" s="1"/>
  <c r="I66" i="2"/>
  <c r="J66" i="2" s="1"/>
  <c r="I64" i="2"/>
  <c r="J64" i="2" s="1"/>
  <c r="I62" i="2"/>
  <c r="J62" i="2" s="1"/>
  <c r="I63" i="2"/>
  <c r="J63" i="2" s="1"/>
  <c r="I61" i="2"/>
  <c r="J61" i="2" s="1"/>
  <c r="I59" i="2"/>
  <c r="J59" i="2" s="1"/>
  <c r="I60" i="2"/>
  <c r="J60" i="2" s="1"/>
  <c r="I58" i="2"/>
  <c r="J58" i="2" s="1"/>
  <c r="I56" i="2"/>
  <c r="J56" i="2" s="1"/>
  <c r="I57" i="2"/>
  <c r="J57" i="2" s="1"/>
  <c r="I55" i="2"/>
  <c r="J55" i="2" s="1"/>
  <c r="I53" i="2"/>
  <c r="J53" i="2" s="1"/>
  <c r="I54" i="2"/>
  <c r="J54" i="2" s="1"/>
  <c r="I52" i="2"/>
  <c r="J52" i="2" s="1"/>
  <c r="I49" i="2"/>
  <c r="J49" i="2" s="1"/>
  <c r="I50" i="2"/>
  <c r="J50" i="2" s="1"/>
  <c r="I48" i="2"/>
  <c r="J48" i="2" s="1"/>
  <c r="J67" i="2"/>
  <c r="I46" i="15"/>
  <c r="I45" i="15"/>
  <c r="I40" i="15"/>
  <c r="H20" i="2" l="1"/>
  <c r="H19" i="2"/>
  <c r="G55" i="15"/>
  <c r="G43" i="15"/>
  <c r="G41" i="15"/>
  <c r="H16" i="2"/>
  <c r="F44" i="15"/>
  <c r="G44" i="15" s="1"/>
  <c r="I44" i="15" s="1"/>
  <c r="I24" i="15"/>
  <c r="I23" i="15"/>
  <c r="I22" i="15"/>
  <c r="I19" i="15"/>
  <c r="I26" i="15"/>
  <c r="I25" i="15"/>
  <c r="I27" i="15" s="1"/>
  <c r="H12" i="2"/>
  <c r="H11" i="2"/>
  <c r="F9" i="2"/>
  <c r="F10" i="2"/>
  <c r="I8" i="2"/>
  <c r="F8" i="2"/>
  <c r="H17" i="2" l="1"/>
  <c r="I41" i="15"/>
  <c r="H18" i="2"/>
  <c r="I43" i="15"/>
  <c r="I55" i="15"/>
  <c r="H21" i="2"/>
  <c r="F13" i="2"/>
  <c r="I57" i="15" l="1"/>
  <c r="Q21" i="2"/>
  <c r="J21" i="2"/>
  <c r="I41" i="2"/>
  <c r="I10" i="2" l="1"/>
  <c r="I9" i="2"/>
  <c r="Q40" i="2" l="1"/>
  <c r="Q41" i="2"/>
  <c r="Q31" i="2"/>
  <c r="Q32" i="2"/>
  <c r="Q33" i="2"/>
  <c r="Q34" i="2"/>
  <c r="Q35" i="2"/>
  <c r="I31" i="2"/>
  <c r="J31" i="2" s="1"/>
  <c r="J70" i="2"/>
  <c r="J41" i="2" l="1"/>
  <c r="I40" i="2"/>
  <c r="J40" i="2" s="1"/>
  <c r="I20" i="2" l="1"/>
  <c r="I19" i="2"/>
  <c r="I18" i="2"/>
  <c r="Q19" i="2"/>
  <c r="Q20" i="2"/>
  <c r="I35" i="2"/>
  <c r="J35" i="2" s="1"/>
  <c r="I32" i="2"/>
  <c r="J32" i="2" s="1"/>
  <c r="I16" i="2"/>
  <c r="J19" i="2" l="1"/>
  <c r="Q18" i="2"/>
  <c r="Q17" i="2"/>
  <c r="J18" i="2"/>
  <c r="J20" i="2"/>
  <c r="J17" i="2" l="1"/>
  <c r="I34" i="2"/>
  <c r="J34" i="2" s="1"/>
  <c r="I33" i="2"/>
  <c r="J33" i="2" s="1"/>
  <c r="I30" i="2"/>
  <c r="J30" i="2" s="1"/>
  <c r="Q30" i="2"/>
  <c r="I12" i="2"/>
  <c r="Q10" i="2"/>
  <c r="F23" i="2"/>
  <c r="G33" i="2"/>
  <c r="G34" i="2"/>
  <c r="J12" i="2" l="1"/>
  <c r="Q12" i="2"/>
  <c r="Q9" i="2"/>
  <c r="F77" i="2" l="1"/>
  <c r="F78" i="2" s="1"/>
  <c r="F41" i="7" l="1"/>
  <c r="Q8" i="2" l="1"/>
  <c r="D15" i="4" l="1"/>
  <c r="F10" i="4" s="1"/>
  <c r="D16" i="4"/>
  <c r="H10" i="4" s="1"/>
  <c r="I11" i="2" l="1"/>
  <c r="D17" i="4" l="1"/>
  <c r="E17" i="4" s="1"/>
  <c r="B43" i="7" l="1"/>
  <c r="B46" i="7" s="1"/>
  <c r="C42" i="7"/>
  <c r="F44" i="7"/>
  <c r="F46" i="7" s="1"/>
  <c r="C41" i="7"/>
  <c r="H3" i="7"/>
  <c r="J3" i="7" s="1"/>
  <c r="L3" i="7"/>
  <c r="H4" i="7"/>
  <c r="M4" i="7" s="1"/>
  <c r="H5" i="7"/>
  <c r="M5" i="7" s="1"/>
  <c r="H6" i="7"/>
  <c r="H7" i="7"/>
  <c r="L7" i="7" s="1"/>
  <c r="H8" i="7"/>
  <c r="L8" i="7" s="1"/>
  <c r="H9" i="7"/>
  <c r="L9" i="7" s="1"/>
  <c r="L10" i="4"/>
  <c r="K9" i="7" l="1"/>
  <c r="L5" i="7"/>
  <c r="K5" i="7"/>
  <c r="K3" i="7"/>
  <c r="J5" i="7"/>
  <c r="J8" i="7"/>
  <c r="L4" i="7"/>
  <c r="K4" i="7"/>
  <c r="M6" i="7"/>
  <c r="M3" i="7"/>
  <c r="J7" i="7"/>
  <c r="G9" i="2"/>
  <c r="H9" i="2" s="1"/>
  <c r="J9" i="2" s="1"/>
  <c r="G10" i="2"/>
  <c r="H10" i="2" s="1"/>
  <c r="J10" i="2" s="1"/>
  <c r="K6" i="7"/>
  <c r="M8" i="7"/>
  <c r="K7" i="7"/>
  <c r="J9" i="7"/>
  <c r="L6" i="7"/>
  <c r="K8" i="7"/>
  <c r="J6" i="7"/>
  <c r="M9" i="7"/>
  <c r="M7" i="7"/>
  <c r="G8" i="2"/>
  <c r="H8" i="2" s="1"/>
  <c r="B47" i="7"/>
  <c r="B49" i="7" s="1"/>
  <c r="J10" i="4"/>
  <c r="C43" i="7"/>
  <c r="J4" i="7"/>
  <c r="I9" i="7"/>
  <c r="I8" i="7"/>
  <c r="I7" i="7"/>
  <c r="I6" i="7"/>
  <c r="I5" i="7"/>
  <c r="I4" i="7"/>
  <c r="I3" i="7"/>
  <c r="N9" i="7"/>
  <c r="N8" i="7"/>
  <c r="N7" i="7"/>
  <c r="N6" i="7"/>
  <c r="N5" i="7"/>
  <c r="N4" i="7"/>
  <c r="N3" i="7"/>
  <c r="H23" i="2" l="1"/>
  <c r="H26" i="2" s="1"/>
  <c r="F14" i="2" l="1"/>
  <c r="F24" i="2" s="1"/>
  <c r="Q11" i="2"/>
  <c r="J8" i="2"/>
  <c r="J16" i="2"/>
  <c r="J23" i="2" s="1"/>
  <c r="Q16" i="2"/>
  <c r="Q23" i="2" s="1"/>
  <c r="Q14" i="2" l="1"/>
  <c r="F8" i="4" s="1"/>
  <c r="J11" i="2"/>
  <c r="H14" i="2" l="1"/>
  <c r="J14" i="2"/>
  <c r="J24" i="2" l="1"/>
  <c r="F80" i="2" s="1"/>
  <c r="H24" i="2"/>
  <c r="F79" i="2" s="1"/>
  <c r="K38" i="2" l="1"/>
  <c r="L38" i="2" s="1"/>
  <c r="M38" i="2" s="1"/>
  <c r="N38" i="2" s="1"/>
  <c r="V17" i="2"/>
  <c r="V18" i="2"/>
  <c r="V19" i="2"/>
  <c r="V20" i="2"/>
  <c r="V21" i="2"/>
  <c r="K42" i="2"/>
  <c r="L42" i="2" s="1"/>
  <c r="M42" i="2" s="1"/>
  <c r="N42" i="2" s="1"/>
  <c r="R42" i="2" s="1"/>
  <c r="S42" i="2" s="1"/>
  <c r="K43" i="2"/>
  <c r="L43" i="2" s="1"/>
  <c r="M43" i="2" s="1"/>
  <c r="N43" i="2" s="1"/>
  <c r="R43" i="2" s="1"/>
  <c r="S43" i="2" s="1"/>
  <c r="K44" i="2"/>
  <c r="L44" i="2" s="1"/>
  <c r="M44" i="2" s="1"/>
  <c r="N44" i="2" s="1"/>
  <c r="R44" i="2" s="1"/>
  <c r="S44" i="2" s="1"/>
  <c r="K45" i="2"/>
  <c r="L45" i="2" s="1"/>
  <c r="M45" i="2" s="1"/>
  <c r="N45" i="2" s="1"/>
  <c r="R45" i="2" s="1"/>
  <c r="S45" i="2" s="1"/>
  <c r="K46" i="2"/>
  <c r="K47" i="2"/>
  <c r="L47" i="2" s="1"/>
  <c r="M47" i="2" s="1"/>
  <c r="N47" i="2" s="1"/>
  <c r="K48" i="2"/>
  <c r="L48" i="2" s="1"/>
  <c r="M48" i="2" s="1"/>
  <c r="N48" i="2" s="1"/>
  <c r="R48" i="2" s="1"/>
  <c r="S48" i="2" s="1"/>
  <c r="K49" i="2"/>
  <c r="L49" i="2" s="1"/>
  <c r="M49" i="2" s="1"/>
  <c r="N49" i="2" s="1"/>
  <c r="R49" i="2" s="1"/>
  <c r="S49" i="2" s="1"/>
  <c r="K50" i="2"/>
  <c r="L50" i="2" s="1"/>
  <c r="M50" i="2" s="1"/>
  <c r="N50" i="2" s="1"/>
  <c r="R50" i="2" s="1"/>
  <c r="S50" i="2" s="1"/>
  <c r="K51" i="2"/>
  <c r="L51" i="2" s="1"/>
  <c r="M51" i="2" s="1"/>
  <c r="N51" i="2" s="1"/>
  <c r="R51" i="2" s="1"/>
  <c r="S51" i="2" s="1"/>
  <c r="K52" i="2"/>
  <c r="L52" i="2" s="1"/>
  <c r="M52" i="2" s="1"/>
  <c r="N52" i="2" s="1"/>
  <c r="R52" i="2" s="1"/>
  <c r="S52" i="2" s="1"/>
  <c r="K53" i="2"/>
  <c r="L53" i="2" s="1"/>
  <c r="M53" i="2" s="1"/>
  <c r="N53" i="2" s="1"/>
  <c r="R53" i="2" s="1"/>
  <c r="S53" i="2" s="1"/>
  <c r="K54" i="2"/>
  <c r="L54" i="2" s="1"/>
  <c r="M54" i="2" s="1"/>
  <c r="N54" i="2" s="1"/>
  <c r="R54" i="2" s="1"/>
  <c r="S54" i="2" s="1"/>
  <c r="K55" i="2"/>
  <c r="L55" i="2" s="1"/>
  <c r="M55" i="2" s="1"/>
  <c r="N55" i="2" s="1"/>
  <c r="R55" i="2" s="1"/>
  <c r="S55" i="2" s="1"/>
  <c r="K56" i="2"/>
  <c r="L56" i="2" s="1"/>
  <c r="M56" i="2" s="1"/>
  <c r="N56" i="2" s="1"/>
  <c r="R56" i="2" s="1"/>
  <c r="S56" i="2" s="1"/>
  <c r="K57" i="2"/>
  <c r="L57" i="2" s="1"/>
  <c r="M57" i="2" s="1"/>
  <c r="N57" i="2" s="1"/>
  <c r="R57" i="2" s="1"/>
  <c r="S57" i="2" s="1"/>
  <c r="K58" i="2"/>
  <c r="L58" i="2" s="1"/>
  <c r="M58" i="2" s="1"/>
  <c r="N58" i="2" s="1"/>
  <c r="R58" i="2" s="1"/>
  <c r="S58" i="2" s="1"/>
  <c r="K59" i="2"/>
  <c r="L59" i="2" s="1"/>
  <c r="M59" i="2" s="1"/>
  <c r="N59" i="2" s="1"/>
  <c r="R59" i="2" s="1"/>
  <c r="S59" i="2" s="1"/>
  <c r="K60" i="2"/>
  <c r="L60" i="2" s="1"/>
  <c r="M60" i="2" s="1"/>
  <c r="N60" i="2" s="1"/>
  <c r="R60" i="2" s="1"/>
  <c r="S60" i="2" s="1"/>
  <c r="K61" i="2"/>
  <c r="L61" i="2" s="1"/>
  <c r="M61" i="2" s="1"/>
  <c r="N61" i="2" s="1"/>
  <c r="R61" i="2" s="1"/>
  <c r="S61" i="2" s="1"/>
  <c r="K62" i="2"/>
  <c r="L62" i="2" s="1"/>
  <c r="M62" i="2" s="1"/>
  <c r="N62" i="2" s="1"/>
  <c r="R62" i="2" s="1"/>
  <c r="S62" i="2" s="1"/>
  <c r="K63" i="2"/>
  <c r="L63" i="2" s="1"/>
  <c r="M63" i="2" s="1"/>
  <c r="N63" i="2" s="1"/>
  <c r="R63" i="2" s="1"/>
  <c r="S63" i="2" s="1"/>
  <c r="K64" i="2"/>
  <c r="L64" i="2" s="1"/>
  <c r="M64" i="2" s="1"/>
  <c r="N64" i="2" s="1"/>
  <c r="R64" i="2" s="1"/>
  <c r="S64" i="2" s="1"/>
  <c r="K65" i="2"/>
  <c r="L65" i="2" s="1"/>
  <c r="M65" i="2" s="1"/>
  <c r="N65" i="2" s="1"/>
  <c r="R65" i="2" s="1"/>
  <c r="S65" i="2" s="1"/>
  <c r="K66" i="2"/>
  <c r="L66" i="2" s="1"/>
  <c r="M66" i="2" s="1"/>
  <c r="N66" i="2" s="1"/>
  <c r="R66" i="2" s="1"/>
  <c r="S66" i="2" s="1"/>
  <c r="K67" i="2"/>
  <c r="L67" i="2" s="1"/>
  <c r="M67" i="2" s="1"/>
  <c r="N67" i="2" s="1"/>
  <c r="R67" i="2" s="1"/>
  <c r="S67" i="2" s="1"/>
  <c r="K68" i="2"/>
  <c r="L68" i="2" s="1"/>
  <c r="M68" i="2" s="1"/>
  <c r="N68" i="2" s="1"/>
  <c r="R68" i="2" s="1"/>
  <c r="S68" i="2" s="1"/>
  <c r="K69" i="2"/>
  <c r="L69" i="2" s="1"/>
  <c r="M69" i="2" s="1"/>
  <c r="N69" i="2" s="1"/>
  <c r="R69" i="2" s="1"/>
  <c r="S69" i="2" s="1"/>
  <c r="K70" i="2"/>
  <c r="L70" i="2" s="1"/>
  <c r="M70" i="2" s="1"/>
  <c r="N70" i="2" s="1"/>
  <c r="K21" i="2"/>
  <c r="L21" i="2" s="1"/>
  <c r="M21" i="2" s="1"/>
  <c r="N21" i="2" s="1"/>
  <c r="W21" i="2" s="1"/>
  <c r="K31" i="2"/>
  <c r="L31" i="2" s="1"/>
  <c r="M31" i="2" s="1"/>
  <c r="V12" i="2"/>
  <c r="R70" i="2"/>
  <c r="S70" i="2" s="1"/>
  <c r="L41" i="2"/>
  <c r="M41" i="2" s="1"/>
  <c r="N41" i="2" s="1"/>
  <c r="K40" i="2"/>
  <c r="L40" i="2" s="1"/>
  <c r="M40" i="2" s="1"/>
  <c r="N40" i="2" s="1"/>
  <c r="R40" i="2" s="1"/>
  <c r="S40" i="2" s="1"/>
  <c r="K19" i="2"/>
  <c r="L19" i="2" s="1"/>
  <c r="M19" i="2" s="1"/>
  <c r="N19" i="2" s="1"/>
  <c r="W19" i="2" s="1"/>
  <c r="K18" i="2"/>
  <c r="L18" i="2" s="1"/>
  <c r="M18" i="2" s="1"/>
  <c r="N18" i="2" s="1"/>
  <c r="W18" i="2" s="1"/>
  <c r="K20" i="2"/>
  <c r="L20" i="2" s="1"/>
  <c r="M20" i="2" s="1"/>
  <c r="N20" i="2" s="1"/>
  <c r="K17" i="2"/>
  <c r="K35" i="2"/>
  <c r="L35" i="2" s="1"/>
  <c r="M35" i="2" s="1"/>
  <c r="R35" i="2" s="1"/>
  <c r="S35" i="2" s="1"/>
  <c r="K32" i="2"/>
  <c r="L32" i="2" s="1"/>
  <c r="M32" i="2" s="1"/>
  <c r="R32" i="2" s="1"/>
  <c r="S32" i="2" s="1"/>
  <c r="K12" i="2"/>
  <c r="L12" i="2" s="1"/>
  <c r="M12" i="2" s="1"/>
  <c r="N12" i="2" s="1"/>
  <c r="K30" i="2"/>
  <c r="L30" i="2" s="1"/>
  <c r="M30" i="2" s="1"/>
  <c r="R30" i="2" s="1"/>
  <c r="S30" i="2" s="1"/>
  <c r="V10" i="2"/>
  <c r="K10" i="2"/>
  <c r="L10" i="2" s="1"/>
  <c r="M10" i="2" s="1"/>
  <c r="N10" i="2" s="1"/>
  <c r="K9" i="2"/>
  <c r="L9" i="2" s="1"/>
  <c r="M9" i="2" s="1"/>
  <c r="N9" i="2" s="1"/>
  <c r="V9" i="2"/>
  <c r="K8" i="2"/>
  <c r="K16" i="2"/>
  <c r="L16" i="2" s="1"/>
  <c r="M16" i="2" s="1"/>
  <c r="N16" i="2" s="1"/>
  <c r="K11" i="2"/>
  <c r="L11" i="2" s="1"/>
  <c r="M11" i="2" s="1"/>
  <c r="N11" i="2" s="1"/>
  <c r="V11" i="2"/>
  <c r="V16" i="2"/>
  <c r="V8" i="2"/>
  <c r="K34" i="2"/>
  <c r="L34" i="2" s="1"/>
  <c r="M34" i="2" s="1"/>
  <c r="R34" i="2" s="1"/>
  <c r="S34" i="2" s="1"/>
  <c r="K33" i="2"/>
  <c r="L33" i="2" s="1"/>
  <c r="M33" i="2" s="1"/>
  <c r="R33" i="2" s="1"/>
  <c r="S33" i="2" s="1"/>
  <c r="P41" i="2" l="1"/>
  <c r="R41" i="2" s="1"/>
  <c r="S41" i="2" s="1"/>
  <c r="W41" i="2"/>
  <c r="R71" i="2"/>
  <c r="S71" i="2" s="1"/>
  <c r="W71" i="2"/>
  <c r="W39" i="2"/>
  <c r="L46" i="2"/>
  <c r="M46" i="2" s="1"/>
  <c r="N46" i="2" s="1"/>
  <c r="W20" i="2"/>
  <c r="R38" i="2"/>
  <c r="S38" i="2" s="1"/>
  <c r="R39" i="2"/>
  <c r="S39" i="2" s="1"/>
  <c r="L17" i="2"/>
  <c r="M17" i="2" s="1"/>
  <c r="N17" i="2" s="1"/>
  <c r="R31" i="2"/>
  <c r="S31" i="2" s="1"/>
  <c r="R19" i="2"/>
  <c r="S19" i="2" s="1"/>
  <c r="R20" i="2"/>
  <c r="S20" i="2" s="1"/>
  <c r="R18" i="2"/>
  <c r="S18" i="2" s="1"/>
  <c r="R12" i="2"/>
  <c r="S12" i="2" s="1"/>
  <c r="W12" i="2"/>
  <c r="R10" i="2"/>
  <c r="S10" i="2" s="1"/>
  <c r="W10" i="2"/>
  <c r="R9" i="2"/>
  <c r="S9" i="2" s="1"/>
  <c r="W9" i="2"/>
  <c r="K14" i="2"/>
  <c r="L8" i="2"/>
  <c r="M8" i="2" s="1"/>
  <c r="N8" i="2" s="1"/>
  <c r="W8" i="2" s="1"/>
  <c r="K23" i="2"/>
  <c r="W16" i="2"/>
  <c r="R11" i="2"/>
  <c r="S11" i="2" s="1"/>
  <c r="W11" i="2"/>
  <c r="W17" i="2" l="1"/>
  <c r="R21" i="2"/>
  <c r="S21" i="2" s="1"/>
  <c r="K24" i="2"/>
  <c r="R8" i="2"/>
  <c r="L14" i="2"/>
  <c r="M14" i="2"/>
  <c r="R16" i="2"/>
  <c r="N14" i="2"/>
  <c r="R17" i="2" l="1"/>
  <c r="S16" i="2"/>
  <c r="S8" i="2"/>
  <c r="S14" i="2" s="1"/>
  <c r="V14" i="2" s="1"/>
  <c r="R14" i="2"/>
  <c r="H8" i="4" s="1"/>
  <c r="R47" i="2" l="1"/>
  <c r="S47" i="2" s="1"/>
  <c r="R46" i="2"/>
  <c r="S46" i="2" s="1"/>
  <c r="S17" i="2"/>
  <c r="R23" i="2"/>
  <c r="J8" i="4"/>
  <c r="L8" i="4"/>
  <c r="Q24" i="2"/>
  <c r="R24" i="2" l="1"/>
  <c r="S23" i="2" l="1"/>
  <c r="S24" i="2" l="1"/>
  <c r="V23" i="2"/>
  <c r="H9" i="4"/>
  <c r="F9" i="4"/>
  <c r="B54" i="7" l="1"/>
  <c r="B55" i="7" s="1"/>
  <c r="B58" i="7"/>
  <c r="B59" i="7" s="1"/>
  <c r="F11" i="4"/>
  <c r="L9" i="4"/>
  <c r="J9" i="4"/>
  <c r="H11" i="4"/>
  <c r="L11" i="4" l="1"/>
  <c r="C59" i="7"/>
  <c r="J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Alcala</author>
  </authors>
  <commentList>
    <comment ref="F2" authorId="0" shapeId="0" xr:uid="{0DD4CAEC-D936-4C0E-ABD7-D5D521579837}">
      <text>
        <r>
          <rPr>
            <b/>
            <sz val="9"/>
            <color indexed="81"/>
            <rFont val="Tahoma"/>
            <family val="2"/>
          </rPr>
          <t>Francisco Alcala:</t>
        </r>
        <r>
          <rPr>
            <sz val="9"/>
            <color indexed="81"/>
            <rFont val="Tahoma"/>
            <family val="2"/>
          </rPr>
          <t xml:space="preserve">
Added columns F &amp; G to calculate annual p/u's to be used on the Disp Increase Calc tab.</t>
        </r>
      </text>
    </comment>
  </commentList>
</comments>
</file>

<file path=xl/sharedStrings.xml><?xml version="1.0" encoding="utf-8"?>
<sst xmlns="http://schemas.openxmlformats.org/spreadsheetml/2006/main" count="400" uniqueCount="265">
  <si>
    <t>Prepared by Francisco Alcala, Senior Financial Analyst</t>
  </si>
  <si>
    <t>Index</t>
  </si>
  <si>
    <t>Pickup Frequency</t>
  </si>
  <si>
    <t>Class</t>
  </si>
  <si>
    <t>Tariff Page</t>
  </si>
  <si>
    <t>Scheduled Service</t>
  </si>
  <si>
    <t>Monthly Customers</t>
  </si>
  <si>
    <t>Monthly Frequency</t>
  </si>
  <si>
    <t>Annual PU's</t>
  </si>
  <si>
    <t>Meeks Weights</t>
  </si>
  <si>
    <t>Calculated Annual Pounds</t>
  </si>
  <si>
    <t>Adjusted Annual Pounds</t>
  </si>
  <si>
    <t>Increase</t>
  </si>
  <si>
    <t>Gross Up</t>
  </si>
  <si>
    <t>Tariff Rate Increase</t>
  </si>
  <si>
    <t>Company Current Tariff</t>
  </si>
  <si>
    <t>Company Calculated Rate w/Disposal Increase</t>
  </si>
  <si>
    <t>Company Current Revenue</t>
  </si>
  <si>
    <t>Company Calculated Revenue</t>
  </si>
  <si>
    <t>Revenue Increase</t>
  </si>
  <si>
    <t>Check Calc</t>
  </si>
  <si>
    <t>Diff</t>
  </si>
  <si>
    <t>Weekly Pickup (WG)</t>
  </si>
  <si>
    <t>Residential</t>
  </si>
  <si>
    <t>1 64 Gallon Weekly</t>
  </si>
  <si>
    <t>1 96 Gallon Weekly</t>
  </si>
  <si>
    <t>Extra can, unit, or bag</t>
  </si>
  <si>
    <t>On-Call</t>
  </si>
  <si>
    <t>Check to Price Out</t>
  </si>
  <si>
    <t>Total</t>
  </si>
  <si>
    <t>Commercial</t>
  </si>
  <si>
    <t>Add'l Cubic Yards</t>
  </si>
  <si>
    <t>Container Svc - 300 gal per p/u</t>
  </si>
  <si>
    <t>Container Svc - 300 gal Temp</t>
  </si>
  <si>
    <t>Container Svc - 300 gal  Spc'l p/u</t>
  </si>
  <si>
    <t>Container Svc - 1.5 Yd per p/u</t>
  </si>
  <si>
    <t>Container Svc - 1.5Yd Temp</t>
  </si>
  <si>
    <t>Container Svc - 64 gal per p/u</t>
  </si>
  <si>
    <t>Container Svc - 96 gal per p/u</t>
  </si>
  <si>
    <t>Container Svc - 96 gal Spc'l p/u</t>
  </si>
  <si>
    <t>No Current Customers</t>
  </si>
  <si>
    <t>Oversized/Overweight Cart</t>
  </si>
  <si>
    <t>1 Mini-Can</t>
  </si>
  <si>
    <t>1 Can 1/MG</t>
  </si>
  <si>
    <t>1 Can WG</t>
  </si>
  <si>
    <t>2 Cans WG</t>
  </si>
  <si>
    <t>3 Cans WG</t>
  </si>
  <si>
    <t>Overfilled Carts</t>
  </si>
  <si>
    <t>Overfilled Containers</t>
  </si>
  <si>
    <t>Overweight Drop Box</t>
  </si>
  <si>
    <t>Occasional extra units</t>
  </si>
  <si>
    <t>Container Svc - 64 gal Spc'l p/u</t>
  </si>
  <si>
    <t>Adjustment Factor Calculation</t>
  </si>
  <si>
    <t>Total Tonnage</t>
  </si>
  <si>
    <t>Total Pounds</t>
  </si>
  <si>
    <t>Total Pick Ups</t>
  </si>
  <si>
    <t>Adjustment factor</t>
  </si>
  <si>
    <t>Item</t>
  </si>
  <si>
    <t>Description</t>
  </si>
  <si>
    <t>Serviced</t>
  </si>
  <si>
    <t>Annual Units</t>
  </si>
  <si>
    <t>Meeks Frequency</t>
  </si>
  <si>
    <t>Annual Pick-Ups</t>
  </si>
  <si>
    <t>Return Check Fee</t>
  </si>
  <si>
    <t>Per Unit</t>
  </si>
  <si>
    <t>Residential Restart Fee</t>
  </si>
  <si>
    <t>Commercail Restart Fee</t>
  </si>
  <si>
    <t>Per Hour</t>
  </si>
  <si>
    <t>Residential Carryout Service 5-feet plus per Cart</t>
  </si>
  <si>
    <t>1xWK</t>
  </si>
  <si>
    <t>Residential Drive in Fee Over 125-feet</t>
  </si>
  <si>
    <t>1xMO</t>
  </si>
  <si>
    <t>Commercial Drive-in Fee Over 125-Feet</t>
  </si>
  <si>
    <t>Residential 1 Can</t>
  </si>
  <si>
    <t>Residential 2 Can</t>
  </si>
  <si>
    <t>Residential 3 Can</t>
  </si>
  <si>
    <t>Check Figure to Calc</t>
  </si>
  <si>
    <t>Residential On Call</t>
  </si>
  <si>
    <t>Per Yard</t>
  </si>
  <si>
    <t>Time Charge - Single Drive (Flatbed)</t>
  </si>
  <si>
    <t>Time Charge - Single Packer</t>
  </si>
  <si>
    <t>Time Charge - Single Drop Box</t>
  </si>
  <si>
    <t>Time Charge - Extra Person</t>
  </si>
  <si>
    <t>Time Charge - Tandem Drop Box</t>
  </si>
  <si>
    <t>Per Pickup</t>
  </si>
  <si>
    <t>Per Ton</t>
  </si>
  <si>
    <t>Commercial 32 Gallon Cart</t>
  </si>
  <si>
    <t>Commercial 32 Gallon Cart - Special Pickup</t>
  </si>
  <si>
    <t>Commercial 300 Gallon Container</t>
  </si>
  <si>
    <t>Commercial 300 Gallon Container - Special Pickup</t>
  </si>
  <si>
    <t>Commercial 300 Gallon Container - Temp On Call</t>
  </si>
  <si>
    <t>Commercial 300 Gallon Container - Temp Daily Rent</t>
  </si>
  <si>
    <t>Per Day</t>
  </si>
  <si>
    <t>Commercial 1.5 Yard Container</t>
  </si>
  <si>
    <t>2xWK</t>
  </si>
  <si>
    <t>Commercial 1.5 Yard Container - Special Pickup</t>
  </si>
  <si>
    <t>Commercial 1.5 Yard Container - Temp Daily Rent</t>
  </si>
  <si>
    <t>Commercial Open/Unlock Gate Charge</t>
  </si>
  <si>
    <t>3xWK</t>
  </si>
  <si>
    <t>Industrial Perm 11 Yard Drop Box - Monthly Rent</t>
  </si>
  <si>
    <t>Industrial Perm 11 Yard Drop Box - Haul</t>
  </si>
  <si>
    <t>Industrial Temp 11 Yard Drop Box - Haul</t>
  </si>
  <si>
    <t>Industrial Temp 11 Yard Drop Box - Delivery</t>
  </si>
  <si>
    <t>Industrial Perm 20 Yard Drop Box - Monthly Rent</t>
  </si>
  <si>
    <t>Industrial Perm 20 Yard Drop Box - Haul</t>
  </si>
  <si>
    <t>Industrial Temp 20 Yard Drop Box - Daily Rent</t>
  </si>
  <si>
    <t>Industrial Temp 20 Yard Drop Box - Haul</t>
  </si>
  <si>
    <t>Industrial Temp 20 Yard Drop Box - Delivery</t>
  </si>
  <si>
    <t>Industrial Perm 30 Yard Drop Box - Monthly Rent</t>
  </si>
  <si>
    <t>Industrial Perm 30 Yard Drop Box - Haul</t>
  </si>
  <si>
    <t>Industrial Temp 30 Yard Drop Box - Daily Rent</t>
  </si>
  <si>
    <t>Industrial Temp 30 Yard Drop Box - Haul</t>
  </si>
  <si>
    <t>Industrial Temp 30 Yard Drop Box - Delivery</t>
  </si>
  <si>
    <t>Industrial Perm 40 Yard Drop Box - Monthly Rent</t>
  </si>
  <si>
    <t>Industrial Perm 40 Yard Drop Box - Haul</t>
  </si>
  <si>
    <t>Industrial Temp 40 Yard Drop Box - Daily Rent</t>
  </si>
  <si>
    <t>Industrial Temp 40 Yard Drop Box - Haul</t>
  </si>
  <si>
    <t>Industrial Temp 40 Yard Drop Box - Delivery</t>
  </si>
  <si>
    <t xml:space="preserve">Industrial Mileage Charge </t>
  </si>
  <si>
    <t>Per Mile</t>
  </si>
  <si>
    <t>Industrial Open/Unlock Gate Charge</t>
  </si>
  <si>
    <t>Industrial Perm 25 Yard Compactor - Haul</t>
  </si>
  <si>
    <t>Meeks Standard Weights</t>
  </si>
  <si>
    <t>Monthly Factor</t>
  </si>
  <si>
    <t>Service Type</t>
  </si>
  <si>
    <t>Meeks_Description</t>
  </si>
  <si>
    <t>Meeks</t>
  </si>
  <si>
    <t>Pickups:</t>
  </si>
  <si>
    <t>1 units</t>
  </si>
  <si>
    <t>2 units</t>
  </si>
  <si>
    <t>3 units</t>
  </si>
  <si>
    <t>4 units</t>
  </si>
  <si>
    <t>5 units</t>
  </si>
  <si>
    <t>6 units</t>
  </si>
  <si>
    <t>7 units</t>
  </si>
  <si>
    <t>20 gal minican</t>
  </si>
  <si>
    <t>5 Times per Week</t>
  </si>
  <si>
    <t>1 can</t>
  </si>
  <si>
    <t>4 Times per Week</t>
  </si>
  <si>
    <t>2 cans</t>
  </si>
  <si>
    <t>3 Times per Week</t>
  </si>
  <si>
    <t>3 cans</t>
  </si>
  <si>
    <t>2 Times per Week</t>
  </si>
  <si>
    <t>4 cans</t>
  </si>
  <si>
    <t>5 cans</t>
  </si>
  <si>
    <t>Every Other Week (EOWG)</t>
  </si>
  <si>
    <t>6 cans</t>
  </si>
  <si>
    <t>Monthly (MG)</t>
  </si>
  <si>
    <t>35 gallon Can</t>
  </si>
  <si>
    <t>Supercan 60</t>
  </si>
  <si>
    <t>Supercan 90</t>
  </si>
  <si>
    <t>Once a month</t>
  </si>
  <si>
    <t>Extras</t>
  </si>
  <si>
    <t>Cans</t>
  </si>
  <si>
    <t>1 yd container</t>
  </si>
  <si>
    <t>1.5 yd container</t>
  </si>
  <si>
    <t>2 yd container</t>
  </si>
  <si>
    <t>3 yd container</t>
  </si>
  <si>
    <t>4 yd container</t>
  </si>
  <si>
    <t>5 yd container</t>
  </si>
  <si>
    <t>6 yd container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</si>
  <si>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</si>
  <si>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</si>
  <si>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</si>
  <si>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</si>
  <si>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</si>
  <si>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</si>
  <si>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</si>
  <si>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</si>
  <si>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</si>
  <si>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</si>
  <si>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1.25 yd container</t>
  </si>
  <si>
    <t>Drop Box</t>
  </si>
  <si>
    <t>1 Ton</t>
  </si>
  <si>
    <t>Sudbury Landfill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</si>
  <si>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</si>
  <si>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</si>
  <si>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</si>
  <si>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</si>
  <si>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</si>
  <si>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</si>
  <si>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Bad Debts</t>
  </si>
  <si>
    <t>Transfer Station</t>
  </si>
  <si>
    <t>Increase per ton</t>
  </si>
  <si>
    <t>Factor</t>
  </si>
  <si>
    <t>Grossed Up Increase per ton</t>
  </si>
  <si>
    <t>Tons Collected</t>
  </si>
  <si>
    <t>Disposal Fee Revenue Increase</t>
  </si>
  <si>
    <t>Company Proposed Rates</t>
  </si>
  <si>
    <t>Res'l &amp; Com'l</t>
  </si>
  <si>
    <t>Revenue Inc from Co Proposed Rates</t>
  </si>
  <si>
    <t>Collected Revenue Excess/(Deficiency)</t>
  </si>
  <si>
    <t>Staff Revised Rates</t>
  </si>
  <si>
    <t>Revenue from Revised Rates</t>
  </si>
  <si>
    <t>Calculated Revenue Increase</t>
  </si>
  <si>
    <t>Current</t>
  </si>
  <si>
    <t xml:space="preserve">Proposed </t>
  </si>
  <si>
    <t>Revenue</t>
  </si>
  <si>
    <t>Dollars</t>
  </si>
  <si>
    <t>Percentage</t>
  </si>
  <si>
    <t xml:space="preserve">Commercial </t>
  </si>
  <si>
    <t>Roll - Off - Tonnage</t>
  </si>
  <si>
    <t>Disposal Rate Per Ton</t>
  </si>
  <si>
    <t>BDI - Yakima Price Out</t>
  </si>
  <si>
    <t>Redelivery Fees Up to 8 Yards</t>
  </si>
  <si>
    <t>Redelivery Fees Over 8 Yards</t>
  </si>
  <si>
    <t>Over-Sized or Over-Weight Cans or Units</t>
  </si>
  <si>
    <t>Overtime Periods</t>
  </si>
  <si>
    <t>Per Hours</t>
  </si>
  <si>
    <t>Return Trip Can/Unit</t>
  </si>
  <si>
    <t>Return Trip Container</t>
  </si>
  <si>
    <t>Return Trip Drop Box</t>
  </si>
  <si>
    <t>Residential Minican</t>
  </si>
  <si>
    <t>Residential 64 Gallon Cart</t>
  </si>
  <si>
    <t>Residential 2-64 Gallon Carts</t>
  </si>
  <si>
    <t>Residential 96 Gallon Cart</t>
  </si>
  <si>
    <t>Residential Extra Bag/Box/Unit</t>
  </si>
  <si>
    <t>Bulky/Loose Materials</t>
  </si>
  <si>
    <t>Rollout Cart</t>
  </si>
  <si>
    <t>Rollout Container</t>
  </si>
  <si>
    <t>Overfilled or Overweight Containers</t>
  </si>
  <si>
    <t>Washing and Sanitizing Containers/Dropboxes</t>
  </si>
  <si>
    <t>Yakima County Landfill/Transfer - Appliance</t>
  </si>
  <si>
    <t>Yakima County Landfill/Transfer - Passanger Tire</t>
  </si>
  <si>
    <t>Yakima County Landfill/Transfer - Asbestos</t>
  </si>
  <si>
    <t>Yakima County Landfill/Trasfer Station - MSW Disposal</t>
  </si>
  <si>
    <t>Commercial 220 Container</t>
  </si>
  <si>
    <t>Commercial 220 Container - Special Pickup</t>
  </si>
  <si>
    <t>Commercial 300 Gallon Container - Temp Delivery</t>
  </si>
  <si>
    <t>Per Unit\</t>
  </si>
  <si>
    <t>Industrial Perm 11 Yard Drop Box - Additional Haul</t>
  </si>
  <si>
    <t>Industrial Perm 11 Yard Drop Box - Daily Rent</t>
  </si>
  <si>
    <t>Industrial Perm 20 Yard Drop Box - Additional Haul</t>
  </si>
  <si>
    <t>Industrial Perm 30 Yard Drop Box - Additional haul</t>
  </si>
  <si>
    <t>Industrial Perm 40 Yard Drop Box - Additional Haul</t>
  </si>
  <si>
    <t>BASIN DISPOSAL OF YAKIMA, LLC. G-45</t>
  </si>
  <si>
    <t>Reference Note: Customers, Annual PU's and annual tonnage was taken from the last approved general rate filing, TG-230188.</t>
  </si>
  <si>
    <t>From TG-230188</t>
  </si>
  <si>
    <t>Multiplied by 2 to calculate correct number of single units</t>
  </si>
  <si>
    <t>Container Svc - 220 gal per p/u</t>
  </si>
  <si>
    <t>Container Svc - 1.5 Yd Spc'l p/u</t>
  </si>
  <si>
    <t>Container Svc - 2.0Yd per p/u</t>
  </si>
  <si>
    <t>Container Svc - 2.0Yd Spc'l p/u</t>
  </si>
  <si>
    <t>Container Svc - 2.0Yd Temp</t>
  </si>
  <si>
    <t>Container Svc - 3.0Yd per p/u</t>
  </si>
  <si>
    <t>Container Svc - 3.0Yd Spc'l p/u</t>
  </si>
  <si>
    <t>Container Svc - 3.0Yd Temp</t>
  </si>
  <si>
    <t>Container Svc - 4.0Yd per p/u</t>
  </si>
  <si>
    <t>Container Svc - 4.0Yd Spc'l p/u</t>
  </si>
  <si>
    <t>Container Svc - 4.0Yd Temp</t>
  </si>
  <si>
    <t>Container Svc - 6.0Yd per p/u</t>
  </si>
  <si>
    <t>Container Svc - 6.0Yd Spc'l p/u</t>
  </si>
  <si>
    <t>Container Svc - 6.0Yd Temp</t>
  </si>
  <si>
    <t>Container Svc - 8.0Yd per p/u</t>
  </si>
  <si>
    <t>Container Svc - 8.0Yd Spc'l p/u</t>
  </si>
  <si>
    <t>Container Svc - 8.0Yd Temp</t>
  </si>
  <si>
    <t>Can Srv - 32 gal per p/u</t>
  </si>
  <si>
    <t>Can Srv - 32 gal Temp</t>
  </si>
  <si>
    <t>Can Srv - 32 gal Spc'l p/u</t>
  </si>
  <si>
    <t>Can Srv - 32 gal Minimum</t>
  </si>
  <si>
    <t>Container Svc - 220 gal Spc'l p/u</t>
  </si>
  <si>
    <t>Container Svc - 220 gal Temp</t>
  </si>
  <si>
    <t>Litter receptacles</t>
  </si>
  <si>
    <t>Minimum monthly charge per recept</t>
  </si>
  <si>
    <t>Basin Disposal of Yakima,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</si>
</sst>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* #,##0.000000_);_(* \(#,##0.000000\);_(* &quot;-&quot;??_);_(@_)"/>
    <numFmt numFmtId="168" formatCode="_(&quot;$&quot;* #,##0.000000_);_(&quot;$&quot;* \(#,##0.000000\);_(&quot;$&quot;* &quot;-&quot;??_);_(@_)"/>
    <numFmt numFmtId="169" formatCode="0.0000%"/>
    <numFmt numFmtId="170" formatCode="0.000000"/>
    <numFmt numFmtId="171" formatCode="&quot;$&quot;#,##0.00"/>
    <numFmt numFmtId="172" formatCode="&quot;$&quot;#,##0"/>
    <numFmt numFmtId="173" formatCode="_(&quot;$&quot;* #,##0_);_(&quot;$&quot;* \(#,##0\);_(&quot;$&quot;* &quot;-&quot;??_);_(@_)"/>
    <numFmt numFmtId="174" formatCode="_(* #,##0.0000_);_(* \(#,##0.0000\);_(* &quot;-&quot;??_);_(@_)"/>
    <numFmt numFmtId="175" formatCode="General_)"/>
    <numFmt numFmtId="176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name val="Helv"/>
    </font>
    <font>
      <sz val="12"/>
      <name val="Times New Roman"/>
      <family val="1"/>
    </font>
    <font>
      <sz val="9"/>
      <name val="Tahoma"/>
      <family val="2"/>
    </font>
    <font>
      <sz val="12"/>
      <name val="SWISS"/>
    </font>
    <font>
      <b/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2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9"/>
      </patternFill>
    </fill>
    <fill>
      <patternFill patternType="solid">
        <fgColor rgb="FF00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ck">
        <color rgb="FFFF0000"/>
      </left>
      <right/>
      <top style="medium">
        <color indexed="64"/>
      </top>
      <bottom/>
      <diagonal/>
    </border>
    <border>
      <left style="thick">
        <color rgb="FFFF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9" fillId="0" borderId="0"/>
    <xf numFmtId="0" fontId="1" fillId="0" borderId="0"/>
    <xf numFmtId="175" fontId="1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6" borderId="0"/>
    <xf numFmtId="0" fontId="14" fillId="0" borderId="0" applyAlignment="0"/>
    <xf numFmtId="0" fontId="1" fillId="0" borderId="0"/>
    <xf numFmtId="0" fontId="1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7">
    <xf numFmtId="0" fontId="0" fillId="0" borderId="0" xfId="0"/>
    <xf numFmtId="10" fontId="0" fillId="0" borderId="0" xfId="0" applyNumberFormat="1"/>
    <xf numFmtId="0" fontId="0" fillId="0" borderId="0" xfId="0" applyAlignment="1">
      <alignment horizontal="left" indent="1"/>
    </xf>
    <xf numFmtId="43" fontId="0" fillId="0" borderId="0" xfId="0" applyNumberFormat="1"/>
    <xf numFmtId="43" fontId="0" fillId="0" borderId="0" xfId="1" applyFont="1"/>
    <xf numFmtId="2" fontId="0" fillId="0" borderId="0" xfId="0" applyNumberFormat="1"/>
    <xf numFmtId="43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0" fontId="0" fillId="0" borderId="0" xfId="0" applyNumberFormat="1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167" fontId="0" fillId="0" borderId="0" xfId="1" applyNumberFormat="1" applyFont="1" applyBorder="1"/>
    <xf numFmtId="167" fontId="0" fillId="0" borderId="1" xfId="1" applyNumberFormat="1" applyFont="1" applyBorder="1"/>
    <xf numFmtId="169" fontId="0" fillId="0" borderId="0" xfId="0" applyNumberFormat="1"/>
    <xf numFmtId="0" fontId="0" fillId="2" borderId="1" xfId="0" applyFill="1" applyBorder="1"/>
    <xf numFmtId="44" fontId="0" fillId="0" borderId="0" xfId="0" applyNumberFormat="1"/>
    <xf numFmtId="0" fontId="0" fillId="2" borderId="2" xfId="0" applyFill="1" applyBorder="1" applyAlignment="1">
      <alignment horizontal="center"/>
    </xf>
    <xf numFmtId="44" fontId="0" fillId="0" borderId="3" xfId="2" applyFont="1" applyBorder="1"/>
    <xf numFmtId="0" fontId="0" fillId="0" borderId="3" xfId="0" applyBorder="1"/>
    <xf numFmtId="0" fontId="0" fillId="2" borderId="4" xfId="0" applyFill="1" applyBorder="1" applyAlignment="1">
      <alignment horizontal="center"/>
    </xf>
    <xf numFmtId="44" fontId="4" fillId="0" borderId="3" xfId="2" applyFont="1" applyBorder="1"/>
    <xf numFmtId="44" fontId="0" fillId="0" borderId="5" xfId="2" applyFont="1" applyBorder="1"/>
    <xf numFmtId="3" fontId="3" fillId="2" borderId="1" xfId="0" applyNumberFormat="1" applyFont="1" applyFill="1" applyBorder="1" applyAlignment="1">
      <alignment horizontal="right"/>
    </xf>
    <xf numFmtId="165" fontId="3" fillId="0" borderId="1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right"/>
    </xf>
    <xf numFmtId="172" fontId="0" fillId="0" borderId="0" xfId="0" applyNumberFormat="1"/>
    <xf numFmtId="0" fontId="0" fillId="0" borderId="6" xfId="0" applyBorder="1"/>
    <xf numFmtId="0" fontId="8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7" fontId="0" fillId="0" borderId="0" xfId="1" applyNumberFormat="1" applyFont="1" applyFill="1"/>
    <xf numFmtId="0" fontId="0" fillId="4" borderId="0" xfId="0" applyFill="1"/>
    <xf numFmtId="172" fontId="3" fillId="2" borderId="1" xfId="0" applyNumberFormat="1" applyFont="1" applyFill="1" applyBorder="1" applyAlignment="1">
      <alignment horizontal="right"/>
    </xf>
    <xf numFmtId="172" fontId="0" fillId="0" borderId="6" xfId="0" applyNumberFormat="1" applyBorder="1"/>
    <xf numFmtId="0" fontId="8" fillId="0" borderId="0" xfId="0" applyFont="1" applyAlignment="1">
      <alignment horizontal="left"/>
    </xf>
    <xf numFmtId="3" fontId="3" fillId="2" borderId="1" xfId="0" applyNumberFormat="1" applyFont="1" applyFill="1" applyBorder="1" applyAlignment="1">
      <alignment horizontal="left"/>
    </xf>
    <xf numFmtId="43" fontId="0" fillId="0" borderId="0" xfId="1" applyFont="1" applyFill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74" fontId="0" fillId="0" borderId="0" xfId="1" applyNumberFormat="1" applyFont="1"/>
    <xf numFmtId="0" fontId="7" fillId="0" borderId="1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right"/>
    </xf>
    <xf numFmtId="170" fontId="7" fillId="0" borderId="0" xfId="0" applyNumberFormat="1" applyFont="1"/>
    <xf numFmtId="175" fontId="13" fillId="0" borderId="0" xfId="10" applyFont="1" applyAlignment="1">
      <alignment horizontal="center"/>
    </xf>
    <xf numFmtId="175" fontId="13" fillId="0" borderId="0" xfId="10" applyFont="1"/>
    <xf numFmtId="43" fontId="0" fillId="0" borderId="0" xfId="1" applyFont="1" applyBorder="1"/>
    <xf numFmtId="175" fontId="13" fillId="0" borderId="14" xfId="10" applyFont="1" applyBorder="1" applyAlignment="1">
      <alignment horizontal="center"/>
    </xf>
    <xf numFmtId="165" fontId="8" fillId="0" borderId="0" xfId="1" applyNumberFormat="1" applyFont="1" applyAlignment="1">
      <alignment horizontal="center"/>
    </xf>
    <xf numFmtId="165" fontId="0" fillId="0" borderId="0" xfId="1" applyNumberFormat="1" applyFont="1"/>
    <xf numFmtId="165" fontId="3" fillId="2" borderId="1" xfId="1" applyNumberFormat="1" applyFont="1" applyFill="1" applyBorder="1" applyAlignment="1">
      <alignment horizontal="right"/>
    </xf>
    <xf numFmtId="165" fontId="0" fillId="0" borderId="6" xfId="1" applyNumberFormat="1" applyFont="1" applyBorder="1"/>
    <xf numFmtId="0" fontId="7" fillId="0" borderId="0" xfId="0" applyFont="1" applyAlignment="1">
      <alignment vertical="center"/>
    </xf>
    <xf numFmtId="0" fontId="1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4" fontId="0" fillId="0" borderId="0" xfId="2" applyFont="1" applyFill="1" applyBorder="1"/>
    <xf numFmtId="44" fontId="0" fillId="0" borderId="1" xfId="2" applyFont="1" applyFill="1" applyBorder="1"/>
    <xf numFmtId="165" fontId="0" fillId="7" borderId="0" xfId="1" applyNumberFormat="1" applyFont="1" applyFill="1" applyBorder="1" applyAlignment="1">
      <alignment horizontal="right"/>
    </xf>
    <xf numFmtId="165" fontId="0" fillId="7" borderId="1" xfId="1" applyNumberFormat="1" applyFont="1" applyFill="1" applyBorder="1"/>
    <xf numFmtId="44" fontId="0" fillId="7" borderId="1" xfId="2" applyFont="1" applyFill="1" applyBorder="1"/>
    <xf numFmtId="166" fontId="0" fillId="7" borderId="1" xfId="2" applyNumberFormat="1" applyFont="1" applyFill="1" applyBorder="1"/>
    <xf numFmtId="0" fontId="11" fillId="7" borderId="1" xfId="9" applyFont="1" applyFill="1" applyBorder="1" applyAlignment="1">
      <alignment horizontal="center" wrapText="1"/>
    </xf>
    <xf numFmtId="0" fontId="0" fillId="8" borderId="0" xfId="0" applyFill="1"/>
    <xf numFmtId="43" fontId="0" fillId="8" borderId="0" xfId="1" applyFont="1" applyFill="1"/>
    <xf numFmtId="0" fontId="3" fillId="2" borderId="0" xfId="0" applyFont="1" applyFill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44" fontId="0" fillId="8" borderId="0" xfId="0" applyNumberFormat="1" applyFill="1"/>
    <xf numFmtId="171" fontId="8" fillId="0" borderId="0" xfId="0" applyNumberFormat="1" applyFont="1" applyAlignment="1">
      <alignment horizontal="center"/>
    </xf>
    <xf numFmtId="10" fontId="7" fillId="0" borderId="0" xfId="3" applyNumberFormat="1" applyFont="1" applyBorder="1" applyAlignment="1">
      <alignment horizontal="right"/>
    </xf>
    <xf numFmtId="0" fontId="7" fillId="0" borderId="0" xfId="0" applyFont="1"/>
    <xf numFmtId="3" fontId="0" fillId="0" borderId="0" xfId="0" applyNumberFormat="1"/>
    <xf numFmtId="3" fontId="0" fillId="7" borderId="0" xfId="0" applyNumberFormat="1" applyFill="1" applyAlignment="1">
      <alignment horizontal="center"/>
    </xf>
    <xf numFmtId="0" fontId="20" fillId="0" borderId="0" xfId="0" applyFont="1"/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 textRotation="90" wrapText="1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wrapText="1"/>
    </xf>
    <xf numFmtId="165" fontId="3" fillId="2" borderId="17" xfId="1" applyNumberFormat="1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0" fillId="0" borderId="12" xfId="0" applyBorder="1"/>
    <xf numFmtId="0" fontId="0" fillId="0" borderId="0" xfId="0" applyAlignment="1">
      <alignment horizontal="left" vertical="center"/>
    </xf>
    <xf numFmtId="165" fontId="0" fillId="0" borderId="0" xfId="1" applyNumberFormat="1" applyFont="1" applyBorder="1"/>
    <xf numFmtId="171" fontId="0" fillId="0" borderId="0" xfId="0" applyNumberFormat="1"/>
    <xf numFmtId="44" fontId="6" fillId="3" borderId="0" xfId="7" applyFont="1" applyFill="1" applyBorder="1"/>
    <xf numFmtId="172" fontId="0" fillId="0" borderId="11" xfId="2" applyNumberFormat="1" applyFont="1" applyFill="1" applyBorder="1"/>
    <xf numFmtId="0" fontId="0" fillId="0" borderId="0" xfId="0" applyAlignment="1">
      <alignment vertical="center" textRotation="90"/>
    </xf>
    <xf numFmtId="0" fontId="18" fillId="8" borderId="0" xfId="4" applyFont="1" applyFill="1" applyAlignment="1">
      <alignment horizontal="right"/>
    </xf>
    <xf numFmtId="172" fontId="0" fillId="0" borderId="11" xfId="0" applyNumberFormat="1" applyBorder="1"/>
    <xf numFmtId="3" fontId="3" fillId="2" borderId="10" xfId="0" applyNumberFormat="1" applyFont="1" applyFill="1" applyBorder="1" applyAlignment="1">
      <alignment horizontal="right"/>
    </xf>
    <xf numFmtId="172" fontId="3" fillId="2" borderId="19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165" fontId="3" fillId="0" borderId="0" xfId="1" applyNumberFormat="1" applyFont="1" applyBorder="1" applyAlignment="1">
      <alignment horizontal="right"/>
    </xf>
    <xf numFmtId="172" fontId="3" fillId="0" borderId="0" xfId="0" applyNumberFormat="1" applyFont="1" applyAlignment="1">
      <alignment horizontal="right"/>
    </xf>
    <xf numFmtId="172" fontId="3" fillId="0" borderId="11" xfId="0" applyNumberFormat="1" applyFont="1" applyBorder="1" applyAlignment="1">
      <alignment horizontal="right"/>
    </xf>
    <xf numFmtId="165" fontId="0" fillId="0" borderId="0" xfId="0" applyNumberFormat="1" applyAlignment="1">
      <alignment horizontal="center"/>
    </xf>
    <xf numFmtId="43" fontId="0" fillId="8" borderId="0" xfId="1" applyFont="1" applyFill="1" applyBorder="1"/>
    <xf numFmtId="0" fontId="0" fillId="9" borderId="12" xfId="0" applyFill="1" applyBorder="1"/>
    <xf numFmtId="0" fontId="0" fillId="9" borderId="0" xfId="0" applyFill="1"/>
    <xf numFmtId="0" fontId="0" fillId="9" borderId="0" xfId="0" applyFill="1" applyAlignment="1">
      <alignment horizontal="left"/>
    </xf>
    <xf numFmtId="0" fontId="22" fillId="9" borderId="0" xfId="0" applyFont="1" applyFill="1"/>
    <xf numFmtId="0" fontId="0" fillId="9" borderId="0" xfId="0" applyFill="1" applyAlignment="1">
      <alignment horizontal="center"/>
    </xf>
    <xf numFmtId="165" fontId="0" fillId="9" borderId="0" xfId="1" applyNumberFormat="1" applyFont="1" applyFill="1" applyBorder="1" applyAlignment="1">
      <alignment horizontal="center"/>
    </xf>
    <xf numFmtId="172" fontId="0" fillId="9" borderId="0" xfId="0" applyNumberFormat="1" applyFill="1" applyAlignment="1">
      <alignment horizontal="center"/>
    </xf>
    <xf numFmtId="172" fontId="0" fillId="9" borderId="11" xfId="0" applyNumberFormat="1" applyFill="1" applyBorder="1" applyAlignment="1">
      <alignment horizontal="center"/>
    </xf>
    <xf numFmtId="0" fontId="3" fillId="0" borderId="0" xfId="0" applyFont="1"/>
    <xf numFmtId="165" fontId="0" fillId="0" borderId="0" xfId="1" applyNumberFormat="1" applyFont="1" applyFill="1" applyBorder="1" applyAlignment="1">
      <alignment horizontal="center"/>
    </xf>
    <xf numFmtId="172" fontId="0" fillId="0" borderId="0" xfId="0" applyNumberFormat="1" applyAlignment="1">
      <alignment horizontal="center"/>
    </xf>
    <xf numFmtId="172" fontId="0" fillId="0" borderId="11" xfId="0" applyNumberFormat="1" applyBorder="1" applyAlignment="1">
      <alignment horizontal="center"/>
    </xf>
    <xf numFmtId="0" fontId="0" fillId="0" borderId="20" xfId="0" applyBorder="1"/>
    <xf numFmtId="172" fontId="0" fillId="0" borderId="21" xfId="0" applyNumberFormat="1" applyBorder="1"/>
    <xf numFmtId="0" fontId="0" fillId="8" borderId="12" xfId="0" applyFill="1" applyBorder="1"/>
    <xf numFmtId="0" fontId="0" fillId="8" borderId="0" xfId="0" applyFill="1" applyAlignment="1">
      <alignment horizontal="center" vertical="center" textRotation="90"/>
    </xf>
    <xf numFmtId="0" fontId="0" fillId="8" borderId="0" xfId="0" applyFill="1" applyAlignment="1">
      <alignment horizontal="left"/>
    </xf>
    <xf numFmtId="165" fontId="0" fillId="8" borderId="0" xfId="0" applyNumberFormat="1" applyFill="1" applyAlignment="1">
      <alignment horizontal="center"/>
    </xf>
    <xf numFmtId="165" fontId="0" fillId="8" borderId="0" xfId="1" applyNumberFormat="1" applyFont="1" applyFill="1" applyBorder="1"/>
    <xf numFmtId="171" fontId="0" fillId="8" borderId="0" xfId="0" applyNumberFormat="1" applyFill="1"/>
    <xf numFmtId="44" fontId="6" fillId="8" borderId="0" xfId="7" applyFont="1" applyFill="1" applyBorder="1"/>
    <xf numFmtId="172" fontId="0" fillId="8" borderId="0" xfId="0" applyNumberFormat="1" applyFill="1"/>
    <xf numFmtId="172" fontId="0" fillId="8" borderId="11" xfId="2" applyNumberFormat="1" applyFont="1" applyFill="1" applyBorder="1"/>
    <xf numFmtId="0" fontId="0" fillId="0" borderId="11" xfId="0" applyBorder="1"/>
    <xf numFmtId="0" fontId="7" fillId="0" borderId="0" xfId="0" applyFont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left"/>
    </xf>
    <xf numFmtId="165" fontId="0" fillId="0" borderId="14" xfId="1" applyNumberFormat="1" applyFont="1" applyBorder="1"/>
    <xf numFmtId="0" fontId="0" fillId="0" borderId="15" xfId="0" applyBorder="1"/>
    <xf numFmtId="0" fontId="0" fillId="0" borderId="25" xfId="0" applyBorder="1"/>
    <xf numFmtId="0" fontId="0" fillId="0" borderId="26" xfId="0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5" xfId="0" applyFont="1" applyBorder="1" applyAlignment="1">
      <alignment horizontal="right"/>
    </xf>
    <xf numFmtId="10" fontId="0" fillId="0" borderId="26" xfId="0" applyNumberFormat="1" applyBorder="1"/>
    <xf numFmtId="10" fontId="0" fillId="0" borderId="27" xfId="0" applyNumberFormat="1" applyBorder="1"/>
    <xf numFmtId="0" fontId="10" fillId="0" borderId="25" xfId="0" applyFont="1" applyBorder="1"/>
    <xf numFmtId="0" fontId="21" fillId="0" borderId="25" xfId="0" applyFont="1" applyBorder="1"/>
    <xf numFmtId="0" fontId="0" fillId="0" borderId="25" xfId="0" applyBorder="1" applyAlignment="1">
      <alignment horizontal="left"/>
    </xf>
    <xf numFmtId="0" fontId="0" fillId="0" borderId="28" xfId="0" applyBorder="1"/>
    <xf numFmtId="0" fontId="0" fillId="0" borderId="29" xfId="0" applyBorder="1"/>
    <xf numFmtId="44" fontId="0" fillId="0" borderId="29" xfId="2" applyFont="1" applyFill="1" applyBorder="1"/>
    <xf numFmtId="10" fontId="0" fillId="0" borderId="29" xfId="3" applyNumberFormat="1" applyFont="1" applyBorder="1"/>
    <xf numFmtId="0" fontId="0" fillId="0" borderId="3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2" borderId="10" xfId="0" applyFont="1" applyFill="1" applyBorder="1"/>
    <xf numFmtId="0" fontId="0" fillId="0" borderId="12" xfId="0" applyBorder="1" applyAlignment="1">
      <alignment horizontal="left"/>
    </xf>
    <xf numFmtId="44" fontId="0" fillId="7" borderId="0" xfId="2" applyFont="1" applyFill="1" applyBorder="1"/>
    <xf numFmtId="166" fontId="0" fillId="7" borderId="0" xfId="2" applyNumberFormat="1" applyFont="1" applyFill="1" applyBorder="1"/>
    <xf numFmtId="0" fontId="0" fillId="0" borderId="12" xfId="0" applyBorder="1" applyAlignment="1">
      <alignment horizontal="left" indent="1"/>
    </xf>
    <xf numFmtId="168" fontId="0" fillId="7" borderId="0" xfId="2" applyNumberFormat="1" applyFont="1" applyFill="1" applyBorder="1"/>
    <xf numFmtId="0" fontId="3" fillId="0" borderId="12" xfId="0" applyFont="1" applyBorder="1"/>
    <xf numFmtId="173" fontId="3" fillId="0" borderId="0" xfId="0" applyNumberFormat="1" applyFont="1"/>
    <xf numFmtId="0" fontId="3" fillId="0" borderId="31" xfId="0" applyFont="1" applyBorder="1"/>
    <xf numFmtId="44" fontId="0" fillId="0" borderId="11" xfId="0" applyNumberFormat="1" applyBorder="1"/>
    <xf numFmtId="0" fontId="0" fillId="0" borderId="32" xfId="0" applyBorder="1" applyAlignment="1">
      <alignment horizontal="left"/>
    </xf>
    <xf numFmtId="175" fontId="16" fillId="0" borderId="0" xfId="10" applyFont="1" applyAlignment="1">
      <alignment horizontal="left"/>
    </xf>
    <xf numFmtId="175" fontId="13" fillId="0" borderId="7" xfId="10" applyFont="1" applyBorder="1" applyAlignment="1">
      <alignment horizontal="center"/>
    </xf>
    <xf numFmtId="175" fontId="13" fillId="0" borderId="8" xfId="10" applyFont="1" applyBorder="1" applyAlignment="1">
      <alignment horizontal="center"/>
    </xf>
    <xf numFmtId="175" fontId="13" fillId="0" borderId="13" xfId="1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4" fillId="0" borderId="0" xfId="4" applyFont="1" applyAlignment="1">
      <alignment horizontal="left"/>
    </xf>
    <xf numFmtId="43" fontId="0" fillId="0" borderId="0" xfId="1" applyFont="1" applyFill="1" applyBorder="1"/>
    <xf numFmtId="165" fontId="0" fillId="0" borderId="0" xfId="1" applyNumberFormat="1" applyFont="1" applyFill="1" applyBorder="1"/>
    <xf numFmtId="165" fontId="0" fillId="0" borderId="0" xfId="0" applyNumberFormat="1"/>
    <xf numFmtId="10" fontId="0" fillId="0" borderId="0" xfId="3" applyNumberFormat="1" applyFont="1"/>
    <xf numFmtId="0" fontId="4" fillId="0" borderId="0" xfId="0" applyFont="1"/>
    <xf numFmtId="0" fontId="6" fillId="0" borderId="0" xfId="5" applyFont="1"/>
    <xf numFmtId="0" fontId="0" fillId="0" borderId="6" xfId="0" applyBorder="1" applyAlignment="1">
      <alignment horizontal="left"/>
    </xf>
    <xf numFmtId="0" fontId="6" fillId="0" borderId="0" xfId="4" applyFont="1" applyAlignment="1">
      <alignment horizontal="left"/>
    </xf>
    <xf numFmtId="0" fontId="7" fillId="9" borderId="0" xfId="0" applyFont="1" applyFill="1" applyAlignment="1">
      <alignment horizontal="center" vertical="center" textRotation="90"/>
    </xf>
    <xf numFmtId="175" fontId="28" fillId="0" borderId="8" xfId="10" applyFont="1" applyBorder="1" applyAlignment="1">
      <alignment horizontal="center"/>
    </xf>
    <xf numFmtId="175" fontId="28" fillId="0" borderId="0" xfId="10" applyFont="1" applyAlignment="1">
      <alignment horizontal="center"/>
    </xf>
    <xf numFmtId="0" fontId="11" fillId="2" borderId="0" xfId="26" applyFont="1" applyFill="1" applyAlignment="1">
      <alignment horizontal="center" wrapText="1"/>
    </xf>
    <xf numFmtId="0" fontId="11" fillId="2" borderId="12" xfId="26" applyFont="1" applyFill="1" applyBorder="1" applyAlignment="1">
      <alignment horizontal="center" wrapText="1"/>
    </xf>
    <xf numFmtId="3" fontId="13" fillId="0" borderId="0" xfId="30" applyNumberFormat="1" applyFont="1" applyBorder="1" applyAlignment="1">
      <alignment horizontal="center"/>
    </xf>
    <xf numFmtId="175" fontId="29" fillId="0" borderId="0" xfId="10" applyFont="1" applyAlignment="1">
      <alignment horizontal="center"/>
    </xf>
    <xf numFmtId="3" fontId="13" fillId="10" borderId="0" xfId="30" applyNumberFormat="1" applyFont="1" applyFill="1" applyBorder="1" applyAlignment="1">
      <alignment horizontal="center"/>
    </xf>
    <xf numFmtId="165" fontId="28" fillId="10" borderId="0" xfId="1" applyNumberFormat="1" applyFont="1" applyFill="1" applyAlignment="1">
      <alignment horizontal="left"/>
    </xf>
    <xf numFmtId="165" fontId="28" fillId="10" borderId="1" xfId="1" applyNumberFormat="1" applyFont="1" applyFill="1" applyBorder="1" applyAlignment="1">
      <alignment horizontal="left"/>
    </xf>
    <xf numFmtId="4" fontId="13" fillId="0" borderId="0" xfId="30" applyNumberFormat="1" applyFont="1" applyBorder="1" applyAlignment="1">
      <alignment horizontal="center"/>
    </xf>
    <xf numFmtId="3" fontId="13" fillId="11" borderId="0" xfId="30" applyNumberFormat="1" applyFont="1" applyFill="1" applyBorder="1" applyAlignment="1">
      <alignment horizontal="center"/>
    </xf>
    <xf numFmtId="165" fontId="28" fillId="0" borderId="0" xfId="1" applyNumberFormat="1" applyFont="1" applyAlignment="1">
      <alignment horizontal="center"/>
    </xf>
    <xf numFmtId="165" fontId="28" fillId="11" borderId="0" xfId="1" applyNumberFormat="1" applyFont="1" applyFill="1" applyAlignment="1">
      <alignment horizontal="center"/>
    </xf>
    <xf numFmtId="175" fontId="28" fillId="11" borderId="0" xfId="10" applyFont="1" applyFill="1" applyAlignment="1">
      <alignment horizontal="center"/>
    </xf>
    <xf numFmtId="43" fontId="28" fillId="11" borderId="1" xfId="1" applyFont="1" applyFill="1" applyBorder="1" applyAlignment="1">
      <alignment horizontal="center"/>
    </xf>
    <xf numFmtId="175" fontId="28" fillId="0" borderId="9" xfId="10" applyFont="1" applyBorder="1" applyAlignment="1">
      <alignment horizontal="center"/>
    </xf>
    <xf numFmtId="175" fontId="28" fillId="0" borderId="11" xfId="10" applyFont="1" applyBorder="1" applyAlignment="1">
      <alignment horizontal="center"/>
    </xf>
    <xf numFmtId="175" fontId="28" fillId="0" borderId="15" xfId="10" applyFont="1" applyBorder="1" applyAlignment="1">
      <alignment horizontal="center"/>
    </xf>
    <xf numFmtId="173" fontId="0" fillId="0" borderId="0" xfId="2" applyNumberFormat="1" applyFont="1"/>
    <xf numFmtId="173" fontId="0" fillId="0" borderId="1" xfId="2" applyNumberFormat="1" applyFont="1" applyBorder="1"/>
    <xf numFmtId="175" fontId="13" fillId="0" borderId="12" xfId="10" applyFont="1" applyBorder="1"/>
    <xf numFmtId="1" fontId="0" fillId="0" borderId="0" xfId="0" applyNumberFormat="1" applyAlignment="1">
      <alignment horizontal="left" indent="1"/>
    </xf>
    <xf numFmtId="9" fontId="0" fillId="0" borderId="0" xfId="3" applyFont="1"/>
    <xf numFmtId="176" fontId="0" fillId="0" borderId="0" xfId="3" applyNumberFormat="1" applyFont="1"/>
    <xf numFmtId="175" fontId="13" fillId="0" borderId="0" xfId="10" applyFont="1" applyAlignment="1">
      <alignment horizontal="left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4" fillId="2" borderId="17" xfId="0" applyFont="1" applyFill="1" applyBorder="1" applyAlignment="1">
      <alignment horizontal="center" wrapText="1"/>
    </xf>
    <xf numFmtId="44" fontId="31" fillId="5" borderId="0" xfId="2" applyFont="1" applyFill="1" applyBorder="1"/>
    <xf numFmtId="0" fontId="31" fillId="0" borderId="0" xfId="0" applyFont="1"/>
    <xf numFmtId="3" fontId="24" fillId="2" borderId="1" xfId="0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31" fillId="9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31" fillId="0" borderId="6" xfId="0" applyFont="1" applyBorder="1"/>
    <xf numFmtId="44" fontId="31" fillId="8" borderId="0" xfId="2" applyFont="1" applyFill="1" applyBorder="1"/>
    <xf numFmtId="43" fontId="31" fillId="0" borderId="0" xfId="1" applyFont="1" applyBorder="1"/>
    <xf numFmtId="0" fontId="31" fillId="0" borderId="14" xfId="0" applyFont="1" applyBorder="1"/>
    <xf numFmtId="44" fontId="31" fillId="0" borderId="0" xfId="2" applyFont="1"/>
    <xf numFmtId="44" fontId="24" fillId="2" borderId="1" xfId="2" applyFont="1" applyFill="1" applyBorder="1" applyAlignment="1">
      <alignment horizontal="right"/>
    </xf>
    <xf numFmtId="44" fontId="24" fillId="0" borderId="0" xfId="2" applyFont="1" applyAlignment="1">
      <alignment horizontal="right"/>
    </xf>
    <xf numFmtId="44" fontId="31" fillId="9" borderId="0" xfId="2" applyFont="1" applyFill="1" applyAlignment="1">
      <alignment horizontal="center"/>
    </xf>
    <xf numFmtId="44" fontId="31" fillId="0" borderId="0" xfId="2" applyFont="1" applyAlignment="1">
      <alignment horizontal="center"/>
    </xf>
    <xf numFmtId="44" fontId="31" fillId="0" borderId="6" xfId="2" applyFont="1" applyBorder="1"/>
    <xf numFmtId="1" fontId="0" fillId="0" borderId="0" xfId="0" applyNumberFormat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7" fillId="9" borderId="0" xfId="0" applyFont="1" applyFill="1" applyAlignment="1">
      <alignment horizontal="center" vertical="center" textRotation="90"/>
    </xf>
    <xf numFmtId="0" fontId="7" fillId="3" borderId="0" xfId="0" applyFont="1" applyFill="1" applyAlignment="1">
      <alignment horizontal="center" vertical="center" textRotation="90"/>
    </xf>
    <xf numFmtId="0" fontId="23" fillId="3" borderId="0" xfId="0" applyFont="1" applyFill="1" applyAlignment="1">
      <alignment horizontal="center" vertical="center" textRotation="90"/>
    </xf>
    <xf numFmtId="0" fontId="7" fillId="9" borderId="33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6" xfId="0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6" xfId="0" applyNumberFormat="1" applyFont="1" applyBorder="1" applyAlignment="1">
      <alignment horizontal="center"/>
    </xf>
  </cellXfs>
  <cellStyles count="31">
    <cellStyle name="Comma" xfId="1" builtinId="3"/>
    <cellStyle name="Comma 12" xfId="27" xr:uid="{261DE98D-11D8-44BE-9C5D-8A49F6D8B772}"/>
    <cellStyle name="Comma 13" xfId="30" xr:uid="{EBC20995-AE62-4369-8125-F42396F1F69E}"/>
    <cellStyle name="Comma 14" xfId="11" xr:uid="{763067D1-E497-4334-825A-9BE48BF77CAC}"/>
    <cellStyle name="Comma 15" xfId="25" xr:uid="{86334470-EE8B-4339-A595-A1FBC7E84077}"/>
    <cellStyle name="Comma 5" xfId="22" xr:uid="{56FF838C-666C-48E9-AE71-0F3529D1F202}"/>
    <cellStyle name="Currency" xfId="2" builtinId="4"/>
    <cellStyle name="Currency 2" xfId="7" xr:uid="{00000000-0005-0000-0000-000002000000}"/>
    <cellStyle name="Currency 2 2" xfId="28" xr:uid="{2CC6F4E7-E821-47D8-B011-B0407DFB12A1}"/>
    <cellStyle name="Currency 3" xfId="12" xr:uid="{F7D0590C-A33C-4CDD-ACE9-2112C4581952}"/>
    <cellStyle name="Currency 3 2" xfId="13" xr:uid="{7E9B6523-2BF6-4B07-9B56-3C6BDB494A45}"/>
    <cellStyle name="Currency 4" xfId="15" xr:uid="{F1AD5732-1502-4EAF-AC86-D0537533FC6E}"/>
    <cellStyle name="Normal" xfId="0" builtinId="0"/>
    <cellStyle name="Normal 10" xfId="20" xr:uid="{B87FF0F5-0BAD-4B29-A217-FBE7E4B71685}"/>
    <cellStyle name="Normal 105" xfId="6" xr:uid="{00000000-0005-0000-0000-000004000000}"/>
    <cellStyle name="Normal 13" xfId="26" xr:uid="{10DF9191-BC88-44A9-9E3D-02997614FF48}"/>
    <cellStyle name="Normal 15" xfId="9" xr:uid="{7DF6B78B-472B-48A8-9CB4-FA557BA2E697}"/>
    <cellStyle name="Normal 16" xfId="24" xr:uid="{6113AA18-840F-4BB3-94FB-52FC7279382E}"/>
    <cellStyle name="Normal 2" xfId="8" xr:uid="{00000000-0005-0000-0000-000005000000}"/>
    <cellStyle name="Normal 3" xfId="18" xr:uid="{FD442992-1499-44B2-B9E7-3E3EC5F0727B}"/>
    <cellStyle name="Normal 4" xfId="17" xr:uid="{76B88859-C028-4EFF-B9C2-84C37218938E}"/>
    <cellStyle name="Normal 5" xfId="19" xr:uid="{FD56383A-AD72-4924-A8C2-4688DF38A7EE}"/>
    <cellStyle name="Normal 5 2" xfId="10" xr:uid="{1FB2C396-24DB-477B-850D-23BE2CDAAADF}"/>
    <cellStyle name="Normal_Murrey's Jan-Dec 2012" xfId="5" xr:uid="{00000000-0005-0000-0000-000006000000}"/>
    <cellStyle name="Normal_Price out" xfId="4" xr:uid="{00000000-0005-0000-0000-000007000000}"/>
    <cellStyle name="Percent" xfId="3" builtinId="5"/>
    <cellStyle name="Percent 2" xfId="16" xr:uid="{2229CED6-417E-414E-829A-9E51EDD68DE5}"/>
    <cellStyle name="Percent 3" xfId="21" xr:uid="{4E895703-7270-4F16-B539-D806B7D738FF}"/>
    <cellStyle name="Percent 3 2" xfId="29" xr:uid="{DD9D4D9C-FE99-4D4E-ABB7-A28A93796E3E}"/>
    <cellStyle name="Percent 3 3" xfId="14" xr:uid="{90684F5C-2519-4FDD-832C-CA934035A860}"/>
    <cellStyle name="Percent 8" xfId="23" xr:uid="{9F8170DC-E861-4514-A2B2-B6B9A9AC9AF4}"/>
  </cellStyles>
  <dxfs count="8"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00FF"/>
      <color rgb="FF00FFFF"/>
      <color rgb="FF00FFCC"/>
      <color rgb="FF00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  <sheetName val="Sch 4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FFFF"/>
  </sheetPr>
  <dimension ref="A1:X82"/>
  <sheetViews>
    <sheetView tabSelected="1" zoomScale="85" zoomScaleNormal="85" zoomScalePageLayoutView="55" workbookViewId="0">
      <selection activeCell="M63" sqref="M63"/>
    </sheetView>
  </sheetViews>
  <sheetFormatPr defaultRowHeight="15"/>
  <cols>
    <col min="2" max="2" width="21.28515625" bestFit="1" customWidth="1"/>
    <col min="3" max="3" width="11.5703125" bestFit="1" customWidth="1"/>
    <col min="4" max="4" width="6.140625" style="10" customWidth="1"/>
    <col min="5" max="5" width="34.42578125" customWidth="1"/>
    <col min="6" max="6" width="18.85546875" customWidth="1"/>
    <col min="7" max="7" width="11.7109375" customWidth="1"/>
    <col min="8" max="8" width="15.7109375" customWidth="1"/>
    <col min="9" max="9" width="9" customWidth="1"/>
    <col min="10" max="10" width="15.85546875" style="49" customWidth="1"/>
    <col min="11" max="11" width="16.28515625" style="49" customWidth="1"/>
    <col min="12" max="12" width="14.5703125" customWidth="1"/>
    <col min="13" max="13" width="18.7109375" customWidth="1"/>
    <col min="14" max="14" width="11.42578125" customWidth="1"/>
    <col min="15" max="15" width="26.5703125" style="204" customWidth="1"/>
    <col min="16" max="16" width="15.85546875" style="204" customWidth="1"/>
    <col min="17" max="17" width="14.7109375" customWidth="1"/>
    <col min="18" max="18" width="16.5703125" customWidth="1"/>
    <col min="19" max="19" width="13.7109375" bestFit="1" customWidth="1"/>
    <col min="20" max="20" width="0.85546875" customWidth="1"/>
    <col min="21" max="21" width="1.140625" customWidth="1"/>
    <col min="23" max="23" width="9.140625" style="4"/>
    <col min="24" max="24" width="11.5703125" bestFit="1" customWidth="1"/>
    <col min="25" max="26" width="12" bestFit="1" customWidth="1"/>
  </cols>
  <sheetData>
    <row r="1" spans="1:24" ht="26.25">
      <c r="A1" s="221" t="s">
        <v>235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W1" s="36"/>
    </row>
    <row r="2" spans="1:24" ht="15.95" customHeight="1">
      <c r="A2" s="71" t="s">
        <v>0</v>
      </c>
      <c r="B2" s="27"/>
      <c r="C2" s="27"/>
      <c r="D2" s="34"/>
      <c r="E2" s="27"/>
      <c r="F2" s="27"/>
      <c r="G2" s="27"/>
      <c r="H2" s="27"/>
      <c r="I2" s="27"/>
      <c r="J2" s="48"/>
      <c r="K2" s="48"/>
      <c r="L2" s="27"/>
      <c r="M2" s="27"/>
      <c r="N2" s="27"/>
      <c r="O2" s="200"/>
      <c r="P2" s="200"/>
      <c r="Q2" s="27"/>
      <c r="R2" s="27"/>
      <c r="S2" s="27"/>
    </row>
    <row r="3" spans="1:24" ht="15.95" customHeight="1">
      <c r="A3" s="71" t="s">
        <v>236</v>
      </c>
      <c r="B3" s="27"/>
      <c r="C3" s="27"/>
      <c r="D3" s="34"/>
      <c r="E3" s="27"/>
      <c r="F3" s="27"/>
      <c r="G3" s="27"/>
      <c r="H3" s="27"/>
      <c r="I3" s="27"/>
      <c r="J3" s="48"/>
      <c r="K3" s="48"/>
      <c r="L3" s="27"/>
      <c r="M3" s="27"/>
      <c r="N3" s="27"/>
      <c r="O3" s="200"/>
      <c r="P3" s="200"/>
      <c r="Q3" s="27"/>
      <c r="R3" s="27"/>
      <c r="S3" s="27"/>
    </row>
    <row r="4" spans="1:24" ht="16.899999999999999" customHeight="1">
      <c r="A4" s="53"/>
      <c r="B4" s="27"/>
      <c r="C4" s="27"/>
      <c r="D4" s="34"/>
      <c r="E4" s="27"/>
      <c r="F4" s="27"/>
      <c r="G4" s="27"/>
      <c r="H4" s="27"/>
      <c r="I4" s="27"/>
      <c r="J4" s="48"/>
      <c r="K4" s="48"/>
      <c r="L4" s="27"/>
      <c r="M4" s="27"/>
      <c r="N4" s="69"/>
      <c r="O4" s="201"/>
      <c r="P4" s="201"/>
      <c r="Q4" s="52"/>
      <c r="R4" s="52"/>
      <c r="S4" s="52"/>
      <c r="T4" s="31"/>
    </row>
    <row r="5" spans="1:24" ht="44.25" customHeight="1" thickBot="1">
      <c r="O5" s="201"/>
      <c r="P5" s="201"/>
      <c r="Q5" s="52"/>
      <c r="R5" s="52"/>
      <c r="S5" s="52"/>
      <c r="T5" s="31"/>
    </row>
    <row r="6" spans="1:24" ht="60.75" thickTop="1">
      <c r="A6" s="54" t="s">
        <v>1</v>
      </c>
      <c r="B6" s="75" t="s">
        <v>2</v>
      </c>
      <c r="C6" s="76" t="s">
        <v>3</v>
      </c>
      <c r="D6" s="77" t="s">
        <v>4</v>
      </c>
      <c r="E6" s="78" t="s">
        <v>5</v>
      </c>
      <c r="F6" s="79" t="s">
        <v>6</v>
      </c>
      <c r="G6" s="79" t="s">
        <v>7</v>
      </c>
      <c r="H6" s="76" t="s">
        <v>8</v>
      </c>
      <c r="I6" s="77" t="s">
        <v>9</v>
      </c>
      <c r="J6" s="80" t="s">
        <v>10</v>
      </c>
      <c r="K6" s="80" t="s">
        <v>11</v>
      </c>
      <c r="L6" s="79" t="s">
        <v>12</v>
      </c>
      <c r="M6" s="79" t="s">
        <v>13</v>
      </c>
      <c r="N6" s="79" t="s">
        <v>14</v>
      </c>
      <c r="O6" s="202" t="s">
        <v>15</v>
      </c>
      <c r="P6" s="202" t="s">
        <v>16</v>
      </c>
      <c r="Q6" s="79" t="s">
        <v>17</v>
      </c>
      <c r="R6" s="79" t="s">
        <v>18</v>
      </c>
      <c r="S6" s="81" t="s">
        <v>19</v>
      </c>
      <c r="T6" s="31"/>
      <c r="V6" s="66" t="s">
        <v>20</v>
      </c>
      <c r="W6" s="67" t="s">
        <v>21</v>
      </c>
    </row>
    <row r="7" spans="1:24" ht="15" customHeight="1">
      <c r="B7" s="82"/>
      <c r="C7" s="164"/>
      <c r="D7" s="83"/>
      <c r="E7" s="165"/>
      <c r="F7" s="72"/>
      <c r="G7" s="46"/>
      <c r="H7" s="72"/>
      <c r="J7" s="84"/>
      <c r="K7" s="84"/>
      <c r="L7" s="85"/>
      <c r="M7" s="85"/>
      <c r="N7" s="85"/>
      <c r="O7" s="86"/>
      <c r="P7" s="203"/>
      <c r="Q7" s="25"/>
      <c r="R7" s="25"/>
      <c r="S7" s="87"/>
      <c r="T7" s="31"/>
      <c r="V7" s="3"/>
      <c r="X7" s="15"/>
    </row>
    <row r="8" spans="1:24" ht="15" customHeight="1">
      <c r="A8">
        <v>1</v>
      </c>
      <c r="B8" s="82" t="s">
        <v>22</v>
      </c>
      <c r="C8" s="223" t="s">
        <v>23</v>
      </c>
      <c r="D8" s="83">
        <v>23</v>
      </c>
      <c r="E8" s="173" t="s">
        <v>44</v>
      </c>
      <c r="F8" s="72">
        <f>'UnitCounts-TG-230188'!E19/12</f>
        <v>114.5603383608932</v>
      </c>
      <c r="G8" s="166">
        <f>INDEX(References!$G$2:$N$9,MATCH($B8,References!$G$2:$G$9,0),MATCH(LEFT($E8,1)&amp;" units",References!$G$2:$N$2,0))</f>
        <v>4.333333333333333</v>
      </c>
      <c r="H8" s="72">
        <f t="shared" ref="H8:H10" si="0">+F8*G8*12</f>
        <v>5957.1375947664455</v>
      </c>
      <c r="I8">
        <f>References!$C$4</f>
        <v>34</v>
      </c>
      <c r="J8" s="84">
        <f t="shared" ref="J8:J9" si="1">+I8*H8</f>
        <v>202542.67822205916</v>
      </c>
      <c r="K8" s="84">
        <f>+J8*$F$80</f>
        <v>136834.75017005549</v>
      </c>
      <c r="L8" s="85">
        <f>+K8*References!$C$43</f>
        <v>132.04553391410363</v>
      </c>
      <c r="M8" s="85">
        <f>+L8/References!$F$46</f>
        <v>135.09876602629797</v>
      </c>
      <c r="N8" s="85">
        <f t="shared" ref="N8:N10" si="2">IFERROR(M8/H8*G8,0)</f>
        <v>9.8273369852708597E-2</v>
      </c>
      <c r="O8" s="86">
        <v>9.5500000000000007</v>
      </c>
      <c r="P8" s="203">
        <f>ROUND(N8+O8,2)</f>
        <v>9.65</v>
      </c>
      <c r="Q8" s="25">
        <f t="shared" ref="Q8:Q10" si="3">+O8*F8*12</f>
        <v>13128.614776158362</v>
      </c>
      <c r="R8" s="25">
        <f t="shared" ref="R8:R10" si="4">+P8*F8*12</f>
        <v>13266.087182191433</v>
      </c>
      <c r="S8" s="87">
        <f t="shared" ref="S8:S9" si="5">+R8-Q8</f>
        <v>137.47240603307182</v>
      </c>
      <c r="T8" s="31"/>
      <c r="V8" s="3">
        <f>(((I8*References!$C$43*'Disp Increase Calc'!$F$80)/References!$F$46)*G8)</f>
        <v>9.827336985270857E-2</v>
      </c>
      <c r="W8" s="4">
        <f t="shared" ref="W8:W9" si="6">N8-V8</f>
        <v>0</v>
      </c>
      <c r="X8" s="15"/>
    </row>
    <row r="9" spans="1:24" ht="15" customHeight="1">
      <c r="A9">
        <v>2</v>
      </c>
      <c r="B9" s="82" t="s">
        <v>22</v>
      </c>
      <c r="C9" s="223"/>
      <c r="D9" s="83">
        <v>23</v>
      </c>
      <c r="E9" s="173" t="s">
        <v>24</v>
      </c>
      <c r="F9" s="72">
        <f>('UnitCounts-TG-230188'!E22/12)+('UnitCounts-TG-230188'!E23/12*2)</f>
        <v>498.0916666666667</v>
      </c>
      <c r="G9" s="166">
        <f>INDEX(References!$G$2:$N$9,MATCH($B9,References!$G$2:$G$9,0),MATCH(LEFT($E9,1)&amp;" units",References!$G$2:$N$2,0))</f>
        <v>4.333333333333333</v>
      </c>
      <c r="H9" s="72">
        <f t="shared" si="0"/>
        <v>25900.76666666667</v>
      </c>
      <c r="I9">
        <f>References!$C$11</f>
        <v>47</v>
      </c>
      <c r="J9" s="84">
        <f t="shared" si="1"/>
        <v>1217336.0333333334</v>
      </c>
      <c r="K9" s="84">
        <f>+J9*$F$80</f>
        <v>822413.69303682516</v>
      </c>
      <c r="L9" s="85">
        <f>+K9*References!$C$43</f>
        <v>793.62921378053682</v>
      </c>
      <c r="M9" s="85">
        <f>+L9/References!$F$46</f>
        <v>811.97996089680453</v>
      </c>
      <c r="N9" s="85">
        <f t="shared" si="2"/>
        <v>0.13584848185521478</v>
      </c>
      <c r="O9" s="86">
        <v>14.06</v>
      </c>
      <c r="P9" s="203">
        <f t="shared" ref="P9:P12" si="7">ROUND(N9+O9,2)</f>
        <v>14.2</v>
      </c>
      <c r="Q9" s="25">
        <f t="shared" si="3"/>
        <v>84038.026000000013</v>
      </c>
      <c r="R9" s="25">
        <f t="shared" si="4"/>
        <v>84874.82</v>
      </c>
      <c r="S9" s="87">
        <f t="shared" si="5"/>
        <v>836.79399999999441</v>
      </c>
      <c r="T9" s="31"/>
      <c r="V9" s="3">
        <f>(((I9*References!$C$43*'Disp Increase Calc'!$F$80)/References!$F$46)*G9)</f>
        <v>0.13584848185521478</v>
      </c>
      <c r="W9" s="4">
        <f t="shared" si="6"/>
        <v>0</v>
      </c>
      <c r="X9" s="15"/>
    </row>
    <row r="10" spans="1:24" ht="15" customHeight="1">
      <c r="A10">
        <v>3</v>
      </c>
      <c r="B10" s="82" t="s">
        <v>22</v>
      </c>
      <c r="C10" s="223"/>
      <c r="D10" s="83">
        <v>23</v>
      </c>
      <c r="E10" s="173" t="s">
        <v>25</v>
      </c>
      <c r="F10" s="72">
        <f>'UnitCounts-TG-230188'!E24/12</f>
        <v>1722</v>
      </c>
      <c r="G10" s="166">
        <f>INDEX(References!$G$2:$N$9,MATCH($B10,References!$G$2:$G$9,0),MATCH(LEFT($E10,1)&amp;" units",References!$G$2:$N$2,0))</f>
        <v>4.333333333333333</v>
      </c>
      <c r="H10" s="72">
        <f t="shared" si="0"/>
        <v>89543.999999999985</v>
      </c>
      <c r="I10">
        <f>References!$C$12</f>
        <v>68</v>
      </c>
      <c r="J10" s="84">
        <f t="shared" ref="J10" si="8">+I10*H10</f>
        <v>6088991.9999999991</v>
      </c>
      <c r="K10" s="84">
        <f>+J10*$F$80</f>
        <v>4113630.30459189</v>
      </c>
      <c r="L10" s="85">
        <f>+K10*References!$C$43</f>
        <v>3969.6532439311763</v>
      </c>
      <c r="M10" s="85">
        <f>+L10/References!$F$46</f>
        <v>4061.4418292727401</v>
      </c>
      <c r="N10" s="85">
        <f t="shared" si="2"/>
        <v>0.19654673970541717</v>
      </c>
      <c r="O10" s="86">
        <v>17.59</v>
      </c>
      <c r="P10" s="203">
        <f t="shared" si="7"/>
        <v>17.79</v>
      </c>
      <c r="Q10" s="25">
        <f t="shared" si="3"/>
        <v>363479.76</v>
      </c>
      <c r="R10" s="25">
        <f t="shared" si="4"/>
        <v>367612.55999999994</v>
      </c>
      <c r="S10" s="87">
        <f t="shared" ref="S10" si="9">+R10-Q10</f>
        <v>4132.7999999999302</v>
      </c>
      <c r="T10" s="31"/>
      <c r="V10" s="3">
        <f>(((I10*References!$C$43*'Disp Increase Calc'!$F$80)/References!$F$46)*G10)</f>
        <v>0.19654673970541714</v>
      </c>
      <c r="W10" s="4">
        <f t="shared" ref="W10" si="10">N10-V10</f>
        <v>0</v>
      </c>
      <c r="X10" s="15"/>
    </row>
    <row r="11" spans="1:24" ht="15" customHeight="1">
      <c r="A11">
        <v>4</v>
      </c>
      <c r="B11" s="82"/>
      <c r="C11" s="223"/>
      <c r="D11" s="83">
        <v>24</v>
      </c>
      <c r="E11" s="173" t="s">
        <v>26</v>
      </c>
      <c r="F11" s="167"/>
      <c r="G11" s="5">
        <v>1</v>
      </c>
      <c r="H11" s="72">
        <f>'UnitCounts-TG-230188'!E26</f>
        <v>522</v>
      </c>
      <c r="I11">
        <f>References!$C$14</f>
        <v>34</v>
      </c>
      <c r="J11" s="84">
        <f>+I11*H11</f>
        <v>17748</v>
      </c>
      <c r="K11" s="84">
        <f>+J11*$F$80</f>
        <v>11990.278628366874</v>
      </c>
      <c r="L11" s="85">
        <f>+K11*References!$C$43</f>
        <v>11.57061887637404</v>
      </c>
      <c r="M11" s="85">
        <f>+L11/References!$F$46</f>
        <v>11.838161322257049</v>
      </c>
      <c r="N11" s="85">
        <f>IFERROR(M11/H11,0)</f>
        <v>2.2678469966009671E-2</v>
      </c>
      <c r="O11" s="86">
        <v>2.67</v>
      </c>
      <c r="P11" s="203">
        <f t="shared" si="7"/>
        <v>2.69</v>
      </c>
      <c r="Q11" s="25">
        <f>+O11*H11</f>
        <v>1393.74</v>
      </c>
      <c r="R11" s="25">
        <f>+P11*H11</f>
        <v>1404.18</v>
      </c>
      <c r="S11" s="87">
        <f>+R11-Q11</f>
        <v>10.440000000000055</v>
      </c>
      <c r="T11" s="31"/>
      <c r="V11" s="3">
        <f>(((I11*References!$C$43*'Disp Increase Calc'!$F$80)/References!$F$46)*G11)</f>
        <v>2.2678469966009671E-2</v>
      </c>
      <c r="W11" s="4">
        <f>N11-V11</f>
        <v>0</v>
      </c>
      <c r="X11" s="15"/>
    </row>
    <row r="12" spans="1:24" ht="15" customHeight="1">
      <c r="A12">
        <v>5</v>
      </c>
      <c r="B12" s="82"/>
      <c r="C12" s="223"/>
      <c r="D12" s="83">
        <v>24</v>
      </c>
      <c r="E12" s="173" t="s">
        <v>27</v>
      </c>
      <c r="G12" s="5">
        <v>1</v>
      </c>
      <c r="H12" s="72">
        <f>'UnitCounts-TG-230188'!E25</f>
        <v>5</v>
      </c>
      <c r="I12">
        <f>References!$C$14</f>
        <v>34</v>
      </c>
      <c r="J12" s="84">
        <f t="shared" ref="J12" si="11">+I12*H12</f>
        <v>170</v>
      </c>
      <c r="K12" s="84">
        <f>+J12*$F$80</f>
        <v>114.84941214910799</v>
      </c>
      <c r="L12" s="85">
        <f>+K12*References!$C$43</f>
        <v>0.11082968272388928</v>
      </c>
      <c r="M12" s="85">
        <f>+L12/References!$F$46</f>
        <v>0.11339234983004837</v>
      </c>
      <c r="N12" s="85">
        <f>IFERROR(M12/H12,0)</f>
        <v>2.2678469966009675E-2</v>
      </c>
      <c r="O12" s="86">
        <v>5.95</v>
      </c>
      <c r="P12" s="203">
        <f t="shared" si="7"/>
        <v>5.97</v>
      </c>
      <c r="Q12" s="25">
        <f>+O12*H12</f>
        <v>29.75</v>
      </c>
      <c r="R12" s="25">
        <f>+P12*H12</f>
        <v>29.849999999999998</v>
      </c>
      <c r="S12" s="87">
        <f t="shared" ref="S12" si="12">+R12-Q12</f>
        <v>9.9999999999997868E-2</v>
      </c>
      <c r="T12" s="31"/>
      <c r="V12" s="3">
        <f>(((I12*References!$C$43*'Disp Increase Calc'!$F$80)/References!$F$46)*G12)</f>
        <v>2.2678469966009671E-2</v>
      </c>
      <c r="W12" s="4">
        <f>N12-V12</f>
        <v>0</v>
      </c>
      <c r="X12" s="15"/>
    </row>
    <row r="13" spans="1:24" ht="15" customHeight="1">
      <c r="A13">
        <v>6</v>
      </c>
      <c r="B13" s="82"/>
      <c r="C13" s="88"/>
      <c r="D13" s="83"/>
      <c r="E13" s="89" t="s">
        <v>28</v>
      </c>
      <c r="F13" s="65">
        <f>SUM(F8:F10,H11,H12:H12)-'UnitCounts-TG-230188'!I27</f>
        <v>0</v>
      </c>
      <c r="J13" s="84"/>
      <c r="K13" s="84"/>
      <c r="P13" s="213"/>
      <c r="Q13" s="25"/>
      <c r="R13" s="25"/>
      <c r="S13" s="90"/>
      <c r="T13" s="31"/>
      <c r="X13" s="15"/>
    </row>
    <row r="14" spans="1:24" ht="15" customHeight="1">
      <c r="A14">
        <v>7</v>
      </c>
      <c r="B14" s="91"/>
      <c r="C14" s="22"/>
      <c r="D14" s="35"/>
      <c r="E14" s="22" t="s">
        <v>29</v>
      </c>
      <c r="F14" s="22">
        <f>SUM(F8:F12)</f>
        <v>2334.6520050275599</v>
      </c>
      <c r="G14" s="22"/>
      <c r="H14" s="22">
        <f>SUM(H8:H12)</f>
        <v>121928.9042614331</v>
      </c>
      <c r="I14" s="22"/>
      <c r="J14" s="50">
        <f>SUM(J8:J12)</f>
        <v>7526788.7115553916</v>
      </c>
      <c r="K14" s="50">
        <f>SUM(K8:K12)</f>
        <v>5084983.8758392865</v>
      </c>
      <c r="L14" s="28">
        <f>SUM(L8:L12)</f>
        <v>4907.0094401849155</v>
      </c>
      <c r="M14" s="28">
        <f>SUM(M8:M12)</f>
        <v>5020.4721098679302</v>
      </c>
      <c r="N14" s="28">
        <f>SUM(N8:N12)</f>
        <v>0.47602553134535996</v>
      </c>
      <c r="O14" s="205"/>
      <c r="P14" s="214"/>
      <c r="Q14" s="32">
        <f>SUM(Q8:Q12)</f>
        <v>462069.89077615837</v>
      </c>
      <c r="R14" s="32">
        <f>SUM(R8:R12)</f>
        <v>467187.49718219135</v>
      </c>
      <c r="S14" s="92">
        <f>SUM(S8:S12)</f>
        <v>5117.6064060329973</v>
      </c>
      <c r="T14" s="31"/>
      <c r="V14" s="198">
        <f>+S14/Q14</f>
        <v>1.1075394671218973E-2</v>
      </c>
      <c r="X14" s="15"/>
    </row>
    <row r="15" spans="1:24" ht="15" customHeight="1">
      <c r="A15">
        <v>8</v>
      </c>
      <c r="B15" s="93"/>
      <c r="C15" s="94"/>
      <c r="D15" s="95"/>
      <c r="E15" s="94"/>
      <c r="F15" s="94"/>
      <c r="G15" s="94"/>
      <c r="H15" s="94"/>
      <c r="I15" s="94"/>
      <c r="J15" s="96"/>
      <c r="K15" s="96"/>
      <c r="L15" s="94"/>
      <c r="M15" s="94"/>
      <c r="N15" s="94"/>
      <c r="O15" s="206"/>
      <c r="P15" s="215"/>
      <c r="Q15" s="97"/>
      <c r="R15" s="97"/>
      <c r="S15" s="98"/>
      <c r="T15" s="31"/>
      <c r="X15" s="15"/>
    </row>
    <row r="16" spans="1:24" ht="15" customHeight="1">
      <c r="A16">
        <v>9</v>
      </c>
      <c r="B16" s="82"/>
      <c r="C16" s="222" t="s">
        <v>30</v>
      </c>
      <c r="D16" s="83">
        <v>25</v>
      </c>
      <c r="E16" s="173" t="s">
        <v>31</v>
      </c>
      <c r="H16" s="72">
        <f>'UnitCounts-TG-230188'!E27</f>
        <v>28</v>
      </c>
      <c r="I16" s="72">
        <f>References!C32</f>
        <v>125</v>
      </c>
      <c r="J16" s="84">
        <f t="shared" ref="J16:J17" si="13">+I16*H16</f>
        <v>3500</v>
      </c>
      <c r="K16" s="84">
        <f t="shared" ref="K16:K21" si="14">+J16*$F$80</f>
        <v>2364.546720716929</v>
      </c>
      <c r="L16" s="85">
        <f>+K16*References!$C$43</f>
        <v>2.2817875854918377</v>
      </c>
      <c r="M16" s="85">
        <f>+L16/References!$F$46</f>
        <v>2.3345483788539365</v>
      </c>
      <c r="N16" s="85">
        <f t="shared" ref="N16:N17" si="15">IFERROR(M16/H16,0)</f>
        <v>8.3376727816212012E-2</v>
      </c>
      <c r="O16" s="86">
        <v>9.25</v>
      </c>
      <c r="P16" s="203">
        <f t="shared" ref="P16:P21" si="16">ROUND(N16+O16,2)</f>
        <v>9.33</v>
      </c>
      <c r="Q16" s="25">
        <f t="shared" ref="Q16:Q17" si="17">+O16*H16</f>
        <v>259</v>
      </c>
      <c r="R16" s="25">
        <f t="shared" ref="R16:R17" si="18">+P16*H16</f>
        <v>261.24</v>
      </c>
      <c r="S16" s="87">
        <f t="shared" ref="S16:S17" si="19">+R16-Q16</f>
        <v>2.2400000000000091</v>
      </c>
      <c r="T16" s="31"/>
      <c r="V16" s="3">
        <f>(((I16*References!$C$43*'Disp Increase Calc'!$F$80)/References!$F$46))</f>
        <v>8.3376727816212026E-2</v>
      </c>
      <c r="W16" s="4">
        <f t="shared" ref="W16" si="20">N16-V16</f>
        <v>0</v>
      </c>
      <c r="X16" s="15"/>
    </row>
    <row r="17" spans="1:24">
      <c r="A17">
        <v>10</v>
      </c>
      <c r="B17" s="82"/>
      <c r="C17" s="222"/>
      <c r="D17" s="10">
        <v>32</v>
      </c>
      <c r="E17" t="s">
        <v>239</v>
      </c>
      <c r="G17" s="3"/>
      <c r="H17" s="72">
        <f>'UnitCounts-TG-230188'!G41</f>
        <v>2400.4048685654093</v>
      </c>
      <c r="I17" s="219">
        <f>References!$C$16</f>
        <v>175</v>
      </c>
      <c r="J17" s="84">
        <f t="shared" si="13"/>
        <v>420070.85199894663</v>
      </c>
      <c r="K17" s="84">
        <f t="shared" si="14"/>
        <v>283793.47301796451</v>
      </c>
      <c r="L17" s="85">
        <f>+K17*References!$C$43</f>
        <v>273.8607014623359</v>
      </c>
      <c r="M17" s="85">
        <f>+L17/References!$F$46</f>
        <v>280.19306472512369</v>
      </c>
      <c r="N17" s="85">
        <f t="shared" si="15"/>
        <v>0.11672741894269685</v>
      </c>
      <c r="O17" s="86">
        <v>10.74</v>
      </c>
      <c r="P17" s="203">
        <f t="shared" si="16"/>
        <v>10.86</v>
      </c>
      <c r="Q17" s="25">
        <f t="shared" si="17"/>
        <v>25780.348288392495</v>
      </c>
      <c r="R17" s="25">
        <f t="shared" si="18"/>
        <v>26068.396872620342</v>
      </c>
      <c r="S17" s="87">
        <f t="shared" si="19"/>
        <v>288.04858422784673</v>
      </c>
      <c r="T17" s="31"/>
      <c r="V17" s="3">
        <f>(((I17*References!$C$43*'Disp Increase Calc'!$F$80)/References!$F$46))</f>
        <v>0.11672741894269685</v>
      </c>
      <c r="W17" s="4">
        <f t="shared" ref="W17:W21" si="21">N17-V17</f>
        <v>0</v>
      </c>
      <c r="X17" s="15"/>
    </row>
    <row r="18" spans="1:24">
      <c r="A18">
        <v>11</v>
      </c>
      <c r="B18" s="82"/>
      <c r="C18" s="222"/>
      <c r="D18" s="83">
        <v>32</v>
      </c>
      <c r="E18" t="s">
        <v>32</v>
      </c>
      <c r="H18" s="72">
        <f>'UnitCounts-TG-230188'!G43+'UnitCounts-TG-230188'!G44</f>
        <v>33458.699712162386</v>
      </c>
      <c r="I18">
        <f>References!C17</f>
        <v>250</v>
      </c>
      <c r="J18" s="84">
        <f t="shared" ref="J18:J21" si="22">+I18*H18</f>
        <v>8364674.9280405967</v>
      </c>
      <c r="K18" s="84">
        <f t="shared" si="14"/>
        <v>5651047.0488461452</v>
      </c>
      <c r="L18" s="85">
        <f>+K18*References!$C$43</f>
        <v>5453.2604021365332</v>
      </c>
      <c r="M18" s="85">
        <f>+L18/References!$F$46</f>
        <v>5579.3537979706698</v>
      </c>
      <c r="N18" s="85">
        <f t="shared" ref="N18:N21" si="23">IFERROR(M18/H18,0)</f>
        <v>0.16675345563242405</v>
      </c>
      <c r="O18" s="86">
        <v>12.05</v>
      </c>
      <c r="P18" s="203">
        <f t="shared" si="16"/>
        <v>12.22</v>
      </c>
      <c r="Q18" s="25">
        <f t="shared" ref="Q18:Q20" si="24">+O18*H18</f>
        <v>403177.33153155679</v>
      </c>
      <c r="R18" s="25">
        <f t="shared" ref="R18:R20" si="25">+P18*H18</f>
        <v>408865.31048262439</v>
      </c>
      <c r="S18" s="87">
        <f t="shared" ref="S18:S20" si="26">+R18-Q18</f>
        <v>5687.9789510676055</v>
      </c>
      <c r="T18" s="31"/>
      <c r="U18" s="5"/>
      <c r="V18" s="3">
        <f>(((I18*References!$C$43*'Disp Increase Calc'!$F$80)/References!$F$46))</f>
        <v>0.16675345563242405</v>
      </c>
      <c r="W18" s="4">
        <f t="shared" si="21"/>
        <v>0</v>
      </c>
      <c r="X18" s="15"/>
    </row>
    <row r="19" spans="1:24">
      <c r="A19">
        <v>12</v>
      </c>
      <c r="B19" s="82"/>
      <c r="C19" s="222"/>
      <c r="D19" s="10">
        <v>32</v>
      </c>
      <c r="E19" t="s">
        <v>33</v>
      </c>
      <c r="H19" s="72">
        <f>'UnitCounts-TG-230188'!E46</f>
        <v>74</v>
      </c>
      <c r="I19">
        <f>References!C17</f>
        <v>250</v>
      </c>
      <c r="J19" s="84">
        <f t="shared" si="22"/>
        <v>18500</v>
      </c>
      <c r="K19" s="84">
        <f t="shared" si="14"/>
        <v>12498.31838093234</v>
      </c>
      <c r="L19" s="85">
        <f>+K19*References!$C$43</f>
        <v>12.060877237599716</v>
      </c>
      <c r="M19" s="85">
        <f>+L19/References!$F$46</f>
        <v>12.339755716799381</v>
      </c>
      <c r="N19" s="85">
        <f t="shared" si="23"/>
        <v>0.16675345563242408</v>
      </c>
      <c r="O19" s="86">
        <v>32.049999999999997</v>
      </c>
      <c r="P19" s="203">
        <f t="shared" si="16"/>
        <v>32.22</v>
      </c>
      <c r="Q19" s="25">
        <f t="shared" si="24"/>
        <v>2371.6999999999998</v>
      </c>
      <c r="R19" s="25">
        <f t="shared" si="25"/>
        <v>2384.2799999999997</v>
      </c>
      <c r="S19" s="87">
        <f t="shared" si="26"/>
        <v>12.579999999999927</v>
      </c>
      <c r="T19" s="31"/>
      <c r="U19" s="5"/>
      <c r="V19" s="3">
        <f>(((I19*References!$C$43*'Disp Increase Calc'!$F$80)/References!$F$46))</f>
        <v>0.16675345563242405</v>
      </c>
      <c r="W19" s="4">
        <f t="shared" si="21"/>
        <v>0</v>
      </c>
      <c r="X19" s="15"/>
    </row>
    <row r="20" spans="1:24">
      <c r="A20">
        <v>13</v>
      </c>
      <c r="B20" s="82"/>
      <c r="C20" s="222"/>
      <c r="D20" s="83">
        <v>32</v>
      </c>
      <c r="E20" t="s">
        <v>34</v>
      </c>
      <c r="H20" s="72">
        <f>'UnitCounts-TG-230188'!E45</f>
        <v>21</v>
      </c>
      <c r="I20">
        <f>References!C17</f>
        <v>250</v>
      </c>
      <c r="J20" s="84">
        <f t="shared" si="22"/>
        <v>5250</v>
      </c>
      <c r="K20" s="84">
        <f t="shared" si="14"/>
        <v>3546.8200810753938</v>
      </c>
      <c r="L20" s="85">
        <f>+K20*References!$C$43</f>
        <v>3.422681378237757</v>
      </c>
      <c r="M20" s="85">
        <f>+L20/References!$F$46</f>
        <v>3.5018225682809052</v>
      </c>
      <c r="N20" s="85">
        <f t="shared" si="23"/>
        <v>0.16675345563242405</v>
      </c>
      <c r="O20" s="86">
        <v>32.049999999999997</v>
      </c>
      <c r="P20" s="203">
        <f t="shared" si="16"/>
        <v>32.22</v>
      </c>
      <c r="Q20" s="25">
        <f t="shared" si="24"/>
        <v>673.05</v>
      </c>
      <c r="R20" s="25">
        <f t="shared" si="25"/>
        <v>676.62</v>
      </c>
      <c r="S20" s="87">
        <f t="shared" si="26"/>
        <v>3.57000000000005</v>
      </c>
      <c r="T20" s="31"/>
      <c r="U20" s="5"/>
      <c r="V20" s="3">
        <f>(((I20*References!$C$43*'Disp Increase Calc'!$F$80)/References!$F$46))</f>
        <v>0.16675345563242405</v>
      </c>
      <c r="W20" s="4">
        <f t="shared" si="21"/>
        <v>0</v>
      </c>
      <c r="X20" s="15"/>
    </row>
    <row r="21" spans="1:24" ht="15" customHeight="1">
      <c r="A21">
        <v>14</v>
      </c>
      <c r="B21" s="82"/>
      <c r="C21" s="222"/>
      <c r="D21" s="83">
        <v>34</v>
      </c>
      <c r="E21" t="s">
        <v>256</v>
      </c>
      <c r="H21" s="72">
        <f>'UnitCounts-TG-230188'!G55</f>
        <v>70.144582651391161</v>
      </c>
      <c r="I21">
        <f>References!$C$15</f>
        <v>29</v>
      </c>
      <c r="J21" s="84">
        <f t="shared" si="22"/>
        <v>2034.1928968903437</v>
      </c>
      <c r="K21" s="84">
        <f t="shared" si="14"/>
        <v>1374.2697553279236</v>
      </c>
      <c r="L21" s="85">
        <f>+K21*References!$C$43</f>
        <v>1.3261703138914471</v>
      </c>
      <c r="M21" s="85">
        <f>+L21/References!$F$46</f>
        <v>1.3568347799175844</v>
      </c>
      <c r="N21" s="85">
        <f t="shared" si="23"/>
        <v>1.9343400853361191E-2</v>
      </c>
      <c r="O21" s="86">
        <v>1.95</v>
      </c>
      <c r="P21" s="203">
        <f t="shared" si="16"/>
        <v>1.97</v>
      </c>
      <c r="Q21" s="25">
        <f t="shared" ref="Q21" si="27">+O21*H21</f>
        <v>136.78193617021276</v>
      </c>
      <c r="R21" s="25">
        <f t="shared" ref="R21" si="28">+P21*H21</f>
        <v>138.1848278232406</v>
      </c>
      <c r="S21" s="87">
        <f t="shared" ref="S21" si="29">+R21-Q21</f>
        <v>1.4028916530278366</v>
      </c>
      <c r="T21" s="31"/>
      <c r="U21" s="5"/>
      <c r="V21" s="3">
        <f>(((I21*References!$C$43*'Disp Increase Calc'!$F$80)/References!$F$46))</f>
        <v>1.9343400853361191E-2</v>
      </c>
      <c r="W21" s="4">
        <f t="shared" si="21"/>
        <v>0</v>
      </c>
      <c r="X21" s="15"/>
    </row>
    <row r="22" spans="1:24" ht="15" customHeight="1">
      <c r="A22">
        <v>16</v>
      </c>
      <c r="B22" s="82"/>
      <c r="D22" s="83"/>
      <c r="J22" s="84"/>
      <c r="K22" s="84"/>
      <c r="P22" s="213"/>
      <c r="Q22" s="25"/>
      <c r="R22" s="25"/>
      <c r="S22" s="90"/>
      <c r="T22" s="31"/>
      <c r="X22" s="15"/>
    </row>
    <row r="23" spans="1:24" ht="15" customHeight="1">
      <c r="A23">
        <v>17</v>
      </c>
      <c r="B23" s="91"/>
      <c r="C23" s="22"/>
      <c r="D23" s="35"/>
      <c r="E23" s="22" t="s">
        <v>29</v>
      </c>
      <c r="F23" s="22">
        <f>SUM(F16:F21)</f>
        <v>0</v>
      </c>
      <c r="G23" s="22"/>
      <c r="H23" s="22">
        <f>SUM(H16:H21)</f>
        <v>36052.249163379187</v>
      </c>
      <c r="I23" s="22"/>
      <c r="J23" s="50">
        <f>SUM(J16:J21)</f>
        <v>8814029.9729364328</v>
      </c>
      <c r="K23" s="50">
        <f>SUM(K16:K21)</f>
        <v>5954624.4768021628</v>
      </c>
      <c r="L23" s="22"/>
      <c r="M23" s="22"/>
      <c r="N23" s="22"/>
      <c r="O23" s="205"/>
      <c r="P23" s="214"/>
      <c r="Q23" s="32">
        <f>SUM(Q16:Q21)</f>
        <v>432398.21175611945</v>
      </c>
      <c r="R23" s="32">
        <f>SUM(R16:R21)</f>
        <v>438394.03218306799</v>
      </c>
      <c r="S23" s="92">
        <f>SUM(S16:S21)</f>
        <v>5995.8204269484795</v>
      </c>
      <c r="T23" s="31"/>
      <c r="V23" s="198">
        <f>+S23/Q23</f>
        <v>1.3866432061773263E-2</v>
      </c>
      <c r="X23" s="15"/>
    </row>
    <row r="24" spans="1:24" ht="15" customHeight="1">
      <c r="A24">
        <v>18</v>
      </c>
      <c r="B24" s="82"/>
      <c r="D24" s="83"/>
      <c r="F24" s="72">
        <f>+F23+F14</f>
        <v>2334.6520050275599</v>
      </c>
      <c r="H24" s="72">
        <f>+H23+H14</f>
        <v>157981.15342481228</v>
      </c>
      <c r="J24" s="84">
        <f>+J23+J14</f>
        <v>16340818.684491824</v>
      </c>
      <c r="K24" s="84">
        <f>+K23+K14</f>
        <v>11039608.352641448</v>
      </c>
      <c r="P24" s="213"/>
      <c r="Q24" s="25">
        <f>+Q23+Q14</f>
        <v>894468.10253227782</v>
      </c>
      <c r="R24" s="25">
        <f>+R23+R14</f>
        <v>905581.52936525934</v>
      </c>
      <c r="S24" s="90">
        <f>+S23+S14</f>
        <v>11113.426832981477</v>
      </c>
      <c r="T24" s="31"/>
      <c r="U24" s="25"/>
      <c r="X24" s="15"/>
    </row>
    <row r="25" spans="1:24" ht="15" customHeight="1">
      <c r="A25">
        <v>19</v>
      </c>
      <c r="B25" s="82"/>
      <c r="D25" s="83"/>
      <c r="J25" s="84"/>
      <c r="K25" s="84"/>
      <c r="P25" s="213"/>
      <c r="Q25" s="25"/>
      <c r="R25" s="25"/>
      <c r="S25" s="90"/>
      <c r="T25" s="31"/>
      <c r="X25" s="15"/>
    </row>
    <row r="26" spans="1:24" ht="15" customHeight="1">
      <c r="A26">
        <v>20</v>
      </c>
      <c r="B26" s="82"/>
      <c r="D26" s="83"/>
      <c r="F26" s="64"/>
      <c r="G26" s="89" t="s">
        <v>28</v>
      </c>
      <c r="H26" s="100">
        <f>H23-'UnitCounts-TG-230188'!I57</f>
        <v>0</v>
      </c>
      <c r="J26" s="84"/>
      <c r="K26" s="84"/>
      <c r="P26" s="213"/>
      <c r="Q26" s="25"/>
      <c r="R26" s="25"/>
      <c r="S26" s="90"/>
      <c r="T26" s="31"/>
      <c r="X26" s="15"/>
    </row>
    <row r="27" spans="1:24" ht="15" customHeight="1">
      <c r="A27">
        <v>21</v>
      </c>
      <c r="B27" s="82"/>
      <c r="D27" s="83"/>
      <c r="J27" s="84"/>
      <c r="K27" s="84"/>
      <c r="P27" s="213"/>
      <c r="Q27" s="25"/>
      <c r="R27" s="25"/>
      <c r="S27" s="90"/>
      <c r="T27" s="31"/>
      <c r="X27" s="15"/>
    </row>
    <row r="28" spans="1:24" ht="15" customHeight="1">
      <c r="A28">
        <v>22</v>
      </c>
      <c r="B28" s="101"/>
      <c r="C28" s="102"/>
      <c r="D28" s="103"/>
      <c r="E28" s="104" t="s">
        <v>40</v>
      </c>
      <c r="F28" s="105"/>
      <c r="G28" s="105"/>
      <c r="H28" s="105"/>
      <c r="I28" s="105"/>
      <c r="J28" s="106"/>
      <c r="K28" s="106"/>
      <c r="L28" s="105"/>
      <c r="M28" s="105"/>
      <c r="N28" s="105"/>
      <c r="O28" s="207"/>
      <c r="P28" s="216"/>
      <c r="Q28" s="107"/>
      <c r="R28" s="107"/>
      <c r="S28" s="108"/>
      <c r="T28" s="31"/>
      <c r="X28" s="15"/>
    </row>
    <row r="29" spans="1:24" ht="15" customHeight="1">
      <c r="A29">
        <v>23</v>
      </c>
      <c r="B29" s="82"/>
      <c r="E29" s="109"/>
      <c r="F29" s="29"/>
      <c r="G29" s="29"/>
      <c r="H29" s="29"/>
      <c r="I29" s="29"/>
      <c r="J29" s="110"/>
      <c r="K29" s="110"/>
      <c r="L29" s="29"/>
      <c r="M29" s="29"/>
      <c r="N29" s="29"/>
      <c r="O29" s="208"/>
      <c r="P29" s="217"/>
      <c r="Q29" s="111"/>
      <c r="R29" s="111"/>
      <c r="S29" s="112"/>
      <c r="W29" s="36"/>
      <c r="X29" s="15"/>
    </row>
    <row r="30" spans="1:24" ht="15" customHeight="1">
      <c r="A30">
        <v>24</v>
      </c>
      <c r="B30" s="82"/>
      <c r="C30" s="224" t="s">
        <v>23</v>
      </c>
      <c r="D30" s="10">
        <v>18</v>
      </c>
      <c r="E30" s="170" t="s">
        <v>41</v>
      </c>
      <c r="G30" s="46">
        <v>1</v>
      </c>
      <c r="H30" s="168">
        <v>1</v>
      </c>
      <c r="I30">
        <f>References!$C$4</f>
        <v>34</v>
      </c>
      <c r="J30" s="84">
        <f t="shared" ref="J30:J31" si="30">+I30*H30</f>
        <v>34</v>
      </c>
      <c r="K30" s="84">
        <f t="shared" ref="K30:K35" si="31">+J30*$F$80</f>
        <v>22.969882429821599</v>
      </c>
      <c r="L30" s="85">
        <f>+K30*References!$C$43</f>
        <v>2.2165936544777855E-2</v>
      </c>
      <c r="M30" s="85">
        <f>+L30/References!$F$46</f>
        <v>2.2678469966009671E-2</v>
      </c>
      <c r="N30" s="85">
        <f t="shared" ref="N30:N34" si="32">IFERROR(M30/H30*G30,0)</f>
        <v>2.2678469966009671E-2</v>
      </c>
      <c r="O30" s="86">
        <v>2.67</v>
      </c>
      <c r="P30" s="203">
        <f t="shared" ref="P30:P35" si="33">ROUND(N30+O30,2)</f>
        <v>2.69</v>
      </c>
      <c r="Q30" s="25">
        <f t="shared" ref="Q30" si="34">+O30*F30</f>
        <v>0</v>
      </c>
      <c r="R30" s="25">
        <f t="shared" ref="R30" si="35">+P30*F30</f>
        <v>0</v>
      </c>
      <c r="S30" s="87">
        <f t="shared" ref="S30" si="36">+R30-Q30</f>
        <v>0</v>
      </c>
      <c r="V30" s="3">
        <f>(((I30*References!$C$43*'Disp Increase Calc'!$F$80)/References!$F$46)*G30)</f>
        <v>2.2678469966009671E-2</v>
      </c>
      <c r="W30" s="4">
        <f t="shared" ref="W30" si="37">N30-V30</f>
        <v>0</v>
      </c>
      <c r="X30" s="15"/>
    </row>
    <row r="31" spans="1:24" ht="15" customHeight="1">
      <c r="A31">
        <v>25</v>
      </c>
      <c r="B31" s="82" t="s">
        <v>22</v>
      </c>
      <c r="C31" s="224"/>
      <c r="D31" s="10">
        <v>23</v>
      </c>
      <c r="E31" s="170" t="s">
        <v>42</v>
      </c>
      <c r="G31" s="166">
        <v>4.33</v>
      </c>
      <c r="H31" s="168">
        <v>52</v>
      </c>
      <c r="I31">
        <f>References!C3</f>
        <v>20</v>
      </c>
      <c r="J31" s="167">
        <f t="shared" si="30"/>
        <v>1040</v>
      </c>
      <c r="K31" s="167">
        <f t="shared" si="31"/>
        <v>702.60816844160183</v>
      </c>
      <c r="L31" s="85">
        <f>+K31*References!$C$43</f>
        <v>0.67801688254614623</v>
      </c>
      <c r="M31" s="85">
        <f>+L31/References!$F$46</f>
        <v>0.69369437543088419</v>
      </c>
      <c r="N31" s="85">
        <f t="shared" si="32"/>
        <v>5.7763397031071702E-2</v>
      </c>
      <c r="O31" s="86">
        <v>8.67</v>
      </c>
      <c r="P31" s="203">
        <f t="shared" si="33"/>
        <v>8.73</v>
      </c>
      <c r="Q31" s="25">
        <f t="shared" ref="Q31:Q35" si="38">+O31*F31</f>
        <v>0</v>
      </c>
      <c r="R31" s="25">
        <f t="shared" ref="R31:R35" si="39">+P31*F31</f>
        <v>0</v>
      </c>
      <c r="S31" s="87">
        <f t="shared" ref="S31:S35" si="40">+R31-Q31</f>
        <v>0</v>
      </c>
      <c r="V31" s="3">
        <f>(((I31*References!$C$43*'Disp Increase Calc'!$F$80)/References!$F$46)*G31)</f>
        <v>5.7763397031071695E-2</v>
      </c>
      <c r="W31" s="4">
        <f t="shared" ref="W31:W35" si="41">N31-V31</f>
        <v>0</v>
      </c>
      <c r="X31" s="15"/>
    </row>
    <row r="32" spans="1:24" ht="15" customHeight="1">
      <c r="A32">
        <v>26</v>
      </c>
      <c r="B32" s="82"/>
      <c r="C32" s="224"/>
      <c r="D32" s="10">
        <v>23</v>
      </c>
      <c r="E32" s="170" t="s">
        <v>43</v>
      </c>
      <c r="G32" s="46">
        <v>1</v>
      </c>
      <c r="H32" s="168">
        <v>12</v>
      </c>
      <c r="I32">
        <f>References!C4</f>
        <v>34</v>
      </c>
      <c r="J32" s="84">
        <f t="shared" ref="J32" si="42">+I32*H32</f>
        <v>408</v>
      </c>
      <c r="K32" s="84">
        <f t="shared" si="31"/>
        <v>275.6385891578592</v>
      </c>
      <c r="L32" s="85">
        <f>+K32*References!$C$43</f>
        <v>0.26599123853733431</v>
      </c>
      <c r="M32" s="85">
        <f>+L32/References!$F$46</f>
        <v>0.27214163959211612</v>
      </c>
      <c r="N32" s="85">
        <f t="shared" si="32"/>
        <v>2.2678469966009678E-2</v>
      </c>
      <c r="O32" s="86">
        <v>5.57</v>
      </c>
      <c r="P32" s="203">
        <f t="shared" si="33"/>
        <v>5.59</v>
      </c>
      <c r="Q32" s="25">
        <f t="shared" si="38"/>
        <v>0</v>
      </c>
      <c r="R32" s="25">
        <f t="shared" si="39"/>
        <v>0</v>
      </c>
      <c r="S32" s="87">
        <f t="shared" si="40"/>
        <v>0</v>
      </c>
      <c r="V32" s="3">
        <f>(((I32*References!$C$43*'Disp Increase Calc'!$F$80)/References!$F$46)*G32)</f>
        <v>2.2678469966009671E-2</v>
      </c>
      <c r="W32" s="4">
        <f t="shared" si="41"/>
        <v>0</v>
      </c>
      <c r="X32" s="15"/>
    </row>
    <row r="33" spans="1:24" ht="15" customHeight="1">
      <c r="A33">
        <v>27</v>
      </c>
      <c r="B33" s="82" t="s">
        <v>22</v>
      </c>
      <c r="C33" s="224"/>
      <c r="D33" s="83">
        <v>23</v>
      </c>
      <c r="E33" s="171" t="s">
        <v>45</v>
      </c>
      <c r="G33" s="46">
        <f>52/12</f>
        <v>4.333333333333333</v>
      </c>
      <c r="H33" s="168">
        <v>52</v>
      </c>
      <c r="I33">
        <f>References!$C$5</f>
        <v>51</v>
      </c>
      <c r="J33" s="84">
        <f t="shared" ref="J33:J34" si="43">+I33*H33</f>
        <v>2652</v>
      </c>
      <c r="K33" s="84">
        <f t="shared" si="31"/>
        <v>1791.6508295260846</v>
      </c>
      <c r="L33" s="85">
        <f>+K33*References!$C$43</f>
        <v>1.7289430504926726</v>
      </c>
      <c r="M33" s="85">
        <f>+L33/References!$F$46</f>
        <v>1.7689206573487544</v>
      </c>
      <c r="N33" s="85">
        <f t="shared" si="32"/>
        <v>0.14741005477906285</v>
      </c>
      <c r="O33" s="86">
        <v>12.44</v>
      </c>
      <c r="P33" s="203">
        <f t="shared" si="33"/>
        <v>12.59</v>
      </c>
      <c r="Q33" s="25">
        <f t="shared" si="38"/>
        <v>0</v>
      </c>
      <c r="R33" s="25">
        <f t="shared" si="39"/>
        <v>0</v>
      </c>
      <c r="S33" s="87">
        <f t="shared" si="40"/>
        <v>0</v>
      </c>
      <c r="T33" s="31"/>
      <c r="V33" s="3">
        <f>(((I33*References!$C$43*'Disp Increase Calc'!$F$80)/References!$F$46)*G33)</f>
        <v>0.14741005477906285</v>
      </c>
      <c r="W33" s="4">
        <f t="shared" si="41"/>
        <v>0</v>
      </c>
      <c r="X33" s="15"/>
    </row>
    <row r="34" spans="1:24" ht="15" customHeight="1">
      <c r="A34">
        <v>28</v>
      </c>
      <c r="B34" s="82" t="s">
        <v>22</v>
      </c>
      <c r="C34" s="224"/>
      <c r="D34" s="83">
        <v>23</v>
      </c>
      <c r="E34" s="171" t="s">
        <v>46</v>
      </c>
      <c r="G34" s="46">
        <f t="shared" ref="G34" si="44">52/12</f>
        <v>4.333333333333333</v>
      </c>
      <c r="H34" s="168">
        <v>52</v>
      </c>
      <c r="I34">
        <f>References!$C$6</f>
        <v>77</v>
      </c>
      <c r="J34" s="84">
        <f t="shared" si="43"/>
        <v>4004</v>
      </c>
      <c r="K34" s="84">
        <f t="shared" si="31"/>
        <v>2705.041448500167</v>
      </c>
      <c r="L34" s="85">
        <f>+K34*References!$C$43</f>
        <v>2.6103649978026628</v>
      </c>
      <c r="M34" s="85">
        <f>+L34/References!$F$46</f>
        <v>2.6707233454089039</v>
      </c>
      <c r="N34" s="85">
        <f t="shared" si="32"/>
        <v>0.2225602787840753</v>
      </c>
      <c r="O34" s="86">
        <v>15.42</v>
      </c>
      <c r="P34" s="203">
        <f t="shared" si="33"/>
        <v>15.64</v>
      </c>
      <c r="Q34" s="25">
        <f t="shared" si="38"/>
        <v>0</v>
      </c>
      <c r="R34" s="25">
        <f t="shared" si="39"/>
        <v>0</v>
      </c>
      <c r="S34" s="87">
        <f t="shared" si="40"/>
        <v>0</v>
      </c>
      <c r="T34" s="31"/>
      <c r="V34" s="3">
        <f>(((I34*References!$C$43*'Disp Increase Calc'!$F$80)/References!$F$46)*G34)</f>
        <v>0.22256027878407528</v>
      </c>
      <c r="W34" s="4">
        <f t="shared" si="41"/>
        <v>0</v>
      </c>
      <c r="X34" s="15"/>
    </row>
    <row r="35" spans="1:24" ht="15" customHeight="1">
      <c r="A35">
        <v>29</v>
      </c>
      <c r="B35" s="82"/>
      <c r="C35" s="224"/>
      <c r="D35" s="10">
        <v>29</v>
      </c>
      <c r="E35" s="171" t="s">
        <v>47</v>
      </c>
      <c r="G35" s="4">
        <v>1</v>
      </c>
      <c r="H35" s="168">
        <v>1</v>
      </c>
      <c r="I35">
        <f>References!C14</f>
        <v>34</v>
      </c>
      <c r="J35" s="84">
        <f t="shared" ref="J35" si="45">+I35*H35</f>
        <v>34</v>
      </c>
      <c r="K35" s="84">
        <f t="shared" si="31"/>
        <v>22.969882429821599</v>
      </c>
      <c r="L35" s="85">
        <f>+K35*References!$C$43</f>
        <v>2.2165936544777855E-2</v>
      </c>
      <c r="M35" s="85">
        <f>+L35/References!$F$46</f>
        <v>2.2678469966009671E-2</v>
      </c>
      <c r="N35" s="85">
        <f>IFERROR(M35/H35*G35,0)</f>
        <v>2.2678469966009671E-2</v>
      </c>
      <c r="O35" s="86">
        <v>2.67</v>
      </c>
      <c r="P35" s="203">
        <f t="shared" si="33"/>
        <v>2.69</v>
      </c>
      <c r="Q35" s="25">
        <f t="shared" si="38"/>
        <v>0</v>
      </c>
      <c r="R35" s="25">
        <f t="shared" si="39"/>
        <v>0</v>
      </c>
      <c r="S35" s="87">
        <f t="shared" si="40"/>
        <v>0</v>
      </c>
      <c r="T35" s="31"/>
      <c r="V35" s="3">
        <f>(((I35*References!$C$43*'Disp Increase Calc'!$F$80)/References!$F$46)*G35)</f>
        <v>2.2678469966009671E-2</v>
      </c>
      <c r="W35" s="4">
        <f t="shared" si="41"/>
        <v>0</v>
      </c>
      <c r="X35" s="15"/>
    </row>
    <row r="36" spans="1:24" ht="15" customHeight="1">
      <c r="A36">
        <v>30</v>
      </c>
      <c r="B36" s="82"/>
      <c r="J36" s="84"/>
      <c r="K36" s="84"/>
      <c r="P36" s="213"/>
      <c r="Q36" s="25"/>
      <c r="R36" s="25"/>
      <c r="S36" s="90"/>
      <c r="T36" s="31"/>
      <c r="X36" s="15"/>
    </row>
    <row r="37" spans="1:24" ht="15" customHeight="1">
      <c r="A37">
        <v>31</v>
      </c>
      <c r="B37" s="113"/>
      <c r="C37" s="26"/>
      <c r="D37" s="172"/>
      <c r="E37" s="26"/>
      <c r="F37" s="26"/>
      <c r="G37" s="26"/>
      <c r="H37" s="26"/>
      <c r="I37" s="26"/>
      <c r="J37" s="51"/>
      <c r="K37" s="51"/>
      <c r="L37" s="26"/>
      <c r="M37" s="26"/>
      <c r="N37" s="26"/>
      <c r="O37" s="209"/>
      <c r="P37" s="218"/>
      <c r="Q37" s="33"/>
      <c r="R37" s="33"/>
      <c r="S37" s="114"/>
      <c r="T37" s="31"/>
      <c r="X37" s="15"/>
    </row>
    <row r="38" spans="1:24" ht="15" customHeight="1">
      <c r="A38">
        <v>32</v>
      </c>
      <c r="B38" s="82"/>
      <c r="C38" s="225" t="s">
        <v>30</v>
      </c>
      <c r="D38" s="10">
        <v>25</v>
      </c>
      <c r="E38" s="171" t="s">
        <v>262</v>
      </c>
      <c r="H38" s="168">
        <v>1</v>
      </c>
      <c r="I38">
        <f>References!$C$15</f>
        <v>29</v>
      </c>
      <c r="J38" s="84">
        <f t="shared" ref="J38" si="46">+I38*H38</f>
        <v>29</v>
      </c>
      <c r="K38" s="84">
        <f>+J38*$F$80</f>
        <v>19.591958543083127</v>
      </c>
      <c r="L38" s="85">
        <f>+K38*References!$C$43</f>
        <v>1.890623999407523E-2</v>
      </c>
      <c r="M38" s="85">
        <f>+L38/References!$F$46</f>
        <v>1.9343400853361191E-2</v>
      </c>
      <c r="N38" s="85">
        <f t="shared" ref="N38" si="47">IFERROR(M38/H38,0)</f>
        <v>1.9343400853361191E-2</v>
      </c>
      <c r="O38" s="86">
        <v>3.73</v>
      </c>
      <c r="P38" s="203">
        <f t="shared" ref="P38:P70" si="48">ROUND(N38+O38,2)</f>
        <v>3.75</v>
      </c>
      <c r="Q38" s="25">
        <f t="shared" ref="Q38:Q39" si="49">+O38*F38</f>
        <v>0</v>
      </c>
      <c r="R38" s="25">
        <f t="shared" ref="R38:R39" si="50">+P38*F38</f>
        <v>0</v>
      </c>
      <c r="S38" s="87">
        <f t="shared" ref="S38:S39" si="51">+R38-Q38</f>
        <v>0</v>
      </c>
      <c r="T38" s="31"/>
      <c r="V38" s="3">
        <f>(((I38*References!$C$43*'Disp Increase Calc'!$F$80)/References!$F$46))</f>
        <v>1.9343400853361191E-2</v>
      </c>
      <c r="W38" s="4">
        <f t="shared" ref="W38" si="52">N38-V38</f>
        <v>0</v>
      </c>
      <c r="X38" s="15"/>
    </row>
    <row r="39" spans="1:24" ht="15" customHeight="1">
      <c r="A39">
        <v>33</v>
      </c>
      <c r="B39" s="82"/>
      <c r="C39" s="222"/>
      <c r="D39" s="10">
        <v>25</v>
      </c>
      <c r="E39" s="171" t="s">
        <v>263</v>
      </c>
      <c r="H39" s="84"/>
      <c r="I39" s="84"/>
      <c r="J39" s="84"/>
      <c r="K39" s="84"/>
      <c r="L39" s="85"/>
      <c r="M39" s="85"/>
      <c r="N39" s="85"/>
      <c r="O39" s="86">
        <v>16.149999999999999</v>
      </c>
      <c r="P39" s="203">
        <f>P38*4.33</f>
        <v>16.237500000000001</v>
      </c>
      <c r="Q39" s="25">
        <f t="shared" si="49"/>
        <v>0</v>
      </c>
      <c r="R39" s="25">
        <f t="shared" si="50"/>
        <v>0</v>
      </c>
      <c r="S39" s="87">
        <f t="shared" si="51"/>
        <v>0</v>
      </c>
      <c r="T39" s="31"/>
      <c r="V39" s="3">
        <f>(((I39*References!$C$43*'Disp Increase Calc'!$F$80)/References!$F$46))</f>
        <v>0</v>
      </c>
      <c r="W39" s="4">
        <f t="shared" ref="W39:W71" si="53">N39-V39</f>
        <v>0</v>
      </c>
      <c r="X39" s="15"/>
    </row>
    <row r="40" spans="1:24" ht="15" customHeight="1">
      <c r="A40">
        <v>34</v>
      </c>
      <c r="B40" s="82"/>
      <c r="C40" s="222"/>
      <c r="D40" s="10">
        <v>29</v>
      </c>
      <c r="E40" s="171" t="s">
        <v>48</v>
      </c>
      <c r="H40" s="99">
        <v>1</v>
      </c>
      <c r="I40">
        <f>References!C32</f>
        <v>125</v>
      </c>
      <c r="J40" s="84">
        <f t="shared" ref="J40:J41" si="54">+I40*H40</f>
        <v>125</v>
      </c>
      <c r="K40" s="84">
        <f>+J40*$F$80</f>
        <v>84.448097168461757</v>
      </c>
      <c r="L40" s="85">
        <f>+K40*References!$C$43</f>
        <v>8.149241376756565E-2</v>
      </c>
      <c r="M40" s="85">
        <f>+L40/References!$F$46</f>
        <v>8.337672781621204E-2</v>
      </c>
      <c r="N40" s="85">
        <f t="shared" ref="N40:N41" si="55">IFERROR(M40/H40,0)</f>
        <v>8.337672781621204E-2</v>
      </c>
      <c r="O40" s="86">
        <v>9.25</v>
      </c>
      <c r="P40" s="203">
        <f t="shared" si="48"/>
        <v>9.33</v>
      </c>
      <c r="Q40" s="25">
        <f t="shared" ref="Q40:Q41" si="56">+O40*F40</f>
        <v>0</v>
      </c>
      <c r="R40" s="25">
        <f t="shared" ref="R40:R41" si="57">+P40*F40</f>
        <v>0</v>
      </c>
      <c r="S40" s="87">
        <f t="shared" ref="S40:S41" si="58">+R40-Q40</f>
        <v>0</v>
      </c>
      <c r="T40" s="31"/>
      <c r="V40" s="3">
        <f>(((I40*References!$C$43*'Disp Increase Calc'!$F$80)/References!$F$46))</f>
        <v>8.3376727816212026E-2</v>
      </c>
      <c r="W40" s="4">
        <f t="shared" si="53"/>
        <v>0</v>
      </c>
      <c r="X40" s="15"/>
    </row>
    <row r="41" spans="1:24" ht="15" customHeight="1">
      <c r="A41">
        <v>35</v>
      </c>
      <c r="B41" s="82"/>
      <c r="C41" s="222"/>
      <c r="D41" s="10">
        <v>29</v>
      </c>
      <c r="E41" s="171" t="s">
        <v>49</v>
      </c>
      <c r="H41" s="99">
        <v>1</v>
      </c>
      <c r="I41" s="84">
        <f>+References!C34</f>
        <v>2000</v>
      </c>
      <c r="J41" s="84">
        <f t="shared" si="54"/>
        <v>2000</v>
      </c>
      <c r="K41" s="84">
        <v>2000</v>
      </c>
      <c r="L41" s="85">
        <f>+K41*References!$C$43</f>
        <v>1.930000000000001</v>
      </c>
      <c r="M41" s="85">
        <f>+L41/References!$F$46</f>
        <v>1.9746265602619204</v>
      </c>
      <c r="N41" s="85">
        <f t="shared" si="55"/>
        <v>1.9746265602619204</v>
      </c>
      <c r="O41" s="86">
        <v>25</v>
      </c>
      <c r="P41" s="203">
        <f t="shared" si="48"/>
        <v>26.97</v>
      </c>
      <c r="Q41" s="25">
        <f t="shared" si="56"/>
        <v>0</v>
      </c>
      <c r="R41" s="25">
        <f t="shared" si="57"/>
        <v>0</v>
      </c>
      <c r="S41" s="87">
        <f t="shared" si="58"/>
        <v>0</v>
      </c>
      <c r="T41" s="31"/>
      <c r="V41" s="3">
        <f>(((I41*References!$C$43*'Disp Increase Calc'!$F$80)/References!$F$46))</f>
        <v>1.3340276450593924</v>
      </c>
      <c r="W41" s="4">
        <f t="shared" si="53"/>
        <v>0.64059891520252799</v>
      </c>
      <c r="X41" s="15"/>
    </row>
    <row r="42" spans="1:24" ht="15" customHeight="1">
      <c r="A42">
        <v>36</v>
      </c>
      <c r="B42" s="82"/>
      <c r="C42" s="222"/>
      <c r="D42" s="10">
        <v>32</v>
      </c>
      <c r="E42" t="s">
        <v>37</v>
      </c>
      <c r="H42" s="99">
        <v>1</v>
      </c>
      <c r="I42" s="84">
        <f>References!$C$11</f>
        <v>47</v>
      </c>
      <c r="J42" s="84">
        <f t="shared" ref="J42:J70" si="59">+I42*H42</f>
        <v>47</v>
      </c>
      <c r="K42" s="84">
        <f t="shared" ref="K42:K70" si="60">+J42*$F$80</f>
        <v>31.752484535341623</v>
      </c>
      <c r="L42" s="85">
        <f>+K42*References!$C$43</f>
        <v>3.0641147576604685E-2</v>
      </c>
      <c r="M42" s="85">
        <f>+L42/References!$F$46</f>
        <v>3.134964965889573E-2</v>
      </c>
      <c r="N42" s="85">
        <f t="shared" ref="N42:N70" si="61">IFERROR(M42/H42,0)</f>
        <v>3.134964965889573E-2</v>
      </c>
      <c r="O42" s="86">
        <v>3.25</v>
      </c>
      <c r="P42" s="203">
        <f t="shared" si="48"/>
        <v>3.28</v>
      </c>
      <c r="Q42" s="25">
        <f t="shared" ref="Q42:Q69" si="62">+O42*F42</f>
        <v>0</v>
      </c>
      <c r="R42" s="25">
        <f t="shared" ref="R42:R69" si="63">+P42*F42</f>
        <v>0</v>
      </c>
      <c r="S42" s="87">
        <f t="shared" ref="S42:S69" si="64">+R42-Q42</f>
        <v>0</v>
      </c>
      <c r="T42" s="31"/>
      <c r="V42" s="3">
        <f>(((I42*References!$C$43*'Disp Increase Calc'!$F$80)/References!$F$46))</f>
        <v>3.1349649658895723E-2</v>
      </c>
      <c r="W42" s="4">
        <f t="shared" si="53"/>
        <v>0</v>
      </c>
      <c r="X42" s="15"/>
    </row>
    <row r="43" spans="1:24" ht="15" customHeight="1">
      <c r="A43">
        <v>37</v>
      </c>
      <c r="B43" s="82"/>
      <c r="C43" s="222"/>
      <c r="D43" s="10">
        <v>32</v>
      </c>
      <c r="E43" t="s">
        <v>51</v>
      </c>
      <c r="H43" s="99">
        <v>1</v>
      </c>
      <c r="I43" s="84">
        <f>References!$C$11</f>
        <v>47</v>
      </c>
      <c r="J43" s="84">
        <f t="shared" si="59"/>
        <v>47</v>
      </c>
      <c r="K43" s="84">
        <f t="shared" si="60"/>
        <v>31.752484535341623</v>
      </c>
      <c r="L43" s="85">
        <f>+K43*References!$C$43</f>
        <v>3.0641147576604685E-2</v>
      </c>
      <c r="M43" s="85">
        <f>+L43/References!$F$46</f>
        <v>3.134964965889573E-2</v>
      </c>
      <c r="N43" s="85">
        <f t="shared" si="61"/>
        <v>3.134964965889573E-2</v>
      </c>
      <c r="O43" s="86">
        <v>9.25</v>
      </c>
      <c r="P43" s="203">
        <f t="shared" si="48"/>
        <v>9.2799999999999994</v>
      </c>
      <c r="Q43" s="25">
        <f t="shared" si="62"/>
        <v>0</v>
      </c>
      <c r="R43" s="25">
        <f t="shared" si="63"/>
        <v>0</v>
      </c>
      <c r="S43" s="87">
        <f t="shared" si="64"/>
        <v>0</v>
      </c>
      <c r="T43" s="31"/>
      <c r="V43" s="3">
        <f>(((I43*References!$C$43*'Disp Increase Calc'!$F$80)/References!$F$46))</f>
        <v>3.1349649658895723E-2</v>
      </c>
      <c r="W43" s="4">
        <f t="shared" si="53"/>
        <v>0</v>
      </c>
      <c r="X43" s="15"/>
    </row>
    <row r="44" spans="1:24" ht="15" customHeight="1">
      <c r="A44">
        <v>38</v>
      </c>
      <c r="B44" s="82"/>
      <c r="C44" s="222"/>
      <c r="D44" s="10">
        <v>32</v>
      </c>
      <c r="E44" t="s">
        <v>38</v>
      </c>
      <c r="H44" s="99">
        <v>1</v>
      </c>
      <c r="I44" s="84">
        <f>References!$C$12</f>
        <v>68</v>
      </c>
      <c r="J44" s="84">
        <f t="shared" si="59"/>
        <v>68</v>
      </c>
      <c r="K44" s="84">
        <f t="shared" si="60"/>
        <v>45.939764859643198</v>
      </c>
      <c r="L44" s="85">
        <f>+K44*References!$C$43</f>
        <v>4.4331873089555711E-2</v>
      </c>
      <c r="M44" s="85">
        <f>+L44/References!$F$46</f>
        <v>4.5356939932019343E-2</v>
      </c>
      <c r="N44" s="85">
        <f t="shared" si="61"/>
        <v>4.5356939932019343E-2</v>
      </c>
      <c r="O44" s="86">
        <v>4.07</v>
      </c>
      <c r="P44" s="203">
        <f t="shared" si="48"/>
        <v>4.12</v>
      </c>
      <c r="Q44" s="25">
        <f t="shared" si="62"/>
        <v>0</v>
      </c>
      <c r="R44" s="25">
        <f t="shared" si="63"/>
        <v>0</v>
      </c>
      <c r="S44" s="87">
        <f t="shared" si="64"/>
        <v>0</v>
      </c>
      <c r="T44" s="31"/>
      <c r="V44" s="3">
        <f>(((I44*References!$C$43*'Disp Increase Calc'!$F$80)/References!$F$46))</f>
        <v>4.5356939932019343E-2</v>
      </c>
      <c r="W44" s="4">
        <f t="shared" si="53"/>
        <v>0</v>
      </c>
      <c r="X44" s="15"/>
    </row>
    <row r="45" spans="1:24" ht="15" customHeight="1">
      <c r="A45">
        <v>39</v>
      </c>
      <c r="B45" s="82"/>
      <c r="C45" s="222"/>
      <c r="D45" s="10">
        <v>32</v>
      </c>
      <c r="E45" t="s">
        <v>39</v>
      </c>
      <c r="H45" s="99">
        <v>1</v>
      </c>
      <c r="I45" s="167">
        <f>References!$C$12</f>
        <v>68</v>
      </c>
      <c r="J45" s="84">
        <f t="shared" si="59"/>
        <v>68</v>
      </c>
      <c r="K45" s="84">
        <f t="shared" si="60"/>
        <v>45.939764859643198</v>
      </c>
      <c r="L45" s="85">
        <f>+K45*References!$C$43</f>
        <v>4.4331873089555711E-2</v>
      </c>
      <c r="M45" s="85">
        <f>+L45/References!$F$46</f>
        <v>4.5356939932019343E-2</v>
      </c>
      <c r="N45" s="85">
        <f t="shared" si="61"/>
        <v>4.5356939932019343E-2</v>
      </c>
      <c r="O45" s="86">
        <v>10.07</v>
      </c>
      <c r="P45" s="203">
        <f t="shared" si="48"/>
        <v>10.119999999999999</v>
      </c>
      <c r="Q45" s="25">
        <f t="shared" si="62"/>
        <v>0</v>
      </c>
      <c r="R45" s="25">
        <f t="shared" si="63"/>
        <v>0</v>
      </c>
      <c r="S45" s="87">
        <f t="shared" si="64"/>
        <v>0</v>
      </c>
      <c r="T45" s="31"/>
      <c r="V45" s="3">
        <f>(((I45*References!$C$43*'Disp Increase Calc'!$F$80)/References!$F$46))</f>
        <v>4.5356939932019343E-2</v>
      </c>
      <c r="W45" s="4">
        <f t="shared" si="53"/>
        <v>0</v>
      </c>
      <c r="X45" s="15"/>
    </row>
    <row r="46" spans="1:24" ht="15" customHeight="1">
      <c r="A46">
        <v>40</v>
      </c>
      <c r="B46" s="82"/>
      <c r="C46" s="222"/>
      <c r="D46" s="10">
        <v>32</v>
      </c>
      <c r="E46" t="s">
        <v>260</v>
      </c>
      <c r="H46" s="99">
        <v>1</v>
      </c>
      <c r="I46" s="219">
        <f>References!$C$16</f>
        <v>175</v>
      </c>
      <c r="J46" s="84">
        <f t="shared" si="59"/>
        <v>175</v>
      </c>
      <c r="K46" s="84">
        <f t="shared" si="60"/>
        <v>118.22733603584646</v>
      </c>
      <c r="L46" s="85">
        <f>+K46*References!$C$43</f>
        <v>0.11408937927459191</v>
      </c>
      <c r="M46" s="85">
        <f>+L46/References!$F$46</f>
        <v>0.11672741894269685</v>
      </c>
      <c r="N46" s="85">
        <f t="shared" si="61"/>
        <v>0.11672741894269685</v>
      </c>
      <c r="O46" s="86">
        <v>30.74</v>
      </c>
      <c r="P46" s="203">
        <f t="shared" si="48"/>
        <v>30.86</v>
      </c>
      <c r="Q46" s="25">
        <f t="shared" si="62"/>
        <v>0</v>
      </c>
      <c r="R46" s="25">
        <f t="shared" si="63"/>
        <v>0</v>
      </c>
      <c r="S46" s="87">
        <f t="shared" si="64"/>
        <v>0</v>
      </c>
      <c r="T46" s="31"/>
      <c r="V46" s="3">
        <f>(((I46*References!$C$43*'Disp Increase Calc'!$F$80)/References!$F$46))</f>
        <v>0.11672741894269685</v>
      </c>
      <c r="W46" s="4">
        <f t="shared" si="53"/>
        <v>0</v>
      </c>
      <c r="X46" s="15"/>
    </row>
    <row r="47" spans="1:24" ht="15" customHeight="1">
      <c r="A47">
        <v>41</v>
      </c>
      <c r="B47" s="82"/>
      <c r="C47" s="222"/>
      <c r="D47" s="10">
        <v>32</v>
      </c>
      <c r="E47" t="s">
        <v>261</v>
      </c>
      <c r="H47" s="99">
        <v>1</v>
      </c>
      <c r="I47" s="219">
        <f>References!$C$16</f>
        <v>175</v>
      </c>
      <c r="J47" s="84">
        <f t="shared" si="59"/>
        <v>175</v>
      </c>
      <c r="K47" s="84">
        <f t="shared" si="60"/>
        <v>118.22733603584646</v>
      </c>
      <c r="L47" s="85">
        <f>+K47*References!$C$43</f>
        <v>0.11408937927459191</v>
      </c>
      <c r="M47" s="85">
        <f>+L47/References!$F$46</f>
        <v>0.11672741894269685</v>
      </c>
      <c r="N47" s="85">
        <f t="shared" si="61"/>
        <v>0.11672741894269685</v>
      </c>
      <c r="O47" s="86">
        <v>30.74</v>
      </c>
      <c r="P47" s="203">
        <f t="shared" si="48"/>
        <v>30.86</v>
      </c>
      <c r="Q47" s="25">
        <f t="shared" si="62"/>
        <v>0</v>
      </c>
      <c r="R47" s="25">
        <f t="shared" si="63"/>
        <v>0</v>
      </c>
      <c r="S47" s="87">
        <f t="shared" si="64"/>
        <v>0</v>
      </c>
      <c r="T47" s="31"/>
      <c r="V47" s="3">
        <f>(((I47*References!$C$43*'Disp Increase Calc'!$F$80)/References!$F$46))</f>
        <v>0.11672741894269685</v>
      </c>
      <c r="W47" s="4">
        <f t="shared" si="53"/>
        <v>0</v>
      </c>
      <c r="X47" s="15"/>
    </row>
    <row r="48" spans="1:24" ht="15" customHeight="1">
      <c r="A48">
        <v>42</v>
      </c>
      <c r="B48" s="82"/>
      <c r="C48" s="222"/>
      <c r="D48" s="10">
        <v>32</v>
      </c>
      <c r="E48" t="s">
        <v>35</v>
      </c>
      <c r="H48" s="99">
        <v>1</v>
      </c>
      <c r="I48">
        <f>References!$C$17</f>
        <v>250</v>
      </c>
      <c r="J48" s="84">
        <f t="shared" si="59"/>
        <v>250</v>
      </c>
      <c r="K48" s="84">
        <f t="shared" si="60"/>
        <v>168.89619433692351</v>
      </c>
      <c r="L48" s="85">
        <f>+K48*References!$C$43</f>
        <v>0.1629848275351313</v>
      </c>
      <c r="M48" s="85">
        <f>+L48/References!$F$46</f>
        <v>0.16675345563242408</v>
      </c>
      <c r="N48" s="85">
        <f t="shared" si="61"/>
        <v>0.16675345563242408</v>
      </c>
      <c r="O48" s="86">
        <v>12.05</v>
      </c>
      <c r="P48" s="203">
        <f t="shared" si="48"/>
        <v>12.22</v>
      </c>
      <c r="Q48" s="25">
        <f t="shared" si="62"/>
        <v>0</v>
      </c>
      <c r="R48" s="25">
        <f t="shared" si="63"/>
        <v>0</v>
      </c>
      <c r="S48" s="87">
        <f t="shared" si="64"/>
        <v>0</v>
      </c>
      <c r="T48" s="31"/>
      <c r="V48" s="3">
        <f>(((I48*References!$C$43*'Disp Increase Calc'!$F$80)/References!$F$46))</f>
        <v>0.16675345563242405</v>
      </c>
      <c r="W48" s="4">
        <f t="shared" si="53"/>
        <v>0</v>
      </c>
      <c r="X48" s="15"/>
    </row>
    <row r="49" spans="1:24" ht="15" customHeight="1">
      <c r="A49">
        <v>43</v>
      </c>
      <c r="B49" s="82"/>
      <c r="C49" s="222"/>
      <c r="D49" s="10">
        <v>32</v>
      </c>
      <c r="E49" t="s">
        <v>240</v>
      </c>
      <c r="H49" s="99">
        <v>1</v>
      </c>
      <c r="I49">
        <f>References!$C$17</f>
        <v>250</v>
      </c>
      <c r="J49" s="84">
        <f t="shared" si="59"/>
        <v>250</v>
      </c>
      <c r="K49" s="84">
        <f t="shared" si="60"/>
        <v>168.89619433692351</v>
      </c>
      <c r="L49" s="85">
        <f>+K49*References!$C$43</f>
        <v>0.1629848275351313</v>
      </c>
      <c r="M49" s="85">
        <f>+L49/References!$F$46</f>
        <v>0.16675345563242408</v>
      </c>
      <c r="N49" s="85">
        <f t="shared" si="61"/>
        <v>0.16675345563242408</v>
      </c>
      <c r="O49" s="86">
        <v>32.049999999999997</v>
      </c>
      <c r="P49" s="203">
        <f t="shared" si="48"/>
        <v>32.22</v>
      </c>
      <c r="Q49" s="25">
        <f t="shared" si="62"/>
        <v>0</v>
      </c>
      <c r="R49" s="25">
        <f t="shared" si="63"/>
        <v>0</v>
      </c>
      <c r="S49" s="87">
        <f t="shared" si="64"/>
        <v>0</v>
      </c>
      <c r="T49" s="31"/>
      <c r="V49" s="3">
        <f>(((I49*References!$C$43*'Disp Increase Calc'!$F$80)/References!$F$46))</f>
        <v>0.16675345563242405</v>
      </c>
      <c r="W49" s="4">
        <f t="shared" si="53"/>
        <v>0</v>
      </c>
      <c r="X49" s="15"/>
    </row>
    <row r="50" spans="1:24" ht="15" customHeight="1">
      <c r="A50">
        <v>44</v>
      </c>
      <c r="B50" s="82"/>
      <c r="C50" s="222"/>
      <c r="D50" s="10">
        <v>32</v>
      </c>
      <c r="E50" t="s">
        <v>36</v>
      </c>
      <c r="H50" s="99">
        <v>1</v>
      </c>
      <c r="I50">
        <f>References!$C$17</f>
        <v>250</v>
      </c>
      <c r="J50" s="84">
        <f t="shared" si="59"/>
        <v>250</v>
      </c>
      <c r="K50" s="84">
        <f t="shared" si="60"/>
        <v>168.89619433692351</v>
      </c>
      <c r="L50" s="85">
        <f>+K50*References!$C$43</f>
        <v>0.1629848275351313</v>
      </c>
      <c r="M50" s="85">
        <f>+L50/References!$F$46</f>
        <v>0.16675345563242408</v>
      </c>
      <c r="N50" s="85">
        <f t="shared" si="61"/>
        <v>0.16675345563242408</v>
      </c>
      <c r="O50" s="86">
        <v>32.049999999999997</v>
      </c>
      <c r="P50" s="203">
        <f t="shared" si="48"/>
        <v>32.22</v>
      </c>
      <c r="Q50" s="25">
        <f t="shared" si="62"/>
        <v>0</v>
      </c>
      <c r="R50" s="25">
        <f t="shared" si="63"/>
        <v>0</v>
      </c>
      <c r="S50" s="87">
        <f t="shared" si="64"/>
        <v>0</v>
      </c>
      <c r="T50" s="31"/>
      <c r="V50" s="3">
        <f>(((I50*References!$C$43*'Disp Increase Calc'!$F$80)/References!$F$46))</f>
        <v>0.16675345563242405</v>
      </c>
      <c r="W50" s="4">
        <f t="shared" si="53"/>
        <v>0</v>
      </c>
      <c r="X50" s="15"/>
    </row>
    <row r="51" spans="1:24" ht="15" customHeight="1">
      <c r="A51">
        <v>45</v>
      </c>
      <c r="B51" s="82"/>
      <c r="C51" s="222"/>
      <c r="D51" s="10">
        <v>32</v>
      </c>
      <c r="E51" s="171" t="s">
        <v>50</v>
      </c>
      <c r="H51" s="99">
        <v>1</v>
      </c>
      <c r="I51">
        <f>References!$C$14</f>
        <v>34</v>
      </c>
      <c r="J51" s="84">
        <f t="shared" si="59"/>
        <v>34</v>
      </c>
      <c r="K51" s="84">
        <f t="shared" si="60"/>
        <v>22.969882429821599</v>
      </c>
      <c r="L51" s="85">
        <f>+K51*References!$C$43</f>
        <v>2.2165936544777855E-2</v>
      </c>
      <c r="M51" s="85">
        <f>+L51/References!$F$46</f>
        <v>2.2678469966009671E-2</v>
      </c>
      <c r="N51" s="85">
        <f t="shared" si="61"/>
        <v>2.2678469966009671E-2</v>
      </c>
      <c r="O51" s="86">
        <v>2.67</v>
      </c>
      <c r="P51" s="203">
        <f t="shared" si="48"/>
        <v>2.69</v>
      </c>
      <c r="Q51" s="25">
        <f t="shared" si="62"/>
        <v>0</v>
      </c>
      <c r="R51" s="25">
        <f t="shared" si="63"/>
        <v>0</v>
      </c>
      <c r="S51" s="87">
        <f t="shared" si="64"/>
        <v>0</v>
      </c>
      <c r="T51" s="31"/>
      <c r="V51" s="3">
        <f>(((I51*References!$C$43*'Disp Increase Calc'!$F$80)/References!$F$46))</f>
        <v>2.2678469966009671E-2</v>
      </c>
      <c r="W51" s="4">
        <f t="shared" si="53"/>
        <v>0</v>
      </c>
      <c r="X51" s="15"/>
    </row>
    <row r="52" spans="1:24" ht="15" customHeight="1">
      <c r="A52">
        <v>46</v>
      </c>
      <c r="B52" s="82"/>
      <c r="C52" s="222"/>
      <c r="D52" s="10">
        <v>33</v>
      </c>
      <c r="E52" t="s">
        <v>241</v>
      </c>
      <c r="H52" s="99">
        <v>1</v>
      </c>
      <c r="I52">
        <f>References!$C$18</f>
        <v>324</v>
      </c>
      <c r="J52" s="84">
        <f t="shared" si="59"/>
        <v>324</v>
      </c>
      <c r="K52" s="84">
        <f t="shared" si="60"/>
        <v>218.88946786065287</v>
      </c>
      <c r="L52" s="85">
        <f>+K52*References!$C$43</f>
        <v>0.21122833648553016</v>
      </c>
      <c r="M52" s="85">
        <f>+L52/References!$F$46</f>
        <v>0.21611247849962159</v>
      </c>
      <c r="N52" s="85">
        <f t="shared" si="61"/>
        <v>0.21611247849962159</v>
      </c>
      <c r="O52" s="86">
        <v>16.239999999999998</v>
      </c>
      <c r="P52" s="203">
        <f t="shared" si="48"/>
        <v>16.46</v>
      </c>
      <c r="Q52" s="25">
        <f t="shared" si="62"/>
        <v>0</v>
      </c>
      <c r="R52" s="25">
        <f t="shared" si="63"/>
        <v>0</v>
      </c>
      <c r="S52" s="87">
        <f t="shared" si="64"/>
        <v>0</v>
      </c>
      <c r="T52" s="31"/>
      <c r="V52" s="3">
        <f>(((I52*References!$C$43*'Disp Increase Calc'!$F$80)/References!$F$46))</f>
        <v>0.21611247849962156</v>
      </c>
      <c r="W52" s="4">
        <f t="shared" si="53"/>
        <v>0</v>
      </c>
      <c r="X52" s="15"/>
    </row>
    <row r="53" spans="1:24" ht="15" customHeight="1">
      <c r="A53">
        <v>47</v>
      </c>
      <c r="B53" s="82"/>
      <c r="C53" s="222"/>
      <c r="D53" s="10">
        <v>33</v>
      </c>
      <c r="E53" t="s">
        <v>242</v>
      </c>
      <c r="H53" s="99">
        <v>1</v>
      </c>
      <c r="I53">
        <f>References!$C$18</f>
        <v>324</v>
      </c>
      <c r="J53" s="84">
        <f t="shared" si="59"/>
        <v>324</v>
      </c>
      <c r="K53" s="84">
        <f t="shared" si="60"/>
        <v>218.88946786065287</v>
      </c>
      <c r="L53" s="85">
        <f>+K53*References!$C$43</f>
        <v>0.21122833648553016</v>
      </c>
      <c r="M53" s="85">
        <f>+L53/References!$F$46</f>
        <v>0.21611247849962159</v>
      </c>
      <c r="N53" s="85">
        <f t="shared" si="61"/>
        <v>0.21611247849962159</v>
      </c>
      <c r="O53" s="86">
        <v>36.24</v>
      </c>
      <c r="P53" s="203">
        <f t="shared" si="48"/>
        <v>36.46</v>
      </c>
      <c r="Q53" s="25">
        <f t="shared" si="62"/>
        <v>0</v>
      </c>
      <c r="R53" s="25">
        <f t="shared" si="63"/>
        <v>0</v>
      </c>
      <c r="S53" s="87">
        <f t="shared" si="64"/>
        <v>0</v>
      </c>
      <c r="T53" s="31"/>
      <c r="V53" s="3">
        <f>(((I53*References!$C$43*'Disp Increase Calc'!$F$80)/References!$F$46))</f>
        <v>0.21611247849962156</v>
      </c>
      <c r="W53" s="4">
        <f t="shared" si="53"/>
        <v>0</v>
      </c>
      <c r="X53" s="15"/>
    </row>
    <row r="54" spans="1:24" ht="15" customHeight="1">
      <c r="A54">
        <v>48</v>
      </c>
      <c r="B54" s="82"/>
      <c r="C54" s="222"/>
      <c r="D54" s="10">
        <v>33</v>
      </c>
      <c r="E54" t="s">
        <v>243</v>
      </c>
      <c r="H54" s="99">
        <v>1</v>
      </c>
      <c r="I54">
        <f>References!$C$18</f>
        <v>324</v>
      </c>
      <c r="J54" s="84">
        <f t="shared" si="59"/>
        <v>324</v>
      </c>
      <c r="K54" s="84">
        <f t="shared" si="60"/>
        <v>218.88946786065287</v>
      </c>
      <c r="L54" s="85">
        <f>+K54*References!$C$43</f>
        <v>0.21122833648553016</v>
      </c>
      <c r="M54" s="85">
        <f>+L54/References!$F$46</f>
        <v>0.21611247849962159</v>
      </c>
      <c r="N54" s="85">
        <f t="shared" si="61"/>
        <v>0.21611247849962159</v>
      </c>
      <c r="O54" s="86">
        <v>36.24</v>
      </c>
      <c r="P54" s="203">
        <f t="shared" si="48"/>
        <v>36.46</v>
      </c>
      <c r="Q54" s="25">
        <f t="shared" si="62"/>
        <v>0</v>
      </c>
      <c r="R54" s="25">
        <f t="shared" si="63"/>
        <v>0</v>
      </c>
      <c r="S54" s="87">
        <f t="shared" si="64"/>
        <v>0</v>
      </c>
      <c r="T54" s="31"/>
      <c r="V54" s="3">
        <f>(((I54*References!$C$43*'Disp Increase Calc'!$F$80)/References!$F$46))</f>
        <v>0.21611247849962156</v>
      </c>
      <c r="W54" s="4">
        <f t="shared" si="53"/>
        <v>0</v>
      </c>
      <c r="X54" s="15"/>
    </row>
    <row r="55" spans="1:24" ht="15" customHeight="1">
      <c r="A55">
        <v>49</v>
      </c>
      <c r="B55" s="82"/>
      <c r="C55" s="222"/>
      <c r="D55" s="10">
        <v>33</v>
      </c>
      <c r="E55" t="s">
        <v>244</v>
      </c>
      <c r="H55" s="99">
        <v>1</v>
      </c>
      <c r="I55">
        <f>References!$C$19</f>
        <v>473</v>
      </c>
      <c r="J55" s="84">
        <f t="shared" si="59"/>
        <v>473</v>
      </c>
      <c r="K55" s="84">
        <f t="shared" si="60"/>
        <v>319.55159968545928</v>
      </c>
      <c r="L55" s="85">
        <f>+K55*References!$C$43</f>
        <v>0.30836729369646837</v>
      </c>
      <c r="M55" s="85">
        <f>+L55/References!$F$46</f>
        <v>0.31549753805654629</v>
      </c>
      <c r="N55" s="85">
        <f t="shared" si="61"/>
        <v>0.31549753805654629</v>
      </c>
      <c r="O55" s="86">
        <v>20.350000000000001</v>
      </c>
      <c r="P55" s="203">
        <f t="shared" si="48"/>
        <v>20.67</v>
      </c>
      <c r="Q55" s="25">
        <f t="shared" si="62"/>
        <v>0</v>
      </c>
      <c r="R55" s="25">
        <f t="shared" si="63"/>
        <v>0</v>
      </c>
      <c r="S55" s="87">
        <f t="shared" si="64"/>
        <v>0</v>
      </c>
      <c r="T55" s="31"/>
      <c r="V55" s="3">
        <f>(((I55*References!$C$43*'Disp Increase Calc'!$F$80)/References!$F$46))</f>
        <v>0.31549753805654634</v>
      </c>
      <c r="W55" s="4">
        <f t="shared" si="53"/>
        <v>0</v>
      </c>
      <c r="X55" s="15"/>
    </row>
    <row r="56" spans="1:24" ht="15" customHeight="1">
      <c r="A56">
        <v>50</v>
      </c>
      <c r="B56" s="82"/>
      <c r="C56" s="222"/>
      <c r="D56" s="10">
        <v>33</v>
      </c>
      <c r="E56" t="s">
        <v>245</v>
      </c>
      <c r="H56" s="99">
        <v>1</v>
      </c>
      <c r="I56">
        <f>References!$C$19</f>
        <v>473</v>
      </c>
      <c r="J56" s="84">
        <f t="shared" si="59"/>
        <v>473</v>
      </c>
      <c r="K56" s="84">
        <f t="shared" si="60"/>
        <v>319.55159968545928</v>
      </c>
      <c r="L56" s="85">
        <f>+K56*References!$C$43</f>
        <v>0.30836729369646837</v>
      </c>
      <c r="M56" s="85">
        <f>+L56/References!$F$46</f>
        <v>0.31549753805654629</v>
      </c>
      <c r="N56" s="85">
        <f t="shared" si="61"/>
        <v>0.31549753805654629</v>
      </c>
      <c r="O56" s="86">
        <v>40.35</v>
      </c>
      <c r="P56" s="203">
        <f t="shared" si="48"/>
        <v>40.67</v>
      </c>
      <c r="Q56" s="25">
        <f t="shared" si="62"/>
        <v>0</v>
      </c>
      <c r="R56" s="25">
        <f t="shared" si="63"/>
        <v>0</v>
      </c>
      <c r="S56" s="87">
        <f t="shared" si="64"/>
        <v>0</v>
      </c>
      <c r="T56" s="31"/>
      <c r="V56" s="3">
        <f>(((I56*References!$C$43*'Disp Increase Calc'!$F$80)/References!$F$46))</f>
        <v>0.31549753805654634</v>
      </c>
      <c r="W56" s="4">
        <f t="shared" si="53"/>
        <v>0</v>
      </c>
      <c r="X56" s="15"/>
    </row>
    <row r="57" spans="1:24" ht="15" customHeight="1">
      <c r="A57">
        <v>51</v>
      </c>
      <c r="B57" s="82"/>
      <c r="C57" s="222"/>
      <c r="D57" s="10">
        <v>33</v>
      </c>
      <c r="E57" t="s">
        <v>246</v>
      </c>
      <c r="H57" s="99">
        <v>1</v>
      </c>
      <c r="I57">
        <f>References!$C$19</f>
        <v>473</v>
      </c>
      <c r="J57" s="84">
        <f t="shared" si="59"/>
        <v>473</v>
      </c>
      <c r="K57" s="84">
        <f t="shared" si="60"/>
        <v>319.55159968545928</v>
      </c>
      <c r="L57" s="85">
        <f>+K57*References!$C$43</f>
        <v>0.30836729369646837</v>
      </c>
      <c r="M57" s="85">
        <f>+L57/References!$F$46</f>
        <v>0.31549753805654629</v>
      </c>
      <c r="N57" s="85">
        <f t="shared" si="61"/>
        <v>0.31549753805654629</v>
      </c>
      <c r="O57" s="86">
        <v>40.35</v>
      </c>
      <c r="P57" s="203">
        <f t="shared" si="48"/>
        <v>40.67</v>
      </c>
      <c r="Q57" s="25">
        <f t="shared" si="62"/>
        <v>0</v>
      </c>
      <c r="R57" s="25">
        <f t="shared" si="63"/>
        <v>0</v>
      </c>
      <c r="S57" s="87">
        <f t="shared" si="64"/>
        <v>0</v>
      </c>
      <c r="T57" s="31"/>
      <c r="V57" s="3">
        <f>(((I57*References!$C$43*'Disp Increase Calc'!$F$80)/References!$F$46))</f>
        <v>0.31549753805654634</v>
      </c>
      <c r="W57" s="4">
        <f t="shared" si="53"/>
        <v>0</v>
      </c>
      <c r="X57" s="15"/>
    </row>
    <row r="58" spans="1:24" ht="15" customHeight="1">
      <c r="A58">
        <v>52</v>
      </c>
      <c r="B58" s="82"/>
      <c r="C58" s="222"/>
      <c r="D58" s="10">
        <v>33</v>
      </c>
      <c r="E58" t="s">
        <v>247</v>
      </c>
      <c r="H58" s="99">
        <v>1</v>
      </c>
      <c r="I58">
        <f>References!$C$20</f>
        <v>613</v>
      </c>
      <c r="J58" s="84">
        <f t="shared" si="59"/>
        <v>613</v>
      </c>
      <c r="K58" s="84">
        <f t="shared" si="60"/>
        <v>414.13346851413644</v>
      </c>
      <c r="L58" s="85">
        <f>+K58*References!$C$43</f>
        <v>0.39963879711614192</v>
      </c>
      <c r="M58" s="85">
        <f>+L58/References!$F$46</f>
        <v>0.40887947321070378</v>
      </c>
      <c r="N58" s="85">
        <f t="shared" si="61"/>
        <v>0.40887947321070378</v>
      </c>
      <c r="O58" s="86">
        <v>26.23</v>
      </c>
      <c r="P58" s="203">
        <f t="shared" si="48"/>
        <v>26.64</v>
      </c>
      <c r="Q58" s="25">
        <f t="shared" si="62"/>
        <v>0</v>
      </c>
      <c r="R58" s="25">
        <f t="shared" si="63"/>
        <v>0</v>
      </c>
      <c r="S58" s="87">
        <f t="shared" si="64"/>
        <v>0</v>
      </c>
      <c r="T58" s="31"/>
      <c r="V58" s="3">
        <f>(((I58*References!$C$43*'Disp Increase Calc'!$F$80)/References!$F$46))</f>
        <v>0.40887947321070378</v>
      </c>
      <c r="W58" s="4">
        <f t="shared" si="53"/>
        <v>0</v>
      </c>
      <c r="X58" s="15"/>
    </row>
    <row r="59" spans="1:24" ht="15" customHeight="1">
      <c r="A59">
        <v>53</v>
      </c>
      <c r="B59" s="82"/>
      <c r="C59" s="222"/>
      <c r="D59" s="10">
        <v>33</v>
      </c>
      <c r="E59" t="s">
        <v>248</v>
      </c>
      <c r="H59" s="99">
        <v>1</v>
      </c>
      <c r="I59">
        <f>References!$C$20</f>
        <v>613</v>
      </c>
      <c r="J59" s="84">
        <f t="shared" si="59"/>
        <v>613</v>
      </c>
      <c r="K59" s="84">
        <f t="shared" si="60"/>
        <v>414.13346851413644</v>
      </c>
      <c r="L59" s="85">
        <f>+K59*References!$C$43</f>
        <v>0.39963879711614192</v>
      </c>
      <c r="M59" s="85">
        <f>+L59/References!$F$46</f>
        <v>0.40887947321070378</v>
      </c>
      <c r="N59" s="85">
        <f t="shared" si="61"/>
        <v>0.40887947321070378</v>
      </c>
      <c r="O59" s="86">
        <v>46.23</v>
      </c>
      <c r="P59" s="203">
        <f t="shared" si="48"/>
        <v>46.64</v>
      </c>
      <c r="Q59" s="25">
        <f t="shared" si="62"/>
        <v>0</v>
      </c>
      <c r="R59" s="25">
        <f t="shared" si="63"/>
        <v>0</v>
      </c>
      <c r="S59" s="87">
        <f t="shared" si="64"/>
        <v>0</v>
      </c>
      <c r="T59" s="31"/>
      <c r="V59" s="3">
        <f>(((I59*References!$C$43*'Disp Increase Calc'!$F$80)/References!$F$46))</f>
        <v>0.40887947321070378</v>
      </c>
      <c r="W59" s="4">
        <f t="shared" si="53"/>
        <v>0</v>
      </c>
      <c r="X59" s="15"/>
    </row>
    <row r="60" spans="1:24" ht="15" customHeight="1">
      <c r="A60">
        <v>54</v>
      </c>
      <c r="B60" s="82"/>
      <c r="C60" s="222"/>
      <c r="D60" s="10">
        <v>33</v>
      </c>
      <c r="E60" t="s">
        <v>249</v>
      </c>
      <c r="H60" s="99">
        <v>1</v>
      </c>
      <c r="I60">
        <f>References!$C$20</f>
        <v>613</v>
      </c>
      <c r="J60" s="84">
        <f t="shared" si="59"/>
        <v>613</v>
      </c>
      <c r="K60" s="84">
        <f t="shared" si="60"/>
        <v>414.13346851413644</v>
      </c>
      <c r="L60" s="85">
        <f>+K60*References!$C$43</f>
        <v>0.39963879711614192</v>
      </c>
      <c r="M60" s="85">
        <f>+L60/References!$F$46</f>
        <v>0.40887947321070378</v>
      </c>
      <c r="N60" s="85">
        <f t="shared" si="61"/>
        <v>0.40887947321070378</v>
      </c>
      <c r="O60" s="86">
        <v>46.23</v>
      </c>
      <c r="P60" s="203">
        <f t="shared" si="48"/>
        <v>46.64</v>
      </c>
      <c r="Q60" s="25">
        <f t="shared" si="62"/>
        <v>0</v>
      </c>
      <c r="R60" s="25">
        <f t="shared" si="63"/>
        <v>0</v>
      </c>
      <c r="S60" s="87">
        <f t="shared" si="64"/>
        <v>0</v>
      </c>
      <c r="T60" s="31"/>
      <c r="V60" s="3">
        <f>(((I60*References!$C$43*'Disp Increase Calc'!$F$80)/References!$F$46))</f>
        <v>0.40887947321070378</v>
      </c>
      <c r="W60" s="4">
        <f t="shared" si="53"/>
        <v>0</v>
      </c>
      <c r="X60" s="15"/>
    </row>
    <row r="61" spans="1:24" ht="15" customHeight="1">
      <c r="A61">
        <v>55</v>
      </c>
      <c r="B61" s="82"/>
      <c r="C61" s="222"/>
      <c r="D61" s="10">
        <v>33</v>
      </c>
      <c r="E61" t="s">
        <v>250</v>
      </c>
      <c r="H61" s="99">
        <v>1</v>
      </c>
      <c r="I61">
        <f>References!$C$22</f>
        <v>840</v>
      </c>
      <c r="J61" s="84">
        <f t="shared" si="59"/>
        <v>840</v>
      </c>
      <c r="K61" s="84">
        <f t="shared" si="60"/>
        <v>567.49121297206307</v>
      </c>
      <c r="L61" s="85">
        <f>+K61*References!$C$43</f>
        <v>0.54762902051804119</v>
      </c>
      <c r="M61" s="85">
        <f>+L61/References!$F$46</f>
        <v>0.56029161092494495</v>
      </c>
      <c r="N61" s="85">
        <f t="shared" si="61"/>
        <v>0.56029161092494495</v>
      </c>
      <c r="O61" s="86">
        <v>34.93</v>
      </c>
      <c r="P61" s="203">
        <f t="shared" si="48"/>
        <v>35.49</v>
      </c>
      <c r="Q61" s="25">
        <f t="shared" si="62"/>
        <v>0</v>
      </c>
      <c r="R61" s="25">
        <f t="shared" si="63"/>
        <v>0</v>
      </c>
      <c r="S61" s="87">
        <f t="shared" si="64"/>
        <v>0</v>
      </c>
      <c r="T61" s="31"/>
      <c r="V61" s="3">
        <f>(((I61*References!$C$43*'Disp Increase Calc'!$F$80)/References!$F$46))</f>
        <v>0.56029161092494484</v>
      </c>
      <c r="W61" s="4">
        <f t="shared" si="53"/>
        <v>0</v>
      </c>
      <c r="X61" s="15"/>
    </row>
    <row r="62" spans="1:24" ht="15" customHeight="1">
      <c r="A62">
        <v>56</v>
      </c>
      <c r="B62" s="82"/>
      <c r="C62" s="222"/>
      <c r="D62" s="10">
        <v>33</v>
      </c>
      <c r="E62" t="s">
        <v>251</v>
      </c>
      <c r="H62" s="99">
        <v>1</v>
      </c>
      <c r="I62">
        <f>References!$C$22</f>
        <v>840</v>
      </c>
      <c r="J62" s="84">
        <f t="shared" si="59"/>
        <v>840</v>
      </c>
      <c r="K62" s="84">
        <f t="shared" si="60"/>
        <v>567.49121297206307</v>
      </c>
      <c r="L62" s="85">
        <f>+K62*References!$C$43</f>
        <v>0.54762902051804119</v>
      </c>
      <c r="M62" s="85">
        <f>+L62/References!$F$46</f>
        <v>0.56029161092494495</v>
      </c>
      <c r="N62" s="85">
        <f t="shared" si="61"/>
        <v>0.56029161092494495</v>
      </c>
      <c r="O62" s="86">
        <v>54.93</v>
      </c>
      <c r="P62" s="203">
        <f t="shared" si="48"/>
        <v>55.49</v>
      </c>
      <c r="Q62" s="25">
        <f t="shared" si="62"/>
        <v>0</v>
      </c>
      <c r="R62" s="25">
        <f t="shared" si="63"/>
        <v>0</v>
      </c>
      <c r="S62" s="87">
        <f t="shared" si="64"/>
        <v>0</v>
      </c>
      <c r="T62" s="31"/>
      <c r="V62" s="3">
        <f>(((I62*References!$C$43*'Disp Increase Calc'!$F$80)/References!$F$46))</f>
        <v>0.56029161092494484</v>
      </c>
      <c r="W62" s="4">
        <f t="shared" si="53"/>
        <v>0</v>
      </c>
      <c r="X62" s="15"/>
    </row>
    <row r="63" spans="1:24" ht="15" customHeight="1">
      <c r="A63">
        <v>57</v>
      </c>
      <c r="B63" s="82"/>
      <c r="C63" s="222"/>
      <c r="D63" s="10">
        <v>33</v>
      </c>
      <c r="E63" t="s">
        <v>252</v>
      </c>
      <c r="H63" s="99">
        <v>1</v>
      </c>
      <c r="I63">
        <f>References!$C$22</f>
        <v>840</v>
      </c>
      <c r="J63" s="84">
        <f t="shared" si="59"/>
        <v>840</v>
      </c>
      <c r="K63" s="84">
        <f t="shared" si="60"/>
        <v>567.49121297206307</v>
      </c>
      <c r="L63" s="85">
        <f>+K63*References!$C$43</f>
        <v>0.54762902051804119</v>
      </c>
      <c r="M63" s="85">
        <f>+L63/References!$F$46</f>
        <v>0.56029161092494495</v>
      </c>
      <c r="N63" s="85">
        <f t="shared" si="61"/>
        <v>0.56029161092494495</v>
      </c>
      <c r="O63" s="86">
        <v>54.93</v>
      </c>
      <c r="P63" s="203">
        <f t="shared" si="48"/>
        <v>55.49</v>
      </c>
      <c r="Q63" s="25">
        <f t="shared" si="62"/>
        <v>0</v>
      </c>
      <c r="R63" s="25">
        <f t="shared" si="63"/>
        <v>0</v>
      </c>
      <c r="S63" s="87">
        <f t="shared" si="64"/>
        <v>0</v>
      </c>
      <c r="T63" s="31"/>
      <c r="V63" s="3">
        <f>(((I63*References!$C$43*'Disp Increase Calc'!$F$80)/References!$F$46))</f>
        <v>0.56029161092494484</v>
      </c>
      <c r="W63" s="4">
        <f t="shared" si="53"/>
        <v>0</v>
      </c>
      <c r="X63" s="15"/>
    </row>
    <row r="64" spans="1:24" ht="15" customHeight="1">
      <c r="A64">
        <v>58</v>
      </c>
      <c r="B64" s="82"/>
      <c r="C64" s="222"/>
      <c r="D64" s="10">
        <v>33</v>
      </c>
      <c r="E64" t="s">
        <v>253</v>
      </c>
      <c r="H64" s="99">
        <v>1</v>
      </c>
      <c r="I64">
        <f>References!$C$23</f>
        <v>980</v>
      </c>
      <c r="J64" s="84">
        <f t="shared" si="59"/>
        <v>980</v>
      </c>
      <c r="K64" s="84">
        <f t="shared" si="60"/>
        <v>662.07308180074017</v>
      </c>
      <c r="L64" s="85">
        <f>+K64*References!$C$43</f>
        <v>0.63890052393771468</v>
      </c>
      <c r="M64" s="85">
        <f>+L64/References!$F$46</f>
        <v>0.65367354607910233</v>
      </c>
      <c r="N64" s="85">
        <f t="shared" si="61"/>
        <v>0.65367354607910233</v>
      </c>
      <c r="O64" s="86">
        <v>46.76</v>
      </c>
      <c r="P64" s="203">
        <f t="shared" si="48"/>
        <v>47.41</v>
      </c>
      <c r="Q64" s="25">
        <f t="shared" si="62"/>
        <v>0</v>
      </c>
      <c r="R64" s="25">
        <f t="shared" si="63"/>
        <v>0</v>
      </c>
      <c r="S64" s="87">
        <f t="shared" si="64"/>
        <v>0</v>
      </c>
      <c r="T64" s="31"/>
      <c r="V64" s="3">
        <f>(((I64*References!$C$43*'Disp Increase Calc'!$F$80)/References!$F$46))</f>
        <v>0.65367354607910233</v>
      </c>
      <c r="W64" s="4">
        <f t="shared" si="53"/>
        <v>0</v>
      </c>
      <c r="X64" s="15"/>
    </row>
    <row r="65" spans="1:24" ht="15" customHeight="1">
      <c r="A65">
        <v>59</v>
      </c>
      <c r="B65" s="82"/>
      <c r="C65" s="222"/>
      <c r="D65" s="10">
        <v>33</v>
      </c>
      <c r="E65" t="s">
        <v>254</v>
      </c>
      <c r="H65" s="99">
        <v>1</v>
      </c>
      <c r="I65">
        <f>References!$C$23</f>
        <v>980</v>
      </c>
      <c r="J65" s="84">
        <f t="shared" si="59"/>
        <v>980</v>
      </c>
      <c r="K65" s="84">
        <f t="shared" si="60"/>
        <v>662.07308180074017</v>
      </c>
      <c r="L65" s="85">
        <f>+K65*References!$C$43</f>
        <v>0.63890052393771468</v>
      </c>
      <c r="M65" s="85">
        <f>+L65/References!$F$46</f>
        <v>0.65367354607910233</v>
      </c>
      <c r="N65" s="85">
        <f t="shared" si="61"/>
        <v>0.65367354607910233</v>
      </c>
      <c r="O65" s="86">
        <v>66.760000000000005</v>
      </c>
      <c r="P65" s="203">
        <f t="shared" si="48"/>
        <v>67.41</v>
      </c>
      <c r="Q65" s="25">
        <f t="shared" si="62"/>
        <v>0</v>
      </c>
      <c r="R65" s="25">
        <f t="shared" si="63"/>
        <v>0</v>
      </c>
      <c r="S65" s="87">
        <f t="shared" si="64"/>
        <v>0</v>
      </c>
      <c r="T65" s="31"/>
      <c r="V65" s="3">
        <f>(((I65*References!$C$43*'Disp Increase Calc'!$F$80)/References!$F$46))</f>
        <v>0.65367354607910233</v>
      </c>
      <c r="W65" s="4">
        <f t="shared" si="53"/>
        <v>0</v>
      </c>
      <c r="X65" s="15"/>
    </row>
    <row r="66" spans="1:24" ht="15" customHeight="1">
      <c r="A66">
        <v>60</v>
      </c>
      <c r="B66" s="82"/>
      <c r="C66" s="222"/>
      <c r="D66" s="10">
        <v>33</v>
      </c>
      <c r="E66" t="s">
        <v>255</v>
      </c>
      <c r="H66" s="99">
        <v>1</v>
      </c>
      <c r="I66">
        <f>References!$C$23</f>
        <v>980</v>
      </c>
      <c r="J66" s="84">
        <f t="shared" si="59"/>
        <v>980</v>
      </c>
      <c r="K66" s="84">
        <f t="shared" si="60"/>
        <v>662.07308180074017</v>
      </c>
      <c r="L66" s="85">
        <f>+K66*References!$C$43</f>
        <v>0.63890052393771468</v>
      </c>
      <c r="M66" s="85">
        <f>+L66/References!$F$46</f>
        <v>0.65367354607910233</v>
      </c>
      <c r="N66" s="85">
        <f t="shared" si="61"/>
        <v>0.65367354607910233</v>
      </c>
      <c r="O66" s="86">
        <v>66.760000000000005</v>
      </c>
      <c r="P66" s="203">
        <f t="shared" si="48"/>
        <v>67.41</v>
      </c>
      <c r="Q66" s="25">
        <f t="shared" si="62"/>
        <v>0</v>
      </c>
      <c r="R66" s="25">
        <f t="shared" si="63"/>
        <v>0</v>
      </c>
      <c r="S66" s="87">
        <f t="shared" si="64"/>
        <v>0</v>
      </c>
      <c r="T66" s="31"/>
      <c r="V66" s="3">
        <f>(((I66*References!$C$43*'Disp Increase Calc'!$F$80)/References!$F$46))</f>
        <v>0.65367354607910233</v>
      </c>
      <c r="W66" s="4">
        <f t="shared" si="53"/>
        <v>0</v>
      </c>
      <c r="X66" s="15"/>
    </row>
    <row r="67" spans="1:24" ht="15" customHeight="1">
      <c r="A67">
        <v>61</v>
      </c>
      <c r="B67" s="82"/>
      <c r="C67" s="222"/>
      <c r="D67" s="83">
        <v>33</v>
      </c>
      <c r="E67" s="171" t="s">
        <v>50</v>
      </c>
      <c r="H67" s="99">
        <v>1</v>
      </c>
      <c r="I67">
        <f>References!$C$15</f>
        <v>29</v>
      </c>
      <c r="J67" s="84">
        <f t="shared" si="59"/>
        <v>29</v>
      </c>
      <c r="K67" s="84">
        <f t="shared" si="60"/>
        <v>19.591958543083127</v>
      </c>
      <c r="L67" s="85">
        <f>+K67*References!$C$43</f>
        <v>1.890623999407523E-2</v>
      </c>
      <c r="M67" s="85">
        <f>+L67/References!$F$46</f>
        <v>1.9343400853361191E-2</v>
      </c>
      <c r="N67" s="85">
        <f t="shared" si="61"/>
        <v>1.9343400853361191E-2</v>
      </c>
      <c r="O67" s="86">
        <v>2.67</v>
      </c>
      <c r="P67" s="203">
        <f t="shared" si="48"/>
        <v>2.69</v>
      </c>
      <c r="Q67" s="25">
        <f t="shared" si="62"/>
        <v>0</v>
      </c>
      <c r="R67" s="25">
        <f t="shared" si="63"/>
        <v>0</v>
      </c>
      <c r="S67" s="87">
        <f t="shared" si="64"/>
        <v>0</v>
      </c>
      <c r="T67" s="31"/>
      <c r="V67" s="3">
        <f>(((I67*References!$C$43*'Disp Increase Calc'!$F$80)/References!$F$46))</f>
        <v>1.9343400853361191E-2</v>
      </c>
      <c r="W67" s="4">
        <f t="shared" si="53"/>
        <v>0</v>
      </c>
      <c r="X67" s="15"/>
    </row>
    <row r="68" spans="1:24" ht="15" customHeight="1">
      <c r="A68">
        <v>62</v>
      </c>
      <c r="B68" s="82"/>
      <c r="C68" s="222"/>
      <c r="D68" s="10">
        <v>34</v>
      </c>
      <c r="E68" t="s">
        <v>258</v>
      </c>
      <c r="H68" s="99">
        <v>1</v>
      </c>
      <c r="I68">
        <f>References!$C$15</f>
        <v>29</v>
      </c>
      <c r="J68" s="84">
        <f t="shared" si="59"/>
        <v>29</v>
      </c>
      <c r="K68" s="84">
        <f t="shared" si="60"/>
        <v>19.591958543083127</v>
      </c>
      <c r="L68" s="85">
        <f>+K68*References!$C$43</f>
        <v>1.890623999407523E-2</v>
      </c>
      <c r="M68" s="85">
        <f>+L68/References!$F$46</f>
        <v>1.9343400853361191E-2</v>
      </c>
      <c r="N68" s="85">
        <f t="shared" si="61"/>
        <v>1.9343400853361191E-2</v>
      </c>
      <c r="O68" s="86">
        <v>7.95</v>
      </c>
      <c r="P68" s="203">
        <f t="shared" si="48"/>
        <v>7.97</v>
      </c>
      <c r="Q68" s="25">
        <f t="shared" si="62"/>
        <v>0</v>
      </c>
      <c r="R68" s="25">
        <f t="shared" si="63"/>
        <v>0</v>
      </c>
      <c r="S68" s="87">
        <f t="shared" si="64"/>
        <v>0</v>
      </c>
      <c r="T68" s="31"/>
      <c r="V68" s="3">
        <f>(((I68*References!$C$43*'Disp Increase Calc'!$F$80)/References!$F$46))</f>
        <v>1.9343400853361191E-2</v>
      </c>
      <c r="W68" s="4">
        <f t="shared" si="53"/>
        <v>0</v>
      </c>
      <c r="X68" s="15"/>
    </row>
    <row r="69" spans="1:24" ht="15" customHeight="1">
      <c r="A69">
        <v>63</v>
      </c>
      <c r="B69" s="82"/>
      <c r="C69" s="222"/>
      <c r="D69" s="10">
        <v>34</v>
      </c>
      <c r="E69" t="s">
        <v>257</v>
      </c>
      <c r="H69" s="99">
        <v>1</v>
      </c>
      <c r="I69">
        <f>References!$C$15</f>
        <v>29</v>
      </c>
      <c r="J69" s="84">
        <f t="shared" si="59"/>
        <v>29</v>
      </c>
      <c r="K69" s="84">
        <f t="shared" si="60"/>
        <v>19.591958543083127</v>
      </c>
      <c r="L69" s="85">
        <f>+K69*References!$C$43</f>
        <v>1.890623999407523E-2</v>
      </c>
      <c r="M69" s="85">
        <f>+L69/References!$F$46</f>
        <v>1.9343400853361191E-2</v>
      </c>
      <c r="N69" s="85">
        <f t="shared" si="61"/>
        <v>1.9343400853361191E-2</v>
      </c>
      <c r="O69" s="86">
        <v>1.95</v>
      </c>
      <c r="P69" s="203">
        <f t="shared" si="48"/>
        <v>1.97</v>
      </c>
      <c r="Q69" s="25">
        <f t="shared" si="62"/>
        <v>0</v>
      </c>
      <c r="R69" s="25">
        <f t="shared" si="63"/>
        <v>0</v>
      </c>
      <c r="S69" s="87">
        <f t="shared" si="64"/>
        <v>0</v>
      </c>
      <c r="T69" s="31"/>
      <c r="V69" s="3">
        <f>(((I69*References!$C$43*'Disp Increase Calc'!$F$80)/References!$F$46))</f>
        <v>1.9343400853361191E-2</v>
      </c>
      <c r="W69" s="4">
        <f t="shared" si="53"/>
        <v>0</v>
      </c>
      <c r="X69" s="15"/>
    </row>
    <row r="70" spans="1:24" ht="15" customHeight="1">
      <c r="A70">
        <v>64</v>
      </c>
      <c r="B70" s="82"/>
      <c r="C70" s="222"/>
      <c r="D70" s="10">
        <v>34</v>
      </c>
      <c r="E70" s="173" t="s">
        <v>50</v>
      </c>
      <c r="H70" s="99">
        <v>1</v>
      </c>
      <c r="I70">
        <f>References!$C$15</f>
        <v>29</v>
      </c>
      <c r="J70" s="84">
        <f t="shared" si="59"/>
        <v>29</v>
      </c>
      <c r="K70" s="84">
        <f t="shared" si="60"/>
        <v>19.591958543083127</v>
      </c>
      <c r="L70" s="85">
        <f>+K70*References!$C$43</f>
        <v>1.890623999407523E-2</v>
      </c>
      <c r="M70" s="85">
        <f>+L70/References!$F$46</f>
        <v>1.9343400853361191E-2</v>
      </c>
      <c r="N70" s="85">
        <f t="shared" si="61"/>
        <v>1.9343400853361191E-2</v>
      </c>
      <c r="O70" s="86">
        <v>2.67</v>
      </c>
      <c r="P70" s="203">
        <f t="shared" si="48"/>
        <v>2.69</v>
      </c>
      <c r="Q70" s="25">
        <f t="shared" ref="Q70" si="65">+O70*F70</f>
        <v>0</v>
      </c>
      <c r="R70" s="25">
        <f t="shared" ref="R70" si="66">+P70*F70</f>
        <v>0</v>
      </c>
      <c r="S70" s="87">
        <f t="shared" ref="S70" si="67">+R70-Q70</f>
        <v>0</v>
      </c>
      <c r="T70" s="31"/>
      <c r="V70" s="3">
        <f>(((I70*References!$C$43*'Disp Increase Calc'!$F$80)/References!$F$46))</f>
        <v>1.9343400853361191E-2</v>
      </c>
      <c r="W70" s="4">
        <f t="shared" si="53"/>
        <v>0</v>
      </c>
      <c r="X70" s="15"/>
    </row>
    <row r="71" spans="1:24" ht="15" customHeight="1">
      <c r="B71" s="82"/>
      <c r="C71" s="174"/>
      <c r="D71" s="10">
        <v>34</v>
      </c>
      <c r="E71" s="173" t="s">
        <v>259</v>
      </c>
      <c r="H71" s="99"/>
      <c r="I71" s="219"/>
      <c r="J71" s="167"/>
      <c r="K71" s="167"/>
      <c r="L71" s="85"/>
      <c r="M71" s="85"/>
      <c r="N71" s="85"/>
      <c r="O71" s="86">
        <v>8.44</v>
      </c>
      <c r="P71" s="203">
        <f>P21*4.33</f>
        <v>8.5301000000000009</v>
      </c>
      <c r="Q71" s="25">
        <f t="shared" ref="Q71" si="68">+O71*F71</f>
        <v>0</v>
      </c>
      <c r="R71" s="25">
        <f t="shared" ref="R71" si="69">+P71*F71</f>
        <v>0</v>
      </c>
      <c r="S71" s="87">
        <f t="shared" ref="S71" si="70">+R71-Q71</f>
        <v>0</v>
      </c>
      <c r="T71" s="31"/>
      <c r="V71" s="3">
        <f>(((I71*References!$C$43*'Disp Increase Calc'!$F$80)/References!$F$46))</f>
        <v>0</v>
      </c>
      <c r="W71" s="4">
        <f t="shared" si="53"/>
        <v>0</v>
      </c>
      <c r="X71" s="15"/>
    </row>
    <row r="72" spans="1:24" s="64" customFormat="1" ht="15" customHeight="1">
      <c r="B72" s="115"/>
      <c r="C72" s="116"/>
      <c r="D72" s="117"/>
      <c r="H72" s="118"/>
      <c r="J72" s="119"/>
      <c r="K72" s="119"/>
      <c r="L72" s="120"/>
      <c r="M72" s="120"/>
      <c r="N72" s="120"/>
      <c r="O72" s="121"/>
      <c r="P72" s="210"/>
      <c r="Q72" s="122"/>
      <c r="R72" s="122"/>
      <c r="S72" s="123"/>
      <c r="W72" s="65"/>
      <c r="X72" s="68"/>
    </row>
    <row r="73" spans="1:24">
      <c r="B73" s="82"/>
      <c r="I73" s="46"/>
      <c r="J73" s="84"/>
      <c r="K73" s="84"/>
      <c r="L73" s="46"/>
      <c r="M73" s="46"/>
      <c r="N73" s="46"/>
      <c r="O73" s="211"/>
      <c r="P73" s="211"/>
      <c r="S73" s="124"/>
    </row>
    <row r="74" spans="1:24">
      <c r="B74" s="82"/>
      <c r="H74" s="46"/>
      <c r="I74" s="46"/>
      <c r="J74" s="84"/>
      <c r="K74" s="84"/>
      <c r="L74" s="46"/>
      <c r="M74" s="46"/>
      <c r="N74" s="46"/>
      <c r="O74" s="211"/>
      <c r="P74" s="211"/>
      <c r="Q74" s="46"/>
      <c r="S74" s="124"/>
    </row>
    <row r="75" spans="1:24">
      <c r="B75" s="82"/>
      <c r="E75" s="220" t="s">
        <v>52</v>
      </c>
      <c r="F75" s="220"/>
      <c r="J75" s="84"/>
      <c r="K75" s="84"/>
      <c r="S75" s="124"/>
    </row>
    <row r="76" spans="1:24">
      <c r="B76" s="82"/>
      <c r="F76" s="23" t="s">
        <v>29</v>
      </c>
      <c r="J76" s="84"/>
      <c r="K76" s="84"/>
      <c r="S76" s="124"/>
    </row>
    <row r="77" spans="1:24">
      <c r="B77" s="82"/>
      <c r="E77" t="s">
        <v>53</v>
      </c>
      <c r="F77" s="59">
        <f>References!B48</f>
        <v>5519.8041763207239</v>
      </c>
      <c r="G77" s="74" t="s">
        <v>237</v>
      </c>
      <c r="J77" s="84"/>
      <c r="K77" s="84"/>
      <c r="S77" s="124"/>
    </row>
    <row r="78" spans="1:24">
      <c r="B78" s="82"/>
      <c r="E78" t="s">
        <v>54</v>
      </c>
      <c r="F78" s="24">
        <f>+F77*2000</f>
        <v>11039608.352641448</v>
      </c>
      <c r="G78" s="72"/>
      <c r="J78" s="84"/>
      <c r="K78" s="84"/>
      <c r="S78" s="124"/>
    </row>
    <row r="79" spans="1:24">
      <c r="B79" s="82"/>
      <c r="E79" t="s">
        <v>55</v>
      </c>
      <c r="F79" s="24">
        <f>H24</f>
        <v>157981.15342481228</v>
      </c>
      <c r="J79" s="84"/>
      <c r="K79" s="84"/>
      <c r="S79" s="124"/>
    </row>
    <row r="80" spans="1:24">
      <c r="B80" s="82"/>
      <c r="E80" s="125" t="s">
        <v>56</v>
      </c>
      <c r="F80" s="70">
        <f>+F78/J24</f>
        <v>0.67558477734769407</v>
      </c>
      <c r="J80" s="84"/>
      <c r="K80" s="84"/>
      <c r="S80" s="124"/>
    </row>
    <row r="81" spans="2:19" ht="15.75" thickBot="1">
      <c r="B81" s="126"/>
      <c r="C81" s="127"/>
      <c r="D81" s="128"/>
      <c r="E81" s="127"/>
      <c r="F81" s="127"/>
      <c r="G81" s="127"/>
      <c r="H81" s="127"/>
      <c r="I81" s="127"/>
      <c r="J81" s="129"/>
      <c r="K81" s="129"/>
      <c r="L81" s="127"/>
      <c r="M81" s="127"/>
      <c r="N81" s="127"/>
      <c r="O81" s="212"/>
      <c r="P81" s="212"/>
      <c r="Q81" s="127"/>
      <c r="R81" s="127"/>
      <c r="S81" s="130"/>
    </row>
    <row r="82" spans="2:19" ht="15.75" thickTop="1"/>
  </sheetData>
  <autoFilter ref="B6:S72" xr:uid="{00000000-0009-0000-0000-000000000000}"/>
  <mergeCells count="6">
    <mergeCell ref="E75:F75"/>
    <mergeCell ref="A1:S1"/>
    <mergeCell ref="C16:C21"/>
    <mergeCell ref="C8:C12"/>
    <mergeCell ref="C30:C35"/>
    <mergeCell ref="C38:C70"/>
  </mergeCells>
  <phoneticPr fontId="25" type="noConversion"/>
  <dataValidations disablePrompts="1" count="1">
    <dataValidation type="list" allowBlank="1" showInputMessage="1" showErrorMessage="1" sqref="B33:B36 B38:B80 B31 B8:B27" xr:uid="{00000000-0002-0000-0000-000000000000}">
      <formula1>#REF!</formula1>
    </dataValidation>
  </dataValidations>
  <pageMargins left="0.7" right="0.7" top="0.75" bottom="0.75" header="0.3" footer="0.3"/>
  <pageSetup scale="36" fitToHeight="4" orientation="landscape" horizontalDpi="4294967295" verticalDpi="4294967295" r:id="rId1"/>
  <headerFooter>
    <oddHeader>&amp;C&amp;"-,Bold"&amp;12&amp;KFF0000INFORMATION RED OUTLINED AND/OR IN REDACTED AREA IS CONFIDENTIAL PER WAC 480-07-160</oddHeader>
  </headerFooter>
  <rowBreaks count="1" manualBreakCount="1">
    <brk id="7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E6C16-19F6-47BB-BB1D-155FF505111E}">
  <sheetPr>
    <tabColor rgb="FFC00000"/>
    <pageSetUpPr fitToPage="1"/>
  </sheetPr>
  <dimension ref="A1:N85"/>
  <sheetViews>
    <sheetView topLeftCell="A18" zoomScale="70" zoomScaleNormal="70" zoomScalePageLayoutView="70" workbookViewId="0">
      <selection activeCell="K51" sqref="K51"/>
    </sheetView>
  </sheetViews>
  <sheetFormatPr defaultColWidth="8.85546875" defaultRowHeight="15.75"/>
  <cols>
    <col min="1" max="1" width="8.140625" style="44" customWidth="1"/>
    <col min="2" max="2" width="13.85546875" style="44" customWidth="1"/>
    <col min="3" max="3" width="57.5703125" style="44" customWidth="1"/>
    <col min="4" max="4" width="14.42578125" style="44" customWidth="1"/>
    <col min="5" max="5" width="16.7109375" style="44" customWidth="1"/>
    <col min="6" max="6" width="15.5703125" style="44" customWidth="1"/>
    <col min="7" max="7" width="19.140625" style="44" customWidth="1"/>
    <col min="8" max="8" width="2.85546875" style="176" customWidth="1"/>
    <col min="9" max="9" width="13.85546875" style="176" bestFit="1" customWidth="1"/>
    <col min="10" max="10" width="26.7109375" style="176" bestFit="1" customWidth="1"/>
    <col min="11" max="13" width="8.85546875" style="176"/>
    <col min="14" max="14" width="10.28515625" style="176" customWidth="1"/>
    <col min="15" max="15" width="2" style="176" customWidth="1"/>
    <col min="16" max="16384" width="8.85546875" style="176"/>
  </cols>
  <sheetData>
    <row r="1" spans="1:14" ht="16.5" thickTop="1">
      <c r="A1" s="160" t="s">
        <v>203</v>
      </c>
      <c r="C1" s="161"/>
      <c r="D1" s="162"/>
      <c r="E1" s="162"/>
      <c r="F1" s="162"/>
      <c r="G1" s="162"/>
      <c r="H1" s="175"/>
      <c r="I1" s="175"/>
      <c r="J1" s="175"/>
      <c r="K1" s="175"/>
      <c r="L1" s="175"/>
      <c r="M1" s="175"/>
      <c r="N1" s="190"/>
    </row>
    <row r="2" spans="1:14" ht="31.5">
      <c r="A2" s="45" t="s">
        <v>1</v>
      </c>
      <c r="B2" s="44" t="s">
        <v>57</v>
      </c>
      <c r="C2" s="178" t="s">
        <v>58</v>
      </c>
      <c r="D2" s="177" t="s">
        <v>59</v>
      </c>
      <c r="E2" s="177" t="s">
        <v>60</v>
      </c>
      <c r="F2" s="63" t="s">
        <v>61</v>
      </c>
      <c r="G2" s="63" t="s">
        <v>62</v>
      </c>
      <c r="N2" s="191"/>
    </row>
    <row r="3" spans="1:14">
      <c r="A3" s="45">
        <v>1</v>
      </c>
      <c r="B3" s="44">
        <v>50</v>
      </c>
      <c r="C3" s="195" t="s">
        <v>63</v>
      </c>
      <c r="D3" s="44" t="s">
        <v>64</v>
      </c>
      <c r="E3" s="179">
        <v>45</v>
      </c>
      <c r="F3" s="179"/>
      <c r="G3" s="179"/>
      <c r="N3" s="191"/>
    </row>
    <row r="4" spans="1:14">
      <c r="A4" s="45">
        <v>2</v>
      </c>
      <c r="B4" s="44">
        <v>51</v>
      </c>
      <c r="C4" s="195" t="s">
        <v>65</v>
      </c>
      <c r="D4" s="44" t="s">
        <v>64</v>
      </c>
      <c r="E4" s="179">
        <v>251</v>
      </c>
      <c r="F4" s="184"/>
      <c r="G4" s="179"/>
      <c r="N4" s="191"/>
    </row>
    <row r="5" spans="1:14">
      <c r="A5" s="45">
        <v>3</v>
      </c>
      <c r="B5" s="44">
        <v>51</v>
      </c>
      <c r="C5" s="195" t="s">
        <v>66</v>
      </c>
      <c r="D5" s="44" t="s">
        <v>64</v>
      </c>
      <c r="E5" s="179">
        <v>45</v>
      </c>
      <c r="F5" s="184"/>
      <c r="G5" s="179"/>
      <c r="N5" s="191"/>
    </row>
    <row r="6" spans="1:14">
      <c r="A6" s="45">
        <v>4</v>
      </c>
      <c r="B6" s="44">
        <v>52</v>
      </c>
      <c r="C6" s="195" t="s">
        <v>204</v>
      </c>
      <c r="D6" s="44" t="s">
        <v>64</v>
      </c>
      <c r="E6" s="179">
        <v>0</v>
      </c>
      <c r="F6" s="179"/>
      <c r="G6" s="179"/>
      <c r="N6" s="191"/>
    </row>
    <row r="7" spans="1:14">
      <c r="A7" s="45">
        <v>5</v>
      </c>
      <c r="B7" s="44">
        <v>52</v>
      </c>
      <c r="C7" s="195" t="s">
        <v>205</v>
      </c>
      <c r="D7" s="44" t="s">
        <v>64</v>
      </c>
      <c r="E7" s="179">
        <v>0</v>
      </c>
      <c r="F7" s="179"/>
      <c r="G7" s="179"/>
      <c r="N7" s="191"/>
    </row>
    <row r="8" spans="1:14">
      <c r="A8" s="45">
        <v>6</v>
      </c>
      <c r="B8" s="44">
        <v>55</v>
      </c>
      <c r="C8" s="195" t="s">
        <v>206</v>
      </c>
      <c r="D8" s="44" t="s">
        <v>64</v>
      </c>
      <c r="E8" s="179">
        <v>0</v>
      </c>
      <c r="F8" s="179"/>
      <c r="G8" s="179"/>
      <c r="N8" s="191"/>
    </row>
    <row r="9" spans="1:14">
      <c r="A9" s="45">
        <v>7</v>
      </c>
      <c r="B9" s="44">
        <v>60</v>
      </c>
      <c r="C9" s="195" t="s">
        <v>207</v>
      </c>
      <c r="D9" s="44" t="s">
        <v>208</v>
      </c>
      <c r="E9" s="179">
        <v>0</v>
      </c>
      <c r="F9" s="179"/>
      <c r="G9" s="179"/>
      <c r="N9" s="191"/>
    </row>
    <row r="10" spans="1:14">
      <c r="A10" s="45">
        <v>8</v>
      </c>
      <c r="B10" s="44">
        <v>70</v>
      </c>
      <c r="C10" s="195" t="s">
        <v>209</v>
      </c>
      <c r="D10" s="44" t="s">
        <v>64</v>
      </c>
      <c r="E10" s="179">
        <v>59</v>
      </c>
      <c r="F10" s="184"/>
      <c r="G10" s="179"/>
      <c r="N10" s="191"/>
    </row>
    <row r="11" spans="1:14">
      <c r="A11" s="45">
        <v>9</v>
      </c>
      <c r="B11" s="44">
        <v>70</v>
      </c>
      <c r="C11" s="195" t="s">
        <v>210</v>
      </c>
      <c r="D11" s="44" t="s">
        <v>64</v>
      </c>
      <c r="E11" s="179">
        <v>1</v>
      </c>
      <c r="F11" s="184"/>
      <c r="G11" s="179"/>
      <c r="N11" s="191"/>
    </row>
    <row r="12" spans="1:14">
      <c r="A12" s="45">
        <v>10</v>
      </c>
      <c r="B12" s="44">
        <v>70</v>
      </c>
      <c r="C12" s="195" t="s">
        <v>211</v>
      </c>
      <c r="D12" s="44" t="s">
        <v>64</v>
      </c>
      <c r="E12" s="179">
        <v>0</v>
      </c>
      <c r="F12" s="179"/>
      <c r="G12" s="179"/>
      <c r="N12" s="191"/>
    </row>
    <row r="13" spans="1:14">
      <c r="A13" s="45">
        <v>11</v>
      </c>
      <c r="B13" s="44">
        <v>80</v>
      </c>
      <c r="C13" s="195" t="s">
        <v>68</v>
      </c>
      <c r="D13" s="44" t="s">
        <v>64</v>
      </c>
      <c r="E13" s="179">
        <v>0</v>
      </c>
      <c r="F13" s="179"/>
      <c r="G13" s="179"/>
      <c r="H13" s="180"/>
      <c r="I13" s="180"/>
      <c r="J13" s="180"/>
      <c r="K13" s="180"/>
      <c r="L13" s="180"/>
      <c r="N13" s="191"/>
    </row>
    <row r="14" spans="1:14">
      <c r="A14" s="45">
        <v>12</v>
      </c>
      <c r="B14" s="44">
        <v>80</v>
      </c>
      <c r="C14" s="195" t="s">
        <v>68</v>
      </c>
      <c r="D14" s="44" t="s">
        <v>69</v>
      </c>
      <c r="E14" s="179">
        <v>20</v>
      </c>
      <c r="F14" s="184"/>
      <c r="G14" s="179"/>
      <c r="N14" s="191"/>
    </row>
    <row r="15" spans="1:14">
      <c r="A15" s="45">
        <v>13</v>
      </c>
      <c r="B15" s="44">
        <v>80</v>
      </c>
      <c r="C15" s="195" t="s">
        <v>70</v>
      </c>
      <c r="D15" s="44" t="s">
        <v>69</v>
      </c>
      <c r="E15" s="179">
        <v>2485.1086474501108</v>
      </c>
      <c r="F15" s="184"/>
      <c r="G15" s="179"/>
      <c r="N15" s="191"/>
    </row>
    <row r="16" spans="1:14">
      <c r="A16" s="45">
        <v>14</v>
      </c>
      <c r="B16" s="44">
        <v>80</v>
      </c>
      <c r="C16" s="195" t="s">
        <v>72</v>
      </c>
      <c r="D16" s="44" t="s">
        <v>69</v>
      </c>
      <c r="E16" s="179">
        <v>106.74944567627495</v>
      </c>
      <c r="F16" s="184"/>
      <c r="G16" s="179"/>
      <c r="N16" s="191"/>
    </row>
    <row r="17" spans="1:14">
      <c r="A17" s="45">
        <v>15</v>
      </c>
      <c r="B17" s="44">
        <v>100</v>
      </c>
      <c r="C17" s="195" t="s">
        <v>212</v>
      </c>
      <c r="D17" s="44" t="s">
        <v>69</v>
      </c>
      <c r="E17" s="179">
        <v>0</v>
      </c>
      <c r="F17" s="179"/>
      <c r="G17" s="179"/>
      <c r="N17" s="191"/>
    </row>
    <row r="18" spans="1:14">
      <c r="A18" s="45">
        <v>16</v>
      </c>
      <c r="B18" s="44">
        <v>100</v>
      </c>
      <c r="C18" s="195" t="s">
        <v>73</v>
      </c>
      <c r="D18" s="44" t="s">
        <v>71</v>
      </c>
      <c r="E18" s="179">
        <v>0</v>
      </c>
      <c r="F18" s="179"/>
      <c r="G18" s="179"/>
      <c r="N18" s="191"/>
    </row>
    <row r="19" spans="1:14">
      <c r="A19" s="45">
        <v>17</v>
      </c>
      <c r="B19" s="44">
        <v>100</v>
      </c>
      <c r="C19" s="195" t="s">
        <v>73</v>
      </c>
      <c r="D19" s="44" t="s">
        <v>69</v>
      </c>
      <c r="E19" s="181">
        <v>1374.7240603307184</v>
      </c>
      <c r="F19" s="184"/>
      <c r="G19" s="179"/>
      <c r="I19" s="182">
        <f>E19/12</f>
        <v>114.5603383608932</v>
      </c>
      <c r="N19" s="191"/>
    </row>
    <row r="20" spans="1:14">
      <c r="A20" s="45">
        <v>18</v>
      </c>
      <c r="B20" s="44">
        <v>100</v>
      </c>
      <c r="C20" s="195" t="s">
        <v>74</v>
      </c>
      <c r="D20" s="44" t="s">
        <v>69</v>
      </c>
      <c r="E20" s="179">
        <v>0</v>
      </c>
      <c r="F20" s="179"/>
      <c r="G20" s="179"/>
      <c r="N20" s="191"/>
    </row>
    <row r="21" spans="1:14">
      <c r="A21" s="45">
        <v>19</v>
      </c>
      <c r="B21" s="44">
        <v>100</v>
      </c>
      <c r="C21" s="195" t="s">
        <v>75</v>
      </c>
      <c r="D21" s="44" t="s">
        <v>69</v>
      </c>
      <c r="E21" s="179">
        <v>0</v>
      </c>
      <c r="F21" s="179"/>
      <c r="G21" s="179"/>
      <c r="N21" s="191"/>
    </row>
    <row r="22" spans="1:14">
      <c r="A22" s="45">
        <v>20</v>
      </c>
      <c r="B22" s="44">
        <v>100</v>
      </c>
      <c r="C22" s="195" t="s">
        <v>213</v>
      </c>
      <c r="D22" s="44" t="s">
        <v>69</v>
      </c>
      <c r="E22" s="181">
        <v>5312</v>
      </c>
      <c r="F22" s="184"/>
      <c r="G22" s="179"/>
      <c r="I22" s="182">
        <f>E22/12</f>
        <v>442.66666666666669</v>
      </c>
      <c r="N22" s="191"/>
    </row>
    <row r="23" spans="1:14">
      <c r="A23" s="45">
        <v>21</v>
      </c>
      <c r="B23" s="44">
        <v>100</v>
      </c>
      <c r="C23" s="195" t="s">
        <v>214</v>
      </c>
      <c r="D23" s="44" t="s">
        <v>69</v>
      </c>
      <c r="E23" s="181">
        <v>332.55</v>
      </c>
      <c r="F23" s="184"/>
      <c r="G23" s="179"/>
      <c r="I23" s="182">
        <f>(E23)/12*2</f>
        <v>55.425000000000004</v>
      </c>
      <c r="J23" s="199" t="s">
        <v>238</v>
      </c>
      <c r="N23" s="191"/>
    </row>
    <row r="24" spans="1:14">
      <c r="A24" s="45">
        <v>22</v>
      </c>
      <c r="B24" s="44">
        <v>100</v>
      </c>
      <c r="C24" s="195" t="s">
        <v>215</v>
      </c>
      <c r="D24" s="44" t="s">
        <v>69</v>
      </c>
      <c r="E24" s="181">
        <v>20664</v>
      </c>
      <c r="F24" s="184"/>
      <c r="G24" s="179"/>
      <c r="I24" s="182">
        <f>E24/12</f>
        <v>1722</v>
      </c>
      <c r="J24" s="44"/>
      <c r="N24" s="191"/>
    </row>
    <row r="25" spans="1:14">
      <c r="A25" s="45">
        <v>23</v>
      </c>
      <c r="B25" s="44">
        <v>100</v>
      </c>
      <c r="C25" s="195" t="s">
        <v>77</v>
      </c>
      <c r="D25" s="44" t="s">
        <v>64</v>
      </c>
      <c r="E25" s="181">
        <v>5</v>
      </c>
      <c r="F25" s="184"/>
      <c r="G25" s="179"/>
      <c r="I25" s="182">
        <f>E25</f>
        <v>5</v>
      </c>
      <c r="N25" s="191"/>
    </row>
    <row r="26" spans="1:14">
      <c r="A26" s="45">
        <v>24</v>
      </c>
      <c r="B26" s="44">
        <v>100</v>
      </c>
      <c r="C26" s="195" t="s">
        <v>216</v>
      </c>
      <c r="D26" s="44" t="s">
        <v>64</v>
      </c>
      <c r="E26" s="181">
        <v>522</v>
      </c>
      <c r="F26" s="184"/>
      <c r="G26" s="179"/>
      <c r="I26" s="183">
        <f>E26</f>
        <v>522</v>
      </c>
      <c r="N26" s="191"/>
    </row>
    <row r="27" spans="1:14">
      <c r="A27" s="45">
        <v>25</v>
      </c>
      <c r="B27" s="44">
        <v>150</v>
      </c>
      <c r="C27" s="195" t="s">
        <v>217</v>
      </c>
      <c r="D27" s="44" t="s">
        <v>78</v>
      </c>
      <c r="E27" s="185">
        <v>28</v>
      </c>
      <c r="F27" s="184"/>
      <c r="G27" s="179"/>
      <c r="I27" s="182">
        <f>SUM(I19:I26)</f>
        <v>2861.6520050275599</v>
      </c>
      <c r="J27" s="44" t="s">
        <v>76</v>
      </c>
      <c r="N27" s="191"/>
    </row>
    <row r="28" spans="1:14">
      <c r="A28" s="45">
        <v>26</v>
      </c>
      <c r="B28" s="44">
        <v>160</v>
      </c>
      <c r="C28" s="195" t="s">
        <v>79</v>
      </c>
      <c r="D28" s="44" t="s">
        <v>67</v>
      </c>
      <c r="E28" s="179">
        <v>0</v>
      </c>
      <c r="F28" s="179"/>
      <c r="G28" s="179"/>
      <c r="N28" s="191"/>
    </row>
    <row r="29" spans="1:14">
      <c r="A29" s="45">
        <v>27</v>
      </c>
      <c r="B29" s="44">
        <v>160</v>
      </c>
      <c r="C29" s="195" t="s">
        <v>80</v>
      </c>
      <c r="D29" s="44" t="s">
        <v>67</v>
      </c>
      <c r="E29" s="179">
        <v>0</v>
      </c>
      <c r="F29" s="179"/>
      <c r="G29" s="179"/>
      <c r="N29" s="191"/>
    </row>
    <row r="30" spans="1:14">
      <c r="A30" s="45">
        <v>28</v>
      </c>
      <c r="B30" s="44">
        <v>160</v>
      </c>
      <c r="C30" s="195" t="s">
        <v>81</v>
      </c>
      <c r="D30" s="44" t="s">
        <v>67</v>
      </c>
      <c r="E30" s="179">
        <v>0</v>
      </c>
      <c r="F30" s="179"/>
      <c r="G30" s="179"/>
      <c r="N30" s="191"/>
    </row>
    <row r="31" spans="1:14">
      <c r="A31" s="45">
        <v>29</v>
      </c>
      <c r="B31" s="44">
        <v>160</v>
      </c>
      <c r="C31" s="195" t="s">
        <v>82</v>
      </c>
      <c r="D31" s="44" t="s">
        <v>67</v>
      </c>
      <c r="E31" s="179">
        <v>0</v>
      </c>
      <c r="F31" s="179"/>
      <c r="G31" s="179"/>
      <c r="N31" s="191"/>
    </row>
    <row r="32" spans="1:14">
      <c r="A32" s="45">
        <v>30</v>
      </c>
      <c r="B32" s="44">
        <v>160</v>
      </c>
      <c r="C32" s="195" t="s">
        <v>83</v>
      </c>
      <c r="D32" s="44" t="s">
        <v>67</v>
      </c>
      <c r="E32" s="179">
        <v>6.5007139457401237</v>
      </c>
      <c r="F32" s="184"/>
      <c r="G32" s="179"/>
      <c r="N32" s="191"/>
    </row>
    <row r="33" spans="1:14">
      <c r="A33" s="45">
        <v>31</v>
      </c>
      <c r="B33" s="44">
        <v>205</v>
      </c>
      <c r="C33" s="195" t="s">
        <v>218</v>
      </c>
      <c r="D33" s="44" t="s">
        <v>69</v>
      </c>
      <c r="E33" s="179">
        <v>0</v>
      </c>
      <c r="F33" s="179"/>
      <c r="G33" s="179"/>
      <c r="N33" s="191"/>
    </row>
    <row r="34" spans="1:14">
      <c r="A34" s="45">
        <v>32</v>
      </c>
      <c r="B34" s="44">
        <v>205</v>
      </c>
      <c r="C34" s="195" t="s">
        <v>219</v>
      </c>
      <c r="D34" s="44" t="s">
        <v>69</v>
      </c>
      <c r="E34" s="179">
        <v>0</v>
      </c>
      <c r="F34" s="179"/>
      <c r="G34" s="179"/>
      <c r="N34" s="191"/>
    </row>
    <row r="35" spans="1:14">
      <c r="A35" s="45">
        <v>33</v>
      </c>
      <c r="B35" s="44">
        <v>207</v>
      </c>
      <c r="C35" s="195" t="s">
        <v>220</v>
      </c>
      <c r="D35" s="44" t="s">
        <v>78</v>
      </c>
      <c r="E35" s="179">
        <v>0</v>
      </c>
      <c r="F35" s="179"/>
      <c r="G35" s="179"/>
      <c r="N35" s="191"/>
    </row>
    <row r="36" spans="1:14">
      <c r="A36" s="45">
        <v>34</v>
      </c>
      <c r="B36" s="44">
        <v>210</v>
      </c>
      <c r="C36" s="195" t="s">
        <v>221</v>
      </c>
      <c r="D36" s="44" t="s">
        <v>78</v>
      </c>
      <c r="E36" s="179">
        <v>0</v>
      </c>
      <c r="F36" s="179"/>
      <c r="G36" s="179"/>
      <c r="N36" s="191"/>
    </row>
    <row r="37" spans="1:14">
      <c r="A37" s="45">
        <v>35</v>
      </c>
      <c r="B37" s="44">
        <v>230</v>
      </c>
      <c r="C37" s="195" t="s">
        <v>222</v>
      </c>
      <c r="D37" s="44" t="s">
        <v>64</v>
      </c>
      <c r="E37" s="179">
        <v>1</v>
      </c>
      <c r="F37" s="184"/>
      <c r="G37" s="179"/>
      <c r="N37" s="191"/>
    </row>
    <row r="38" spans="1:14">
      <c r="A38" s="45">
        <v>36</v>
      </c>
      <c r="B38" s="44">
        <v>230</v>
      </c>
      <c r="C38" s="195" t="s">
        <v>223</v>
      </c>
      <c r="D38" s="44" t="s">
        <v>64</v>
      </c>
      <c r="E38" s="179">
        <v>268.86500000000001</v>
      </c>
      <c r="F38" s="184"/>
      <c r="G38" s="179"/>
      <c r="N38" s="191"/>
    </row>
    <row r="39" spans="1:14">
      <c r="A39" s="45">
        <v>37</v>
      </c>
      <c r="B39" s="44">
        <v>230</v>
      </c>
      <c r="C39" s="195" t="s">
        <v>224</v>
      </c>
      <c r="D39" s="44" t="s">
        <v>85</v>
      </c>
      <c r="E39" s="179">
        <v>0</v>
      </c>
      <c r="F39" s="179"/>
      <c r="G39" s="179"/>
      <c r="N39" s="191"/>
    </row>
    <row r="40" spans="1:14">
      <c r="A40" s="45">
        <v>38</v>
      </c>
      <c r="B40" s="44">
        <v>230</v>
      </c>
      <c r="C40" s="195" t="s">
        <v>225</v>
      </c>
      <c r="D40" s="44" t="s">
        <v>85</v>
      </c>
      <c r="E40" s="179">
        <v>4388.5193565976006</v>
      </c>
      <c r="F40" s="184"/>
      <c r="G40" s="179"/>
      <c r="I40" s="187">
        <f>E27</f>
        <v>28</v>
      </c>
      <c r="N40" s="191"/>
    </row>
    <row r="41" spans="1:14">
      <c r="A41" s="45">
        <v>39</v>
      </c>
      <c r="B41" s="44">
        <v>240</v>
      </c>
      <c r="C41" s="195" t="s">
        <v>226</v>
      </c>
      <c r="D41" s="44" t="s">
        <v>69</v>
      </c>
      <c r="E41" s="179">
        <v>554.36602045390509</v>
      </c>
      <c r="F41" s="184">
        <v>4.33</v>
      </c>
      <c r="G41" s="185">
        <f>E41*F41</f>
        <v>2400.4048685654093</v>
      </c>
      <c r="I41" s="187">
        <f>G41</f>
        <v>2400.4048685654093</v>
      </c>
      <c r="N41" s="191"/>
    </row>
    <row r="42" spans="1:14">
      <c r="A42" s="45">
        <v>40</v>
      </c>
      <c r="B42" s="44">
        <v>240</v>
      </c>
      <c r="C42" s="195" t="s">
        <v>227</v>
      </c>
      <c r="D42" s="44" t="s">
        <v>64</v>
      </c>
      <c r="E42" s="179">
        <v>0</v>
      </c>
      <c r="F42" s="179"/>
      <c r="G42" s="179"/>
      <c r="I42" s="186"/>
      <c r="N42" s="191"/>
    </row>
    <row r="43" spans="1:14">
      <c r="A43" s="45">
        <v>41</v>
      </c>
      <c r="B43" s="44">
        <v>240</v>
      </c>
      <c r="C43" s="195" t="s">
        <v>88</v>
      </c>
      <c r="D43" s="44" t="s">
        <v>69</v>
      </c>
      <c r="E43" s="179">
        <v>7602.5508811181207</v>
      </c>
      <c r="F43" s="184">
        <v>4.33</v>
      </c>
      <c r="G43" s="185">
        <f>E43*F43</f>
        <v>32919.045315241463</v>
      </c>
      <c r="I43" s="187">
        <f t="shared" ref="I43:I44" si="0">G43</f>
        <v>32919.045315241463</v>
      </c>
      <c r="N43" s="191"/>
    </row>
    <row r="44" spans="1:14">
      <c r="A44" s="45">
        <v>42</v>
      </c>
      <c r="B44" s="44">
        <v>240</v>
      </c>
      <c r="C44" s="195" t="s">
        <v>88</v>
      </c>
      <c r="D44" s="44" t="s">
        <v>94</v>
      </c>
      <c r="E44" s="179">
        <v>62.315750221815733</v>
      </c>
      <c r="F44" s="184">
        <f>4.33*2</f>
        <v>8.66</v>
      </c>
      <c r="G44" s="185">
        <f>E44*F44</f>
        <v>539.65439692092423</v>
      </c>
      <c r="I44" s="187">
        <f t="shared" si="0"/>
        <v>539.65439692092423</v>
      </c>
      <c r="N44" s="191"/>
    </row>
    <row r="45" spans="1:14">
      <c r="A45" s="45">
        <v>43</v>
      </c>
      <c r="B45" s="44">
        <v>240</v>
      </c>
      <c r="C45" s="195" t="s">
        <v>89</v>
      </c>
      <c r="D45" s="44" t="s">
        <v>64</v>
      </c>
      <c r="E45" s="185">
        <v>21</v>
      </c>
      <c r="F45" s="184"/>
      <c r="G45" s="179"/>
      <c r="I45" s="187">
        <f>E45</f>
        <v>21</v>
      </c>
      <c r="N45" s="191"/>
    </row>
    <row r="46" spans="1:14">
      <c r="A46" s="45">
        <v>44</v>
      </c>
      <c r="B46" s="44">
        <v>240</v>
      </c>
      <c r="C46" s="195" t="s">
        <v>90</v>
      </c>
      <c r="D46" s="44" t="s">
        <v>84</v>
      </c>
      <c r="E46" s="185">
        <v>74</v>
      </c>
      <c r="F46" s="184"/>
      <c r="G46" s="179"/>
      <c r="I46" s="187">
        <f>E46</f>
        <v>74</v>
      </c>
      <c r="N46" s="191"/>
    </row>
    <row r="47" spans="1:14">
      <c r="A47" s="45">
        <v>45</v>
      </c>
      <c r="B47" s="44">
        <v>240</v>
      </c>
      <c r="C47" s="195" t="s">
        <v>91</v>
      </c>
      <c r="D47" s="44" t="s">
        <v>92</v>
      </c>
      <c r="E47" s="179">
        <v>503</v>
      </c>
      <c r="F47" s="184"/>
      <c r="G47" s="179"/>
      <c r="I47" s="187"/>
      <c r="N47" s="191"/>
    </row>
    <row r="48" spans="1:14">
      <c r="A48" s="45">
        <v>46</v>
      </c>
      <c r="B48" s="44">
        <v>240</v>
      </c>
      <c r="C48" s="195" t="s">
        <v>228</v>
      </c>
      <c r="D48" s="44" t="s">
        <v>64</v>
      </c>
      <c r="E48" s="179">
        <v>8</v>
      </c>
      <c r="F48" s="184"/>
      <c r="G48" s="179"/>
      <c r="I48" s="188"/>
      <c r="N48" s="191"/>
    </row>
    <row r="49" spans="1:14">
      <c r="A49" s="45">
        <v>47</v>
      </c>
      <c r="B49" s="44">
        <v>240</v>
      </c>
      <c r="C49" s="195" t="s">
        <v>93</v>
      </c>
      <c r="D49" s="44" t="s">
        <v>69</v>
      </c>
      <c r="E49" s="179">
        <v>0</v>
      </c>
      <c r="F49" s="179"/>
      <c r="G49" s="179"/>
      <c r="N49" s="191"/>
    </row>
    <row r="50" spans="1:14">
      <c r="A50" s="45">
        <v>48</v>
      </c>
      <c r="B50" s="44">
        <v>240</v>
      </c>
      <c r="C50" s="195" t="s">
        <v>95</v>
      </c>
      <c r="D50" s="44" t="s">
        <v>229</v>
      </c>
      <c r="E50" s="179">
        <v>0</v>
      </c>
      <c r="F50" s="179"/>
      <c r="G50" s="179"/>
      <c r="N50" s="191"/>
    </row>
    <row r="51" spans="1:14">
      <c r="A51" s="45">
        <v>49</v>
      </c>
      <c r="B51" s="44">
        <v>240</v>
      </c>
      <c r="C51" s="195" t="s">
        <v>96</v>
      </c>
      <c r="D51" s="44" t="s">
        <v>92</v>
      </c>
      <c r="E51" s="179">
        <v>0</v>
      </c>
      <c r="F51" s="179"/>
      <c r="G51" s="179"/>
      <c r="N51" s="191"/>
    </row>
    <row r="52" spans="1:14">
      <c r="A52" s="45">
        <v>50</v>
      </c>
      <c r="B52" s="44">
        <v>240</v>
      </c>
      <c r="C52" s="195" t="s">
        <v>97</v>
      </c>
      <c r="D52" s="44" t="s">
        <v>69</v>
      </c>
      <c r="E52" s="179">
        <v>32</v>
      </c>
      <c r="F52" s="184"/>
      <c r="G52" s="179"/>
      <c r="N52" s="191"/>
    </row>
    <row r="53" spans="1:14">
      <c r="A53" s="45">
        <v>51</v>
      </c>
      <c r="B53" s="44">
        <v>240</v>
      </c>
      <c r="C53" s="195" t="s">
        <v>97</v>
      </c>
      <c r="D53" s="44" t="s">
        <v>94</v>
      </c>
      <c r="E53" s="179">
        <v>0</v>
      </c>
      <c r="F53" s="179"/>
      <c r="G53" s="179"/>
      <c r="N53" s="191"/>
    </row>
    <row r="54" spans="1:14">
      <c r="A54" s="45">
        <v>52</v>
      </c>
      <c r="B54" s="44">
        <v>240</v>
      </c>
      <c r="C54" s="195" t="s">
        <v>97</v>
      </c>
      <c r="D54" s="44" t="s">
        <v>98</v>
      </c>
      <c r="E54" s="179">
        <v>0</v>
      </c>
      <c r="F54" s="179"/>
      <c r="G54" s="179"/>
      <c r="N54" s="191"/>
    </row>
    <row r="55" spans="1:14">
      <c r="A55" s="45">
        <v>53</v>
      </c>
      <c r="B55" s="44">
        <v>245</v>
      </c>
      <c r="C55" s="195" t="s">
        <v>86</v>
      </c>
      <c r="D55" s="44" t="s">
        <v>69</v>
      </c>
      <c r="E55" s="179">
        <v>16.199672667757774</v>
      </c>
      <c r="F55" s="184">
        <v>4.33</v>
      </c>
      <c r="G55" s="185">
        <f>E55*F55</f>
        <v>70.144582651391161</v>
      </c>
      <c r="I55" s="189">
        <f>G55</f>
        <v>70.144582651391161</v>
      </c>
      <c r="N55" s="191"/>
    </row>
    <row r="56" spans="1:14">
      <c r="A56" s="45">
        <v>54</v>
      </c>
      <c r="B56" s="44">
        <v>245</v>
      </c>
      <c r="C56" s="195" t="s">
        <v>87</v>
      </c>
      <c r="D56" s="44" t="s">
        <v>64</v>
      </c>
      <c r="E56" s="179">
        <v>0</v>
      </c>
      <c r="F56" s="179"/>
      <c r="G56" s="179"/>
      <c r="N56" s="191"/>
    </row>
    <row r="57" spans="1:14">
      <c r="A57" s="45">
        <v>55</v>
      </c>
      <c r="B57" s="44">
        <v>260</v>
      </c>
      <c r="C57" s="195" t="s">
        <v>99</v>
      </c>
      <c r="D57" s="44" t="s">
        <v>64</v>
      </c>
      <c r="E57" s="179">
        <v>3</v>
      </c>
      <c r="F57" s="184"/>
      <c r="G57" s="179"/>
      <c r="I57" s="187">
        <f>SUM(I40:I56)</f>
        <v>36052.249163379187</v>
      </c>
      <c r="J57" s="44" t="s">
        <v>76</v>
      </c>
      <c r="N57" s="191"/>
    </row>
    <row r="58" spans="1:14">
      <c r="A58" s="45">
        <v>56</v>
      </c>
      <c r="B58" s="44">
        <v>260</v>
      </c>
      <c r="C58" s="195" t="s">
        <v>100</v>
      </c>
      <c r="D58" s="44" t="s">
        <v>64</v>
      </c>
      <c r="E58" s="179">
        <v>10</v>
      </c>
      <c r="F58" s="184"/>
      <c r="G58" s="179"/>
      <c r="N58" s="191"/>
    </row>
    <row r="59" spans="1:14">
      <c r="A59" s="45">
        <v>57</v>
      </c>
      <c r="B59" s="44">
        <v>260</v>
      </c>
      <c r="C59" s="195" t="s">
        <v>230</v>
      </c>
      <c r="D59" s="44" t="s">
        <v>64</v>
      </c>
      <c r="E59" s="179">
        <v>5</v>
      </c>
      <c r="F59" s="184"/>
      <c r="G59" s="179"/>
      <c r="N59" s="191"/>
    </row>
    <row r="60" spans="1:14">
      <c r="A60" s="45">
        <v>58</v>
      </c>
      <c r="B60" s="44">
        <v>260</v>
      </c>
      <c r="C60" s="195" t="s">
        <v>231</v>
      </c>
      <c r="D60" s="44" t="s">
        <v>92</v>
      </c>
      <c r="E60" s="179">
        <v>134</v>
      </c>
      <c r="F60" s="184"/>
      <c r="G60" s="179"/>
      <c r="N60" s="191"/>
    </row>
    <row r="61" spans="1:14">
      <c r="A61" s="45">
        <v>59</v>
      </c>
      <c r="B61" s="44">
        <v>260</v>
      </c>
      <c r="C61" s="195" t="s">
        <v>101</v>
      </c>
      <c r="D61" s="44" t="s">
        <v>64</v>
      </c>
      <c r="E61" s="179">
        <v>5</v>
      </c>
      <c r="F61" s="184"/>
      <c r="G61" s="179"/>
      <c r="N61" s="191"/>
    </row>
    <row r="62" spans="1:14">
      <c r="A62" s="45">
        <v>60</v>
      </c>
      <c r="B62" s="44">
        <v>260</v>
      </c>
      <c r="C62" s="195" t="s">
        <v>102</v>
      </c>
      <c r="D62" s="44" t="s">
        <v>64</v>
      </c>
      <c r="E62" s="179">
        <v>4</v>
      </c>
      <c r="F62" s="184"/>
      <c r="G62" s="179"/>
      <c r="N62" s="191"/>
    </row>
    <row r="63" spans="1:14">
      <c r="A63" s="45">
        <v>61</v>
      </c>
      <c r="B63" s="44">
        <v>260</v>
      </c>
      <c r="C63" s="195" t="s">
        <v>103</v>
      </c>
      <c r="D63" s="44" t="s">
        <v>64</v>
      </c>
      <c r="E63" s="179">
        <v>158</v>
      </c>
      <c r="F63" s="184"/>
      <c r="G63" s="179"/>
      <c r="N63" s="191"/>
    </row>
    <row r="64" spans="1:14">
      <c r="A64" s="45">
        <v>62</v>
      </c>
      <c r="B64" s="44">
        <v>260</v>
      </c>
      <c r="C64" s="195" t="s">
        <v>104</v>
      </c>
      <c r="D64" s="44" t="s">
        <v>64</v>
      </c>
      <c r="E64" s="179">
        <v>299</v>
      </c>
      <c r="F64" s="184"/>
      <c r="G64" s="179"/>
      <c r="N64" s="191"/>
    </row>
    <row r="65" spans="1:14">
      <c r="A65" s="45">
        <v>63</v>
      </c>
      <c r="B65" s="44">
        <v>260</v>
      </c>
      <c r="C65" s="195" t="s">
        <v>232</v>
      </c>
      <c r="D65" s="44" t="s">
        <v>64</v>
      </c>
      <c r="E65" s="179">
        <v>343</v>
      </c>
      <c r="F65" s="184"/>
      <c r="G65" s="179"/>
      <c r="N65" s="191"/>
    </row>
    <row r="66" spans="1:14">
      <c r="A66" s="45">
        <v>64</v>
      </c>
      <c r="B66" s="44">
        <v>260</v>
      </c>
      <c r="C66" s="195" t="s">
        <v>105</v>
      </c>
      <c r="D66" s="44" t="s">
        <v>92</v>
      </c>
      <c r="E66" s="179">
        <v>1996</v>
      </c>
      <c r="F66" s="184"/>
      <c r="G66" s="179"/>
      <c r="N66" s="191"/>
    </row>
    <row r="67" spans="1:14">
      <c r="A67" s="45">
        <v>65</v>
      </c>
      <c r="B67" s="44">
        <v>260</v>
      </c>
      <c r="C67" s="195" t="s">
        <v>106</v>
      </c>
      <c r="D67" s="44" t="s">
        <v>64</v>
      </c>
      <c r="E67" s="179">
        <v>131</v>
      </c>
      <c r="F67" s="184"/>
      <c r="G67" s="179"/>
      <c r="N67" s="191"/>
    </row>
    <row r="68" spans="1:14">
      <c r="A68" s="45">
        <v>66</v>
      </c>
      <c r="B68" s="44">
        <v>260</v>
      </c>
      <c r="C68" s="195" t="s">
        <v>107</v>
      </c>
      <c r="D68" s="44" t="s">
        <v>64</v>
      </c>
      <c r="E68" s="179">
        <v>56</v>
      </c>
      <c r="F68" s="184"/>
      <c r="G68" s="179"/>
      <c r="N68" s="191"/>
    </row>
    <row r="69" spans="1:14">
      <c r="A69" s="45">
        <v>67</v>
      </c>
      <c r="B69" s="44">
        <v>260</v>
      </c>
      <c r="C69" s="195" t="s">
        <v>108</v>
      </c>
      <c r="D69" s="44" t="s">
        <v>64</v>
      </c>
      <c r="E69" s="179">
        <v>36.1</v>
      </c>
      <c r="F69" s="184"/>
      <c r="G69" s="179"/>
      <c r="N69" s="191"/>
    </row>
    <row r="70" spans="1:14">
      <c r="A70" s="45">
        <v>68</v>
      </c>
      <c r="B70" s="44">
        <v>260</v>
      </c>
      <c r="C70" s="195" t="s">
        <v>109</v>
      </c>
      <c r="D70" s="44" t="s">
        <v>64</v>
      </c>
      <c r="E70" s="179">
        <v>104</v>
      </c>
      <c r="F70" s="184"/>
      <c r="G70" s="179"/>
      <c r="N70" s="191"/>
    </row>
    <row r="71" spans="1:14">
      <c r="A71" s="45">
        <v>69</v>
      </c>
      <c r="B71" s="44">
        <v>260</v>
      </c>
      <c r="C71" s="195" t="s">
        <v>233</v>
      </c>
      <c r="D71" s="44" t="s">
        <v>64</v>
      </c>
      <c r="E71" s="179">
        <v>273</v>
      </c>
      <c r="F71" s="184"/>
      <c r="G71" s="179"/>
      <c r="N71" s="191"/>
    </row>
    <row r="72" spans="1:14">
      <c r="A72" s="45">
        <v>70</v>
      </c>
      <c r="B72" s="44">
        <v>260</v>
      </c>
      <c r="C72" s="195" t="s">
        <v>110</v>
      </c>
      <c r="D72" s="44" t="s">
        <v>92</v>
      </c>
      <c r="E72" s="179">
        <v>1919</v>
      </c>
      <c r="F72" s="184"/>
      <c r="G72" s="179"/>
      <c r="N72" s="191"/>
    </row>
    <row r="73" spans="1:14">
      <c r="A73" s="45">
        <v>71</v>
      </c>
      <c r="B73" s="44">
        <v>260</v>
      </c>
      <c r="C73" s="195" t="s">
        <v>111</v>
      </c>
      <c r="D73" s="44" t="s">
        <v>64</v>
      </c>
      <c r="E73" s="179">
        <v>160</v>
      </c>
      <c r="F73" s="184"/>
      <c r="G73" s="179"/>
      <c r="N73" s="191"/>
    </row>
    <row r="74" spans="1:14">
      <c r="A74" s="45">
        <v>72</v>
      </c>
      <c r="B74" s="44">
        <v>260</v>
      </c>
      <c r="C74" s="195" t="s">
        <v>112</v>
      </c>
      <c r="D74" s="44" t="s">
        <v>64</v>
      </c>
      <c r="E74" s="179">
        <v>50</v>
      </c>
      <c r="F74" s="184"/>
      <c r="G74" s="179"/>
      <c r="N74" s="191"/>
    </row>
    <row r="75" spans="1:14">
      <c r="A75" s="45">
        <v>73</v>
      </c>
      <c r="B75" s="44">
        <v>260</v>
      </c>
      <c r="C75" s="195" t="s">
        <v>113</v>
      </c>
      <c r="D75" s="44" t="s">
        <v>64</v>
      </c>
      <c r="E75" s="179">
        <v>0</v>
      </c>
      <c r="F75" s="179"/>
      <c r="G75" s="179"/>
      <c r="N75" s="191"/>
    </row>
    <row r="76" spans="1:14">
      <c r="A76" s="45">
        <v>74</v>
      </c>
      <c r="B76" s="44">
        <v>260</v>
      </c>
      <c r="C76" s="195" t="s">
        <v>114</v>
      </c>
      <c r="D76" s="44" t="s">
        <v>64</v>
      </c>
      <c r="E76" s="179">
        <v>4</v>
      </c>
      <c r="F76" s="184"/>
      <c r="G76" s="179"/>
      <c r="N76" s="191"/>
    </row>
    <row r="77" spans="1:14">
      <c r="A77" s="45">
        <v>75</v>
      </c>
      <c r="B77" s="44">
        <v>260</v>
      </c>
      <c r="C77" s="195" t="s">
        <v>234</v>
      </c>
      <c r="D77" s="44" t="s">
        <v>64</v>
      </c>
      <c r="E77" s="179">
        <v>1</v>
      </c>
      <c r="F77" s="184"/>
      <c r="G77" s="179"/>
      <c r="N77" s="191"/>
    </row>
    <row r="78" spans="1:14">
      <c r="A78" s="45">
        <v>76</v>
      </c>
      <c r="B78" s="44">
        <v>260</v>
      </c>
      <c r="C78" s="195" t="s">
        <v>115</v>
      </c>
      <c r="D78" s="44" t="s">
        <v>92</v>
      </c>
      <c r="E78" s="179">
        <v>130</v>
      </c>
      <c r="F78" s="184"/>
      <c r="G78" s="179"/>
      <c r="N78" s="191"/>
    </row>
    <row r="79" spans="1:14">
      <c r="A79" s="45">
        <v>77</v>
      </c>
      <c r="B79" s="44">
        <v>260</v>
      </c>
      <c r="C79" s="195" t="s">
        <v>116</v>
      </c>
      <c r="D79" s="44" t="s">
        <v>64</v>
      </c>
      <c r="E79" s="179">
        <v>5</v>
      </c>
      <c r="F79" s="184"/>
      <c r="G79" s="179"/>
      <c r="N79" s="191"/>
    </row>
    <row r="80" spans="1:14">
      <c r="A80" s="45">
        <v>78</v>
      </c>
      <c r="B80" s="44">
        <v>260</v>
      </c>
      <c r="C80" s="195" t="s">
        <v>117</v>
      </c>
      <c r="D80" s="44" t="s">
        <v>64</v>
      </c>
      <c r="E80" s="179">
        <v>5</v>
      </c>
      <c r="F80" s="184"/>
      <c r="G80" s="179"/>
      <c r="N80" s="191"/>
    </row>
    <row r="81" spans="1:14">
      <c r="A81" s="45">
        <v>79</v>
      </c>
      <c r="B81" s="44">
        <v>260</v>
      </c>
      <c r="C81" s="195" t="s">
        <v>118</v>
      </c>
      <c r="D81" s="44" t="s">
        <v>119</v>
      </c>
      <c r="E81" s="179">
        <v>18513</v>
      </c>
      <c r="F81" s="184"/>
      <c r="G81" s="179"/>
      <c r="N81" s="191"/>
    </row>
    <row r="82" spans="1:14">
      <c r="A82" s="45">
        <v>80</v>
      </c>
      <c r="B82" s="44">
        <v>260</v>
      </c>
      <c r="C82" s="195" t="s">
        <v>120</v>
      </c>
      <c r="D82" s="44" t="s">
        <v>84</v>
      </c>
      <c r="E82" s="179">
        <v>16</v>
      </c>
      <c r="F82" s="184"/>
      <c r="G82" s="179"/>
      <c r="N82" s="191"/>
    </row>
    <row r="83" spans="1:14">
      <c r="A83" s="45">
        <v>81</v>
      </c>
      <c r="B83" s="44">
        <v>275</v>
      </c>
      <c r="C83" s="195" t="s">
        <v>121</v>
      </c>
      <c r="D83" s="44" t="s">
        <v>64</v>
      </c>
      <c r="E83" s="179">
        <v>510</v>
      </c>
      <c r="F83" s="184"/>
      <c r="G83" s="179"/>
      <c r="N83" s="191"/>
    </row>
    <row r="84" spans="1:14" ht="16.5" thickBot="1">
      <c r="C84" s="163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192"/>
    </row>
    <row r="85" spans="1:14" ht="16.5" thickTop="1"/>
  </sheetData>
  <autoFilter ref="A2:G83" xr:uid="{32E7B0A9-A152-418E-8765-768B54855A9C}"/>
  <conditionalFormatting sqref="C84 D84:D278 D429:D439">
    <cfRule type="expression" dxfId="7" priority="5">
      <formula>C84&lt;#REF!</formula>
    </cfRule>
    <cfRule type="expression" dxfId="6" priority="6">
      <formula>AND(C84&gt;#REF!,C84&lt;#REF!*0.9)</formula>
    </cfRule>
    <cfRule type="expression" dxfId="5" priority="7">
      <formula>C84&lt;#REF!*0.96</formula>
    </cfRule>
    <cfRule type="expression" dxfId="4" priority="8">
      <formula>C84&gt;#REF!*0.9</formula>
    </cfRule>
  </conditionalFormatting>
  <conditionalFormatting sqref="D307:D426">
    <cfRule type="expression" dxfId="3" priority="1">
      <formula>D307&lt;#REF!</formula>
    </cfRule>
    <cfRule type="expression" dxfId="2" priority="2">
      <formula>AND(D307&gt;#REF!,D307&lt;#REF!*0.9)</formula>
    </cfRule>
    <cfRule type="expression" dxfId="1" priority="3">
      <formula>D307&lt;#REF!*0.96</formula>
    </cfRule>
    <cfRule type="expression" dxfId="0" priority="4">
      <formula>D307&gt;#REF!*0.9</formula>
    </cfRule>
  </conditionalFormatting>
  <pageMargins left="0.7" right="0.7" top="0.75" bottom="0.75" header="0.3" footer="0.3"/>
  <pageSetup scale="39" fitToHeight="10" pageOrder="overThenDown" orientation="portrait" r:id="rId1"/>
  <headerFooter>
    <oddHeader>&amp;C&amp;"Tahoma,Bold"&amp;KFF0000INFORMATION RED OUTLINED AND/OR IN REDACTED AREA IS CONFIDENTIAL PER WAC 480-07-160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rgb="FF00FFFF"/>
    <pageSetUpPr fitToPage="1"/>
  </sheetPr>
  <dimension ref="A1:O62"/>
  <sheetViews>
    <sheetView zoomScale="70" zoomScaleNormal="70" zoomScaleSheetLayoutView="85" zoomScalePageLayoutView="70" workbookViewId="0">
      <selection activeCell="F46" sqref="F46"/>
    </sheetView>
  </sheetViews>
  <sheetFormatPr defaultRowHeight="15"/>
  <cols>
    <col min="1" max="1" width="37.140625" bestFit="1" customWidth="1"/>
    <col min="2" max="2" width="24.85546875" bestFit="1" customWidth="1"/>
    <col min="3" max="3" width="13.140625" customWidth="1"/>
    <col min="4" max="4" width="11" customWidth="1"/>
    <col min="5" max="5" width="14.28515625" customWidth="1"/>
    <col min="6" max="6" width="12.5703125" customWidth="1"/>
    <col min="7" max="7" width="24" bestFit="1" customWidth="1"/>
    <col min="8" max="8" width="25.85546875" bestFit="1" customWidth="1"/>
    <col min="9" max="9" width="22.7109375" bestFit="1" customWidth="1"/>
  </cols>
  <sheetData>
    <row r="1" spans="1:15" s="7" customFormat="1">
      <c r="A1" s="41" t="s">
        <v>122</v>
      </c>
      <c r="F1" s="8"/>
      <c r="H1" s="226" t="s">
        <v>123</v>
      </c>
      <c r="I1" s="226"/>
      <c r="J1" s="226"/>
      <c r="K1" s="226"/>
      <c r="L1" s="226"/>
      <c r="M1" s="226"/>
      <c r="N1" s="226"/>
      <c r="O1" s="226"/>
    </row>
    <row r="2" spans="1:15" s="7" customFormat="1">
      <c r="A2" s="40" t="s">
        <v>124</v>
      </c>
      <c r="B2" s="40" t="s">
        <v>125</v>
      </c>
      <c r="C2" s="40" t="s">
        <v>126</v>
      </c>
      <c r="G2" s="40" t="s">
        <v>127</v>
      </c>
      <c r="H2" s="40" t="s">
        <v>128</v>
      </c>
      <c r="I2" s="40" t="s">
        <v>129</v>
      </c>
      <c r="J2" s="40" t="s">
        <v>130</v>
      </c>
      <c r="K2" s="40" t="s">
        <v>131</v>
      </c>
      <c r="L2" s="40" t="s">
        <v>132</v>
      </c>
      <c r="M2" s="40" t="s">
        <v>133</v>
      </c>
      <c r="N2" s="40" t="s">
        <v>134</v>
      </c>
    </row>
    <row r="3" spans="1:15">
      <c r="A3" t="s">
        <v>23</v>
      </c>
      <c r="B3" s="2" t="s">
        <v>135</v>
      </c>
      <c r="C3" s="2">
        <v>20</v>
      </c>
      <c r="D3" s="169"/>
      <c r="F3" s="5">
        <v>5</v>
      </c>
      <c r="G3" t="s">
        <v>136</v>
      </c>
      <c r="H3" s="39">
        <f>52*5/12</f>
        <v>21.666666666666668</v>
      </c>
      <c r="I3" s="6">
        <f>$H$3*2</f>
        <v>43.333333333333336</v>
      </c>
      <c r="J3" s="6">
        <f>$H$3*3</f>
        <v>65</v>
      </c>
      <c r="K3" s="6">
        <f>$H$3*4</f>
        <v>86.666666666666671</v>
      </c>
      <c r="L3" s="6">
        <f>$H$3*5</f>
        <v>108.33333333333334</v>
      </c>
      <c r="M3" s="6">
        <f>$H$3*6</f>
        <v>130</v>
      </c>
      <c r="N3" s="6">
        <f>$H$3*7</f>
        <v>151.66666666666669</v>
      </c>
    </row>
    <row r="4" spans="1:15">
      <c r="A4" t="s">
        <v>23</v>
      </c>
      <c r="B4" s="2" t="s">
        <v>137</v>
      </c>
      <c r="C4" s="2">
        <v>34</v>
      </c>
      <c r="D4" s="169"/>
      <c r="F4" s="5">
        <v>4</v>
      </c>
      <c r="G4" t="s">
        <v>138</v>
      </c>
      <c r="H4" s="39">
        <f>52*4/12</f>
        <v>17.333333333333332</v>
      </c>
      <c r="I4" s="6">
        <f>$H$4*2</f>
        <v>34.666666666666664</v>
      </c>
      <c r="J4" s="6">
        <f>$H$4*3</f>
        <v>52</v>
      </c>
      <c r="K4" s="6">
        <f>$H$4*4</f>
        <v>69.333333333333329</v>
      </c>
      <c r="L4" s="6">
        <f>$H$4*5</f>
        <v>86.666666666666657</v>
      </c>
      <c r="M4" s="6">
        <f>$H$4*6</f>
        <v>104</v>
      </c>
      <c r="N4" s="6">
        <f>$H$4*7</f>
        <v>121.33333333333333</v>
      </c>
    </row>
    <row r="5" spans="1:15">
      <c r="A5" t="s">
        <v>23</v>
      </c>
      <c r="B5" s="2" t="s">
        <v>139</v>
      </c>
      <c r="C5" s="2">
        <v>51</v>
      </c>
      <c r="D5" s="169"/>
      <c r="F5" s="5">
        <v>3</v>
      </c>
      <c r="G5" t="s">
        <v>140</v>
      </c>
      <c r="H5" s="39">
        <f>52*3/12</f>
        <v>13</v>
      </c>
      <c r="I5" s="6">
        <f>$H$5*2</f>
        <v>26</v>
      </c>
      <c r="J5" s="6">
        <f>$H$5*3</f>
        <v>39</v>
      </c>
      <c r="K5" s="6">
        <f>$H$5*4</f>
        <v>52</v>
      </c>
      <c r="L5" s="6">
        <f>$H$5*5</f>
        <v>65</v>
      </c>
      <c r="M5" s="6">
        <f>$H$5*6</f>
        <v>78</v>
      </c>
      <c r="N5" s="6">
        <f>$H$5*7</f>
        <v>91</v>
      </c>
    </row>
    <row r="6" spans="1:15">
      <c r="A6" t="s">
        <v>23</v>
      </c>
      <c r="B6" s="2" t="s">
        <v>141</v>
      </c>
      <c r="C6" s="2">
        <v>77</v>
      </c>
      <c r="D6" s="169"/>
      <c r="F6" s="5">
        <v>2</v>
      </c>
      <c r="G6" t="s">
        <v>142</v>
      </c>
      <c r="H6" s="39">
        <f>52*2/12</f>
        <v>8.6666666666666661</v>
      </c>
      <c r="I6" s="3">
        <f>$H$6*2</f>
        <v>17.333333333333332</v>
      </c>
      <c r="J6" s="3">
        <f>$H$6*3</f>
        <v>26</v>
      </c>
      <c r="K6" s="3">
        <f>$H$6*4</f>
        <v>34.666666666666664</v>
      </c>
      <c r="L6" s="3">
        <f>$H$6*5</f>
        <v>43.333333333333329</v>
      </c>
      <c r="M6" s="3">
        <f>$H$6*6</f>
        <v>52</v>
      </c>
      <c r="N6" s="3">
        <f>$H$6*7</f>
        <v>60.666666666666664</v>
      </c>
    </row>
    <row r="7" spans="1:15">
      <c r="A7" t="s">
        <v>23</v>
      </c>
      <c r="B7" s="2" t="s">
        <v>143</v>
      </c>
      <c r="C7" s="2">
        <v>97</v>
      </c>
      <c r="D7" s="169"/>
      <c r="F7" s="5">
        <v>1</v>
      </c>
      <c r="G7" t="s">
        <v>22</v>
      </c>
      <c r="H7" s="39">
        <f>52/12</f>
        <v>4.333333333333333</v>
      </c>
      <c r="I7" s="3">
        <f>$H$7*2</f>
        <v>8.6666666666666661</v>
      </c>
      <c r="J7" s="3">
        <f>$H$7*3</f>
        <v>13</v>
      </c>
      <c r="K7" s="3">
        <f>$H$7*4</f>
        <v>17.333333333333332</v>
      </c>
      <c r="L7" s="3">
        <f>$H$7*5</f>
        <v>21.666666666666664</v>
      </c>
      <c r="M7" s="3">
        <f>$H$7*6</f>
        <v>26</v>
      </c>
      <c r="N7" s="3">
        <f>$H$7*7</f>
        <v>30.333333333333332</v>
      </c>
    </row>
    <row r="8" spans="1:15">
      <c r="A8" t="s">
        <v>23</v>
      </c>
      <c r="B8" s="2" t="s">
        <v>144</v>
      </c>
      <c r="C8" s="2">
        <v>117</v>
      </c>
      <c r="D8" s="169"/>
      <c r="F8" s="5">
        <v>0.5</v>
      </c>
      <c r="G8" t="s">
        <v>145</v>
      </c>
      <c r="H8" s="39">
        <f>26/12</f>
        <v>2.1666666666666665</v>
      </c>
      <c r="I8" s="3">
        <f>$H$8*2</f>
        <v>4.333333333333333</v>
      </c>
      <c r="J8" s="3">
        <f>$H$8*3</f>
        <v>6.5</v>
      </c>
      <c r="K8" s="3">
        <f>$H$8*4</f>
        <v>8.6666666666666661</v>
      </c>
      <c r="L8" s="3">
        <f>$H$8*5</f>
        <v>10.833333333333332</v>
      </c>
      <c r="M8" s="3">
        <f>$H$8*6</f>
        <v>13</v>
      </c>
      <c r="N8" s="3">
        <f>$H$8*7</f>
        <v>15.166666666666666</v>
      </c>
    </row>
    <row r="9" spans="1:15">
      <c r="A9" t="s">
        <v>23</v>
      </c>
      <c r="B9" s="2" t="s">
        <v>146</v>
      </c>
      <c r="C9" s="2">
        <v>157</v>
      </c>
      <c r="D9" s="169"/>
      <c r="F9" s="5">
        <v>8.3333333333333329E-2</v>
      </c>
      <c r="G9" t="s">
        <v>147</v>
      </c>
      <c r="H9" s="39">
        <f>12/12</f>
        <v>1</v>
      </c>
      <c r="I9" s="3">
        <f>$H$9*2</f>
        <v>2</v>
      </c>
      <c r="J9" s="3">
        <f>$H$9*3</f>
        <v>3</v>
      </c>
      <c r="K9" s="3">
        <f>$H$9*4</f>
        <v>4</v>
      </c>
      <c r="L9" s="3">
        <f>$H$9*5</f>
        <v>5</v>
      </c>
      <c r="M9" s="3">
        <f>$H$9*6</f>
        <v>6</v>
      </c>
      <c r="N9" s="3">
        <f>$H$9*7</f>
        <v>7</v>
      </c>
    </row>
    <row r="10" spans="1:15">
      <c r="A10" t="s">
        <v>23</v>
      </c>
      <c r="B10" s="2" t="s">
        <v>148</v>
      </c>
      <c r="C10" s="2">
        <v>37</v>
      </c>
      <c r="D10" s="169"/>
    </row>
    <row r="11" spans="1:15">
      <c r="A11" t="s">
        <v>23</v>
      </c>
      <c r="B11" s="2" t="s">
        <v>149</v>
      </c>
      <c r="C11" s="2">
        <v>47</v>
      </c>
      <c r="D11" s="169"/>
    </row>
    <row r="12" spans="1:15">
      <c r="A12" t="s">
        <v>23</v>
      </c>
      <c r="B12" s="2" t="s">
        <v>150</v>
      </c>
      <c r="C12" s="2">
        <v>68</v>
      </c>
      <c r="D12" s="169"/>
    </row>
    <row r="13" spans="1:15">
      <c r="A13" t="s">
        <v>23</v>
      </c>
      <c r="B13" s="2" t="s">
        <v>151</v>
      </c>
      <c r="C13" s="2">
        <v>34</v>
      </c>
      <c r="D13" s="169"/>
    </row>
    <row r="14" spans="1:15">
      <c r="A14" t="s">
        <v>23</v>
      </c>
      <c r="B14" s="2" t="s">
        <v>152</v>
      </c>
      <c r="C14" s="2">
        <v>34</v>
      </c>
      <c r="D14" s="169"/>
    </row>
    <row r="15" spans="1:15">
      <c r="A15" t="s">
        <v>30</v>
      </c>
      <c r="B15" s="2" t="s">
        <v>153</v>
      </c>
      <c r="C15" s="2">
        <v>29</v>
      </c>
      <c r="D15" s="169"/>
    </row>
    <row r="16" spans="1:15">
      <c r="A16" t="s">
        <v>30</v>
      </c>
      <c r="B16" s="2" t="s">
        <v>154</v>
      </c>
      <c r="C16" s="2">
        <v>175</v>
      </c>
      <c r="H16" s="2"/>
    </row>
    <row r="17" spans="1:8">
      <c r="A17" t="s">
        <v>30</v>
      </c>
      <c r="B17" s="2" t="s">
        <v>155</v>
      </c>
      <c r="C17" s="2">
        <v>250</v>
      </c>
      <c r="H17" s="2"/>
    </row>
    <row r="18" spans="1:8">
      <c r="A18" t="s">
        <v>30</v>
      </c>
      <c r="B18" s="2" t="s">
        <v>156</v>
      </c>
      <c r="C18" s="2">
        <v>324</v>
      </c>
      <c r="H18" s="2"/>
    </row>
    <row r="19" spans="1:8">
      <c r="A19" t="s">
        <v>30</v>
      </c>
      <c r="B19" s="2" t="s">
        <v>157</v>
      </c>
      <c r="C19" s="2">
        <v>473</v>
      </c>
      <c r="H19" s="2"/>
    </row>
    <row r="20" spans="1:8">
      <c r="A20" t="s">
        <v>30</v>
      </c>
      <c r="B20" s="2" t="s">
        <v>158</v>
      </c>
      <c r="C20" s="2">
        <v>613</v>
      </c>
      <c r="H20" s="2"/>
    </row>
    <row r="21" spans="1:8">
      <c r="A21" t="s">
        <v>30</v>
      </c>
      <c r="B21" s="2" t="s">
        <v>159</v>
      </c>
      <c r="C21" s="2">
        <v>727</v>
      </c>
      <c r="E21" s="168"/>
      <c r="H21" s="2"/>
    </row>
    <row r="22" spans="1:8">
      <c r="A22" t="s">
        <v>30</v>
      </c>
      <c r="B22" s="2" t="s">
        <v>160</v>
      </c>
      <c r="C22" s="2">
        <v>840</v>
      </c>
      <c r="H22" s="2"/>
    </row>
    <row r="23" spans="1:8">
      <c r="A23" t="s">
        <v>30</v>
      </c>
      <c r="B23" s="2" t="s">
        <v>161</v>
      </c>
      <c r="C23" s="2">
        <v>980</v>
      </c>
      <c r="H23" s="2"/>
    </row>
    <row r="24" spans="1:8">
      <c r="A24" t="s">
        <v>30</v>
      </c>
      <c r="B24" s="2" t="s">
        <v>162</v>
      </c>
      <c r="C24" s="2">
        <v>482</v>
      </c>
      <c r="H24" s="2"/>
    </row>
    <row r="25" spans="1:8">
      <c r="A25" t="s">
        <v>30</v>
      </c>
      <c r="B25" s="2" t="s">
        <v>163</v>
      </c>
      <c r="C25" s="2">
        <v>689</v>
      </c>
      <c r="H25" s="2"/>
    </row>
    <row r="26" spans="1:8">
      <c r="A26" t="s">
        <v>30</v>
      </c>
      <c r="B26" s="2" t="s">
        <v>164</v>
      </c>
      <c r="C26" s="2">
        <v>892</v>
      </c>
      <c r="H26" s="2"/>
    </row>
    <row r="27" spans="1:8">
      <c r="A27" t="s">
        <v>30</v>
      </c>
      <c r="B27" s="2" t="s">
        <v>165</v>
      </c>
      <c r="C27" s="2">
        <v>1301</v>
      </c>
      <c r="H27" s="2"/>
    </row>
    <row r="28" spans="1:8">
      <c r="A28" t="s">
        <v>30</v>
      </c>
      <c r="B28" s="2" t="s">
        <v>166</v>
      </c>
      <c r="C28" s="2">
        <v>1686</v>
      </c>
      <c r="H28" s="2"/>
    </row>
    <row r="29" spans="1:8">
      <c r="A29" t="s">
        <v>30</v>
      </c>
      <c r="B29" s="2" t="s">
        <v>167</v>
      </c>
      <c r="C29" s="2">
        <v>2046</v>
      </c>
      <c r="H29" s="2"/>
    </row>
    <row r="30" spans="1:8">
      <c r="A30" t="s">
        <v>30</v>
      </c>
      <c r="B30" s="2" t="s">
        <v>168</v>
      </c>
      <c r="C30" s="2">
        <v>2310</v>
      </c>
      <c r="H30" s="2"/>
    </row>
    <row r="31" spans="1:8">
      <c r="A31" t="s">
        <v>30</v>
      </c>
      <c r="B31" s="2" t="s">
        <v>169</v>
      </c>
      <c r="C31" s="2">
        <v>2800</v>
      </c>
      <c r="H31" s="2"/>
    </row>
    <row r="32" spans="1:8">
      <c r="A32" t="s">
        <v>30</v>
      </c>
      <c r="B32" s="2" t="s">
        <v>170</v>
      </c>
      <c r="C32" s="2">
        <v>125</v>
      </c>
      <c r="H32" s="2"/>
    </row>
    <row r="33" spans="1:9">
      <c r="A33" t="s">
        <v>30</v>
      </c>
      <c r="B33" s="2" t="s">
        <v>171</v>
      </c>
      <c r="C33" s="196">
        <v>206.25</v>
      </c>
      <c r="H33" s="2"/>
    </row>
    <row r="34" spans="1:9">
      <c r="A34" t="s">
        <v>172</v>
      </c>
      <c r="B34" t="s">
        <v>173</v>
      </c>
      <c r="C34" s="10">
        <v>2000</v>
      </c>
      <c r="I34" s="2"/>
    </row>
    <row r="35" spans="1:9">
      <c r="I35" s="2"/>
    </row>
    <row r="36" spans="1:9">
      <c r="I36" s="2"/>
    </row>
    <row r="37" spans="1:9">
      <c r="I37" s="2"/>
    </row>
    <row r="38" spans="1:9" ht="15.75" thickBot="1"/>
    <row r="39" spans="1:9" ht="15.75" thickTop="1">
      <c r="A39" s="146"/>
      <c r="B39" s="147"/>
      <c r="C39" s="147"/>
      <c r="D39" s="148"/>
    </row>
    <row r="40" spans="1:9">
      <c r="A40" s="149" t="s">
        <v>174</v>
      </c>
      <c r="B40" s="9" t="s">
        <v>85</v>
      </c>
      <c r="C40" s="9" t="s">
        <v>175</v>
      </c>
      <c r="D40" s="124"/>
      <c r="E40" s="227" t="s">
        <v>176</v>
      </c>
      <c r="F40" s="227"/>
    </row>
    <row r="41" spans="1:9">
      <c r="A41" s="150" t="s">
        <v>177</v>
      </c>
      <c r="B41" s="151">
        <v>42.47</v>
      </c>
      <c r="C41" s="152">
        <f>B41/2000</f>
        <v>2.1235E-2</v>
      </c>
      <c r="D41" s="124"/>
      <c r="E41" t="s">
        <v>178</v>
      </c>
      <c r="F41" s="30">
        <f>0.0175</f>
        <v>1.7500000000000002E-2</v>
      </c>
    </row>
    <row r="42" spans="1:9">
      <c r="A42" s="150" t="s">
        <v>179</v>
      </c>
      <c r="B42" s="61">
        <v>44.4</v>
      </c>
      <c r="C42" s="62">
        <f>B42/2000</f>
        <v>2.2200000000000001E-2</v>
      </c>
      <c r="D42" s="124"/>
      <c r="E42" t="s">
        <v>180</v>
      </c>
      <c r="F42" s="11">
        <v>5.1000000000000004E-3</v>
      </c>
    </row>
    <row r="43" spans="1:9">
      <c r="A43" s="153" t="s">
        <v>12</v>
      </c>
      <c r="B43" s="151">
        <f>B42-B41</f>
        <v>1.9299999999999997</v>
      </c>
      <c r="C43" s="154">
        <f>C42-C41</f>
        <v>9.6500000000000058E-4</v>
      </c>
      <c r="D43" s="124"/>
      <c r="E43" t="s">
        <v>181</v>
      </c>
      <c r="F43" s="12"/>
    </row>
    <row r="44" spans="1:9">
      <c r="A44" s="82"/>
      <c r="B44" s="197"/>
      <c r="D44" s="124"/>
      <c r="E44" t="s">
        <v>29</v>
      </c>
      <c r="F44" s="13">
        <f>SUM(F41:F43)</f>
        <v>2.2600000000000002E-2</v>
      </c>
    </row>
    <row r="45" spans="1:9">
      <c r="A45" s="82"/>
      <c r="B45" s="14" t="s">
        <v>182</v>
      </c>
      <c r="D45" s="124"/>
    </row>
    <row r="46" spans="1:9">
      <c r="A46" s="82" t="s">
        <v>183</v>
      </c>
      <c r="B46" s="15">
        <f>B43</f>
        <v>1.9299999999999997</v>
      </c>
      <c r="D46" s="124"/>
      <c r="E46" s="42" t="s">
        <v>184</v>
      </c>
      <c r="F46" s="43">
        <f>1-F44</f>
        <v>0.97740000000000005</v>
      </c>
    </row>
    <row r="47" spans="1:9">
      <c r="A47" s="82" t="s">
        <v>185</v>
      </c>
      <c r="B47" s="15">
        <f>B46/$F$46</f>
        <v>1.9746265602619191</v>
      </c>
      <c r="D47" s="124"/>
    </row>
    <row r="48" spans="1:9">
      <c r="A48" s="82" t="s">
        <v>186</v>
      </c>
      <c r="B48" s="60">
        <v>5519.8041763207239</v>
      </c>
      <c r="C48" s="74" t="s">
        <v>237</v>
      </c>
      <c r="D48" s="124"/>
    </row>
    <row r="49" spans="1:4">
      <c r="A49" s="155" t="s">
        <v>187</v>
      </c>
      <c r="B49" s="156">
        <f>B47*B48</f>
        <v>10899.551934007566</v>
      </c>
      <c r="D49" s="124"/>
    </row>
    <row r="50" spans="1:4">
      <c r="A50" s="82"/>
      <c r="D50" s="124"/>
    </row>
    <row r="51" spans="1:4">
      <c r="A51" s="82"/>
      <c r="D51" s="124"/>
    </row>
    <row r="52" spans="1:4" ht="15.75" thickBot="1">
      <c r="A52" s="82"/>
      <c r="D52" s="124"/>
    </row>
    <row r="53" spans="1:4">
      <c r="A53" s="157" t="s">
        <v>188</v>
      </c>
      <c r="B53" s="16" t="s">
        <v>189</v>
      </c>
      <c r="D53" s="158"/>
    </row>
    <row r="54" spans="1:4">
      <c r="A54" s="82" t="s">
        <v>190</v>
      </c>
      <c r="B54" s="17">
        <f>'Disp Increase Calc'!S24</f>
        <v>11113.426832981477</v>
      </c>
      <c r="D54" s="124"/>
    </row>
    <row r="55" spans="1:4">
      <c r="A55" s="82" t="s">
        <v>191</v>
      </c>
      <c r="B55" s="17">
        <f>B54-B49</f>
        <v>213.8748989739106</v>
      </c>
      <c r="D55" s="124"/>
    </row>
    <row r="56" spans="1:4">
      <c r="A56" s="82"/>
      <c r="B56" s="18"/>
      <c r="D56" s="124"/>
    </row>
    <row r="57" spans="1:4">
      <c r="A57" s="155" t="s">
        <v>192</v>
      </c>
      <c r="B57" s="19" t="s">
        <v>189</v>
      </c>
      <c r="D57" s="124"/>
    </row>
    <row r="58" spans="1:4">
      <c r="A58" s="82" t="s">
        <v>193</v>
      </c>
      <c r="B58" s="20">
        <f>'Disp Increase Calc'!S24</f>
        <v>11113.426832981477</v>
      </c>
      <c r="D58" s="124"/>
    </row>
    <row r="59" spans="1:4" ht="15.75" thickBot="1">
      <c r="A59" s="159" t="s">
        <v>191</v>
      </c>
      <c r="B59" s="21">
        <f>B58-B49</f>
        <v>213.8748989739106</v>
      </c>
      <c r="C59" s="15">
        <f>B55-B59</f>
        <v>0</v>
      </c>
      <c r="D59" s="124"/>
    </row>
    <row r="60" spans="1:4">
      <c r="A60" s="82"/>
      <c r="D60" s="124"/>
    </row>
    <row r="61" spans="1:4" ht="15.75" thickBot="1">
      <c r="A61" s="126"/>
      <c r="B61" s="127"/>
      <c r="C61" s="127"/>
      <c r="D61" s="130"/>
    </row>
    <row r="62" spans="1:4" ht="15.75" thickTop="1"/>
  </sheetData>
  <mergeCells count="2">
    <mergeCell ref="H1:O1"/>
    <mergeCell ref="E40:F40"/>
  </mergeCells>
  <phoneticPr fontId="25" type="noConversion"/>
  <pageMargins left="0.7" right="0.7" top="0.75" bottom="0.75" header="0.3" footer="0.3"/>
  <pageSetup scale="50" fitToHeight="2" orientation="landscape" r:id="rId1"/>
  <headerFooter>
    <oddHeader>&amp;C&amp;"-,Bold"&amp;KFF0000INFORMATION RED OUTLINED AND/OR IN REDACTED AREA IS CONFIDENTIAL PER WAC 480-07-160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FFFF"/>
    <pageSetUpPr fitToPage="1"/>
  </sheetPr>
  <dimension ref="A1:R17"/>
  <sheetViews>
    <sheetView zoomScaleNormal="100" zoomScalePageLayoutView="85" workbookViewId="0">
      <selection activeCell="G20" sqref="G20"/>
    </sheetView>
  </sheetViews>
  <sheetFormatPr defaultRowHeight="15"/>
  <cols>
    <col min="1" max="1" width="22.140625" customWidth="1"/>
    <col min="3" max="3" width="4.42578125" customWidth="1"/>
    <col min="4" max="4" width="11" customWidth="1"/>
    <col min="6" max="6" width="13.28515625" customWidth="1"/>
    <col min="7" max="7" width="2.28515625" customWidth="1"/>
    <col min="8" max="8" width="12.5703125" customWidth="1"/>
    <col min="9" max="9" width="2.28515625" customWidth="1"/>
    <col min="10" max="10" width="11.5703125" bestFit="1" customWidth="1"/>
    <col min="11" max="11" width="2.28515625" customWidth="1"/>
    <col min="12" max="12" width="15.85546875" bestFit="1" customWidth="1"/>
    <col min="13" max="13" width="2.42578125" customWidth="1"/>
    <col min="15" max="15" width="22.5703125" bestFit="1" customWidth="1"/>
    <col min="16" max="17" width="12.5703125" bestFit="1" customWidth="1"/>
    <col min="18" max="18" width="10.5703125" bestFit="1" customWidth="1"/>
  </cols>
  <sheetData>
    <row r="1" spans="1:18" ht="15.75" thickBot="1"/>
    <row r="2" spans="1:18" ht="15" customHeight="1">
      <c r="A2" s="228" t="s">
        <v>264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30"/>
      <c r="M2" s="37"/>
    </row>
    <row r="3" spans="1:18" ht="15" customHeight="1">
      <c r="A3" s="231" t="s">
        <v>194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3"/>
      <c r="M3" s="37"/>
    </row>
    <row r="4" spans="1:18" ht="15" customHeight="1">
      <c r="A4" s="234">
        <v>45658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6"/>
      <c r="M4" s="38"/>
    </row>
    <row r="5" spans="1:18" ht="15" customHeight="1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3"/>
      <c r="M5" s="37"/>
    </row>
    <row r="6" spans="1:18" ht="15" customHeight="1">
      <c r="A6" s="131"/>
      <c r="F6" s="54" t="s">
        <v>195</v>
      </c>
      <c r="G6" s="54"/>
      <c r="H6" s="54" t="s">
        <v>196</v>
      </c>
      <c r="I6" s="54"/>
      <c r="J6" s="54" t="s">
        <v>12</v>
      </c>
      <c r="K6" s="71"/>
      <c r="L6" s="133" t="s">
        <v>12</v>
      </c>
      <c r="M6" s="29"/>
    </row>
    <row r="7" spans="1:18" ht="15" customHeight="1">
      <c r="A7" s="131"/>
      <c r="F7" s="55" t="s">
        <v>197</v>
      </c>
      <c r="G7" s="55"/>
      <c r="H7" s="55" t="s">
        <v>197</v>
      </c>
      <c r="I7" s="55"/>
      <c r="J7" s="55" t="s">
        <v>198</v>
      </c>
      <c r="K7" s="56"/>
      <c r="L7" s="134" t="s">
        <v>199</v>
      </c>
      <c r="M7" s="29"/>
      <c r="P7" s="15"/>
      <c r="Q7" s="15"/>
    </row>
    <row r="8" spans="1:18" ht="15" customHeight="1">
      <c r="A8" s="135" t="s">
        <v>23</v>
      </c>
      <c r="F8" s="193">
        <f>'Disp Increase Calc'!Q14</f>
        <v>462069.89077615837</v>
      </c>
      <c r="G8" s="193"/>
      <c r="H8" s="193">
        <f>'Disp Increase Calc'!R14</f>
        <v>467187.49718219135</v>
      </c>
      <c r="I8" s="193"/>
      <c r="J8" s="193">
        <f>+H8-F8</f>
        <v>5117.6064060329809</v>
      </c>
      <c r="L8" s="136">
        <f>+H8/F8-1</f>
        <v>1.1075394671218985E-2</v>
      </c>
      <c r="M8" s="1"/>
      <c r="N8" s="1"/>
      <c r="O8" s="169"/>
      <c r="P8" s="15"/>
      <c r="Q8" s="15"/>
      <c r="R8" s="15"/>
    </row>
    <row r="9" spans="1:18" ht="15" customHeight="1">
      <c r="A9" s="135" t="s">
        <v>200</v>
      </c>
      <c r="F9" s="193">
        <f>'Disp Increase Calc'!Q23</f>
        <v>432398.21175611945</v>
      </c>
      <c r="G9" s="193"/>
      <c r="H9" s="193">
        <f>'Disp Increase Calc'!R23</f>
        <v>438394.03218306799</v>
      </c>
      <c r="I9" s="193"/>
      <c r="J9" s="193">
        <f>+H9-F9</f>
        <v>5995.8204269485432</v>
      </c>
      <c r="L9" s="136">
        <f>+H9/F9-1</f>
        <v>1.3866432061773404E-2</v>
      </c>
      <c r="M9" s="1"/>
      <c r="O9" s="1"/>
      <c r="P9" s="15"/>
      <c r="Q9" s="15"/>
      <c r="R9" s="15"/>
    </row>
    <row r="10" spans="1:18" ht="15" customHeight="1">
      <c r="A10" s="135" t="s">
        <v>201</v>
      </c>
      <c r="B10" s="73">
        <v>4385.83</v>
      </c>
      <c r="C10" s="74" t="s">
        <v>237</v>
      </c>
      <c r="F10" s="194">
        <f>B10*D15</f>
        <v>186266.20009999999</v>
      </c>
      <c r="G10" s="193"/>
      <c r="H10" s="194">
        <f>B10*D16</f>
        <v>194730.85199999998</v>
      </c>
      <c r="I10" s="193"/>
      <c r="J10" s="194">
        <f>+H10-F10</f>
        <v>8464.6518999999971</v>
      </c>
      <c r="L10" s="137">
        <f>+H10/F10-1</f>
        <v>4.5443842712503013E-2</v>
      </c>
      <c r="M10" s="1"/>
    </row>
    <row r="11" spans="1:18" ht="15" customHeight="1">
      <c r="A11" s="131"/>
      <c r="F11" s="193">
        <f>SUM(F8:F10)</f>
        <v>1080734.3026322778</v>
      </c>
      <c r="G11" s="193"/>
      <c r="H11" s="193">
        <f>SUM(H8:H10)</f>
        <v>1100312.3813652594</v>
      </c>
      <c r="I11" s="193"/>
      <c r="J11" s="193">
        <f>SUM(J8:J10)</f>
        <v>19578.078732981521</v>
      </c>
      <c r="L11" s="136">
        <f>+H11/F11-1</f>
        <v>1.8115533748948698E-2</v>
      </c>
      <c r="M11" s="1"/>
    </row>
    <row r="12" spans="1:18" ht="15" customHeight="1">
      <c r="A12" s="131"/>
      <c r="L12" s="132"/>
    </row>
    <row r="13" spans="1:18" ht="15" customHeight="1">
      <c r="A13" s="138" t="s">
        <v>202</v>
      </c>
      <c r="L13" s="132"/>
    </row>
    <row r="14" spans="1:18" ht="15" customHeight="1">
      <c r="A14" s="139" t="s">
        <v>174</v>
      </c>
      <c r="D14" s="55" t="s">
        <v>85</v>
      </c>
      <c r="L14" s="132"/>
    </row>
    <row r="15" spans="1:18" ht="15" customHeight="1">
      <c r="A15" s="140" t="s">
        <v>177</v>
      </c>
      <c r="D15" s="57">
        <f>References!B41</f>
        <v>42.47</v>
      </c>
      <c r="L15" s="132"/>
    </row>
    <row r="16" spans="1:18" ht="15" customHeight="1">
      <c r="A16" s="140" t="s">
        <v>179</v>
      </c>
      <c r="D16" s="58">
        <f>References!B42</f>
        <v>44.4</v>
      </c>
      <c r="L16" s="132"/>
    </row>
    <row r="17" spans="1:12" ht="15" customHeight="1" thickBot="1">
      <c r="A17" s="141" t="s">
        <v>12</v>
      </c>
      <c r="B17" s="142"/>
      <c r="C17" s="142"/>
      <c r="D17" s="143">
        <f>D16-D15</f>
        <v>1.9299999999999997</v>
      </c>
      <c r="E17" s="144">
        <f>D17/D15</f>
        <v>4.5443842712502937E-2</v>
      </c>
      <c r="F17" s="142"/>
      <c r="G17" s="142"/>
      <c r="H17" s="142"/>
      <c r="I17" s="142"/>
      <c r="J17" s="142"/>
      <c r="K17" s="142"/>
      <c r="L17" s="145"/>
    </row>
  </sheetData>
  <mergeCells count="4">
    <mergeCell ref="A2:L2"/>
    <mergeCell ref="A3:L3"/>
    <mergeCell ref="A4:L4"/>
    <mergeCell ref="A5:L5"/>
  </mergeCells>
  <pageMargins left="0.7" right="0.7" top="0.75" bottom="0.75" header="0.3" footer="0.3"/>
  <pageSetup orientation="landscape" r:id="rId1"/>
  <headerFooter>
    <oddHeader>&amp;C&amp;"-,Bold"&amp;KFF0000INFORMATION RED OUTLINED AND/OR IN REDACTED AREA IS CONFIDENTIAL PER WAC 480-07-160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AF38C264C8FA4689BC5F2F3630D9A6" ma:contentTypeVersion="16" ma:contentTypeDescription="" ma:contentTypeScope="" ma:versionID="cee820ef7985f8a1b07863027eef38a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2024-11-13T08:00:00+00:00</OpenedDate>
    <SignificantOrder xmlns="dc463f71-b30c-4ab2-9473-d307f9d35888">false</SignificantOrder>
    <Date1 xmlns="dc463f71-b30c-4ab2-9473-d307f9d35888">2024-11-13T08:00:00+00:00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Basin Disposal of Yakima, LLC    </CaseCompanyNames>
    <Nickname xmlns="http://schemas.microsoft.com/sharepoint/v3" xsi:nil="true"/>
    <DocketNumber xmlns="dc463f71-b30c-4ab2-9473-d307f9d35888">240895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35E01E3-E73F-4585-AACF-FE1B7020DD27}"/>
</file>

<file path=customXml/itemProps2.xml><?xml version="1.0" encoding="utf-8"?>
<ds:datastoreItem xmlns:ds="http://schemas.openxmlformats.org/officeDocument/2006/customXml" ds:itemID="{EA191A19-BF4A-45AB-8D10-6F212F01E0CB}">
  <ds:schemaRefs>
    <ds:schemaRef ds:uri="http://schemas.microsoft.com/office/2006/metadata/properties"/>
    <ds:schemaRef ds:uri="http://schemas.microsoft.com/office/infopath/2007/PartnerControls"/>
    <ds:schemaRef ds:uri="7a94ced8-ded3-4532-8ef9-e1b8815bc4a2"/>
    <ds:schemaRef ds:uri="2b02f8af-9ba6-47d7-a7c8-b9c1de8868f8"/>
  </ds:schemaRefs>
</ds:datastoreItem>
</file>

<file path=customXml/itemProps3.xml><?xml version="1.0" encoding="utf-8"?>
<ds:datastoreItem xmlns:ds="http://schemas.openxmlformats.org/officeDocument/2006/customXml" ds:itemID="{07F71FB8-CD16-4C85-AC16-8EB0ECEBC29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F8BAE5-C3C7-4D86-8507-723BFF76A7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Disp Increase Calc</vt:lpstr>
      <vt:lpstr>UnitCounts-TG-230188</vt:lpstr>
      <vt:lpstr>References</vt:lpstr>
      <vt:lpstr>RevenueIncrease</vt:lpstr>
      <vt:lpstr>'Disp Increase Calc'!Print_Area</vt:lpstr>
      <vt:lpstr>References!Print_Area</vt:lpstr>
      <vt:lpstr>RevenueIncrease!Print_Area</vt:lpstr>
      <vt:lpstr>'UnitCounts-TG-230188'!Print_Area</vt:lpstr>
      <vt:lpstr>'Disp Increase Calc'!Print_Titles</vt:lpstr>
      <vt:lpstr>'UnitCounts-TG-230188'!Print_Titles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Atwell</dc:creator>
  <cp:keywords/>
  <dc:description/>
  <cp:lastModifiedBy>Francisco Alcala</cp:lastModifiedBy>
  <cp:revision/>
  <cp:lastPrinted>2024-11-11T20:37:48Z</cp:lastPrinted>
  <dcterms:created xsi:type="dcterms:W3CDTF">2018-10-09T22:34:20Z</dcterms:created>
  <dcterms:modified xsi:type="dcterms:W3CDTF">2024-11-13T18:52:02Z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0x0101006E56B4D1795A2E4DB2F0B01679ED314A000BAF38C264C8FA4689BC5F2F3630D9A6</vt:lpwstr>
  </property>
  <property fmtid="{D5CDD505-2E9C-101B-9397-08002B2CF9AE}" pid="3" name="MediaServiceImageTags">
    <vt:lpwstr/>
  </property>
</Properties>
</file>