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1N and 141R\2023 Review\Filed on 10-16-24\"/>
    </mc:Choice>
  </mc:AlternateContent>
  <xr:revisionPtr revIDLastSave="0" documentId="13_ncr:1_{0FFB931B-EDF8-4871-BD92-10A6D8A127A9}" xr6:coauthVersionLast="47" xr6:coauthVersionMax="47" xr10:uidLastSave="{00000000-0000-0000-0000-000000000000}"/>
  <bookViews>
    <workbookView xWindow="3885" yWindow="495" windowWidth="23460" windowHeight="14835" tabRatio="955" activeTab="2" xr2:uid="{00000000-000D-0000-FFFF-FFFF00000000}"/>
  </bookViews>
  <sheets>
    <sheet name="Table of Contents" sheetId="44" r:id="rId1"/>
    <sheet name="Tariff Charge Summary===&gt;" sheetId="32" r:id="rId2"/>
    <sheet name="Exhibit No.__(BDJ-Tariff)" sheetId="51" r:id="rId3"/>
    <sheet name="Rate Spread-Design====&gt;" sheetId="33" r:id="rId4"/>
    <sheet name="Exhibit No.__(BDJ-Rate Spread)" sheetId="19" r:id="rId5"/>
    <sheet name="Exhibit No.__(BDJ-Rate Des Sum)" sheetId="37" r:id="rId6"/>
    <sheet name="Exhibit No.__(BDJ-Prof-Prop)" sheetId="1" r:id="rId7"/>
    <sheet name="Exhibit No.__(BDJ-MYRP-SUM)" sheetId="41" r:id="rId8"/>
    <sheet name="Exhibit No.__(BDJ-141A)" sheetId="45" r:id="rId9"/>
    <sheet name="Exhibit No.__(BDJ-MYRP)" sheetId="48" r:id="rId10"/>
    <sheet name="Exhibit No.__(BDJ-141C)" sheetId="43" r:id="rId11"/>
    <sheet name="Exhibit No.__(BDJ-Res RD)" sheetId="2" r:id="rId12"/>
    <sheet name="Exhibit No.__(BDJ-SV RD)" sheetId="13" r:id="rId13"/>
    <sheet name="Exhibit No.__(BDJ-PV RD)" sheetId="14" r:id="rId14"/>
    <sheet name="Exhibit No.__(BDJ-CONJ  DEM)" sheetId="42" r:id="rId15"/>
    <sheet name="Exhibit No.__(BDJ-HV RD)" sheetId="15" r:id="rId16"/>
    <sheet name="Exhibit No.__(BDJ-TRANSP RD)" sheetId="18" r:id="rId17"/>
    <sheet name="Exhibit No.__(BDJ-LIGHT RD) " sheetId="38" r:id="rId18"/>
    <sheet name="RevReq&gt;&gt;&gt;" sheetId="54" r:id="rId19"/>
    <sheet name="Elec Rev Req for COS" sheetId="55" r:id="rId20"/>
  </sheets>
  <definedNames>
    <definedName name="_xlnm.Print_Area" localSheetId="8">'Exhibit No.__(BDJ-141A)'!$A$1:$K$106</definedName>
    <definedName name="_xlnm.Print_Area" localSheetId="10">'Exhibit No.__(BDJ-141C)'!$A$1:$V$55</definedName>
    <definedName name="_xlnm.Print_Area" localSheetId="14">'Exhibit No.__(BDJ-CONJ  DEM)'!$A$1:$E$27</definedName>
    <definedName name="_xlnm.Print_Area" localSheetId="15">'Exhibit No.__(BDJ-HV RD)'!$A$1:$K$44</definedName>
    <definedName name="_xlnm.Print_Area" localSheetId="17">'Exhibit No.__(BDJ-LIGHT RD) '!$A$1:$J$26</definedName>
    <definedName name="_xlnm.Print_Area" localSheetId="9">'Exhibit No.__(BDJ-MYRP)'!$A$2:$Y$175</definedName>
    <definedName name="_xlnm.Print_Area" localSheetId="7">'Exhibit No.__(BDJ-MYRP-SUM)'!$A$1:$AA$36</definedName>
    <definedName name="_xlnm.Print_Area" localSheetId="6">'Exhibit No.__(BDJ-Prof-Prop)'!$A$1:$R$50</definedName>
    <definedName name="_xlnm.Print_Area" localSheetId="13">'Exhibit No.__(BDJ-PV RD)'!$A$1:$K$92</definedName>
    <definedName name="_xlnm.Print_Area" localSheetId="5">'Exhibit No.__(BDJ-Rate Des Sum)'!$A$1:$H$18</definedName>
    <definedName name="_xlnm.Print_Area" localSheetId="4">'Exhibit No.__(BDJ-Rate Spread)'!$A$1:$Y$41</definedName>
    <definedName name="_xlnm.Print_Area" localSheetId="11">'Exhibit No.__(BDJ-Res RD)'!$A$1:$J$39</definedName>
    <definedName name="_xlnm.Print_Area" localSheetId="12">'Exhibit No.__(BDJ-SV RD)'!$A$1:$K$174</definedName>
    <definedName name="_xlnm.Print_Area" localSheetId="2">'Exhibit No.__(BDJ-Tariff)'!$A$1:$X$141</definedName>
    <definedName name="_xlnm.Print_Area" localSheetId="16">'Exhibit No.__(BDJ-TRANSP RD)'!$A$1:$K$58</definedName>
    <definedName name="_xlnm.Print_Titles" localSheetId="8">'Exhibit No.__(BDJ-141A)'!$A:$C,'Exhibit No.__(BDJ-141A)'!$1:$10</definedName>
    <definedName name="_xlnm.Print_Titles" localSheetId="10">'Exhibit No.__(BDJ-141C)'!$A:$C</definedName>
    <definedName name="_xlnm.Print_Titles" localSheetId="15">'Exhibit No.__(BDJ-HV RD)'!$1:$10</definedName>
    <definedName name="_xlnm.Print_Titles" localSheetId="17">'Exhibit No.__(BDJ-LIGHT RD) '!$1:$10</definedName>
    <definedName name="_xlnm.Print_Titles" localSheetId="9">'Exhibit No.__(BDJ-MYRP)'!$A:$C,'Exhibit No.__(BDJ-MYRP)'!$1:$12</definedName>
    <definedName name="_xlnm.Print_Titles" localSheetId="7">'Exhibit No.__(BDJ-MYRP-SUM)'!$A:$C</definedName>
    <definedName name="_xlnm.Print_Titles" localSheetId="13">'Exhibit No.__(BDJ-PV RD)'!$1:$10</definedName>
    <definedName name="_xlnm.Print_Titles" localSheetId="4">'Exhibit No.__(BDJ-Rate Spread)'!$A:$C</definedName>
    <definedName name="_xlnm.Print_Titles" localSheetId="11">'Exhibit No.__(BDJ-Res RD)'!$1:$10</definedName>
    <definedName name="_xlnm.Print_Titles" localSheetId="12">'Exhibit No.__(BDJ-SV RD)'!$1:$10</definedName>
    <definedName name="_xlnm.Print_Titles" localSheetId="2">'Exhibit No.__(BDJ-Tariff)'!$A:$C,'Exhibit No.__(BDJ-Tariff)'!$1:$6</definedName>
    <definedName name="_xlnm.Print_Titles" localSheetId="16">'Exhibit No.__(BDJ-TRANSP RD)'!$1:$10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19" l="1"/>
  <c r="W34" i="19" l="1"/>
  <c r="S34" i="19"/>
  <c r="X46" i="19"/>
  <c r="W46" i="19"/>
  <c r="T46" i="19"/>
  <c r="S46" i="19"/>
  <c r="T34" i="19" l="1"/>
  <c r="X34" i="19"/>
  <c r="O35" i="41"/>
  <c r="D18" i="55" l="1"/>
  <c r="C20" i="55"/>
  <c r="D17" i="55"/>
  <c r="C17" i="55"/>
  <c r="D20" i="55" l="1"/>
  <c r="D19" i="55"/>
  <c r="C18" i="55"/>
  <c r="C19" i="55" s="1"/>
  <c r="C21" i="55" s="1"/>
  <c r="C22" i="55" s="1"/>
  <c r="D21" i="55" l="1"/>
  <c r="D22" i="55" s="1"/>
  <c r="D23" i="55"/>
  <c r="D25" i="55" s="1"/>
  <c r="C23" i="55"/>
  <c r="C25" i="55" l="1"/>
  <c r="O73" i="43" l="1"/>
  <c r="H181" i="48"/>
  <c r="N181" i="48"/>
  <c r="V44" i="19"/>
  <c r="A8" i="51" l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B8" i="51"/>
  <c r="B9" i="51" s="1"/>
  <c r="B10" i="51" s="1"/>
  <c r="B11" i="51" s="1"/>
  <c r="B12" i="51" s="1"/>
  <c r="B15" i="51"/>
  <c r="B16" i="51"/>
  <c r="B17" i="51"/>
  <c r="B18" i="51"/>
  <c r="L18" i="51"/>
  <c r="R18" i="51"/>
  <c r="X18" i="51"/>
  <c r="B19" i="51"/>
  <c r="B22" i="51"/>
  <c r="B23" i="51"/>
  <c r="B24" i="51"/>
  <c r="L24" i="51"/>
  <c r="R24" i="51"/>
  <c r="X24" i="51"/>
  <c r="B25" i="51"/>
  <c r="B26" i="51"/>
  <c r="B27" i="51"/>
  <c r="B28" i="51"/>
  <c r="F28" i="51"/>
  <c r="B29" i="51"/>
  <c r="L29" i="51"/>
  <c r="R29" i="51"/>
  <c r="X29" i="51"/>
  <c r="B30" i="51"/>
  <c r="L30" i="51"/>
  <c r="R30" i="51"/>
  <c r="X30" i="51"/>
  <c r="B31" i="51"/>
  <c r="B32" i="51"/>
  <c r="B35" i="51"/>
  <c r="B36" i="51"/>
  <c r="B37" i="51"/>
  <c r="L37" i="51"/>
  <c r="R37" i="51"/>
  <c r="X37" i="51"/>
  <c r="B38" i="51"/>
  <c r="B39" i="51"/>
  <c r="L39" i="51"/>
  <c r="R39" i="51"/>
  <c r="X39" i="51"/>
  <c r="B40" i="51"/>
  <c r="B41" i="51"/>
  <c r="B42" i="51"/>
  <c r="L42" i="51"/>
  <c r="R42" i="51"/>
  <c r="X42" i="51"/>
  <c r="B43" i="51"/>
  <c r="B44" i="51"/>
  <c r="B45" i="51"/>
  <c r="B46" i="51"/>
  <c r="B47" i="51"/>
  <c r="B48" i="51"/>
  <c r="B49" i="51"/>
  <c r="B50" i="51"/>
  <c r="B51" i="51"/>
  <c r="B52" i="51"/>
  <c r="B53" i="51"/>
  <c r="L53" i="51"/>
  <c r="R53" i="51"/>
  <c r="B54" i="51"/>
  <c r="L54" i="51"/>
  <c r="R54" i="51"/>
  <c r="B55" i="51"/>
  <c r="L55" i="51"/>
  <c r="R55" i="51"/>
  <c r="X55" i="51"/>
  <c r="B56" i="51"/>
  <c r="B59" i="51"/>
  <c r="B60" i="51"/>
  <c r="B61" i="51"/>
  <c r="B62" i="51"/>
  <c r="L62" i="51"/>
  <c r="R62" i="51"/>
  <c r="X62" i="51"/>
  <c r="B63" i="51"/>
  <c r="B64" i="51"/>
  <c r="B65" i="51"/>
  <c r="B66" i="51"/>
  <c r="B67" i="51"/>
  <c r="F67" i="51"/>
  <c r="B68" i="51"/>
  <c r="L68" i="51"/>
  <c r="R68" i="51"/>
  <c r="X68" i="51"/>
  <c r="B69" i="51"/>
  <c r="L69" i="51"/>
  <c r="R69" i="51"/>
  <c r="X69" i="51"/>
  <c r="B70" i="51"/>
  <c r="B71" i="51"/>
  <c r="B74" i="51"/>
  <c r="B75" i="51"/>
  <c r="B76" i="51"/>
  <c r="L76" i="51"/>
  <c r="R76" i="51"/>
  <c r="R133" i="51" s="1"/>
  <c r="X76" i="51"/>
  <c r="B77" i="51"/>
  <c r="B78" i="51"/>
  <c r="L78" i="51"/>
  <c r="R78" i="51"/>
  <c r="X78" i="51"/>
  <c r="B79" i="51"/>
  <c r="B80" i="51"/>
  <c r="B81" i="51"/>
  <c r="L81" i="51"/>
  <c r="R81" i="51"/>
  <c r="X81" i="51"/>
  <c r="B82" i="51"/>
  <c r="B83" i="51"/>
  <c r="B84" i="51"/>
  <c r="B85" i="51"/>
  <c r="B88" i="51"/>
  <c r="B89" i="51"/>
  <c r="B90" i="51"/>
  <c r="L90" i="51"/>
  <c r="L110" i="51" s="1"/>
  <c r="X90" i="51"/>
  <c r="B91" i="51"/>
  <c r="B92" i="51"/>
  <c r="L92" i="51"/>
  <c r="R92" i="51"/>
  <c r="X92" i="51"/>
  <c r="B93" i="51"/>
  <c r="L93" i="51"/>
  <c r="R93" i="51"/>
  <c r="X93" i="51"/>
  <c r="B94" i="51"/>
  <c r="B95" i="51"/>
  <c r="B98" i="51"/>
  <c r="B99" i="51"/>
  <c r="B100" i="51"/>
  <c r="X100" i="51"/>
  <c r="B101" i="51"/>
  <c r="B102" i="51"/>
  <c r="L102" i="51"/>
  <c r="R102" i="51"/>
  <c r="X102" i="51"/>
  <c r="B103" i="51"/>
  <c r="B104" i="51"/>
  <c r="B105" i="51"/>
  <c r="B106" i="51"/>
  <c r="B110" i="51"/>
  <c r="B111" i="51" s="1"/>
  <c r="B112" i="51" s="1"/>
  <c r="B113" i="51" s="1"/>
  <c r="B114" i="51" s="1"/>
  <c r="B115" i="51" s="1"/>
  <c r="B116" i="51" s="1"/>
  <c r="B117" i="51" s="1"/>
  <c r="B118" i="51" s="1"/>
  <c r="B119" i="51" s="1"/>
  <c r="B120" i="51" s="1"/>
  <c r="B121" i="51" s="1"/>
  <c r="B122" i="51" s="1"/>
  <c r="X110" i="51"/>
  <c r="X141" i="51" s="1"/>
  <c r="B125" i="51"/>
  <c r="X125" i="51"/>
  <c r="X133" i="51" s="1"/>
  <c r="B126" i="51"/>
  <c r="B127" i="51"/>
  <c r="L127" i="51"/>
  <c r="R127" i="51"/>
  <c r="X127" i="51"/>
  <c r="B128" i="51"/>
  <c r="B129" i="51"/>
  <c r="B130" i="51"/>
  <c r="B133" i="51"/>
  <c r="B134" i="51"/>
  <c r="B135" i="51"/>
  <c r="L135" i="51"/>
  <c r="R135" i="51"/>
  <c r="X135" i="51"/>
  <c r="B138" i="51"/>
  <c r="R138" i="51"/>
  <c r="B141" i="51"/>
  <c r="R141" i="51"/>
  <c r="R100" i="51" l="1"/>
  <c r="R90" i="51"/>
  <c r="R125" i="51"/>
  <c r="X138" i="51"/>
  <c r="L125" i="51"/>
  <c r="L133" i="51"/>
  <c r="L100" i="51"/>
  <c r="A14" i="48" l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B14" i="48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D15" i="48"/>
  <c r="D16" i="48"/>
  <c r="D19" i="48"/>
  <c r="D20" i="48"/>
  <c r="B28" i="48"/>
  <c r="B29" i="48" s="1"/>
  <c r="B30" i="48" s="1"/>
  <c r="B31" i="48" s="1"/>
  <c r="B32" i="48" s="1"/>
  <c r="B33" i="48" s="1"/>
  <c r="B34" i="48" s="1"/>
  <c r="B35" i="48" s="1"/>
  <c r="B36" i="48" s="1"/>
  <c r="B37" i="48" s="1"/>
  <c r="B40" i="48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6" i="48"/>
  <c r="B57" i="48" s="1"/>
  <c r="B58" i="48" s="1"/>
  <c r="B59" i="48" s="1"/>
  <c r="B60" i="48" s="1"/>
  <c r="B61" i="48" s="1"/>
  <c r="B62" i="48" s="1"/>
  <c r="B63" i="48" s="1"/>
  <c r="B64" i="48" s="1"/>
  <c r="B65" i="48" s="1"/>
  <c r="B66" i="48" s="1"/>
  <c r="F61" i="48"/>
  <c r="B69" i="48"/>
  <c r="B70" i="48" s="1"/>
  <c r="B71" i="48" s="1"/>
  <c r="B72" i="48" s="1"/>
  <c r="B73" i="48" s="1"/>
  <c r="B74" i="48" s="1"/>
  <c r="B75" i="48" s="1"/>
  <c r="B76" i="48" s="1"/>
  <c r="B77" i="48" s="1"/>
  <c r="B78" i="48" s="1"/>
  <c r="B79" i="48" s="1"/>
  <c r="B80" i="48" s="1"/>
  <c r="B81" i="48" s="1"/>
  <c r="B82" i="48" s="1"/>
  <c r="B83" i="48" s="1"/>
  <c r="B84" i="48" s="1"/>
  <c r="B85" i="48" s="1"/>
  <c r="B86" i="48" s="1"/>
  <c r="B90" i="48"/>
  <c r="B91" i="48" s="1"/>
  <c r="B92" i="48" s="1"/>
  <c r="B93" i="48" s="1"/>
  <c r="B94" i="48" s="1"/>
  <c r="B95" i="48" s="1"/>
  <c r="B96" i="48" s="1"/>
  <c r="B97" i="48" s="1"/>
  <c r="B98" i="48" s="1"/>
  <c r="B99" i="48" s="1"/>
  <c r="B100" i="48" s="1"/>
  <c r="B103" i="48"/>
  <c r="B104" i="48"/>
  <c r="B105" i="48" s="1"/>
  <c r="B106" i="48" s="1"/>
  <c r="B107" i="48" s="1"/>
  <c r="B108" i="48" s="1"/>
  <c r="B109" i="48" s="1"/>
  <c r="B110" i="48" s="1"/>
  <c r="B111" i="48" s="1"/>
  <c r="B112" i="48" s="1"/>
  <c r="B113" i="48" s="1"/>
  <c r="B116" i="48"/>
  <c r="B117" i="48"/>
  <c r="B118" i="48" s="1"/>
  <c r="B119" i="48" s="1"/>
  <c r="B120" i="48" s="1"/>
  <c r="B121" i="48" s="1"/>
  <c r="B122" i="48" s="1"/>
  <c r="B123" i="48" s="1"/>
  <c r="B124" i="48" s="1"/>
  <c r="B128" i="48"/>
  <c r="B129" i="48" s="1"/>
  <c r="B130" i="48" s="1"/>
  <c r="B131" i="48" s="1"/>
  <c r="B132" i="48" s="1"/>
  <c r="B133" i="48" s="1"/>
  <c r="B136" i="48"/>
  <c r="B137" i="48" s="1"/>
  <c r="B138" i="48" s="1"/>
  <c r="B139" i="48" s="1"/>
  <c r="B140" i="48" s="1"/>
  <c r="B141" i="48" s="1"/>
  <c r="B144" i="48"/>
  <c r="B145" i="48" s="1"/>
  <c r="B146" i="48" s="1"/>
  <c r="B149" i="48"/>
  <c r="B150" i="48" s="1"/>
  <c r="B151" i="48" s="1"/>
  <c r="B152" i="48" s="1"/>
  <c r="B153" i="48" s="1"/>
  <c r="B173" i="48" s="1"/>
  <c r="G149" i="48"/>
  <c r="J149" i="48"/>
  <c r="K149" i="48" s="1"/>
  <c r="Q149" i="48"/>
  <c r="B156" i="48"/>
  <c r="B157" i="48" s="1"/>
  <c r="B158" i="48" s="1"/>
  <c r="B159" i="48" s="1"/>
  <c r="B160" i="48" s="1"/>
  <c r="B174" i="48" s="1"/>
  <c r="G156" i="48"/>
  <c r="K156" i="48"/>
  <c r="D162" i="48"/>
  <c r="P162" i="48"/>
  <c r="B163" i="48"/>
  <c r="B164" i="48" s="1"/>
  <c r="B165" i="48" s="1"/>
  <c r="B166" i="48" s="1"/>
  <c r="D163" i="48"/>
  <c r="D164" i="48"/>
  <c r="P149" i="48" l="1"/>
  <c r="F21" i="48"/>
  <c r="J162" i="48"/>
  <c r="I108" i="48"/>
  <c r="I61" i="48"/>
  <c r="J164" i="48"/>
  <c r="O34" i="48"/>
  <c r="G164" i="48"/>
  <c r="F81" i="48"/>
  <c r="I81" i="48"/>
  <c r="O81" i="48"/>
  <c r="I34" i="48"/>
  <c r="O48" i="48"/>
  <c r="O108" i="48"/>
  <c r="F34" i="48"/>
  <c r="F95" i="48"/>
  <c r="O61" i="48"/>
  <c r="J156" i="48"/>
  <c r="F44" i="48"/>
  <c r="O44" i="48"/>
  <c r="F108" i="48"/>
  <c r="I21" i="48"/>
  <c r="P19" i="48"/>
  <c r="O95" i="48"/>
  <c r="O77" i="48"/>
  <c r="J19" i="48"/>
  <c r="G19" i="48"/>
  <c r="P164" i="48"/>
  <c r="G20" i="48"/>
  <c r="B167" i="48"/>
  <c r="B168" i="48"/>
  <c r="P20" i="48"/>
  <c r="O21" i="48"/>
  <c r="P156" i="48"/>
  <c r="Q156" i="48"/>
  <c r="G163" i="48"/>
  <c r="J163" i="48"/>
  <c r="P163" i="48"/>
  <c r="F48" i="48"/>
  <c r="F77" i="48"/>
  <c r="G162" i="48"/>
  <c r="I77" i="48"/>
  <c r="I44" i="48"/>
  <c r="I95" i="48"/>
  <c r="I48" i="48"/>
  <c r="J20" i="48"/>
  <c r="J166" i="48" l="1"/>
  <c r="F169" i="48"/>
  <c r="F181" i="48" s="1"/>
  <c r="J21" i="48"/>
  <c r="P166" i="48"/>
  <c r="O169" i="48"/>
  <c r="O181" i="48" s="1"/>
  <c r="P21" i="48"/>
  <c r="G21" i="48"/>
  <c r="I169" i="48"/>
  <c r="I181" i="48" s="1"/>
  <c r="O40" i="43" l="1"/>
  <c r="M12" i="45" l="1"/>
  <c r="M13" i="45" s="1"/>
  <c r="M14" i="45" s="1"/>
  <c r="M15" i="45" s="1"/>
  <c r="M16" i="45" s="1"/>
  <c r="M17" i="45" s="1"/>
  <c r="M18" i="45" s="1"/>
  <c r="M19" i="45" s="1"/>
  <c r="M20" i="45" s="1"/>
  <c r="M21" i="45" s="1"/>
  <c r="M22" i="45" s="1"/>
  <c r="M23" i="45" s="1"/>
  <c r="M24" i="45" s="1"/>
  <c r="M25" i="45" s="1"/>
  <c r="M26" i="45" s="1"/>
  <c r="M27" i="45" s="1"/>
  <c r="M28" i="45" s="1"/>
  <c r="M29" i="45" s="1"/>
  <c r="M30" i="45" s="1"/>
  <c r="M31" i="45" s="1"/>
  <c r="M32" i="45" s="1"/>
  <c r="M33" i="45" s="1"/>
  <c r="M34" i="45" s="1"/>
  <c r="M35" i="45" s="1"/>
  <c r="R37" i="45" l="1"/>
  <c r="R45" i="45" s="1"/>
  <c r="S37" i="45"/>
  <c r="S45" i="45" s="1"/>
  <c r="B100" i="45" l="1"/>
  <c r="B101" i="45" s="1"/>
  <c r="B102" i="45" s="1"/>
  <c r="B87" i="45"/>
  <c r="B88" i="45" s="1"/>
  <c r="B89" i="45" s="1"/>
  <c r="B92" i="45" l="1"/>
  <c r="B96" i="45"/>
  <c r="B12" i="45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G96" i="45" l="1"/>
  <c r="D96" i="45"/>
  <c r="B97" i="45"/>
  <c r="B93" i="45"/>
  <c r="G88" i="45"/>
  <c r="D88" i="45"/>
  <c r="B81" i="45"/>
  <c r="B75" i="45"/>
  <c r="B68" i="45"/>
  <c r="G64" i="45"/>
  <c r="D64" i="45"/>
  <c r="B62" i="45"/>
  <c r="B56" i="45"/>
  <c r="B57" i="45" s="1"/>
  <c r="B58" i="45" s="1"/>
  <c r="B59" i="45" s="1"/>
  <c r="B45" i="45"/>
  <c r="B46" i="45" s="1"/>
  <c r="B47" i="45" s="1"/>
  <c r="B48" i="45" s="1"/>
  <c r="B39" i="45"/>
  <c r="B30" i="45"/>
  <c r="B31" i="45" s="1"/>
  <c r="B32" i="45" s="1"/>
  <c r="B22" i="45"/>
  <c r="B13" i="45"/>
  <c r="B14" i="45" s="1"/>
  <c r="B82" i="45" l="1"/>
  <c r="B83" i="45" s="1"/>
  <c r="B84" i="45" s="1"/>
  <c r="B76" i="45"/>
  <c r="B77" i="45" s="1"/>
  <c r="B78" i="45" s="1"/>
  <c r="B69" i="45"/>
  <c r="B70" i="45" s="1"/>
  <c r="B71" i="45" s="1"/>
  <c r="B63" i="45"/>
  <c r="B64" i="45" s="1"/>
  <c r="B65" i="45" s="1"/>
  <c r="B49" i="45"/>
  <c r="B50" i="45" s="1"/>
  <c r="B51" i="45" s="1"/>
  <c r="B52" i="45" s="1"/>
  <c r="D50" i="45"/>
  <c r="G50" i="45"/>
  <c r="B40" i="45"/>
  <c r="B41" i="45" s="1"/>
  <c r="B42" i="45" s="1"/>
  <c r="B33" i="45"/>
  <c r="B34" i="45" s="1"/>
  <c r="B35" i="45" s="1"/>
  <c r="B36" i="45" s="1"/>
  <c r="B23" i="45"/>
  <c r="B24" i="45" s="1"/>
  <c r="B25" i="45" s="1"/>
  <c r="B26" i="45" s="1"/>
  <c r="B27" i="45" s="1"/>
  <c r="B15" i="45"/>
  <c r="B16" i="45" s="1"/>
  <c r="B17" i="45" s="1"/>
  <c r="B18" i="45" s="1"/>
  <c r="F136" i="13" l="1"/>
  <c r="E51" i="51" s="1"/>
  <c r="F51" i="51" s="1"/>
  <c r="W44" i="19" l="1"/>
  <c r="N64" i="43"/>
  <c r="X44" i="19" l="1"/>
  <c r="D157" i="48"/>
  <c r="G157" i="48" l="1"/>
  <c r="J157" i="48"/>
  <c r="P157" i="48"/>
  <c r="N49" i="43" l="1"/>
  <c r="N63" i="43" l="1"/>
  <c r="I49" i="43" l="1"/>
  <c r="J49" i="43" s="1"/>
  <c r="I63" i="43" l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D47" i="43"/>
  <c r="A47" i="43" l="1"/>
  <c r="A48" i="43" s="1"/>
  <c r="A49" i="43" s="1"/>
  <c r="A50" i="43" s="1"/>
  <c r="A51" i="43" s="1"/>
  <c r="A52" i="43" s="1"/>
  <c r="A53" i="43" s="1"/>
  <c r="E29" i="43"/>
  <c r="E43" i="43"/>
  <c r="E21" i="43"/>
  <c r="E41" i="43"/>
  <c r="E37" i="43"/>
  <c r="E13" i="43"/>
  <c r="E33" i="43"/>
  <c r="E17" i="43"/>
  <c r="E9" i="43"/>
  <c r="E45" i="43"/>
  <c r="E7" i="43"/>
  <c r="E25" i="43"/>
  <c r="D58" i="43"/>
  <c r="F47" i="43"/>
  <c r="G13" i="43" l="1"/>
  <c r="H13" i="43" s="1"/>
  <c r="G45" i="43"/>
  <c r="H45" i="43" s="1"/>
  <c r="G9" i="43"/>
  <c r="H9" i="43" s="1"/>
  <c r="G29" i="43"/>
  <c r="H29" i="43" s="1"/>
  <c r="G25" i="43"/>
  <c r="H25" i="43" s="1"/>
  <c r="G43" i="43"/>
  <c r="H43" i="43" s="1"/>
  <c r="G17" i="43"/>
  <c r="H17" i="43" s="1"/>
  <c r="G21" i="43"/>
  <c r="H21" i="43" s="1"/>
  <c r="G37" i="43"/>
  <c r="H37" i="43" s="1"/>
  <c r="G7" i="43"/>
  <c r="H7" i="43" s="1"/>
  <c r="G41" i="43"/>
  <c r="H41" i="43" s="1"/>
  <c r="G33" i="43"/>
  <c r="H33" i="43" s="1"/>
  <c r="F58" i="43"/>
  <c r="E47" i="43"/>
  <c r="E5" i="43" s="1"/>
  <c r="I47" i="43"/>
  <c r="I53" i="43" l="1"/>
  <c r="I73" i="43" s="1"/>
  <c r="N17" i="43"/>
  <c r="N45" i="43"/>
  <c r="N41" i="43"/>
  <c r="N37" i="43"/>
  <c r="N21" i="43"/>
  <c r="N43" i="43"/>
  <c r="N29" i="43"/>
  <c r="N13" i="43"/>
  <c r="N9" i="43"/>
  <c r="N33" i="43"/>
  <c r="N25" i="43"/>
  <c r="N7" i="43"/>
  <c r="J21" i="43"/>
  <c r="J41" i="43"/>
  <c r="J37" i="43"/>
  <c r="J29" i="43"/>
  <c r="J13" i="43"/>
  <c r="J9" i="43"/>
  <c r="J17" i="43"/>
  <c r="J33" i="43"/>
  <c r="J25" i="43"/>
  <c r="H47" i="43"/>
  <c r="J7" i="43"/>
  <c r="J43" i="43"/>
  <c r="J45" i="43"/>
  <c r="G47" i="43"/>
  <c r="G5" i="43" s="1"/>
  <c r="J47" i="43" l="1"/>
  <c r="J53" i="43" s="1"/>
  <c r="J73" i="43" s="1"/>
  <c r="J32" i="43"/>
  <c r="J31" i="43"/>
  <c r="J27" i="43"/>
  <c r="J28" i="43"/>
  <c r="J35" i="43"/>
  <c r="J36" i="43"/>
  <c r="N31" i="43"/>
  <c r="N32" i="43"/>
  <c r="N40" i="43"/>
  <c r="P40" i="43" s="1"/>
  <c r="N39" i="43"/>
  <c r="J39" i="43"/>
  <c r="J40" i="43"/>
  <c r="N36" i="43"/>
  <c r="N35" i="43"/>
  <c r="J23" i="43"/>
  <c r="J24" i="43"/>
  <c r="N24" i="43"/>
  <c r="N23" i="43"/>
  <c r="N28" i="43"/>
  <c r="N27" i="43"/>
  <c r="N20" i="43"/>
  <c r="N19" i="43"/>
  <c r="N12" i="43"/>
  <c r="N11" i="43"/>
  <c r="J20" i="43"/>
  <c r="J19" i="43"/>
  <c r="J15" i="43"/>
  <c r="J16" i="43"/>
  <c r="J12" i="43"/>
  <c r="J11" i="43"/>
  <c r="H19" i="41" l="1"/>
  <c r="H26" i="41"/>
  <c r="H25" i="41"/>
  <c r="H24" i="41"/>
  <c r="H23" i="41"/>
  <c r="H22" i="41"/>
  <c r="H21" i="41"/>
  <c r="H20" i="41"/>
  <c r="H17" i="41"/>
  <c r="H27" i="41" l="1"/>
  <c r="H15" i="41" l="1"/>
  <c r="A14" i="41" l="1"/>
  <c r="A15" i="41" s="1"/>
  <c r="A16" i="41" s="1"/>
  <c r="G91" i="45" l="1"/>
  <c r="G92" i="45" s="1"/>
  <c r="K25" i="41"/>
  <c r="D91" i="45"/>
  <c r="D92" i="45" s="1"/>
  <c r="Q25" i="41"/>
  <c r="Q26" i="41"/>
  <c r="K26" i="41"/>
  <c r="A17" i="4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K51" i="43" l="1"/>
  <c r="L51" i="43" s="1"/>
  <c r="O49" i="43"/>
  <c r="P49" i="43" s="1"/>
  <c r="O51" i="43"/>
  <c r="K49" i="43"/>
  <c r="K24" i="41"/>
  <c r="L49" i="43" l="1"/>
  <c r="K43" i="43"/>
  <c r="L43" i="43" s="1"/>
  <c r="Q24" i="41"/>
  <c r="J110" i="51" l="1"/>
  <c r="O43" i="43"/>
  <c r="Q27" i="41"/>
  <c r="Q23" i="41"/>
  <c r="Q20" i="41"/>
  <c r="Q21" i="41"/>
  <c r="Q22" i="41"/>
  <c r="Q17" i="41"/>
  <c r="Q19" i="41"/>
  <c r="K27" i="41"/>
  <c r="K23" i="41"/>
  <c r="K22" i="41"/>
  <c r="K21" i="41"/>
  <c r="K20" i="41"/>
  <c r="K19" i="41"/>
  <c r="K17" i="41"/>
  <c r="K32" i="43"/>
  <c r="L32" i="43" s="1"/>
  <c r="J102" i="51" s="1"/>
  <c r="O32" i="43"/>
  <c r="P32" i="43" s="1"/>
  <c r="K36" i="43"/>
  <c r="L36" i="43" s="1"/>
  <c r="J127" i="51" s="1"/>
  <c r="O36" i="43"/>
  <c r="P36" i="43" s="1"/>
  <c r="K40" i="43"/>
  <c r="L40" i="43" s="1"/>
  <c r="J135" i="51" s="1"/>
  <c r="O45" i="43" l="1"/>
  <c r="P45" i="43" s="1"/>
  <c r="K15" i="43"/>
  <c r="L15" i="43" s="1"/>
  <c r="J37" i="51" s="1"/>
  <c r="K45" i="43"/>
  <c r="L45" i="43" s="1"/>
  <c r="Q40" i="43"/>
  <c r="Q36" i="43"/>
  <c r="Q32" i="43"/>
  <c r="O35" i="43"/>
  <c r="P35" i="43" s="1"/>
  <c r="O31" i="43"/>
  <c r="P31" i="43" s="1"/>
  <c r="O23" i="43"/>
  <c r="P23" i="43" s="1"/>
  <c r="O27" i="43"/>
  <c r="P27" i="43" s="1"/>
  <c r="O15" i="43"/>
  <c r="O39" i="43"/>
  <c r="P39" i="43" s="1"/>
  <c r="K27" i="43"/>
  <c r="K31" i="43"/>
  <c r="K35" i="43"/>
  <c r="K23" i="43"/>
  <c r="K39" i="43"/>
  <c r="Q15" i="41"/>
  <c r="K15" i="41"/>
  <c r="O28" i="43"/>
  <c r="P28" i="43" s="1"/>
  <c r="K28" i="43"/>
  <c r="L28" i="43" s="1"/>
  <c r="J92" i="51" s="1"/>
  <c r="O20" i="43"/>
  <c r="P20" i="43" s="1"/>
  <c r="K24" i="43"/>
  <c r="L24" i="43" s="1"/>
  <c r="J78" i="51" s="1"/>
  <c r="K20" i="43"/>
  <c r="L20" i="43" s="1"/>
  <c r="J68" i="51" s="1"/>
  <c r="O16" i="43"/>
  <c r="O24" i="43"/>
  <c r="P24" i="43" s="1"/>
  <c r="K16" i="43"/>
  <c r="L16" i="43" s="1"/>
  <c r="J39" i="51" s="1"/>
  <c r="J69" i="51" l="1"/>
  <c r="J81" i="51"/>
  <c r="J93" i="51"/>
  <c r="Q45" i="43"/>
  <c r="J55" i="51"/>
  <c r="J53" i="51"/>
  <c r="J54" i="51"/>
  <c r="J42" i="51"/>
  <c r="Q24" i="43"/>
  <c r="Q28" i="43"/>
  <c r="L23" i="43"/>
  <c r="J76" i="51" s="1"/>
  <c r="L31" i="43"/>
  <c r="J100" i="51" s="1"/>
  <c r="L35" i="43"/>
  <c r="J125" i="51" s="1"/>
  <c r="L27" i="43"/>
  <c r="J90" i="51" s="1"/>
  <c r="L39" i="43"/>
  <c r="J133" i="51" s="1"/>
  <c r="Q20" i="43"/>
  <c r="O9" i="43"/>
  <c r="K9" i="43"/>
  <c r="L9" i="43" s="1"/>
  <c r="J18" i="51" s="1"/>
  <c r="O12" i="43" l="1"/>
  <c r="P12" i="43" s="1"/>
  <c r="O65" i="43"/>
  <c r="K12" i="43"/>
  <c r="L12" i="43" s="1"/>
  <c r="J29" i="51" s="1"/>
  <c r="K65" i="43"/>
  <c r="Q35" i="43"/>
  <c r="Q23" i="43"/>
  <c r="K66" i="43" l="1"/>
  <c r="O66" i="43"/>
  <c r="J30" i="51"/>
  <c r="Q12" i="43"/>
  <c r="A38" i="14" l="1"/>
  <c r="C75" i="13" l="1"/>
  <c r="C74" i="13"/>
  <c r="I55" i="18" l="1"/>
  <c r="D30" i="18" l="1"/>
  <c r="D155" i="48" s="1"/>
  <c r="I36" i="18" l="1"/>
  <c r="G40" i="1"/>
  <c r="D38" i="18"/>
  <c r="F36" i="18"/>
  <c r="G38" i="18" l="1"/>
  <c r="J47" i="1" l="1"/>
  <c r="J39" i="1"/>
  <c r="G39" i="1"/>
  <c r="J35" i="1"/>
  <c r="J34" i="1"/>
  <c r="G41" i="1" l="1"/>
  <c r="C120" i="13"/>
  <c r="D24" i="13" l="1"/>
  <c r="A102" i="13" l="1"/>
  <c r="A3" i="38" l="1"/>
  <c r="D21" i="38"/>
  <c r="C22" i="38" l="1"/>
  <c r="G43" i="1" s="1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42" s="1"/>
  <c r="A3" i="14"/>
  <c r="A3" i="13"/>
  <c r="A3" i="2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G54" i="18"/>
  <c r="E164" i="48" s="1"/>
  <c r="G52" i="18"/>
  <c r="E163" i="48" s="1"/>
  <c r="G48" i="18"/>
  <c r="Q163" i="48" l="1"/>
  <c r="K163" i="48"/>
  <c r="Q164" i="48"/>
  <c r="K164" i="48"/>
  <c r="I54" i="18"/>
  <c r="G47" i="18"/>
  <c r="E162" i="48" s="1"/>
  <c r="F54" i="18"/>
  <c r="I52" i="18"/>
  <c r="F52" i="18"/>
  <c r="K162" i="48" l="1"/>
  <c r="Q162" i="48"/>
  <c r="G47" i="1"/>
  <c r="F47" i="18"/>
  <c r="I47" i="18"/>
  <c r="F17" i="18" l="1"/>
  <c r="F16" i="18"/>
  <c r="I17" i="18" l="1"/>
  <c r="I16" i="18"/>
  <c r="G35" i="1" l="1"/>
  <c r="E25" i="15"/>
  <c r="E24" i="15"/>
  <c r="G34" i="1"/>
  <c r="G36" i="1" l="1"/>
  <c r="G29" i="1" l="1"/>
  <c r="C47" i="14"/>
  <c r="C75" i="14"/>
  <c r="C129" i="13"/>
  <c r="C118" i="13"/>
  <c r="C121" i="13" s="1"/>
  <c r="F137" i="13"/>
  <c r="F138" i="13" s="1"/>
  <c r="I119" i="13"/>
  <c r="A18" i="1"/>
  <c r="A21" i="1" l="1"/>
  <c r="G30" i="1"/>
  <c r="C162" i="13"/>
  <c r="C117" i="13"/>
  <c r="C16" i="2"/>
  <c r="C54" i="14"/>
  <c r="C125" i="13"/>
  <c r="C81" i="14"/>
  <c r="C154" i="13"/>
  <c r="C148" i="13"/>
  <c r="C113" i="13"/>
  <c r="C126" i="13"/>
  <c r="J29" i="1" l="1"/>
  <c r="G17" i="1"/>
  <c r="J30" i="1"/>
  <c r="J24" i="1"/>
  <c r="A22" i="1"/>
  <c r="G24" i="1"/>
  <c r="G18" i="1" l="1"/>
  <c r="A23" i="1"/>
  <c r="A24" i="1" l="1"/>
  <c r="A25" i="1" s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96" i="13" l="1"/>
  <c r="C89" i="13"/>
  <c r="G23" i="1"/>
  <c r="J23" i="1" l="1"/>
  <c r="C53" i="13" l="1"/>
  <c r="C46" i="13"/>
  <c r="J22" i="1" l="1"/>
  <c r="G22" i="1"/>
  <c r="C17" i="13" l="1"/>
  <c r="G21" i="1" l="1"/>
  <c r="G25" i="1" l="1"/>
  <c r="C21" i="13"/>
  <c r="G45" i="1" l="1"/>
  <c r="G49" i="1" l="1"/>
  <c r="I38" i="18" l="1"/>
  <c r="D14" i="2" l="1"/>
  <c r="G14" i="2" l="1"/>
  <c r="E8" i="51" s="1"/>
  <c r="F8" i="51" s="1"/>
  <c r="F14" i="2"/>
  <c r="E15" i="48" l="1"/>
  <c r="I14" i="2"/>
  <c r="I35" i="2" s="1"/>
  <c r="D15" i="2"/>
  <c r="G15" i="2" l="1"/>
  <c r="E9" i="51" s="1"/>
  <c r="F9" i="51" s="1"/>
  <c r="F15" i="2"/>
  <c r="F16" i="2" s="1"/>
  <c r="E16" i="48" l="1"/>
  <c r="I15" i="2"/>
  <c r="I16" i="2" s="1"/>
  <c r="D45" i="13" l="1"/>
  <c r="D43" i="48" s="1"/>
  <c r="G43" i="48" l="1"/>
  <c r="J43" i="48"/>
  <c r="P43" i="48"/>
  <c r="D35" i="15"/>
  <c r="D138" i="48" s="1"/>
  <c r="D47" i="13"/>
  <c r="F45" i="13"/>
  <c r="G138" i="48" l="1"/>
  <c r="J138" i="48"/>
  <c r="P138" i="48"/>
  <c r="G35" i="15"/>
  <c r="E135" i="51" s="1"/>
  <c r="F135" i="51" s="1"/>
  <c r="F35" i="15"/>
  <c r="E138" i="48" l="1"/>
  <c r="D18" i="2"/>
  <c r="K138" i="48" l="1"/>
  <c r="Q138" i="48"/>
  <c r="F18" i="2"/>
  <c r="D19" i="2"/>
  <c r="D21" i="2" l="1"/>
  <c r="F19" i="2"/>
  <c r="D20" i="15"/>
  <c r="D130" i="48" s="1"/>
  <c r="G130" i="48" l="1"/>
  <c r="J130" i="48"/>
  <c r="P130" i="48"/>
  <c r="G20" i="15"/>
  <c r="E127" i="51" s="1"/>
  <c r="F127" i="51" s="1"/>
  <c r="F20" i="2"/>
  <c r="D25" i="15"/>
  <c r="F20" i="15"/>
  <c r="E130" i="48" l="1"/>
  <c r="D14" i="18"/>
  <c r="D148" i="48" s="1"/>
  <c r="K130" i="48" l="1"/>
  <c r="Q130" i="48"/>
  <c r="F14" i="18"/>
  <c r="F30" i="18"/>
  <c r="D98" i="13" l="1"/>
  <c r="D63" i="48" s="1"/>
  <c r="G63" i="48" l="1"/>
  <c r="P63" i="48"/>
  <c r="J63" i="48"/>
  <c r="G98" i="13"/>
  <c r="E46" i="51" s="1"/>
  <c r="D128" i="13"/>
  <c r="F98" i="13"/>
  <c r="D31" i="15"/>
  <c r="D136" i="48" s="1"/>
  <c r="D86" i="13"/>
  <c r="D55" i="48" s="1"/>
  <c r="F46" i="51" l="1"/>
  <c r="E56" i="51"/>
  <c r="F56" i="51" s="1"/>
  <c r="G136" i="48"/>
  <c r="G139" i="48" s="1"/>
  <c r="I23" i="41" s="1"/>
  <c r="J136" i="48"/>
  <c r="J139" i="48" s="1"/>
  <c r="L23" i="41" s="1"/>
  <c r="P136" i="48"/>
  <c r="P139" i="48" s="1"/>
  <c r="R23" i="41" s="1"/>
  <c r="E63" i="48"/>
  <c r="G86" i="13"/>
  <c r="E35" i="51" s="1"/>
  <c r="F35" i="51" s="1"/>
  <c r="F31" i="15"/>
  <c r="D80" i="14"/>
  <c r="D119" i="48" s="1"/>
  <c r="D41" i="13"/>
  <c r="D39" i="48" s="1"/>
  <c r="D17" i="14"/>
  <c r="D91" i="48" s="1"/>
  <c r="F128" i="13"/>
  <c r="D129" i="13"/>
  <c r="F129" i="13" s="1"/>
  <c r="D85" i="14"/>
  <c r="D121" i="48" s="1"/>
  <c r="D16" i="15"/>
  <c r="D24" i="14"/>
  <c r="D94" i="48" s="1"/>
  <c r="D27" i="14"/>
  <c r="D97" i="48" s="1"/>
  <c r="D23" i="14"/>
  <c r="D93" i="48" s="1"/>
  <c r="D112" i="13"/>
  <c r="F112" i="13" s="1"/>
  <c r="F86" i="13"/>
  <c r="D15" i="14"/>
  <c r="D89" i="48" s="1"/>
  <c r="D113" i="13"/>
  <c r="F113" i="13" s="1"/>
  <c r="D88" i="13"/>
  <c r="D57" i="48" s="1"/>
  <c r="P119" i="48" l="1"/>
  <c r="G119" i="48"/>
  <c r="J119" i="48"/>
  <c r="J94" i="48"/>
  <c r="G94" i="48"/>
  <c r="P94" i="48"/>
  <c r="Q63" i="48"/>
  <c r="K63" i="48"/>
  <c r="G97" i="48"/>
  <c r="J97" i="48"/>
  <c r="P97" i="48"/>
  <c r="P57" i="48"/>
  <c r="G57" i="48"/>
  <c r="J57" i="48"/>
  <c r="D128" i="48"/>
  <c r="J93" i="48"/>
  <c r="P93" i="48"/>
  <c r="G93" i="48"/>
  <c r="J121" i="48"/>
  <c r="P121" i="48"/>
  <c r="G121" i="48"/>
  <c r="P91" i="48"/>
  <c r="G91" i="48"/>
  <c r="J91" i="48"/>
  <c r="E55" i="48"/>
  <c r="G80" i="14"/>
  <c r="E102" i="51" s="1"/>
  <c r="F102" i="51" s="1"/>
  <c r="G85" i="14"/>
  <c r="E106" i="51" s="1"/>
  <c r="F106" i="51" s="1"/>
  <c r="G27" i="14"/>
  <c r="E85" i="51" s="1"/>
  <c r="F85" i="51" s="1"/>
  <c r="G15" i="14"/>
  <c r="E74" i="51" s="1"/>
  <c r="F74" i="51" s="1"/>
  <c r="G24" i="14"/>
  <c r="E81" i="51" s="1"/>
  <c r="F81" i="51" s="1"/>
  <c r="G23" i="14"/>
  <c r="E78" i="51" s="1"/>
  <c r="F78" i="51" s="1"/>
  <c r="G41" i="13"/>
  <c r="E22" i="51" s="1"/>
  <c r="F22" i="51" s="1"/>
  <c r="D16" i="13"/>
  <c r="D29" i="48" s="1"/>
  <c r="D19" i="13"/>
  <c r="D32" i="48" s="1"/>
  <c r="D15" i="13"/>
  <c r="D20" i="13"/>
  <c r="D33" i="48" s="1"/>
  <c r="F114" i="13"/>
  <c r="D161" i="13"/>
  <c r="D160" i="13"/>
  <c r="D72" i="14"/>
  <c r="D115" i="48" s="1"/>
  <c r="D44" i="14"/>
  <c r="D102" i="48" s="1"/>
  <c r="D90" i="13"/>
  <c r="D116" i="13"/>
  <c r="F88" i="13"/>
  <c r="F89" i="13" s="1"/>
  <c r="D164" i="13"/>
  <c r="D83" i="14"/>
  <c r="F83" i="14" s="1"/>
  <c r="F23" i="14"/>
  <c r="F24" i="14"/>
  <c r="F85" i="14"/>
  <c r="F130" i="13"/>
  <c r="F41" i="13"/>
  <c r="D95" i="13"/>
  <c r="D60" i="48" s="1"/>
  <c r="F15" i="14"/>
  <c r="D94" i="13"/>
  <c r="D59" i="48" s="1"/>
  <c r="F27" i="14"/>
  <c r="D24" i="15"/>
  <c r="F16" i="15"/>
  <c r="D19" i="14"/>
  <c r="F17" i="14"/>
  <c r="F18" i="14" s="1"/>
  <c r="F80" i="14"/>
  <c r="F81" i="14" s="1"/>
  <c r="G95" i="48" l="1"/>
  <c r="P95" i="48"/>
  <c r="D79" i="48"/>
  <c r="J79" i="48" s="1"/>
  <c r="D80" i="48"/>
  <c r="G80" i="48" s="1"/>
  <c r="D83" i="48"/>
  <c r="G83" i="48" s="1"/>
  <c r="J95" i="48"/>
  <c r="E121" i="48"/>
  <c r="E119" i="48"/>
  <c r="G59" i="48"/>
  <c r="J59" i="48"/>
  <c r="P59" i="48"/>
  <c r="E39" i="48"/>
  <c r="P128" i="48"/>
  <c r="P131" i="48" s="1"/>
  <c r="R22" i="41" s="1"/>
  <c r="G128" i="48"/>
  <c r="G131" i="48" s="1"/>
  <c r="J128" i="48"/>
  <c r="J131" i="48" s="1"/>
  <c r="E93" i="48"/>
  <c r="G60" i="48"/>
  <c r="J60" i="48"/>
  <c r="P60" i="48"/>
  <c r="J33" i="48"/>
  <c r="P33" i="48"/>
  <c r="G33" i="48"/>
  <c r="E94" i="48"/>
  <c r="F15" i="13"/>
  <c r="D28" i="48"/>
  <c r="E89" i="48"/>
  <c r="G32" i="48"/>
  <c r="P32" i="48"/>
  <c r="J32" i="48"/>
  <c r="E97" i="48"/>
  <c r="G83" i="14"/>
  <c r="E104" i="51" s="1"/>
  <c r="F104" i="51" s="1"/>
  <c r="G94" i="13"/>
  <c r="E39" i="51" s="1"/>
  <c r="F39" i="51" s="1"/>
  <c r="G95" i="13"/>
  <c r="E42" i="51" s="1"/>
  <c r="F42" i="51" s="1"/>
  <c r="G44" i="14"/>
  <c r="E88" i="51" s="1"/>
  <c r="F88" i="51" s="1"/>
  <c r="G72" i="14"/>
  <c r="E98" i="51" s="1"/>
  <c r="F98" i="51" s="1"/>
  <c r="G161" i="13"/>
  <c r="E69" i="51" s="1"/>
  <c r="F69" i="51" s="1"/>
  <c r="G164" i="13"/>
  <c r="E71" i="51" s="1"/>
  <c r="F71" i="51" s="1"/>
  <c r="G160" i="13"/>
  <c r="E68" i="51" s="1"/>
  <c r="F68" i="51" s="1"/>
  <c r="G15" i="13"/>
  <c r="E15" i="51" s="1"/>
  <c r="F15" i="51" s="1"/>
  <c r="G16" i="13"/>
  <c r="E16" i="51" s="1"/>
  <c r="F16" i="51" s="1"/>
  <c r="F44" i="14"/>
  <c r="F72" i="14"/>
  <c r="D23" i="13"/>
  <c r="D22" i="13"/>
  <c r="F16" i="13"/>
  <c r="D150" i="13"/>
  <c r="D152" i="13"/>
  <c r="D147" i="13"/>
  <c r="D153" i="13"/>
  <c r="F20" i="13"/>
  <c r="D146" i="13"/>
  <c r="D151" i="13"/>
  <c r="F19" i="13"/>
  <c r="D117" i="13"/>
  <c r="F117" i="13" s="1"/>
  <c r="D74" i="14"/>
  <c r="D117" i="48" s="1"/>
  <c r="D119" i="13"/>
  <c r="F119" i="13" s="1"/>
  <c r="F116" i="13"/>
  <c r="D123" i="13"/>
  <c r="F123" i="13" s="1"/>
  <c r="F94" i="13"/>
  <c r="D124" i="13"/>
  <c r="F124" i="13" s="1"/>
  <c r="F95" i="13"/>
  <c r="F164" i="13"/>
  <c r="F160" i="13"/>
  <c r="F25" i="14"/>
  <c r="D31" i="14" s="1"/>
  <c r="F161" i="13"/>
  <c r="F17" i="13" l="1"/>
  <c r="P79" i="48"/>
  <c r="G79" i="48"/>
  <c r="G81" i="48" s="1"/>
  <c r="J34" i="48"/>
  <c r="P83" i="48"/>
  <c r="J83" i="48"/>
  <c r="J80" i="48"/>
  <c r="J81" i="48" s="1"/>
  <c r="P80" i="48"/>
  <c r="G34" i="48"/>
  <c r="D74" i="48"/>
  <c r="G74" i="48" s="1"/>
  <c r="D69" i="48"/>
  <c r="D76" i="48"/>
  <c r="G76" i="48" s="1"/>
  <c r="D75" i="48"/>
  <c r="G75" i="48" s="1"/>
  <c r="D73" i="48"/>
  <c r="P73" i="48" s="1"/>
  <c r="D70" i="48"/>
  <c r="P34" i="48"/>
  <c r="P61" i="48"/>
  <c r="E115" i="48"/>
  <c r="E102" i="48"/>
  <c r="I22" i="41"/>
  <c r="J61" i="48"/>
  <c r="L22" i="41"/>
  <c r="E60" i="48"/>
  <c r="K94" i="48"/>
  <c r="Q94" i="48"/>
  <c r="G61" i="48"/>
  <c r="Q121" i="48"/>
  <c r="K121" i="48"/>
  <c r="Q119" i="48"/>
  <c r="K119" i="48"/>
  <c r="E59" i="48"/>
  <c r="E28" i="48"/>
  <c r="Q97" i="48"/>
  <c r="K97" i="48"/>
  <c r="E79" i="48"/>
  <c r="J74" i="48"/>
  <c r="P74" i="48"/>
  <c r="E83" i="48"/>
  <c r="Q93" i="48"/>
  <c r="K93" i="48"/>
  <c r="P117" i="48"/>
  <c r="J117" i="48"/>
  <c r="G117" i="48"/>
  <c r="E29" i="48"/>
  <c r="E80" i="48"/>
  <c r="G147" i="13"/>
  <c r="E60" i="51" s="1"/>
  <c r="F60" i="51" s="1"/>
  <c r="G146" i="13"/>
  <c r="E59" i="51" s="1"/>
  <c r="F59" i="51" s="1"/>
  <c r="F151" i="13"/>
  <c r="F146" i="13"/>
  <c r="F152" i="13"/>
  <c r="F147" i="13"/>
  <c r="F150" i="13"/>
  <c r="F153" i="13"/>
  <c r="D155" i="13"/>
  <c r="D156" i="13"/>
  <c r="F21" i="13"/>
  <c r="F74" i="14"/>
  <c r="F75" i="14" s="1"/>
  <c r="D76" i="14"/>
  <c r="F96" i="13"/>
  <c r="D102" i="13" s="1"/>
  <c r="F162" i="13"/>
  <c r="F118" i="13"/>
  <c r="D125" i="13"/>
  <c r="F125" i="13" s="1"/>
  <c r="F126" i="13" s="1"/>
  <c r="P81" i="48" l="1"/>
  <c r="K95" i="48"/>
  <c r="G73" i="48"/>
  <c r="G77" i="48" s="1"/>
  <c r="J73" i="48"/>
  <c r="P76" i="48"/>
  <c r="J76" i="48"/>
  <c r="D174" i="13"/>
  <c r="P75" i="48"/>
  <c r="J75" i="48"/>
  <c r="E69" i="48"/>
  <c r="Q80" i="48"/>
  <c r="K80" i="48"/>
  <c r="E70" i="48"/>
  <c r="Q79" i="48"/>
  <c r="K79" i="48"/>
  <c r="Q95" i="48"/>
  <c r="K83" i="48"/>
  <c r="Q83" i="48"/>
  <c r="K59" i="48"/>
  <c r="Q59" i="48"/>
  <c r="K60" i="48"/>
  <c r="Q60" i="48"/>
  <c r="D173" i="13"/>
  <c r="F154" i="13"/>
  <c r="F148" i="13"/>
  <c r="D172" i="13"/>
  <c r="D120" i="13"/>
  <c r="D46" i="14"/>
  <c r="D104" i="48" s="1"/>
  <c r="D56" i="14"/>
  <c r="D110" i="48" s="1"/>
  <c r="D53" i="14"/>
  <c r="D107" i="48" s="1"/>
  <c r="D52" i="14"/>
  <c r="D106" i="48" s="1"/>
  <c r="J77" i="48" l="1"/>
  <c r="P77" i="48"/>
  <c r="K81" i="48"/>
  <c r="Q81" i="48"/>
  <c r="K61" i="48"/>
  <c r="G107" i="48"/>
  <c r="J107" i="48"/>
  <c r="P107" i="48"/>
  <c r="J106" i="48"/>
  <c r="G106" i="48"/>
  <c r="P106" i="48"/>
  <c r="J110" i="48"/>
  <c r="P110" i="48"/>
  <c r="G110" i="48"/>
  <c r="J104" i="48"/>
  <c r="G104" i="48"/>
  <c r="P104" i="48"/>
  <c r="Q61" i="48"/>
  <c r="F120" i="13"/>
  <c r="F121" i="13" s="1"/>
  <c r="F132" i="13" s="1"/>
  <c r="G56" i="14"/>
  <c r="E95" i="51" s="1"/>
  <c r="F95" i="51" s="1"/>
  <c r="G46" i="14"/>
  <c r="E90" i="51" s="1"/>
  <c r="F90" i="51" s="1"/>
  <c r="G52" i="14"/>
  <c r="E92" i="51" s="1"/>
  <c r="F92" i="51" s="1"/>
  <c r="G53" i="14"/>
  <c r="E93" i="51" s="1"/>
  <c r="F93" i="51" s="1"/>
  <c r="D43" i="13"/>
  <c r="D41" i="48" s="1"/>
  <c r="D44" i="13"/>
  <c r="D42" i="48" s="1"/>
  <c r="F56" i="14"/>
  <c r="F53" i="14"/>
  <c r="D52" i="13"/>
  <c r="D47" i="48" s="1"/>
  <c r="D55" i="13"/>
  <c r="D50" i="48" s="1"/>
  <c r="D48" i="14"/>
  <c r="F46" i="14"/>
  <c r="F47" i="14" s="1"/>
  <c r="D51" i="13"/>
  <c r="D46" i="48" s="1"/>
  <c r="F52" i="14"/>
  <c r="J108" i="48" l="1"/>
  <c r="P108" i="48"/>
  <c r="G108" i="48"/>
  <c r="E106" i="48"/>
  <c r="G50" i="48"/>
  <c r="J50" i="48"/>
  <c r="P50" i="48"/>
  <c r="E104" i="48"/>
  <c r="E110" i="48"/>
  <c r="G42" i="48"/>
  <c r="P42" i="48"/>
  <c r="J42" i="48"/>
  <c r="P47" i="48"/>
  <c r="G47" i="48"/>
  <c r="J47" i="48"/>
  <c r="G41" i="48"/>
  <c r="J41" i="48"/>
  <c r="P41" i="48"/>
  <c r="J46" i="48"/>
  <c r="P46" i="48"/>
  <c r="G46" i="48"/>
  <c r="E107" i="48"/>
  <c r="G55" i="13"/>
  <c r="E32" i="51" s="1"/>
  <c r="F32" i="51" s="1"/>
  <c r="G51" i="13"/>
  <c r="E29" i="51" s="1"/>
  <c r="F29" i="51" s="1"/>
  <c r="G52" i="13"/>
  <c r="E30" i="51" s="1"/>
  <c r="F30" i="51" s="1"/>
  <c r="F48" i="14"/>
  <c r="D73" i="13"/>
  <c r="F52" i="13"/>
  <c r="D72" i="13"/>
  <c r="F51" i="13"/>
  <c r="F54" i="14"/>
  <c r="F43" i="13"/>
  <c r="F55" i="13"/>
  <c r="F44" i="13"/>
  <c r="G48" i="48" l="1"/>
  <c r="P48" i="48"/>
  <c r="J48" i="48"/>
  <c r="J44" i="48"/>
  <c r="G44" i="48"/>
  <c r="P44" i="48"/>
  <c r="K107" i="48"/>
  <c r="Q107" i="48"/>
  <c r="E50" i="48"/>
  <c r="K106" i="48"/>
  <c r="Q106" i="48"/>
  <c r="Q110" i="48"/>
  <c r="K110" i="48"/>
  <c r="E47" i="48"/>
  <c r="K104" i="48"/>
  <c r="Q104" i="48"/>
  <c r="E46" i="48"/>
  <c r="F76" i="13"/>
  <c r="D80" i="13"/>
  <c r="F46" i="13"/>
  <c r="F53" i="13"/>
  <c r="F77" i="13" s="1"/>
  <c r="Q108" i="48" l="1"/>
  <c r="K108" i="48"/>
  <c r="Q46" i="48"/>
  <c r="K46" i="48"/>
  <c r="K47" i="48"/>
  <c r="Q47" i="48"/>
  <c r="Q50" i="48"/>
  <c r="K50" i="48"/>
  <c r="F78" i="13"/>
  <c r="D81" i="13"/>
  <c r="K48" i="48" l="1"/>
  <c r="Q48" i="48"/>
  <c r="I22" i="38"/>
  <c r="F156" i="13" l="1"/>
  <c r="F155" i="13" l="1"/>
  <c r="I37" i="18" l="1"/>
  <c r="I39" i="18" s="1"/>
  <c r="F37" i="18"/>
  <c r="F39" i="18" s="1"/>
  <c r="C39" i="18"/>
  <c r="I40" i="1" l="1"/>
  <c r="D26" i="41" l="1"/>
  <c r="J40" i="1" l="1"/>
  <c r="F41" i="18" l="1"/>
  <c r="L40" i="1" l="1"/>
  <c r="E26" i="41" l="1"/>
  <c r="P9" i="43" l="1"/>
  <c r="Q9" i="43" l="1"/>
  <c r="I23" i="18" l="1"/>
  <c r="G150" i="48" s="1"/>
  <c r="P150" i="48"/>
  <c r="J150" i="48"/>
  <c r="K150" i="48" l="1"/>
  <c r="Q150" i="48" s="1"/>
  <c r="D19" i="38"/>
  <c r="D16" i="38"/>
  <c r="D15" i="38"/>
  <c r="D14" i="38"/>
  <c r="D18" i="38"/>
  <c r="D20" i="38"/>
  <c r="D17" i="38"/>
  <c r="C33" i="15"/>
  <c r="I35" i="1" s="1"/>
  <c r="C158" i="13" l="1"/>
  <c r="D23" i="41"/>
  <c r="D13" i="38"/>
  <c r="D22" i="38" s="1"/>
  <c r="E22" i="38"/>
  <c r="F22" i="38"/>
  <c r="C19" i="18"/>
  <c r="I39" i="1" s="1"/>
  <c r="C18" i="15"/>
  <c r="I34" i="1" s="1"/>
  <c r="C50" i="14"/>
  <c r="I29" i="1" s="1"/>
  <c r="I24" i="1" l="1"/>
  <c r="D49" i="18"/>
  <c r="G49" i="18" s="1"/>
  <c r="I49" i="18" s="1"/>
  <c r="D32" i="15"/>
  <c r="F33" i="15"/>
  <c r="F37" i="15" s="1"/>
  <c r="L35" i="1" s="1"/>
  <c r="D25" i="41"/>
  <c r="I41" i="1"/>
  <c r="D157" i="13"/>
  <c r="F158" i="13"/>
  <c r="D20" i="41"/>
  <c r="D18" i="19"/>
  <c r="D22" i="41"/>
  <c r="I36" i="1"/>
  <c r="D26" i="19"/>
  <c r="I43" i="1"/>
  <c r="F166" i="13" l="1"/>
  <c r="D18" i="41"/>
  <c r="D24" i="19"/>
  <c r="D22" i="19"/>
  <c r="E23" i="41"/>
  <c r="D48" i="13"/>
  <c r="D91" i="13"/>
  <c r="D49" i="14"/>
  <c r="G49" i="14" s="1"/>
  <c r="F50" i="14"/>
  <c r="F58" i="14" s="1"/>
  <c r="L29" i="1" s="1"/>
  <c r="D77" i="14"/>
  <c r="D17" i="15"/>
  <c r="F18" i="15"/>
  <c r="F22" i="15" s="1"/>
  <c r="L34" i="1" s="1"/>
  <c r="D18" i="18"/>
  <c r="G18" i="18" s="1"/>
  <c r="I18" i="18" s="1"/>
  <c r="I19" i="18" s="1"/>
  <c r="F19" i="18"/>
  <c r="F25" i="18" s="1"/>
  <c r="D24" i="41"/>
  <c r="D20" i="14"/>
  <c r="L24" i="1" l="1"/>
  <c r="L39" i="1"/>
  <c r="E20" i="41"/>
  <c r="E18" i="19"/>
  <c r="E22" i="41"/>
  <c r="L36" i="1"/>
  <c r="E18" i="41" l="1"/>
  <c r="E22" i="19"/>
  <c r="L41" i="1"/>
  <c r="E25" i="41"/>
  <c r="E24" i="19" l="1"/>
  <c r="J21" i="38" l="1"/>
  <c r="H21" i="38" s="1"/>
  <c r="J16" i="38"/>
  <c r="H16" i="38" s="1"/>
  <c r="J14" i="38"/>
  <c r="H14" i="38" s="1"/>
  <c r="J20" i="38"/>
  <c r="H20" i="38" s="1"/>
  <c r="J18" i="38"/>
  <c r="H18" i="38" s="1"/>
  <c r="J15" i="38"/>
  <c r="H15" i="38" s="1"/>
  <c r="J17" i="38"/>
  <c r="H17" i="38" s="1"/>
  <c r="J19" i="38"/>
  <c r="H19" i="38" s="1"/>
  <c r="J13" i="38"/>
  <c r="H13" i="38" s="1"/>
  <c r="H22" i="38" l="1"/>
  <c r="E26" i="19" l="1"/>
  <c r="L43" i="1"/>
  <c r="D143" i="48" l="1"/>
  <c r="J143" i="48" s="1"/>
  <c r="J144" i="48" s="1"/>
  <c r="D22" i="2"/>
  <c r="E24" i="41"/>
  <c r="P143" i="48" l="1"/>
  <c r="P144" i="48" s="1"/>
  <c r="G143" i="48"/>
  <c r="G144" i="48" s="1"/>
  <c r="I24" i="41" s="1"/>
  <c r="R24" i="41" l="1"/>
  <c r="L24" i="41"/>
  <c r="I20" i="15" l="1"/>
  <c r="G25" i="15"/>
  <c r="E129" i="51" s="1"/>
  <c r="F129" i="51" s="1"/>
  <c r="I41" i="13"/>
  <c r="I35" i="15"/>
  <c r="I147" i="13" l="1"/>
  <c r="I146" i="13"/>
  <c r="I98" i="13"/>
  <c r="G128" i="13"/>
  <c r="I128" i="13" s="1"/>
  <c r="I138" i="13"/>
  <c r="G129" i="13" s="1"/>
  <c r="I129" i="13" s="1"/>
  <c r="I161" i="13"/>
  <c r="I160" i="13"/>
  <c r="I164" i="13"/>
  <c r="I86" i="13"/>
  <c r="G112" i="13"/>
  <c r="I112" i="13" s="1"/>
  <c r="I148" i="13" l="1"/>
  <c r="I162" i="13"/>
  <c r="I130" i="13"/>
  <c r="G174" i="13"/>
  <c r="I15" i="13"/>
  <c r="I27" i="14"/>
  <c r="I85" i="14"/>
  <c r="I80" i="14"/>
  <c r="I81" i="14" s="1"/>
  <c r="I24" i="14"/>
  <c r="E24" i="42"/>
  <c r="D24" i="42"/>
  <c r="I23" i="14"/>
  <c r="F135" i="13"/>
  <c r="G113" i="13" s="1"/>
  <c r="E49" i="51" s="1"/>
  <c r="I15" i="14"/>
  <c r="I16" i="13"/>
  <c r="F49" i="51" l="1"/>
  <c r="E52" i="51"/>
  <c r="F52" i="51" s="1"/>
  <c r="I25" i="14"/>
  <c r="G31" i="14" s="1"/>
  <c r="I113" i="13"/>
  <c r="I114" i="13" s="1"/>
  <c r="I95" i="13"/>
  <c r="E14" i="42"/>
  <c r="G124" i="13"/>
  <c r="I124" i="13" s="1"/>
  <c r="G123" i="13"/>
  <c r="I123" i="13" s="1"/>
  <c r="D14" i="42"/>
  <c r="I94" i="13"/>
  <c r="I72" i="14"/>
  <c r="I44" i="14"/>
  <c r="I83" i="14"/>
  <c r="I17" i="13"/>
  <c r="I96" i="13" l="1"/>
  <c r="G102" i="13" s="1"/>
  <c r="I62" i="14"/>
  <c r="I136" i="13" l="1"/>
  <c r="G125" i="13" s="1"/>
  <c r="E50" i="51" s="1"/>
  <c r="I49" i="14"/>
  <c r="I55" i="13"/>
  <c r="I51" i="13"/>
  <c r="I52" i="13"/>
  <c r="E53" i="51" l="1"/>
  <c r="F53" i="51" s="1"/>
  <c r="E54" i="51"/>
  <c r="F54" i="51" s="1"/>
  <c r="F50" i="51"/>
  <c r="I125" i="13"/>
  <c r="I126" i="13" s="1"/>
  <c r="I53" i="13"/>
  <c r="G81" i="13" s="1"/>
  <c r="G48" i="14"/>
  <c r="I48" i="14" s="1"/>
  <c r="I46" i="14"/>
  <c r="I47" i="14" s="1"/>
  <c r="I52" i="14"/>
  <c r="I56" i="14"/>
  <c r="I53" i="14"/>
  <c r="I54" i="14" l="1"/>
  <c r="I50" i="14"/>
  <c r="I58" i="14" l="1"/>
  <c r="N29" i="1" s="1"/>
  <c r="F20" i="41" l="1"/>
  <c r="P29" i="1"/>
  <c r="S29" i="1"/>
  <c r="Q29" i="1" l="1"/>
  <c r="L27" i="41" l="1"/>
  <c r="R27" i="41"/>
  <c r="Q18" i="41" l="1"/>
  <c r="H18" i="41"/>
  <c r="K18" i="41"/>
  <c r="O19" i="43" l="1"/>
  <c r="P19" i="43" s="1"/>
  <c r="K19" i="43"/>
  <c r="L19" i="43" l="1"/>
  <c r="J62" i="51" s="1"/>
  <c r="K16" i="41"/>
  <c r="Q16" i="41"/>
  <c r="H16" i="41"/>
  <c r="K11" i="43" l="1"/>
  <c r="L11" i="43" s="1"/>
  <c r="J24" i="51" s="1"/>
  <c r="Q19" i="43"/>
  <c r="O11" i="43"/>
  <c r="P11" i="43" s="1"/>
  <c r="Q11" i="43" l="1"/>
  <c r="Q14" i="41"/>
  <c r="K14" i="41"/>
  <c r="H14" i="41"/>
  <c r="H29" i="41" s="1"/>
  <c r="H42" i="41" s="1"/>
  <c r="K29" i="41" l="1"/>
  <c r="K7" i="43"/>
  <c r="H30" i="41"/>
  <c r="O7" i="43"/>
  <c r="Q29" i="41"/>
  <c r="K42" i="41" l="1"/>
  <c r="Q42" i="41"/>
  <c r="O57" i="43"/>
  <c r="O58" i="43" s="1"/>
  <c r="Q30" i="41"/>
  <c r="K57" i="43"/>
  <c r="K58" i="43" s="1"/>
  <c r="L7" i="43"/>
  <c r="J11" i="51" s="1"/>
  <c r="K30" i="41"/>
  <c r="P7" i="43"/>
  <c r="K67" i="43" l="1"/>
  <c r="K68" i="43" s="1"/>
  <c r="Q7" i="43"/>
  <c r="P51" i="43" l="1"/>
  <c r="Q49" i="43" l="1"/>
  <c r="Q39" i="43" l="1"/>
  <c r="Q27" i="43"/>
  <c r="Q31" i="43"/>
  <c r="P43" i="43" l="1"/>
  <c r="Q43" i="43" l="1"/>
  <c r="N16" i="43" l="1"/>
  <c r="P16" i="43" s="1"/>
  <c r="N47" i="43"/>
  <c r="N53" i="43" s="1"/>
  <c r="N15" i="43"/>
  <c r="P15" i="43" s="1"/>
  <c r="N73" i="43" l="1"/>
  <c r="Q16" i="43"/>
  <c r="O67" i="43"/>
  <c r="O68" i="43" s="1"/>
  <c r="Q15" i="43"/>
  <c r="Q47" i="43" l="1"/>
  <c r="Q53" i="43" s="1"/>
  <c r="Q73" i="43" s="1"/>
  <c r="F23" i="13" l="1"/>
  <c r="F22" i="13" l="1"/>
  <c r="F25" i="13" s="1"/>
  <c r="C25" i="13" l="1"/>
  <c r="I21" i="1" s="1"/>
  <c r="I33" i="13"/>
  <c r="D28" i="13"/>
  <c r="F26" i="13"/>
  <c r="L21" i="1" s="1"/>
  <c r="D11" i="19" l="1"/>
  <c r="D15" i="41"/>
  <c r="E15" i="41"/>
  <c r="E11" i="19"/>
  <c r="F76" i="14" l="1"/>
  <c r="F78" i="14" s="1"/>
  <c r="F87" i="14" s="1"/>
  <c r="L30" i="1" s="1"/>
  <c r="C78" i="14"/>
  <c r="I30" i="1" s="1"/>
  <c r="F21" i="2" l="1"/>
  <c r="F23" i="2" s="1"/>
  <c r="C23" i="2"/>
  <c r="I17" i="1" s="1"/>
  <c r="C92" i="13"/>
  <c r="I23" i="1" s="1"/>
  <c r="F90" i="13"/>
  <c r="F92" i="13" s="1"/>
  <c r="F100" i="13" s="1"/>
  <c r="L23" i="1" s="1"/>
  <c r="F48" i="18"/>
  <c r="F50" i="18" s="1"/>
  <c r="F58" i="18" s="1"/>
  <c r="L47" i="1" s="1"/>
  <c r="I48" i="18"/>
  <c r="I50" i="18" s="1"/>
  <c r="C50" i="18"/>
  <c r="I47" i="1" s="1"/>
  <c r="C21" i="14"/>
  <c r="I28" i="1" s="1"/>
  <c r="F19" i="14"/>
  <c r="F21" i="14" s="1"/>
  <c r="F29" i="14" s="1"/>
  <c r="L28" i="1" s="1"/>
  <c r="F47" i="13"/>
  <c r="F49" i="13" s="1"/>
  <c r="F57" i="13" s="1"/>
  <c r="C49" i="13"/>
  <c r="I22" i="1" s="1"/>
  <c r="D19" i="19"/>
  <c r="D21" i="41"/>
  <c r="E21" i="41"/>
  <c r="E19" i="19"/>
  <c r="I25" i="1" l="1"/>
  <c r="D16" i="41"/>
  <c r="D12" i="19"/>
  <c r="L22" i="1"/>
  <c r="I66" i="13"/>
  <c r="L31" i="1"/>
  <c r="E17" i="19"/>
  <c r="E19" i="41"/>
  <c r="D19" i="41"/>
  <c r="D17" i="19"/>
  <c r="I31" i="1"/>
  <c r="D27" i="41"/>
  <c r="D30" i="19"/>
  <c r="E27" i="41"/>
  <c r="E30" i="19"/>
  <c r="E13" i="19"/>
  <c r="E17" i="41"/>
  <c r="D17" i="41"/>
  <c r="D13" i="19"/>
  <c r="D14" i="41"/>
  <c r="D8" i="19"/>
  <c r="I18" i="1"/>
  <c r="F24" i="2"/>
  <c r="L17" i="1" s="1"/>
  <c r="I37" i="2"/>
  <c r="I45" i="1" l="1"/>
  <c r="I49" i="1" s="1"/>
  <c r="L25" i="1"/>
  <c r="D29" i="41"/>
  <c r="D42" i="41" s="1"/>
  <c r="D14" i="19"/>
  <c r="E8" i="19"/>
  <c r="L18" i="1"/>
  <c r="E14" i="41"/>
  <c r="D20" i="19"/>
  <c r="E20" i="19"/>
  <c r="E12" i="19"/>
  <c r="E16" i="41"/>
  <c r="L45" i="1" l="1"/>
  <c r="L49" i="1" s="1"/>
  <c r="D28" i="19"/>
  <c r="D32" i="19" s="1"/>
  <c r="D30" i="41" s="1"/>
  <c r="E29" i="41"/>
  <c r="E42" i="41" s="1"/>
  <c r="E14" i="19"/>
  <c r="E28" i="19" s="1"/>
  <c r="E32" i="19" s="1"/>
  <c r="G8" i="19" l="1"/>
  <c r="G12" i="19"/>
  <c r="G26" i="19"/>
  <c r="G11" i="19"/>
  <c r="G19" i="19"/>
  <c r="G13" i="19"/>
  <c r="G17" i="19"/>
  <c r="G22" i="19"/>
  <c r="G18" i="19"/>
  <c r="G32" i="19" l="1"/>
  <c r="I37" i="19"/>
  <c r="I52" i="1" l="1"/>
  <c r="L52" i="1" l="1"/>
  <c r="G39" i="48" l="1"/>
  <c r="G51" i="48" s="1"/>
  <c r="I16" i="41" s="1"/>
  <c r="G155" i="48"/>
  <c r="G158" i="48" s="1"/>
  <c r="G89" i="48"/>
  <c r="G98" i="48" s="1"/>
  <c r="I19" i="41" s="1"/>
  <c r="G102" i="48"/>
  <c r="G111" i="48" s="1"/>
  <c r="I20" i="41" s="1"/>
  <c r="G115" i="48"/>
  <c r="G122" i="48" s="1"/>
  <c r="I21" i="41" s="1"/>
  <c r="G148" i="48"/>
  <c r="G151" i="48" s="1"/>
  <c r="I25" i="41" s="1"/>
  <c r="P148" i="48" l="1"/>
  <c r="P89" i="48"/>
  <c r="P98" i="48" s="1"/>
  <c r="R19" i="41" s="1"/>
  <c r="Q89" i="48"/>
  <c r="J102" i="48"/>
  <c r="J111" i="48" s="1"/>
  <c r="L20" i="41" s="1"/>
  <c r="K102" i="48"/>
  <c r="K39" i="48"/>
  <c r="J39" i="48"/>
  <c r="J51" i="48" s="1"/>
  <c r="L16" i="41" s="1"/>
  <c r="P155" i="48"/>
  <c r="P158" i="48" s="1"/>
  <c r="P115" i="48"/>
  <c r="P122" i="48" s="1"/>
  <c r="R21" i="41" s="1"/>
  <c r="Q115" i="48"/>
  <c r="Q102" i="48"/>
  <c r="P102" i="48"/>
  <c r="P111" i="48" s="1"/>
  <c r="R20" i="41" s="1"/>
  <c r="J115" i="48"/>
  <c r="J122" i="48" s="1"/>
  <c r="L21" i="41" s="1"/>
  <c r="K115" i="48"/>
  <c r="I26" i="41"/>
  <c r="J148" i="48"/>
  <c r="J151" i="48" s="1"/>
  <c r="L25" i="41" s="1"/>
  <c r="J89" i="48"/>
  <c r="J98" i="48" s="1"/>
  <c r="L19" i="41" s="1"/>
  <c r="K89" i="48"/>
  <c r="J155" i="48"/>
  <c r="J158" i="48" s="1"/>
  <c r="Q39" i="48"/>
  <c r="P39" i="48"/>
  <c r="P51" i="48" s="1"/>
  <c r="R16" i="41" s="1"/>
  <c r="G55" i="48"/>
  <c r="G64" i="48" s="1"/>
  <c r="I17" i="41" s="1"/>
  <c r="K111" i="48" l="1"/>
  <c r="Q111" i="48"/>
  <c r="L26" i="41"/>
  <c r="R26" i="41"/>
  <c r="P151" i="48"/>
  <c r="R25" i="41" s="1"/>
  <c r="J55" i="48"/>
  <c r="J64" i="48" s="1"/>
  <c r="L17" i="41" s="1"/>
  <c r="K55" i="48"/>
  <c r="P55" i="48"/>
  <c r="P64" i="48" s="1"/>
  <c r="R17" i="41" s="1"/>
  <c r="Q55" i="48"/>
  <c r="S20" i="41" l="1"/>
  <c r="M20" i="41"/>
  <c r="G70" i="48" l="1"/>
  <c r="G16" i="48"/>
  <c r="Q16" i="48" l="1"/>
  <c r="P16" i="48"/>
  <c r="K69" i="48"/>
  <c r="I71" i="48"/>
  <c r="J69" i="48"/>
  <c r="K70" i="48"/>
  <c r="J70" i="48"/>
  <c r="G69" i="48"/>
  <c r="G71" i="48" s="1"/>
  <c r="G84" i="48" s="1"/>
  <c r="F71" i="48"/>
  <c r="K16" i="48"/>
  <c r="J16" i="48"/>
  <c r="Q70" i="48"/>
  <c r="P70" i="48"/>
  <c r="O71" i="48"/>
  <c r="Q69" i="48"/>
  <c r="P69" i="48"/>
  <c r="I17" i="48"/>
  <c r="K15" i="48"/>
  <c r="J15" i="48"/>
  <c r="P15" i="48"/>
  <c r="O17" i="48"/>
  <c r="Q15" i="48"/>
  <c r="G15" i="48"/>
  <c r="G17" i="48" s="1"/>
  <c r="G22" i="48" s="1"/>
  <c r="I14" i="41" s="1"/>
  <c r="F17" i="48"/>
  <c r="K17" i="48" l="1"/>
  <c r="P71" i="48"/>
  <c r="P84" i="48" s="1"/>
  <c r="R18" i="41" s="1"/>
  <c r="Q71" i="48"/>
  <c r="J17" i="48"/>
  <c r="J22" i="48" s="1"/>
  <c r="L14" i="41" s="1"/>
  <c r="Q17" i="48"/>
  <c r="P17" i="48"/>
  <c r="P22" i="48" s="1"/>
  <c r="R14" i="41" s="1"/>
  <c r="I18" i="41"/>
  <c r="K71" i="48"/>
  <c r="J71" i="48"/>
  <c r="J84" i="48" s="1"/>
  <c r="L18" i="41" l="1"/>
  <c r="G29" i="48" l="1"/>
  <c r="P29" i="48" l="1"/>
  <c r="Q29" i="48"/>
  <c r="I30" i="48"/>
  <c r="J28" i="48"/>
  <c r="K28" i="48"/>
  <c r="O30" i="48"/>
  <c r="P28" i="48"/>
  <c r="Q28" i="48"/>
  <c r="G28" i="48"/>
  <c r="G30" i="48" s="1"/>
  <c r="G35" i="48" s="1"/>
  <c r="F30" i="48"/>
  <c r="J29" i="48"/>
  <c r="K29" i="48"/>
  <c r="J30" i="48" l="1"/>
  <c r="J35" i="48" s="1"/>
  <c r="P30" i="48"/>
  <c r="P35" i="48" s="1"/>
  <c r="Q30" i="48"/>
  <c r="K30" i="48"/>
  <c r="R15" i="41"/>
  <c r="P169" i="48"/>
  <c r="L15" i="41"/>
  <c r="J169" i="48"/>
  <c r="I15" i="41"/>
  <c r="L30" i="41" l="1"/>
  <c r="J181" i="48"/>
  <c r="R30" i="41"/>
  <c r="P181" i="48"/>
  <c r="L29" i="41"/>
  <c r="R29" i="41"/>
  <c r="R42" i="41" s="1"/>
  <c r="L42" i="41" l="1"/>
  <c r="F117" i="51"/>
  <c r="E157" i="48" l="1"/>
  <c r="K157" i="48" l="1"/>
  <c r="Q157" i="48"/>
  <c r="F112" i="51" l="1"/>
  <c r="D34" i="45" l="1"/>
  <c r="D101" i="45"/>
  <c r="D58" i="45"/>
  <c r="D41" i="45"/>
  <c r="D16" i="45"/>
  <c r="D70" i="45"/>
  <c r="D25" i="45"/>
  <c r="D83" i="45" l="1"/>
  <c r="D77" i="45"/>
  <c r="G34" i="45"/>
  <c r="G58" i="45"/>
  <c r="G101" i="45"/>
  <c r="G70" i="45"/>
  <c r="G25" i="45"/>
  <c r="G41" i="45"/>
  <c r="G16" i="45"/>
  <c r="D104" i="45" l="1"/>
  <c r="G77" i="45"/>
  <c r="G83" i="45"/>
  <c r="G104" i="45" l="1"/>
  <c r="R33" i="45"/>
  <c r="E102" i="45" s="1"/>
  <c r="E99" i="45" s="1"/>
  <c r="S33" i="45"/>
  <c r="H102" i="45" s="1"/>
  <c r="H99" i="45" s="1"/>
  <c r="H101" i="45" l="1"/>
  <c r="E101" i="45"/>
  <c r="R16" i="45"/>
  <c r="E42" i="45" s="1"/>
  <c r="E39" i="45" s="1"/>
  <c r="S16" i="45"/>
  <c r="H42" i="45" s="1"/>
  <c r="H39" i="45" s="1"/>
  <c r="S21" i="45"/>
  <c r="H65" i="45" s="1"/>
  <c r="H62" i="45" s="1"/>
  <c r="R21" i="45"/>
  <c r="E65" i="45" s="1"/>
  <c r="E62" i="45" s="1"/>
  <c r="R15" i="45"/>
  <c r="S15" i="45"/>
  <c r="R20" i="45"/>
  <c r="S20" i="45"/>
  <c r="R11" i="45"/>
  <c r="E18" i="45" s="1"/>
  <c r="E16" i="45" s="1"/>
  <c r="S11" i="45"/>
  <c r="H18" i="45" s="1"/>
  <c r="H16" i="45" s="1"/>
  <c r="P35" i="45"/>
  <c r="R25" i="45"/>
  <c r="S25" i="45"/>
  <c r="S22" i="45"/>
  <c r="H71" i="45" s="1"/>
  <c r="H68" i="45" s="1"/>
  <c r="R22" i="45"/>
  <c r="E71" i="45" s="1"/>
  <c r="E68" i="45" s="1"/>
  <c r="R27" i="45"/>
  <c r="S27" i="45"/>
  <c r="R29" i="45"/>
  <c r="E89" i="45" s="1"/>
  <c r="S29" i="45"/>
  <c r="R14" i="45"/>
  <c r="S14" i="45"/>
  <c r="E86" i="45" l="1"/>
  <c r="H70" i="45"/>
  <c r="H17" i="45"/>
  <c r="H64" i="45"/>
  <c r="H41" i="45"/>
  <c r="E88" i="45"/>
  <c r="E97" i="45"/>
  <c r="E95" i="45" s="1"/>
  <c r="E93" i="45"/>
  <c r="E91" i="45" s="1"/>
  <c r="E36" i="45"/>
  <c r="E34" i="45" s="1"/>
  <c r="E52" i="45"/>
  <c r="E50" i="45" s="1"/>
  <c r="S23" i="45"/>
  <c r="H59" i="45"/>
  <c r="H56" i="45" s="1"/>
  <c r="E64" i="45"/>
  <c r="Z90" i="51"/>
  <c r="Z100" i="51"/>
  <c r="E70" i="45"/>
  <c r="S17" i="45"/>
  <c r="H27" i="45"/>
  <c r="H25" i="45" s="1"/>
  <c r="H78" i="45"/>
  <c r="H75" i="45" s="1"/>
  <c r="H84" i="45"/>
  <c r="H81" i="45" s="1"/>
  <c r="E59" i="45"/>
  <c r="E56" i="45" s="1"/>
  <c r="R23" i="45"/>
  <c r="H52" i="45"/>
  <c r="H50" i="45" s="1"/>
  <c r="H36" i="45"/>
  <c r="H34" i="45" s="1"/>
  <c r="E27" i="45"/>
  <c r="E25" i="45" s="1"/>
  <c r="R17" i="45"/>
  <c r="H89" i="45"/>
  <c r="E84" i="45"/>
  <c r="E81" i="45" s="1"/>
  <c r="E78" i="45"/>
  <c r="E75" i="45" s="1"/>
  <c r="H93" i="45"/>
  <c r="H91" i="45" s="1"/>
  <c r="H97" i="45"/>
  <c r="H95" i="45" s="1"/>
  <c r="E17" i="45"/>
  <c r="Z11" i="51"/>
  <c r="E41" i="45"/>
  <c r="Z37" i="51"/>
  <c r="Z55" i="51" s="1"/>
  <c r="H86" i="45" l="1"/>
  <c r="H77" i="45"/>
  <c r="H35" i="45"/>
  <c r="H96" i="45"/>
  <c r="H88" i="45"/>
  <c r="H83" i="45"/>
  <c r="H104" i="45" s="1"/>
  <c r="H51" i="45"/>
  <c r="H26" i="45"/>
  <c r="H58" i="45"/>
  <c r="S31" i="45"/>
  <c r="S35" i="45" s="1"/>
  <c r="S41" i="45" s="1"/>
  <c r="H92" i="45"/>
  <c r="E92" i="45"/>
  <c r="E96" i="45"/>
  <c r="Z76" i="51"/>
  <c r="E58" i="45"/>
  <c r="E51" i="45"/>
  <c r="Z62" i="51"/>
  <c r="Z133" i="51"/>
  <c r="E83" i="45"/>
  <c r="Z24" i="51"/>
  <c r="E35" i="45"/>
  <c r="E26" i="45"/>
  <c r="Z18" i="51"/>
  <c r="Z125" i="51"/>
  <c r="E77" i="45"/>
  <c r="R31" i="45"/>
  <c r="R35" i="45" s="1"/>
  <c r="R41" i="45" s="1"/>
  <c r="H105" i="45" l="1"/>
  <c r="E104" i="45"/>
  <c r="E105" i="45" l="1"/>
  <c r="E113" i="51" l="1"/>
  <c r="F113" i="51" s="1"/>
  <c r="F111" i="51"/>
  <c r="E138" i="51" l="1"/>
  <c r="I14" i="18"/>
  <c r="I25" i="18" s="1"/>
  <c r="E148" i="48"/>
  <c r="I30" i="18"/>
  <c r="I41" i="18" s="1"/>
  <c r="N40" i="1" s="1"/>
  <c r="E109" i="51"/>
  <c r="F109" i="51" s="1"/>
  <c r="E155" i="48"/>
  <c r="K155" i="48" l="1"/>
  <c r="K158" i="48" s="1"/>
  <c r="Q155" i="48"/>
  <c r="Q158" i="48" s="1"/>
  <c r="Q148" i="48"/>
  <c r="Q151" i="48" s="1"/>
  <c r="K148" i="48"/>
  <c r="K151" i="48" s="1"/>
  <c r="N39" i="1"/>
  <c r="K25" i="18"/>
  <c r="J24" i="19"/>
  <c r="F26" i="41"/>
  <c r="S40" i="1"/>
  <c r="P40" i="1"/>
  <c r="Q40" i="1" s="1"/>
  <c r="F138" i="51"/>
  <c r="E141" i="51"/>
  <c r="F141" i="51" s="1"/>
  <c r="M24" i="19" l="1"/>
  <c r="U41" i="1"/>
  <c r="K24" i="19"/>
  <c r="I24" i="19"/>
  <c r="M25" i="41"/>
  <c r="S39" i="1"/>
  <c r="F25" i="41"/>
  <c r="P39" i="1"/>
  <c r="N41" i="1"/>
  <c r="S41" i="1" s="1"/>
  <c r="S25" i="41"/>
  <c r="S26" i="41"/>
  <c r="M26" i="41"/>
  <c r="Q39" i="1" l="1"/>
  <c r="P41" i="1"/>
  <c r="Q41" i="1" s="1"/>
  <c r="V41" i="1" l="1"/>
  <c r="U47" i="1" l="1"/>
  <c r="M30" i="19"/>
  <c r="I56" i="18"/>
  <c r="I58" i="18" s="1"/>
  <c r="N47" i="1" s="1"/>
  <c r="I30" i="19"/>
  <c r="K30" i="19"/>
  <c r="P47" i="1" l="1"/>
  <c r="F27" i="41"/>
  <c r="S47" i="1"/>
  <c r="V47" i="1" l="1"/>
  <c r="G165" i="48"/>
  <c r="Q47" i="1"/>
  <c r="G166" i="48" l="1"/>
  <c r="K165" i="48"/>
  <c r="K166" i="48" l="1"/>
  <c r="Q165" i="48"/>
  <c r="Q166" i="48" s="1"/>
  <c r="I27" i="41"/>
  <c r="I29" i="41" s="1"/>
  <c r="I42" i="41" s="1"/>
  <c r="G169" i="48"/>
  <c r="I30" i="41" l="1"/>
  <c r="G181" i="48"/>
  <c r="S27" i="41"/>
  <c r="M27" i="41"/>
  <c r="Q20" i="19" l="1"/>
  <c r="Q14" i="19"/>
  <c r="I175" i="48"/>
  <c r="Q28" i="19" l="1"/>
  <c r="Q32" i="19" s="1"/>
  <c r="R17" i="19" s="1"/>
  <c r="R8" i="19"/>
  <c r="R13" i="19"/>
  <c r="R18" i="19"/>
  <c r="R30" i="19"/>
  <c r="R19" i="19"/>
  <c r="R26" i="19"/>
  <c r="R12" i="19"/>
  <c r="R22" i="19"/>
  <c r="R11" i="19"/>
  <c r="R24" i="19"/>
  <c r="B24" i="42"/>
  <c r="C21" i="42" l="1"/>
  <c r="C22" i="42"/>
  <c r="W18" i="19"/>
  <c r="X18" i="19"/>
  <c r="W11" i="19"/>
  <c r="X11" i="19"/>
  <c r="B14" i="42"/>
  <c r="C13" i="42" s="1"/>
  <c r="C16" i="42" s="1"/>
  <c r="W30" i="19"/>
  <c r="X30" i="19"/>
  <c r="X24" i="19"/>
  <c r="W24" i="19"/>
  <c r="X13" i="19"/>
  <c r="W13" i="19"/>
  <c r="W22" i="19"/>
  <c r="X22" i="19"/>
  <c r="X17" i="19"/>
  <c r="W17" i="19"/>
  <c r="X12" i="19"/>
  <c r="W12" i="19"/>
  <c r="W26" i="19"/>
  <c r="X26" i="19"/>
  <c r="C23" i="42"/>
  <c r="C26" i="42" s="1"/>
  <c r="W8" i="19"/>
  <c r="R32" i="19"/>
  <c r="X8" i="19"/>
  <c r="X19" i="19"/>
  <c r="W19" i="19"/>
  <c r="F120" i="51"/>
  <c r="M65" i="48" l="1"/>
  <c r="S123" i="48"/>
  <c r="S23" i="48"/>
  <c r="S21" i="48" s="1"/>
  <c r="S22" i="48" s="1"/>
  <c r="U14" i="41" s="1"/>
  <c r="M23" i="48"/>
  <c r="M21" i="48" s="1"/>
  <c r="M22" i="48" s="1"/>
  <c r="O14" i="41" s="1"/>
  <c r="S65" i="48"/>
  <c r="S167" i="48"/>
  <c r="S163" i="48" s="1"/>
  <c r="M167" i="48"/>
  <c r="M162" i="48" s="1"/>
  <c r="M123" i="48"/>
  <c r="S112" i="48"/>
  <c r="S108" i="48" s="1"/>
  <c r="U92" i="51" s="1"/>
  <c r="M112" i="48"/>
  <c r="C11" i="42"/>
  <c r="X14" i="19"/>
  <c r="S36" i="48"/>
  <c r="S34" i="48" s="1"/>
  <c r="W14" i="19"/>
  <c r="M36" i="48"/>
  <c r="M34" i="48" s="1"/>
  <c r="S145" i="48"/>
  <c r="S143" i="48" s="1"/>
  <c r="M99" i="48"/>
  <c r="W20" i="19"/>
  <c r="S99" i="48"/>
  <c r="X20" i="19"/>
  <c r="D16" i="42"/>
  <c r="E40" i="51" s="1"/>
  <c r="F40" i="51" s="1"/>
  <c r="E16" i="42"/>
  <c r="E43" i="51" s="1"/>
  <c r="F43" i="51" s="1"/>
  <c r="M104" i="48"/>
  <c r="M108" i="48"/>
  <c r="T92" i="51" s="1"/>
  <c r="M85" i="48"/>
  <c r="M52" i="48"/>
  <c r="S140" i="48"/>
  <c r="S132" i="48"/>
  <c r="M152" i="48"/>
  <c r="M148" i="48" s="1"/>
  <c r="M159" i="48"/>
  <c r="M156" i="48" s="1"/>
  <c r="M145" i="48"/>
  <c r="M143" i="48" s="1"/>
  <c r="D26" i="42"/>
  <c r="E79" i="51" s="1"/>
  <c r="F79" i="51" s="1"/>
  <c r="E26" i="42"/>
  <c r="E82" i="51" s="1"/>
  <c r="F82" i="51" s="1"/>
  <c r="C12" i="42"/>
  <c r="S85" i="48"/>
  <c r="S52" i="48"/>
  <c r="M140" i="48"/>
  <c r="M132" i="48"/>
  <c r="S159" i="48"/>
  <c r="S156" i="48" s="1"/>
  <c r="T152" i="48"/>
  <c r="T148" i="48" s="1"/>
  <c r="S152" i="48"/>
  <c r="S148" i="48" s="1"/>
  <c r="C24" i="42"/>
  <c r="C27" i="42"/>
  <c r="X28" i="19" l="1"/>
  <c r="X32" i="19" s="1"/>
  <c r="M163" i="48"/>
  <c r="U11" i="51"/>
  <c r="S162" i="48"/>
  <c r="T11" i="51"/>
  <c r="C14" i="42"/>
  <c r="S104" i="48"/>
  <c r="U90" i="51" s="1"/>
  <c r="S144" i="48"/>
  <c r="U24" i="41" s="1"/>
  <c r="U93" i="51"/>
  <c r="M144" i="48"/>
  <c r="O24" i="41" s="1"/>
  <c r="T93" i="51"/>
  <c r="W28" i="19"/>
  <c r="W32" i="19" s="1"/>
  <c r="M158" i="48"/>
  <c r="O26" i="41" s="1"/>
  <c r="T110" i="51"/>
  <c r="C17" i="42"/>
  <c r="T138" i="51"/>
  <c r="M151" i="48"/>
  <c r="O25" i="41" s="1"/>
  <c r="S35" i="48"/>
  <c r="U15" i="41" s="1"/>
  <c r="U18" i="51"/>
  <c r="U138" i="51"/>
  <c r="S151" i="48"/>
  <c r="U25" i="41" s="1"/>
  <c r="U110" i="51"/>
  <c r="S158" i="48"/>
  <c r="U26" i="41" s="1"/>
  <c r="E27" i="42"/>
  <c r="E83" i="51" s="1"/>
  <c r="F83" i="51" s="1"/>
  <c r="D27" i="42"/>
  <c r="E80" i="51" s="1"/>
  <c r="F80" i="51" s="1"/>
  <c r="T18" i="51"/>
  <c r="M35" i="48"/>
  <c r="O15" i="41" s="1"/>
  <c r="T90" i="51"/>
  <c r="M111" i="48"/>
  <c r="O20" i="41" s="1"/>
  <c r="M166" i="48"/>
  <c r="F122" i="51"/>
  <c r="S166" i="48" l="1"/>
  <c r="U27" i="41" s="1"/>
  <c r="S111" i="48"/>
  <c r="U20" i="41" s="1"/>
  <c r="U141" i="51"/>
  <c r="T141" i="51"/>
  <c r="E17" i="42"/>
  <c r="E44" i="51" s="1"/>
  <c r="F44" i="51" s="1"/>
  <c r="D17" i="42"/>
  <c r="E41" i="51" s="1"/>
  <c r="F41" i="51" s="1"/>
  <c r="O27" i="41"/>
  <c r="F121" i="51"/>
  <c r="F115" i="51" l="1"/>
  <c r="F114" i="51"/>
  <c r="I32" i="19" l="1"/>
  <c r="I35" i="19"/>
  <c r="I36" i="19"/>
  <c r="I38" i="19" l="1"/>
  <c r="I19" i="19"/>
  <c r="J19" i="19" s="1"/>
  <c r="I11" i="19"/>
  <c r="J11" i="19" s="1"/>
  <c r="I26" i="19"/>
  <c r="I13" i="19"/>
  <c r="J13" i="19" s="1"/>
  <c r="I18" i="19"/>
  <c r="J18" i="19" s="1"/>
  <c r="I12" i="19"/>
  <c r="J12" i="19" s="1"/>
  <c r="I8" i="19"/>
  <c r="J8" i="19" s="1"/>
  <c r="I22" i="19"/>
  <c r="J22" i="19" s="1"/>
  <c r="I17" i="19"/>
  <c r="J17" i="19" s="1"/>
  <c r="U35" i="41"/>
  <c r="M22" i="19" l="1"/>
  <c r="U36" i="1"/>
  <c r="K22" i="19"/>
  <c r="I39" i="15" s="1"/>
  <c r="U18" i="1"/>
  <c r="M8" i="19"/>
  <c r="K8" i="19"/>
  <c r="I30" i="2" s="1"/>
  <c r="M12" i="19"/>
  <c r="I63" i="13" s="1"/>
  <c r="K12" i="19"/>
  <c r="I59" i="13" s="1"/>
  <c r="K18" i="19"/>
  <c r="M18" i="19"/>
  <c r="I60" i="14" s="1"/>
  <c r="M13" i="19"/>
  <c r="K13" i="19"/>
  <c r="I104" i="13" s="1"/>
  <c r="J26" i="19"/>
  <c r="I24" i="38"/>
  <c r="K11" i="19"/>
  <c r="M11" i="19"/>
  <c r="J14" i="19"/>
  <c r="J20" i="19"/>
  <c r="M17" i="19"/>
  <c r="K17" i="19"/>
  <c r="K19" i="19"/>
  <c r="I89" i="14" s="1"/>
  <c r="I90" i="14" s="1"/>
  <c r="M19" i="19"/>
  <c r="I61" i="13" l="1"/>
  <c r="I168" i="13" s="1"/>
  <c r="I169" i="13" s="1"/>
  <c r="I30" i="13"/>
  <c r="K14" i="19"/>
  <c r="I31" i="2"/>
  <c r="I106" i="13"/>
  <c r="I105" i="13"/>
  <c r="I107" i="13" s="1"/>
  <c r="I91" i="14"/>
  <c r="I92" i="14"/>
  <c r="K20" i="19"/>
  <c r="I33" i="14"/>
  <c r="U31" i="1"/>
  <c r="M20" i="19"/>
  <c r="I41" i="15"/>
  <c r="I40" i="15"/>
  <c r="J24" i="38"/>
  <c r="J25" i="38" s="1"/>
  <c r="J26" i="38" s="1"/>
  <c r="I25" i="38"/>
  <c r="U25" i="1"/>
  <c r="M14" i="19"/>
  <c r="M26" i="19"/>
  <c r="K26" i="19"/>
  <c r="U43" i="1"/>
  <c r="J28" i="19"/>
  <c r="I63" i="14"/>
  <c r="I64" i="14" s="1"/>
  <c r="I65" i="14"/>
  <c r="I67" i="14" s="1"/>
  <c r="I61" i="14"/>
  <c r="G88" i="13" l="1"/>
  <c r="G120" i="13"/>
  <c r="I120" i="13" s="1"/>
  <c r="G91" i="13"/>
  <c r="I91" i="13" s="1"/>
  <c r="I34" i="14"/>
  <c r="I36" i="14" s="1"/>
  <c r="I35" i="14"/>
  <c r="I36" i="2"/>
  <c r="I38" i="2" s="1"/>
  <c r="I32" i="2"/>
  <c r="N43" i="1"/>
  <c r="K28" i="19"/>
  <c r="K32" i="19" s="1"/>
  <c r="I26" i="38"/>
  <c r="H26" i="38" s="1"/>
  <c r="H25" i="38"/>
  <c r="H24" i="38" s="1"/>
  <c r="I32" i="13"/>
  <c r="I31" i="13"/>
  <c r="I34" i="13" s="1"/>
  <c r="M28" i="19"/>
  <c r="J32" i="19"/>
  <c r="M32" i="19" s="1"/>
  <c r="I28" i="19"/>
  <c r="G77" i="14"/>
  <c r="I77" i="14" s="1"/>
  <c r="G74" i="14"/>
  <c r="G31" i="15"/>
  <c r="G32" i="15"/>
  <c r="I32" i="15" s="1"/>
  <c r="G17" i="15"/>
  <c r="I17" i="15" s="1"/>
  <c r="U45" i="1"/>
  <c r="I64" i="13"/>
  <c r="I65" i="13" s="1"/>
  <c r="I67" i="13" s="1"/>
  <c r="I170" i="13"/>
  <c r="G18" i="2" l="1"/>
  <c r="G19" i="2"/>
  <c r="I22" i="2"/>
  <c r="G22" i="2" s="1"/>
  <c r="E136" i="48"/>
  <c r="G16" i="15"/>
  <c r="E133" i="51"/>
  <c r="I31" i="15"/>
  <c r="I33" i="15" s="1"/>
  <c r="I37" i="15" s="1"/>
  <c r="G19" i="13"/>
  <c r="G24" i="13"/>
  <c r="I24" i="13" s="1"/>
  <c r="G20" i="13"/>
  <c r="G17" i="14"/>
  <c r="G20" i="14"/>
  <c r="I20" i="14" s="1"/>
  <c r="G44" i="13"/>
  <c r="G43" i="13"/>
  <c r="G45" i="13"/>
  <c r="G48" i="13"/>
  <c r="I48" i="13" s="1"/>
  <c r="G76" i="14"/>
  <c r="I76" i="14" s="1"/>
  <c r="E100" i="51"/>
  <c r="F100" i="51" s="1"/>
  <c r="E117" i="48"/>
  <c r="I74" i="14"/>
  <c r="I75" i="14" s="1"/>
  <c r="I78" i="14" s="1"/>
  <c r="I87" i="14" s="1"/>
  <c r="S44" i="19"/>
  <c r="U49" i="1"/>
  <c r="E143" i="48"/>
  <c r="F24" i="41"/>
  <c r="P43" i="1"/>
  <c r="S43" i="1"/>
  <c r="G157" i="13"/>
  <c r="I157" i="13" s="1"/>
  <c r="G153" i="13"/>
  <c r="G150" i="13"/>
  <c r="G151" i="13"/>
  <c r="G152" i="13"/>
  <c r="G90" i="13"/>
  <c r="I90" i="13" s="1"/>
  <c r="G116" i="13"/>
  <c r="I116" i="13" s="1"/>
  <c r="E37" i="51"/>
  <c r="I88" i="13"/>
  <c r="I89" i="13" s="1"/>
  <c r="I137" i="13"/>
  <c r="G117" i="13" s="1"/>
  <c r="I117" i="13" s="1"/>
  <c r="E57" i="48"/>
  <c r="I92" i="13" l="1"/>
  <c r="I100" i="13" s="1"/>
  <c r="F133" i="51"/>
  <c r="I19" i="13"/>
  <c r="E32" i="48"/>
  <c r="E18" i="51"/>
  <c r="G22" i="13"/>
  <c r="I22" i="13" s="1"/>
  <c r="G47" i="13"/>
  <c r="I47" i="13" s="1"/>
  <c r="I45" i="13"/>
  <c r="E43" i="48"/>
  <c r="E26" i="51"/>
  <c r="N35" i="1"/>
  <c r="E65" i="51"/>
  <c r="I153" i="13"/>
  <c r="G156" i="13"/>
  <c r="I156" i="13" s="1"/>
  <c r="E76" i="48"/>
  <c r="I43" i="13"/>
  <c r="E24" i="51"/>
  <c r="E41" i="48"/>
  <c r="E55" i="51"/>
  <c r="F55" i="51" s="1"/>
  <c r="F37" i="51"/>
  <c r="I118" i="13"/>
  <c r="I121" i="13" s="1"/>
  <c r="I132" i="13" s="1"/>
  <c r="I108" i="13" s="1"/>
  <c r="E25" i="51"/>
  <c r="E42" i="48"/>
  <c r="I44" i="13"/>
  <c r="I16" i="15"/>
  <c r="I18" i="15" s="1"/>
  <c r="I22" i="15" s="1"/>
  <c r="N34" i="1" s="1"/>
  <c r="G24" i="15"/>
  <c r="E130" i="51" s="1"/>
  <c r="F130" i="51" s="1"/>
  <c r="E128" i="48"/>
  <c r="E125" i="51"/>
  <c r="K87" i="14"/>
  <c r="N30" i="1"/>
  <c r="K136" i="48"/>
  <c r="Q136" i="48"/>
  <c r="Q139" i="48" s="1"/>
  <c r="Q43" i="1"/>
  <c r="V43" i="1"/>
  <c r="E64" i="51"/>
  <c r="I152" i="13"/>
  <c r="E75" i="48"/>
  <c r="Q117" i="48"/>
  <c r="Q122" i="48" s="1"/>
  <c r="K117" i="48"/>
  <c r="E76" i="51"/>
  <c r="E91" i="48"/>
  <c r="G19" i="14"/>
  <c r="I19" i="14" s="1"/>
  <c r="I17" i="14"/>
  <c r="I18" i="14" s="1"/>
  <c r="E63" i="51"/>
  <c r="E74" i="48"/>
  <c r="G155" i="13"/>
  <c r="I155" i="13" s="1"/>
  <c r="I151" i="13"/>
  <c r="Q143" i="48"/>
  <c r="Q144" i="48" s="1"/>
  <c r="K143" i="48"/>
  <c r="K144" i="48" s="1"/>
  <c r="E19" i="51"/>
  <c r="G23" i="13"/>
  <c r="I23" i="13" s="1"/>
  <c r="E33" i="48"/>
  <c r="I20" i="13"/>
  <c r="G21" i="2"/>
  <c r="I21" i="2" s="1"/>
  <c r="E12" i="51"/>
  <c r="I19" i="2"/>
  <c r="K57" i="48"/>
  <c r="Q57" i="48"/>
  <c r="Q64" i="48" s="1"/>
  <c r="E73" i="48"/>
  <c r="E62" i="51"/>
  <c r="I150" i="13"/>
  <c r="I18" i="2"/>
  <c r="E11" i="51"/>
  <c r="F62" i="51" l="1"/>
  <c r="F65" i="51"/>
  <c r="F24" i="51"/>
  <c r="F26" i="51"/>
  <c r="F125" i="51"/>
  <c r="F64" i="51"/>
  <c r="F63" i="51"/>
  <c r="F25" i="51"/>
  <c r="F76" i="51"/>
  <c r="F19" i="51"/>
  <c r="F18" i="51"/>
  <c r="N23" i="1"/>
  <c r="G173" i="13"/>
  <c r="K105" i="13"/>
  <c r="I21" i="14"/>
  <c r="I29" i="14" s="1"/>
  <c r="I37" i="14" s="1"/>
  <c r="I38" i="14" s="1"/>
  <c r="S24" i="41"/>
  <c r="N36" i="1"/>
  <c r="S34" i="1"/>
  <c r="F22" i="41"/>
  <c r="P34" i="1"/>
  <c r="K122" i="48"/>
  <c r="S119" i="48"/>
  <c r="U102" i="51" s="1"/>
  <c r="M119" i="48"/>
  <c r="T102" i="51" s="1"/>
  <c r="M117" i="48"/>
  <c r="S117" i="48"/>
  <c r="S23" i="41"/>
  <c r="I46" i="13"/>
  <c r="I49" i="13" s="1"/>
  <c r="I57" i="13" s="1"/>
  <c r="G80" i="13"/>
  <c r="Q43" i="48"/>
  <c r="K43" i="48"/>
  <c r="S21" i="41"/>
  <c r="K139" i="48"/>
  <c r="S138" i="48"/>
  <c r="U135" i="51" s="1"/>
  <c r="S136" i="48"/>
  <c r="M138" i="48"/>
  <c r="T135" i="51" s="1"/>
  <c r="M136" i="48"/>
  <c r="K42" i="48"/>
  <c r="Q42" i="48"/>
  <c r="Q76" i="48"/>
  <c r="K76" i="48"/>
  <c r="S17" i="41"/>
  <c r="Q74" i="48"/>
  <c r="K74" i="48"/>
  <c r="Q75" i="48"/>
  <c r="K75" i="48"/>
  <c r="S30" i="1"/>
  <c r="P30" i="1"/>
  <c r="Q30" i="1" s="1"/>
  <c r="F21" i="41"/>
  <c r="K73" i="48"/>
  <c r="Q73" i="48"/>
  <c r="K64" i="48"/>
  <c r="M57" i="48"/>
  <c r="S61" i="48"/>
  <c r="U39" i="51" s="1"/>
  <c r="M61" i="48"/>
  <c r="T39" i="51" s="1"/>
  <c r="S57" i="48"/>
  <c r="Q33" i="48"/>
  <c r="K33" i="48"/>
  <c r="I154" i="13"/>
  <c r="I158" i="13" s="1"/>
  <c r="I166" i="13" s="1"/>
  <c r="G172" i="13"/>
  <c r="E19" i="48"/>
  <c r="F11" i="51"/>
  <c r="K128" i="48"/>
  <c r="Q128" i="48"/>
  <c r="Q131" i="48" s="1"/>
  <c r="P35" i="1"/>
  <c r="Q35" i="1" s="1"/>
  <c r="S35" i="1"/>
  <c r="F23" i="41"/>
  <c r="Q32" i="48"/>
  <c r="K32" i="48"/>
  <c r="E20" i="48"/>
  <c r="F12" i="51"/>
  <c r="I20" i="2"/>
  <c r="I23" i="2" s="1"/>
  <c r="I24" i="2" s="1"/>
  <c r="P23" i="1"/>
  <c r="Q23" i="1" s="1"/>
  <c r="S23" i="1"/>
  <c r="F17" i="41"/>
  <c r="M24" i="41"/>
  <c r="Q91" i="48"/>
  <c r="Q98" i="48" s="1"/>
  <c r="K91" i="48"/>
  <c r="K41" i="48"/>
  <c r="Q41" i="48"/>
  <c r="I42" i="15"/>
  <c r="I44" i="15" s="1"/>
  <c r="I21" i="13"/>
  <c r="I25" i="13" s="1"/>
  <c r="N28" i="1" l="1"/>
  <c r="T44" i="19"/>
  <c r="Q34" i="48"/>
  <c r="Q35" i="48" s="1"/>
  <c r="S15" i="41" s="1"/>
  <c r="Q77" i="48"/>
  <c r="Q84" i="48" s="1"/>
  <c r="S18" i="41" s="1"/>
  <c r="Q44" i="48"/>
  <c r="Q51" i="48" s="1"/>
  <c r="S16" i="41" s="1"/>
  <c r="K44" i="48"/>
  <c r="M48" i="48" s="1"/>
  <c r="T29" i="51" s="1"/>
  <c r="K77" i="48"/>
  <c r="K84" i="48" s="1"/>
  <c r="K34" i="48"/>
  <c r="K35" i="48" s="1"/>
  <c r="M15" i="41" s="1"/>
  <c r="M21" i="41"/>
  <c r="Q19" i="48"/>
  <c r="K19" i="48"/>
  <c r="U133" i="51"/>
  <c r="S139" i="48"/>
  <c r="I68" i="13"/>
  <c r="I69" i="13" s="1"/>
  <c r="N22" i="1"/>
  <c r="P36" i="1"/>
  <c r="Q34" i="1"/>
  <c r="Q20" i="48"/>
  <c r="K20" i="48"/>
  <c r="I26" i="13"/>
  <c r="G28" i="13"/>
  <c r="S64" i="48"/>
  <c r="U17" i="41" s="1"/>
  <c r="U37" i="51"/>
  <c r="M23" i="41"/>
  <c r="T42" i="51"/>
  <c r="T53" i="51"/>
  <c r="T54" i="51"/>
  <c r="U100" i="51"/>
  <c r="S122" i="48"/>
  <c r="U21" i="41" s="1"/>
  <c r="S36" i="1"/>
  <c r="K98" i="48"/>
  <c r="M91" i="48"/>
  <c r="S95" i="48"/>
  <c r="U78" i="51" s="1"/>
  <c r="M95" i="48"/>
  <c r="T78" i="51" s="1"/>
  <c r="S91" i="48"/>
  <c r="N17" i="1"/>
  <c r="I33" i="2"/>
  <c r="U53" i="51"/>
  <c r="U54" i="51"/>
  <c r="U42" i="51"/>
  <c r="M122" i="48"/>
  <c r="O21" i="41" s="1"/>
  <c r="T100" i="51"/>
  <c r="S22" i="41"/>
  <c r="K169" i="13"/>
  <c r="N24" i="1"/>
  <c r="I60" i="13"/>
  <c r="M64" i="48"/>
  <c r="O17" i="41" s="1"/>
  <c r="T37" i="51"/>
  <c r="S19" i="41"/>
  <c r="K131" i="48"/>
  <c r="M128" i="48"/>
  <c r="S128" i="48"/>
  <c r="S130" i="48"/>
  <c r="U127" i="51" s="1"/>
  <c r="M130" i="48"/>
  <c r="T127" i="51" s="1"/>
  <c r="N31" i="1"/>
  <c r="S31" i="1" s="1"/>
  <c r="P28" i="1"/>
  <c r="F19" i="41"/>
  <c r="S28" i="1"/>
  <c r="M17" i="41"/>
  <c r="T133" i="51"/>
  <c r="M139" i="48"/>
  <c r="M44" i="48" l="1"/>
  <c r="S44" i="48"/>
  <c r="M81" i="48"/>
  <c r="T68" i="51" s="1"/>
  <c r="T69" i="51" s="1"/>
  <c r="S81" i="48"/>
  <c r="U68" i="51" s="1"/>
  <c r="U69" i="51" s="1"/>
  <c r="S48" i="48"/>
  <c r="U29" i="51" s="1"/>
  <c r="K51" i="48"/>
  <c r="S77" i="48"/>
  <c r="S84" i="48" s="1"/>
  <c r="U18" i="41" s="1"/>
  <c r="U30" i="51"/>
  <c r="T55" i="51"/>
  <c r="T30" i="51"/>
  <c r="U81" i="51"/>
  <c r="U55" i="51"/>
  <c r="T81" i="51"/>
  <c r="M77" i="48"/>
  <c r="T62" i="51" s="1"/>
  <c r="K21" i="48"/>
  <c r="K22" i="48" s="1"/>
  <c r="Q21" i="48"/>
  <c r="Q22" i="48" s="1"/>
  <c r="Q169" i="48" s="1"/>
  <c r="S30" i="41" s="1"/>
  <c r="S31" i="41" s="1"/>
  <c r="S33" i="41" s="1"/>
  <c r="T35" i="19" s="1"/>
  <c r="S98" i="48"/>
  <c r="U19" i="41" s="1"/>
  <c r="U76" i="51"/>
  <c r="M16" i="41"/>
  <c r="N21" i="1"/>
  <c r="I36" i="13"/>
  <c r="I35" i="13"/>
  <c r="U23" i="41"/>
  <c r="P31" i="1"/>
  <c r="Q28" i="1"/>
  <c r="M98" i="48"/>
  <c r="O19" i="41" s="1"/>
  <c r="T76" i="51"/>
  <c r="U125" i="51"/>
  <c r="S131" i="48"/>
  <c r="U22" i="41" s="1"/>
  <c r="M19" i="41"/>
  <c r="M51" i="48"/>
  <c r="O16" i="41" s="1"/>
  <c r="T24" i="51"/>
  <c r="T125" i="51"/>
  <c r="M131" i="48"/>
  <c r="O22" i="41" s="1"/>
  <c r="P24" i="1"/>
  <c r="Q24" i="1" s="1"/>
  <c r="F18" i="41"/>
  <c r="S24" i="1"/>
  <c r="M22" i="41"/>
  <c r="U24" i="51"/>
  <c r="Q36" i="1"/>
  <c r="V36" i="1"/>
  <c r="O23" i="41"/>
  <c r="P17" i="1"/>
  <c r="F14" i="41"/>
  <c r="S17" i="1"/>
  <c r="N18" i="1"/>
  <c r="S18" i="1" s="1"/>
  <c r="S22" i="1"/>
  <c r="F16" i="41"/>
  <c r="P22" i="1"/>
  <c r="Q22" i="1" s="1"/>
  <c r="M18" i="41"/>
  <c r="U62" i="51" l="1"/>
  <c r="S51" i="48"/>
  <c r="U16" i="41" s="1"/>
  <c r="U29" i="41" s="1"/>
  <c r="K169" i="48"/>
  <c r="M30" i="41" s="1"/>
  <c r="M31" i="41" s="1"/>
  <c r="M33" i="41" s="1"/>
  <c r="M14" i="41"/>
  <c r="M29" i="41" s="1"/>
  <c r="T36" i="19"/>
  <c r="M84" i="48"/>
  <c r="O18" i="41" s="1"/>
  <c r="O29" i="41" s="1"/>
  <c r="S14" i="41"/>
  <c r="Q181" i="48"/>
  <c r="Q17" i="1"/>
  <c r="P18" i="1"/>
  <c r="Q31" i="1"/>
  <c r="V31" i="1"/>
  <c r="N25" i="1"/>
  <c r="S21" i="1"/>
  <c r="P21" i="1"/>
  <c r="F15" i="41"/>
  <c r="F29" i="41" s="1"/>
  <c r="S169" i="48"/>
  <c r="K181" i="48" l="1"/>
  <c r="T19" i="19"/>
  <c r="T26" i="19"/>
  <c r="T30" i="19"/>
  <c r="T8" i="19"/>
  <c r="T22" i="19"/>
  <c r="T13" i="19"/>
  <c r="T24" i="19"/>
  <c r="T17" i="19"/>
  <c r="T12" i="19"/>
  <c r="T18" i="19"/>
  <c r="T11" i="19"/>
  <c r="R123" i="48"/>
  <c r="R117" i="48" s="1"/>
  <c r="R23" i="48"/>
  <c r="R21" i="48" s="1"/>
  <c r="O11" i="51" s="1"/>
  <c r="S36" i="19"/>
  <c r="O42" i="41"/>
  <c r="U42" i="41"/>
  <c r="S29" i="41"/>
  <c r="M169" i="48"/>
  <c r="U30" i="41"/>
  <c r="U33" i="41" s="1"/>
  <c r="S181" i="48"/>
  <c r="P25" i="1"/>
  <c r="Q21" i="1"/>
  <c r="Q18" i="1"/>
  <c r="V18" i="1"/>
  <c r="S25" i="1"/>
  <c r="N45" i="1"/>
  <c r="F30" i="41"/>
  <c r="F42" i="41"/>
  <c r="M42" i="41"/>
  <c r="R167" i="48" l="1"/>
  <c r="R163" i="48" s="1"/>
  <c r="R145" i="48"/>
  <c r="R143" i="48" s="1"/>
  <c r="R65" i="48"/>
  <c r="R61" i="48" s="1"/>
  <c r="O39" i="51" s="1"/>
  <c r="R152" i="48"/>
  <c r="R148" i="48" s="1"/>
  <c r="R140" i="48"/>
  <c r="R136" i="48" s="1"/>
  <c r="R85" i="48"/>
  <c r="R81" i="48" s="1"/>
  <c r="O68" i="51" s="1"/>
  <c r="R36" i="48"/>
  <c r="R34" i="48" s="1"/>
  <c r="O18" i="51" s="1"/>
  <c r="R99" i="48"/>
  <c r="R91" i="48" s="1"/>
  <c r="R132" i="48"/>
  <c r="R128" i="48" s="1"/>
  <c r="R159" i="48"/>
  <c r="R156" i="48" s="1"/>
  <c r="O110" i="51" s="1"/>
  <c r="R52" i="48"/>
  <c r="R44" i="48" s="1"/>
  <c r="T20" i="19"/>
  <c r="T14" i="19"/>
  <c r="R112" i="48"/>
  <c r="R119" i="48"/>
  <c r="O102" i="51" s="1"/>
  <c r="R22" i="48"/>
  <c r="T14" i="41" s="1"/>
  <c r="R162" i="48"/>
  <c r="R166" i="48" s="1"/>
  <c r="R57" i="48"/>
  <c r="R64" i="48" s="1"/>
  <c r="S24" i="19"/>
  <c r="S30" i="19"/>
  <c r="S22" i="19"/>
  <c r="S18" i="19"/>
  <c r="S26" i="19"/>
  <c r="S12" i="19"/>
  <c r="S8" i="19"/>
  <c r="S19" i="19"/>
  <c r="S13" i="19"/>
  <c r="S11" i="19"/>
  <c r="S17" i="19"/>
  <c r="R144" i="48"/>
  <c r="S146" i="48" s="1"/>
  <c r="O30" i="41"/>
  <c r="O33" i="41" s="1"/>
  <c r="M181" i="48"/>
  <c r="S42" i="41"/>
  <c r="Q25" i="1"/>
  <c r="V25" i="1"/>
  <c r="P45" i="1"/>
  <c r="R151" i="48"/>
  <c r="O138" i="51"/>
  <c r="R35" i="48"/>
  <c r="O54" i="51"/>
  <c r="O42" i="51"/>
  <c r="O53" i="51"/>
  <c r="N49" i="1"/>
  <c r="S45" i="1"/>
  <c r="O100" i="51"/>
  <c r="R95" i="48" l="1"/>
  <c r="O78" i="51" s="1"/>
  <c r="R48" i="48"/>
  <c r="O29" i="51" s="1"/>
  <c r="R77" i="48"/>
  <c r="R138" i="48"/>
  <c r="O135" i="51" s="1"/>
  <c r="L85" i="48"/>
  <c r="L81" i="48" s="1"/>
  <c r="R130" i="48"/>
  <c r="O127" i="51" s="1"/>
  <c r="L145" i="48"/>
  <c r="L143" i="48" s="1"/>
  <c r="R158" i="48"/>
  <c r="T26" i="41" s="1"/>
  <c r="L99" i="48"/>
  <c r="L95" i="48" s="1"/>
  <c r="L132" i="48"/>
  <c r="L130" i="48" s="1"/>
  <c r="T28" i="19"/>
  <c r="T32" i="19" s="1"/>
  <c r="S24" i="48"/>
  <c r="L52" i="48"/>
  <c r="L44" i="48" s="1"/>
  <c r="R122" i="48"/>
  <c r="T21" i="41" s="1"/>
  <c r="L140" i="48"/>
  <c r="L136" i="48" s="1"/>
  <c r="R104" i="48"/>
  <c r="R108" i="48"/>
  <c r="O92" i="51" s="1"/>
  <c r="O93" i="51" s="1"/>
  <c r="O37" i="51"/>
  <c r="O55" i="51" s="1"/>
  <c r="L36" i="48"/>
  <c r="L34" i="48" s="1"/>
  <c r="S14" i="19"/>
  <c r="L23" i="48"/>
  <c r="L21" i="48" s="1"/>
  <c r="L123" i="48"/>
  <c r="L167" i="48"/>
  <c r="T24" i="41"/>
  <c r="L159" i="48"/>
  <c r="L156" i="48" s="1"/>
  <c r="L112" i="48"/>
  <c r="L152" i="48"/>
  <c r="L148" i="48" s="1"/>
  <c r="L65" i="48"/>
  <c r="S20" i="19"/>
  <c r="O81" i="51"/>
  <c r="S49" i="1"/>
  <c r="O30" i="51"/>
  <c r="O141" i="51"/>
  <c r="O69" i="51"/>
  <c r="T17" i="41"/>
  <c r="S66" i="48"/>
  <c r="L48" i="48"/>
  <c r="S153" i="48"/>
  <c r="T153" i="48" s="1"/>
  <c r="T25" i="41"/>
  <c r="O62" i="51"/>
  <c r="R84" i="48"/>
  <c r="Q45" i="1"/>
  <c r="P49" i="1"/>
  <c r="Q49" i="1" s="1"/>
  <c r="V45" i="1"/>
  <c r="V49" i="1" s="1"/>
  <c r="R98" i="48"/>
  <c r="O76" i="51"/>
  <c r="O125" i="51"/>
  <c r="T15" i="41"/>
  <c r="S37" i="48"/>
  <c r="T27" i="41"/>
  <c r="S168" i="48"/>
  <c r="O24" i="51"/>
  <c r="R51" i="48"/>
  <c r="O133" i="51"/>
  <c r="R139" i="48"/>
  <c r="N68" i="51" l="1"/>
  <c r="N29" i="51"/>
  <c r="L151" i="48"/>
  <c r="L35" i="48"/>
  <c r="N127" i="51"/>
  <c r="N78" i="51"/>
  <c r="N110" i="51"/>
  <c r="L144" i="48"/>
  <c r="M146" i="48" s="1"/>
  <c r="L91" i="48"/>
  <c r="L128" i="48"/>
  <c r="L77" i="48"/>
  <c r="S124" i="48"/>
  <c r="S160" i="48"/>
  <c r="R131" i="48"/>
  <c r="S133" i="48" s="1"/>
  <c r="L138" i="48"/>
  <c r="N18" i="51"/>
  <c r="S28" i="19"/>
  <c r="S32" i="19" s="1"/>
  <c r="O90" i="51"/>
  <c r="R111" i="48"/>
  <c r="L158" i="48"/>
  <c r="N26" i="41" s="1"/>
  <c r="N24" i="41"/>
  <c r="L108" i="48"/>
  <c r="L104" i="48"/>
  <c r="L119" i="48"/>
  <c r="L117" i="48"/>
  <c r="N138" i="51"/>
  <c r="N141" i="51" s="1"/>
  <c r="L162" i="48"/>
  <c r="L163" i="48"/>
  <c r="L61" i="48"/>
  <c r="L57" i="48"/>
  <c r="N11" i="51"/>
  <c r="L22" i="48"/>
  <c r="N69" i="51"/>
  <c r="N30" i="51"/>
  <c r="N81" i="51"/>
  <c r="N24" i="51"/>
  <c r="L51" i="48"/>
  <c r="N15" i="41"/>
  <c r="M37" i="48"/>
  <c r="T18" i="41"/>
  <c r="S86" i="48"/>
  <c r="T23" i="41"/>
  <c r="S141" i="48"/>
  <c r="N25" i="41"/>
  <c r="M153" i="48"/>
  <c r="T19" i="41"/>
  <c r="S100" i="48"/>
  <c r="N133" i="51"/>
  <c r="T16" i="41"/>
  <c r="S53" i="48"/>
  <c r="L84" i="48"/>
  <c r="N62" i="51"/>
  <c r="N76" i="51"/>
  <c r="L98" i="48"/>
  <c r="L131" i="48" l="1"/>
  <c r="N125" i="51"/>
  <c r="N102" i="51"/>
  <c r="N135" i="51"/>
  <c r="N92" i="51"/>
  <c r="N39" i="51"/>
  <c r="N54" i="51" s="1"/>
  <c r="R169" i="48"/>
  <c r="T22" i="41"/>
  <c r="L139" i="48"/>
  <c r="N23" i="41" s="1"/>
  <c r="M160" i="48"/>
  <c r="T20" i="41"/>
  <c r="T29" i="41" s="1"/>
  <c r="T42" i="41" s="1"/>
  <c r="S113" i="48"/>
  <c r="L166" i="48"/>
  <c r="M24" i="48"/>
  <c r="N14" i="41"/>
  <c r="N90" i="51"/>
  <c r="L111" i="48"/>
  <c r="N93" i="51"/>
  <c r="L122" i="48"/>
  <c r="N100" i="51"/>
  <c r="L64" i="48"/>
  <c r="N37" i="51"/>
  <c r="N42" i="51"/>
  <c r="N16" i="41"/>
  <c r="M53" i="48"/>
  <c r="N19" i="41"/>
  <c r="M100" i="48"/>
  <c r="N18" i="41"/>
  <c r="M86" i="48"/>
  <c r="T30" i="41"/>
  <c r="T33" i="41" s="1"/>
  <c r="R181" i="48"/>
  <c r="N22" i="41"/>
  <c r="M133" i="48"/>
  <c r="N53" i="51" l="1"/>
  <c r="M141" i="48"/>
  <c r="L169" i="48"/>
  <c r="L181" i="48" s="1"/>
  <c r="N55" i="51"/>
  <c r="M66" i="48"/>
  <c r="N17" i="41"/>
  <c r="N27" i="41"/>
  <c r="M168" i="48"/>
  <c r="M113" i="48"/>
  <c r="N20" i="41"/>
  <c r="N21" i="41"/>
  <c r="M124" i="48"/>
  <c r="U34" i="41"/>
  <c r="U36" i="41" s="1"/>
  <c r="T38" i="19" s="1"/>
  <c r="N30" i="41" l="1"/>
  <c r="N33" i="41" s="1"/>
  <c r="N29" i="41"/>
  <c r="N42" i="41" s="1"/>
  <c r="O34" i="41" l="1"/>
  <c r="O36" i="41" s="1"/>
  <c r="S38" i="19" s="1"/>
</calcChain>
</file>

<file path=xl/sharedStrings.xml><?xml version="1.0" encoding="utf-8"?>
<sst xmlns="http://schemas.openxmlformats.org/spreadsheetml/2006/main" count="1745" uniqueCount="690">
  <si>
    <t xml:space="preserve"> </t>
  </si>
  <si>
    <t>TABLE A. PRESENT AND PROPOSED RATES</t>
  </si>
  <si>
    <t>ESTIMATED EFFECT OF PROPOSED BASE RATE INCREASE</t>
  </si>
  <si>
    <t>Present</t>
  </si>
  <si>
    <t>Proposed</t>
  </si>
  <si>
    <t>Line</t>
  </si>
  <si>
    <t>No.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</si>
  <si>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</si>
  <si>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</si>
  <si>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</si>
  <si>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</si>
  <si>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</si>
  <si>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</si>
  <si>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</si>
  <si>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</si>
  <si>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</si>
  <si>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</si>
  <si>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</si>
  <si>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</si>
  <si>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</si>
  <si>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</si>
  <si>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</si>
  <si>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</si>
  <si>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</si>
  <si>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</si>
  <si>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</si>
  <si>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</si>
  <si>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</si>
  <si>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</si>
  <si>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</si>
  <si>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</si>
  <si>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</si>
  <si>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</si>
  <si>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</si>
  <si>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</si>
  <si>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</si>
  <si>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</si>
  <si>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</si>
  <si>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</si>
  <si>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</si>
  <si>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</si>
  <si>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</si>
  <si>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</si>
  <si>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</si>
  <si>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</si>
  <si>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</si>
  <si>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</si>
  <si>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</si>
  <si>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</si>
  <si>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</si>
  <si>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</si>
  <si>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</si>
  <si>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</si>
  <si>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</si>
  <si>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</si>
  <si>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</si>
  <si>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</si>
  <si>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</si>
  <si>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</si>
  <si>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</si>
  <si>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</si>
  <si>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</si>
  <si>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</si>
  <si>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</si>
  <si>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</si>
  <si>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</si>
  <si>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</si>
  <si>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</si>
  <si>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</si>
  <si>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</si>
  <si>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</si>
  <si>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</si>
  <si>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</si>
  <si>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</si>
  <si>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</si>
  <si>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</si>
  <si>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</si>
  <si>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</si>
  <si>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</si>
  <si>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</si>
  <si>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</si>
  <si>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</si>
  <si>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</si>
  <si>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</si>
  <si>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</si>
  <si>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</si>
  <si>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</si>
  <si>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</si>
  <si>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</si>
  <si>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</si>
  <si>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</si>
  <si>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</si>
  <si>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</si>
  <si>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</si>
  <si>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</si>
  <si>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</si>
  <si>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</si>
  <si>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</si>
  <si>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</si>
  <si>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</si>
  <si>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</si>
  <si>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</si>
  <si>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</si>
  <si>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</si>
  <si>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</si>
  <si>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</si>
  <si>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</si>
  <si>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</si>
  <si>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</si>
  <si>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SCHEDULES 10 &amp; 31</t>
  </si>
  <si>
    <t>Primary Voltage Rate Design</t>
  </si>
  <si>
    <t>Primary Voltage General Service</t>
  </si>
  <si>
    <t>SCHEDULE 35</t>
  </si>
  <si>
    <t>Same as Sch 31</t>
  </si>
  <si>
    <t>Loss Adj</t>
  </si>
  <si>
    <t>Reactive Power Charge Reduction to Base Rates:</t>
  </si>
  <si>
    <t>SCHEDULE 43</t>
  </si>
  <si>
    <t>Primary Voltage Interruptible Schools</t>
  </si>
  <si>
    <t>All Demand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</si>
  <si>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</si>
  <si>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</si>
  <si>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</si>
  <si>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</si>
  <si>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</si>
  <si>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</si>
  <si>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</si>
  <si>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</si>
  <si>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</si>
  <si>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</si>
  <si>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</si>
  <si>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</si>
  <si>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</si>
  <si>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</si>
  <si>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</si>
  <si>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</si>
  <si>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</si>
  <si>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</si>
  <si>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</si>
  <si>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</si>
  <si>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</si>
  <si>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</si>
  <si>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</si>
  <si>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</si>
  <si>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</si>
  <si>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</si>
  <si>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</si>
  <si>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</si>
  <si>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</si>
  <si>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</si>
  <si>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</si>
  <si>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</si>
  <si>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</si>
  <si>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</si>
  <si>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</si>
  <si>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</si>
  <si>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</si>
  <si>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</si>
  <si>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</si>
  <si>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</si>
  <si>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</si>
  <si>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</si>
  <si>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</si>
  <si>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</si>
  <si>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</si>
  <si>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</si>
  <si>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</si>
  <si>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</si>
  <si>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</si>
  <si>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</si>
  <si>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</si>
  <si>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</si>
  <si>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</si>
  <si>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</si>
  <si>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</si>
  <si>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</si>
  <si>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</si>
  <si>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</si>
  <si>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</si>
  <si>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</si>
  <si>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</si>
  <si>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</si>
  <si>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MWh</t>
  </si>
  <si>
    <t>Proposed
Revenue
($000)</t>
  </si>
  <si>
    <t>Proforma
Revenue
($000)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</si>
  <si>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</si>
  <si>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</si>
  <si>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</si>
  <si>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</si>
  <si>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</si>
  <si>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</si>
  <si>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</si>
  <si>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</si>
  <si>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</si>
  <si>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</si>
  <si>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</si>
  <si>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</si>
  <si>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</si>
  <si>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</si>
  <si>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</si>
  <si>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</si>
  <si>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</si>
  <si>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</si>
  <si>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</si>
  <si>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</si>
  <si>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</si>
  <si>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</si>
  <si>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</si>
  <si>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</si>
  <si>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</si>
  <si>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</si>
  <si>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</si>
  <si>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</si>
  <si>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</si>
  <si>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</si>
  <si>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</si>
  <si>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</si>
  <si>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</si>
  <si>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</si>
  <si>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</si>
  <si>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</si>
  <si>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</si>
  <si>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</si>
  <si>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</si>
  <si>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</si>
  <si>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</si>
  <si>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</si>
  <si>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</si>
  <si>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</si>
  <si>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</si>
  <si>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</si>
  <si>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</si>
  <si>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</si>
  <si>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</si>
  <si>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</si>
  <si>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</si>
  <si>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</si>
  <si>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</si>
  <si>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</si>
  <si>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</si>
  <si>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</si>
  <si>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</si>
  <si>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</si>
  <si>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</si>
  <si>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</si>
  <si>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</si>
  <si>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</si>
  <si>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</si>
  <si>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</si>
  <si>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</si>
  <si>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Summary of Proposed Rate Design</t>
  </si>
  <si>
    <t>Rate Schedule</t>
  </si>
  <si>
    <t>Tariff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</si>
  <si>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</si>
  <si>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</si>
  <si>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</si>
  <si>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</si>
  <si>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</si>
  <si>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Sec Volt, Irrigation</t>
  </si>
  <si>
    <t>Pri Volt - Gen Svc</t>
  </si>
  <si>
    <t>Pri Volt - Irrigation</t>
  </si>
  <si>
    <t>Pri Volt - Interruptible Schools</t>
  </si>
  <si>
    <t>High Volt - Interruptible</t>
  </si>
  <si>
    <t>Same as Schedule 49</t>
  </si>
  <si>
    <t>High Volt - Gen Service</t>
  </si>
  <si>
    <t>448/449</t>
  </si>
  <si>
    <t>See Testimony</t>
  </si>
  <si>
    <t>General Service</t>
  </si>
  <si>
    <t>Irrigation</t>
  </si>
  <si>
    <t>10 / 31</t>
  </si>
  <si>
    <t>Same as Tail Block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</si>
  <si>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</si>
  <si>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</si>
  <si>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</si>
  <si>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</si>
  <si>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</si>
  <si>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Target Dollars Sch 35</t>
  </si>
  <si>
    <t>Basic Charge Increase</t>
  </si>
  <si>
    <t>Target Dollars Sch 10/31</t>
  </si>
  <si>
    <t>kW &amp; Reactive Rev</t>
  </si>
  <si>
    <t>Total Demand Revenue</t>
  </si>
  <si>
    <t>Energy Rounding Adjustment =</t>
  </si>
  <si>
    <t>Present Revenue</t>
  </si>
  <si>
    <t>Pole Rentals - Sch 55, 56, 58 &amp; 59</t>
  </si>
  <si>
    <t>Avg Demand</t>
  </si>
  <si>
    <t>Avg Energy Block 1</t>
  </si>
  <si>
    <t>Avg Energy Block 2</t>
  </si>
  <si>
    <t>Choice / Retail Wheeling / Special Contract</t>
  </si>
  <si>
    <t>Transportation &amp; Wholesale for Resale &amp; Special Contract</t>
  </si>
  <si>
    <t>Total kVa</t>
  </si>
  <si>
    <t>Actual
Annual</t>
  </si>
  <si>
    <t>Customers</t>
  </si>
  <si>
    <t>Distribution Charges</t>
  </si>
  <si>
    <t>Distribution Demand Charge Direct Assignment</t>
  </si>
  <si>
    <t>Basic Chg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</si>
  <si>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</si>
  <si>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</si>
  <si>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</si>
  <si>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</si>
  <si>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</si>
  <si>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</si>
  <si>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</si>
  <si>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</si>
  <si>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</si>
  <si>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(MWH)</t>
  </si>
  <si>
    <t>Set to COS Basic Charge</t>
  </si>
  <si>
    <t>Special Contract</t>
  </si>
  <si>
    <t>449 / 459 / SC</t>
  </si>
  <si>
    <t>Delivery Demand Charge</t>
  </si>
  <si>
    <t>Conjunctive Maximum Demand Charge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</si>
  <si>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</si>
  <si>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</si>
  <si>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</si>
  <si>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</si>
  <si>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</si>
  <si>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ECOS Parity Ratio</t>
  </si>
  <si>
    <t>C = B - A</t>
  </si>
  <si>
    <t>Sheet No.</t>
  </si>
  <si>
    <t>Schedule 26</t>
  </si>
  <si>
    <t>26-B</t>
  </si>
  <si>
    <t>---</t>
  </si>
  <si>
    <t>Schedule 31</t>
  </si>
  <si>
    <t>31-B</t>
  </si>
  <si>
    <t>Schedule 35</t>
  </si>
  <si>
    <t>Schedule 49</t>
  </si>
  <si>
    <t>Schedule 29</t>
  </si>
  <si>
    <t>Schedule 46</t>
  </si>
  <si>
    <t>46-A</t>
  </si>
  <si>
    <t>Schedule 7A, 25</t>
  </si>
  <si>
    <t>Schedule 24</t>
  </si>
  <si>
    <t>Schedule 43</t>
  </si>
  <si>
    <t>43-A</t>
  </si>
  <si>
    <t>7-B, 25</t>
  </si>
  <si>
    <t>7-B, 25-A</t>
  </si>
  <si>
    <t>Current
Rates
Effective
October 1, 2021</t>
  </si>
  <si>
    <t>Proposed
Rate
Change
January 2023</t>
  </si>
  <si>
    <t>Docket No. UE-22xxxx</t>
  </si>
  <si>
    <t>Percent of Total w/o Schedule 449, SC &amp; Firm Resale</t>
  </si>
  <si>
    <t>12 MONTHS ENDED JUNE 2021</t>
  </si>
  <si>
    <t>Effective January 2023</t>
  </si>
  <si>
    <t>State Utility Tax</t>
  </si>
  <si>
    <t>Proposed Effective 
January 2023</t>
  </si>
  <si>
    <t>YE 2024</t>
  </si>
  <si>
    <t>YE 2025</t>
  </si>
  <si>
    <t>Schedule 25 Demand Related Revenue</t>
  </si>
  <si>
    <t>Energy $ / kWh Adj</t>
  </si>
  <si>
    <t>Schedule 24 $/kWh Adjustment</t>
  </si>
  <si>
    <t>Schedule 24 Rounding Residual</t>
  </si>
  <si>
    <t>Target Dollars Sch 46 &amp; 49</t>
  </si>
  <si>
    <t>YE 2023</t>
  </si>
  <si>
    <t>Proposed
Rate Year Rates
Effective
January 2023</t>
  </si>
  <si>
    <t>Proposed
Test Year Rates
Effective
January 2023</t>
  </si>
  <si>
    <t>Proposed
Rate Year Rates
Effective
January 2024</t>
  </si>
  <si>
    <t>Proposed
Rate Year Rates
Effective
January 2025</t>
  </si>
  <si>
    <t>Twelve Months ended June 2021</t>
  </si>
  <si>
    <t>MYRP 2023 Increase</t>
  </si>
  <si>
    <t>MYRP 2024 Increase</t>
  </si>
  <si>
    <t>MYRP 2025 Increase</t>
  </si>
  <si>
    <t>a</t>
  </si>
  <si>
    <t>b</t>
  </si>
  <si>
    <t>c=a*b</t>
  </si>
  <si>
    <t>d=b*A</t>
  </si>
  <si>
    <t>e=a*d</t>
  </si>
  <si>
    <t>f</t>
  </si>
  <si>
    <t>g</t>
  </si>
  <si>
    <t>h</t>
  </si>
  <si>
    <t>ESTIMATED EFFECT OF PROPOSED MULTI-YEAR RATE PLAN RATE INCREASE</t>
  </si>
  <si>
    <t>Bill Determinants</t>
  </si>
  <si>
    <t>Proforma</t>
  </si>
  <si>
    <t>Proforma $</t>
  </si>
  <si>
    <t>c</t>
  </si>
  <si>
    <t>d</t>
  </si>
  <si>
    <t>e</t>
  </si>
  <si>
    <t>i</t>
  </si>
  <si>
    <t>j</t>
  </si>
  <si>
    <t>Single Phase</t>
  </si>
  <si>
    <t>Three Phase</t>
  </si>
  <si>
    <t>Total Schedule 7</t>
  </si>
  <si>
    <t>Total Schedule 8, 24</t>
  </si>
  <si>
    <t>Total Schedule 7A, 11, 25</t>
  </si>
  <si>
    <t>MYRP Increase</t>
  </si>
  <si>
    <t>Total Schedule 12, 26, 26P</t>
  </si>
  <si>
    <t>Total Schedule 29</t>
  </si>
  <si>
    <t>Total Schedule 31</t>
  </si>
  <si>
    <t>Total Schedule 35</t>
  </si>
  <si>
    <t>All kW</t>
  </si>
  <si>
    <t>Total Schedule 43</t>
  </si>
  <si>
    <t>All kVa</t>
  </si>
  <si>
    <t>Total Schedule 46</t>
  </si>
  <si>
    <t>Total Schedule 49</t>
  </si>
  <si>
    <t>3, 50-59</t>
  </si>
  <si>
    <t>Lighting - kWh</t>
  </si>
  <si>
    <t>Total Lighting</t>
  </si>
  <si>
    <t>Total Retail Wheeling</t>
  </si>
  <si>
    <t>Secondary Voltage Pumping &amp; Irrigation Service</t>
  </si>
  <si>
    <t>Primary Voltage Pumping &amp; Irrigation Service</t>
  </si>
  <si>
    <t>Primary Voltage Interruptible Service</t>
  </si>
  <si>
    <t>Lighting Service</t>
  </si>
  <si>
    <t>Retail Wheeling Service</t>
  </si>
  <si>
    <t>kW</t>
  </si>
  <si>
    <t>Total Special Contract</t>
  </si>
  <si>
    <t>OATT</t>
  </si>
  <si>
    <t>$ / Month</t>
  </si>
  <si>
    <t>$ / kWh</t>
  </si>
  <si>
    <t>12 MONTHS ENDED DECEMBER 2023, 2024 &amp; 2025</t>
  </si>
  <si>
    <t>YE 2022</t>
  </si>
  <si>
    <t>12 MONTHS ENDED DECEMBER 2022, 2023, 2024 &amp; 2025</t>
  </si>
  <si>
    <t>MYRP Rates - Non-Refundable Sch 141N</t>
  </si>
  <si>
    <t>Proposed Base $</t>
  </si>
  <si>
    <t>Proforma Base $</t>
  </si>
  <si>
    <t>Subtotal Base Revenue</t>
  </si>
  <si>
    <t>Sch 141N</t>
  </si>
  <si>
    <t>Sch 141R</t>
  </si>
  <si>
    <t>YE 2021</t>
  </si>
  <si>
    <t>Eff Jan 2023</t>
  </si>
  <si>
    <t>Eff Oct 15, 2021</t>
  </si>
  <si>
    <t>$ to Recover Sch 141N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</si>
  <si>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</si>
  <si>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</si>
  <si>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</si>
  <si>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</si>
  <si>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</si>
  <si>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</si>
  <si>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</si>
  <si>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</si>
  <si>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</si>
  <si>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</si>
  <si>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Rounding Difference</t>
  </si>
  <si>
    <t>Proposed
Base
x$000</t>
  </si>
  <si>
    <t>Proforma
Base 
x$000</t>
  </si>
  <si>
    <t>Sch 141N
x$000</t>
  </si>
  <si>
    <t>Sch 141R
x$000</t>
  </si>
  <si>
    <t>Revenue Difference</t>
  </si>
  <si>
    <t>Net Revenue Change</t>
  </si>
  <si>
    <t>Rounding</t>
  </si>
  <si>
    <t>Conjunctive Demand Service Option</t>
  </si>
  <si>
    <t>Secondary and Primary Voltage Rate Design</t>
  </si>
  <si>
    <t>Proposed kW Demand Charges</t>
  </si>
  <si>
    <t>Base Revenue Requirement</t>
  </si>
  <si>
    <t>% To Total</t>
  </si>
  <si>
    <t>Winter</t>
  </si>
  <si>
    <t>Summer</t>
  </si>
  <si>
    <t>SCHEDULE 26 - Secondary Voltage Service</t>
  </si>
  <si>
    <t>Cost of Service Demand Components</t>
  </si>
  <si>
    <t>Production</t>
  </si>
  <si>
    <t>Transmission</t>
  </si>
  <si>
    <t>Distribution</t>
  </si>
  <si>
    <t>Total Demand Cost of Service</t>
  </si>
  <si>
    <t>Delivery Demand %</t>
  </si>
  <si>
    <t>Conjunctive Maximum Demand %</t>
  </si>
  <si>
    <t>SCHEDULE 31 - Primary Voltage Service</t>
  </si>
  <si>
    <t>SEF-4</t>
  </si>
  <si>
    <t>Base Rev Adj for Load</t>
  </si>
  <si>
    <t>SEF-4 Sch 141N/141R</t>
  </si>
  <si>
    <t>Allocation of Colstrip Tracker Revenue Requirement to Rate Schedule</t>
  </si>
  <si>
    <t>Customer Class</t>
  </si>
  <si>
    <t>Schedules</t>
  </si>
  <si>
    <t>2022 GRC Energy
Allocator
(Docket No.
UE-22xxxx)</t>
  </si>
  <si>
    <t>2022 GRC 12CP Demand Allocator,
Net of Renewables
(Docket No.
UE-22xxxx)</t>
  </si>
  <si>
    <t>2022 GRC Weighted Allocation (Docket No. UE-22xxxx)</t>
  </si>
  <si>
    <t>2023 Revenue Requirement to Spread</t>
  </si>
  <si>
    <t>2023 Revenue Requirement</t>
  </si>
  <si>
    <t>e = b + d</t>
  </si>
  <si>
    <t>g = e * Revenue Requirement</t>
  </si>
  <si>
    <t>i = g / h</t>
  </si>
  <si>
    <t>8/24</t>
  </si>
  <si>
    <t>7A/11/25</t>
  </si>
  <si>
    <t>12/26</t>
  </si>
  <si>
    <t>10/31</t>
  </si>
  <si>
    <t>Lights</t>
  </si>
  <si>
    <t>Transportation</t>
  </si>
  <si>
    <t>449-459</t>
  </si>
  <si>
    <t>Revenue Requirement to Spread to Remaining Classes</t>
  </si>
  <si>
    <t>n/a</t>
  </si>
  <si>
    <t>Unrecovered Costs (D&amp;R) (SEF-06)</t>
  </si>
  <si>
    <t>Revenue Requirement (SEF-06)</t>
  </si>
  <si>
    <t>Special Contract % of Unrecovered Cost (D&amp;R)  Revenue Req (Exh No. JAP-04)</t>
  </si>
  <si>
    <t>Current
Schedule
No.</t>
  </si>
  <si>
    <t xml:space="preserve"> Demand
(MW or MVa)</t>
  </si>
  <si>
    <t>Present
Base
Revenue
($000)</t>
  </si>
  <si>
    <t>Proposed
Base
Revenue
($000)</t>
  </si>
  <si>
    <t>Proposed
Base
% Change</t>
  </si>
  <si>
    <t>Proposed
Rates
(cents/kWh)</t>
  </si>
  <si>
    <t>Line
No.</t>
  </si>
  <si>
    <t>Proposed
Rate
Spread
($000)</t>
  </si>
  <si>
    <t>Rounding
Difference ($000)</t>
  </si>
  <si>
    <t>PRESENT AND PROPOSED RATES</t>
  </si>
  <si>
    <t>Present Energy Revenue</t>
  </si>
  <si>
    <t>Class Average Decrease</t>
  </si>
  <si>
    <t>2024 Revenue Requirement</t>
  </si>
  <si>
    <t>kWh
Source: F2021 January 2025 to December 2025</t>
  </si>
  <si>
    <t>$ per kWh Proposed
Eff 1-1-2025 Example</t>
  </si>
  <si>
    <t>2025 Revenue Requirement</t>
  </si>
  <si>
    <t>$ Variance - 2024 vs. 2023</t>
  </si>
  <si>
    <t>$ Variance - 2025 vs. 2024</t>
  </si>
  <si>
    <t>GRC Increase</t>
  </si>
  <si>
    <t>Class Average % Decrease</t>
  </si>
  <si>
    <t>Class Decrease</t>
  </si>
  <si>
    <t>Schedule 25 &amp; 29 Decrease</t>
  </si>
  <si>
    <t>Sch 29 Decrease</t>
  </si>
  <si>
    <t>Difference = Sch 25 Decrease</t>
  </si>
  <si>
    <t>Class Average Decrease (Sch 26, 26P)</t>
  </si>
  <si>
    <t>Schedule 25 &amp; 29 Class Average Decrease</t>
  </si>
  <si>
    <t>Schedule 29 Decrease</t>
  </si>
  <si>
    <t>Remaining Adjusted Decrease</t>
  </si>
  <si>
    <t xml:space="preserve">Class Decrease </t>
  </si>
  <si>
    <t>Class Average Decrease  %</t>
  </si>
  <si>
    <t xml:space="preserve">Adjusted Decrease </t>
  </si>
  <si>
    <t xml:space="preserve">Remaining Adjusted Decrease </t>
  </si>
  <si>
    <t>Class Adjusted Average % Decrease</t>
  </si>
  <si>
    <t>Basic Charge Decrease</t>
  </si>
  <si>
    <t>Net Decrease</t>
  </si>
  <si>
    <t>Proposed Revenue Requirement</t>
  </si>
  <si>
    <t>ECOS Ratebase (Note 1) %</t>
  </si>
  <si>
    <t>ECOS
Ratebase
(Note 1)</t>
  </si>
  <si>
    <t>Tariff Reference
Schedule 141N</t>
  </si>
  <si>
    <t>Tariff Reference
Schedule 141R</t>
  </si>
  <si>
    <t>Proposed
Base
Decrease
($000)</t>
  </si>
  <si>
    <t>Proposed Revenue Sufficiency</t>
  </si>
  <si>
    <t>Proposed
Revenue
Change
($)</t>
  </si>
  <si>
    <t>Proposed Revenue Change
(%)</t>
  </si>
  <si>
    <t>Proposed
Revenue
Change
($000)</t>
  </si>
  <si>
    <t>Average Change Before Transportation, Special Contract &amp; Firm Resale</t>
  </si>
  <si>
    <t>Average Change After Transportation, Special Contract, Firm Resale</t>
  </si>
  <si>
    <t>Adjustment to Average Change for Unequal Allocation of Change</t>
  </si>
  <si>
    <t>Average Change After Firm Resale adjusted for Unequal Allocation of Change</t>
  </si>
  <si>
    <t>Percent of Uniform Change</t>
  </si>
  <si>
    <t>Proposed Base
Change
Effective
January 2023
($)</t>
  </si>
  <si>
    <t>Note 1:  Ratebase Allocation for Special Contract and Retail Wheeling excludes transmission ratebase</t>
  </si>
  <si>
    <t>No Change</t>
  </si>
  <si>
    <t>b = 20% * a / ∑(a)</t>
  </si>
  <si>
    <t>d = 80% * c / ∑(c)</t>
  </si>
  <si>
    <t>Present Rev Less Basic Charge</t>
  </si>
  <si>
    <t>Adjusted Decrease %</t>
  </si>
  <si>
    <t>Adjusted % Decrease</t>
  </si>
  <si>
    <t>Same as Winter</t>
  </si>
  <si>
    <t>Same as Summer</t>
  </si>
  <si>
    <t>Same as Tailblock</t>
  </si>
  <si>
    <t>Present Revenue Less Basic, Demand &amp; Reactive</t>
  </si>
  <si>
    <t>Decrease to allocate to Energy Charge</t>
  </si>
  <si>
    <t>Adjusted Energy Decrease %</t>
  </si>
  <si>
    <t>Energy % Decrease</t>
  </si>
  <si>
    <t>Average Energy Decrease</t>
  </si>
  <si>
    <t>Average Energy Decrease %</t>
  </si>
  <si>
    <t>Adjusted Energy Decrease</t>
  </si>
  <si>
    <t>Adjusted  Decrease %</t>
  </si>
  <si>
    <t>Adjusted Average %</t>
  </si>
  <si>
    <t>Tariff
Reference</t>
  </si>
  <si>
    <t>Adjusted Decrease</t>
  </si>
  <si>
    <t>Blocks 1 &amp; 2 - Adjusted Decrease</t>
  </si>
  <si>
    <t>Adjusted % Decrease, adjusted for residual</t>
  </si>
  <si>
    <t>Adjusted % Decrease, adjusted for Residual</t>
  </si>
  <si>
    <t>Average Energy Decrease %, Adjusted for residual</t>
  </si>
  <si>
    <t>Adjusted % Decrease, Adjusted for Residual</t>
  </si>
  <si>
    <t>Remaining Adjusted Decrease. Ajusted for residual</t>
  </si>
  <si>
    <t>Non-Transmission Ratebase</t>
  </si>
  <si>
    <t>2022 Electric General Rate Case (GRC)</t>
  </si>
  <si>
    <t>Table of Contents</t>
  </si>
  <si>
    <t>Tab</t>
  </si>
  <si>
    <t xml:space="preserve">Category </t>
  </si>
  <si>
    <t>Links from Other Spreadsheets</t>
  </si>
  <si>
    <t>Exhibit</t>
  </si>
  <si>
    <t>Electric Rate Spread &amp; Rate Design</t>
  </si>
  <si>
    <t xml:space="preserve">NEW-PSE-WP-BDJ-3-ELEC-F2021-BILL-DETERMINANTS-22GRC-01-2022.xlsx
NEW-PSE-WP-BDJ-3-ELEC-NORM-MO-REV-(SCH40-MIG)-22GRC-01-2022.xlsx
NEW-PSE-WP-BDJ-3-ELEC-NORM-MO-REV-22GRC-01-2022.xlsx
NEW-PSE-WP-BDJ-4-COS-Model-22GRC-01-2022.xlsm
NEW-PSE-WP-BDJ-4-COS-Model-Allocation-Factors-22GRC-01-2022.xlsx
NEW-PSE-WP-BDJ-5-ELEC-RATE-DESIGN-(SC-DIST)-22GRC-01-2022(C).xlsx
NEW-PSE-WP-SEF-4E-ELECTRIC-REV-REQ-MODEL-22GRC-01-2022.xlsx
NEW-PSE-WP-SEF-6E-ColstripTracker-22GRC-01-2022.xlsx
</t>
  </si>
  <si>
    <t>Exhibit No.__(BDJ-Tariff)</t>
  </si>
  <si>
    <t>Exhibit No.__(BDJ-Rate Spread)</t>
  </si>
  <si>
    <t>Exhibit No.__(BDJ-Rate Des Sum)</t>
  </si>
  <si>
    <t>Exhibit No.__(BDJ-Prof-Prop)</t>
  </si>
  <si>
    <t>Exhibit No.__(BDJ-MYRP-SUM)</t>
  </si>
  <si>
    <t>Exhibit No.__(BDJ-MYRP)</t>
  </si>
  <si>
    <t>Exhibit No.__(BDJ-Res RD)</t>
  </si>
  <si>
    <t>Exhibit No.__(BDJ-SV RD)</t>
  </si>
  <si>
    <t>Exhibit No.__(BDJ-PV RD)</t>
  </si>
  <si>
    <t>Exhibit No.__(BDJ-HV RD)</t>
  </si>
  <si>
    <t>Exhibit No.__(BDJ-CONJ  DEM)</t>
  </si>
  <si>
    <t>Exhibit No.__(BDJ-TRANSP RD)</t>
  </si>
  <si>
    <t xml:space="preserve">Exhibit No.__(BDJ-LIGHT RD) </t>
  </si>
  <si>
    <t>Exhibit BDJ-5, Page 1-6</t>
  </si>
  <si>
    <t>Exhibit BDJ-5, Page 7-8</t>
  </si>
  <si>
    <t>Exhibit BDJ-5, Page 9</t>
  </si>
  <si>
    <t>Exhibit BDJ-5, Page 10</t>
  </si>
  <si>
    <t>Exhibit BDJ-5, Page 11-12</t>
  </si>
  <si>
    <t>Exhibit BDJ-5, Page 28-29</t>
  </si>
  <si>
    <t>Exhibit BDJ-5, Page 30</t>
  </si>
  <si>
    <t>Exhibit BDJ-5, Page 31</t>
  </si>
  <si>
    <t>Exhibit BDJ-5, Page 13-20</t>
  </si>
  <si>
    <t>Exhibit BDJ-5, Page 21-22</t>
  </si>
  <si>
    <t>Exhibit BDJ-5, Page 23</t>
  </si>
  <si>
    <t>Exhibit BDJ-5, Page 24-27</t>
  </si>
  <si>
    <t>Exhibit BDJ-5, Page 32</t>
  </si>
  <si>
    <t>Exhibit BDJ-5, Page 33</t>
  </si>
  <si>
    <t>Schedule 448</t>
  </si>
  <si>
    <t>Schedule 449</t>
  </si>
  <si>
    <t>449-I</t>
  </si>
  <si>
    <t>448-I</t>
  </si>
  <si>
    <t>Sheet No. 141N</t>
  </si>
  <si>
    <t>Sheet No. 141N-B</t>
  </si>
  <si>
    <t>cross check</t>
  </si>
  <si>
    <t>Schedule 141A</t>
  </si>
  <si>
    <t>Sch 141A</t>
  </si>
  <si>
    <t>Schedule 141A Tracker</t>
  </si>
  <si>
    <t xml:space="preserve">Excluding Green Direct Load </t>
  </si>
  <si>
    <t>Green Direct Credit (SCH 139) Exhibit JAP-5</t>
  </si>
  <si>
    <t>ECOS Energy Allocation Factor_3 (Note 2)</t>
  </si>
  <si>
    <t xml:space="preserve">Note 2:  Excluding Sch 139 Loads, Retail Wheeling and Special Contracts </t>
  </si>
  <si>
    <t>Allocation of SCH 139 Energy Charge Credit Recovery</t>
  </si>
  <si>
    <t>SCH 141A - SCH 139 Energy Charge Credit Recovery</t>
  </si>
  <si>
    <t>Tariff Reference
Schedule 141A</t>
  </si>
  <si>
    <t>Sheet No. 141A</t>
  </si>
  <si>
    <t>Residential (kWh Energy Charge)</t>
  </si>
  <si>
    <t>Sec Gen Svc - Small (kWh Energy Charge)</t>
  </si>
  <si>
    <t>Sec Gen Svc - Medium (Total)</t>
  </si>
  <si>
    <t>Sec Gen Svc - Medium (kWh Energy Charge)</t>
  </si>
  <si>
    <t>Billing Determinants
Source: F2021 January 2023 to December 2023</t>
  </si>
  <si>
    <t>Proposed Rates
Eff 1-1-2023</t>
  </si>
  <si>
    <t>Sec Gen Svc - Large (Total)</t>
  </si>
  <si>
    <t>Sec Gen Svc - Large (kWh Energy Charge)</t>
  </si>
  <si>
    <t>Sec Irrigation Svc (Total)</t>
  </si>
  <si>
    <t>Sec Irrigation Svc (kWh Energy Charge)</t>
  </si>
  <si>
    <t>Sec Gen Svc - Large (KW Demand Charge)</t>
  </si>
  <si>
    <t>Sec Irrigation Svc (kW Demand Charge)</t>
  </si>
  <si>
    <t>Billing Determinants
Source: F2021 January 2024 to December 2024</t>
  </si>
  <si>
    <t>Proposed Rates
Eff 1-1-2024 Example</t>
  </si>
  <si>
    <t>Pri Gen Svc (Total)</t>
  </si>
  <si>
    <t>Pri Gen Svc (kWh Energy Charge)</t>
  </si>
  <si>
    <t>Pri Gen Svc (KW Demand Charge)</t>
  </si>
  <si>
    <t>Pri Irrigation Svc (Total)</t>
  </si>
  <si>
    <t>Pri Irrigation Svc (kWh Energy Charge)</t>
  </si>
  <si>
    <t>Pri Irrigation Svc (KW Demand Charge)</t>
  </si>
  <si>
    <t>Pri Interruptible Svc (Total)</t>
  </si>
  <si>
    <t>Pri Interruptible Svc (kWh Energy Charge)</t>
  </si>
  <si>
    <t>Pri Interruptible Svc (KW Demand Charge)</t>
  </si>
  <si>
    <t>HV - Interruptible Svc (Total)</t>
  </si>
  <si>
    <t>HV - Interruptible Svc (kWh Energy Charge)</t>
  </si>
  <si>
    <t>HV - General Svc (Total)</t>
  </si>
  <si>
    <t>HV - General Svc (kWh Energy Charge)</t>
  </si>
  <si>
    <t>HV - Interruptible Svc (kVa Demand Charge)</t>
  </si>
  <si>
    <t>HV - General Svc (kVa Demand Charge)</t>
  </si>
  <si>
    <t>No Increase</t>
  </si>
  <si>
    <t>Sec Gen Svc - Medium (KW Demand Charge)</t>
  </si>
  <si>
    <t>Cross check</t>
  </si>
  <si>
    <t xml:space="preserve">Firm Resale - Small </t>
  </si>
  <si>
    <t>$ / kVa</t>
  </si>
  <si>
    <t>$ / kW</t>
  </si>
  <si>
    <t>SCH 141N - Non-Refundable</t>
  </si>
  <si>
    <t>SCH 141R - Refundable</t>
  </si>
  <si>
    <t>Sheet No. 141R</t>
  </si>
  <si>
    <t>Special Contract (kWh Energy Charge) (Note 1)</t>
  </si>
  <si>
    <t>(Note 1): Per Settlement Agreement an up-front payment will be made in amount of $407,922.43</t>
  </si>
  <si>
    <t>Green Direct Load (Exhibit BDJ-3, Production Adjustment Factor)</t>
  </si>
  <si>
    <t>Note:  Amounts in bold and italics are different from the October 18, 2022 PSE Response to WUTC Bench Request 002.</t>
  </si>
  <si>
    <t>Exhibit No.__(BDJ-141COL)</t>
  </si>
  <si>
    <t>Schedule 141COL Colstrip Tracker</t>
  </si>
  <si>
    <t>Tariff Reference
Schedule 141COL</t>
  </si>
  <si>
    <t>Sheet No. 141COL</t>
  </si>
  <si>
    <t>Schedule 141COL</t>
  </si>
  <si>
    <t>MYRP Rates - Refundable Sch 141R</t>
  </si>
  <si>
    <t>Schedule 7</t>
  </si>
  <si>
    <t xml:space="preserve">7 </t>
  </si>
  <si>
    <t>SCHEDULE 7</t>
  </si>
  <si>
    <t>Presentational purpose ONLY, rates will only be set for 2023 in 2022 GRC</t>
  </si>
  <si>
    <t>PSE's December 27, 2022 Compliance Filing</t>
  </si>
  <si>
    <t>PSE's 2022 GRC Compliance Filing</t>
  </si>
  <si>
    <t>Grossed Up Deficiency - Cumulative</t>
  </si>
  <si>
    <t>Net Operating Income Deficiency</t>
  </si>
  <si>
    <t>Net Operating Income Requirement (Return on Rate Base)</t>
  </si>
  <si>
    <t>Net Operating Income</t>
  </si>
  <si>
    <t>Tax Benefit of Proforma Interest</t>
  </si>
  <si>
    <t>Impact on NOI for Depreciation/Amortization Expense</t>
  </si>
  <si>
    <t>Income Tax Expense</t>
  </si>
  <si>
    <t>Impact on Operating Income for Depreciation/Amortization Expense</t>
  </si>
  <si>
    <t>Rate Base</t>
  </si>
  <si>
    <t>Conversion Factor</t>
  </si>
  <si>
    <t>Statutory Federal Income Tax Rate</t>
  </si>
  <si>
    <t>ROR per Settlement</t>
  </si>
  <si>
    <t>Cost of Debt</t>
  </si>
  <si>
    <t>PLANT RELATED COSTS</t>
  </si>
  <si>
    <t>LINE</t>
  </si>
  <si>
    <t>ELECTRIC</t>
  </si>
  <si>
    <t>SUBJECT TO REFUND</t>
  </si>
  <si>
    <t xml:space="preserve">PROVISIONAL PROFORMA ADJUSTMENTS - FOR RATES </t>
  </si>
  <si>
    <t xml:space="preserve">DETERMINATION OF DEFICIENCY ASSOCIATED WITH </t>
  </si>
  <si>
    <t>7 (307) (317) (327)</t>
  </si>
  <si>
    <t>24 (08) (324)</t>
  </si>
  <si>
    <t>7 / 307 / 317 / 327</t>
  </si>
  <si>
    <t>8 / 24 / 324</t>
  </si>
  <si>
    <t>7, 307, 317, 327</t>
  </si>
  <si>
    <t>8, 24, 324</t>
  </si>
  <si>
    <t>Grossed Up Deficiency -  In Rates</t>
  </si>
  <si>
    <t>Grossed Up Deficiency to be transferred from 141R to 141 N</t>
  </si>
  <si>
    <t>Check (S/B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</si>
</sst>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000000000%"/>
    <numFmt numFmtId="167" formatCode="_(* #,##0_);_(* \(#,##0\);_(* &quot;-&quot;??_);_(@_)"/>
    <numFmt numFmtId="168" formatCode="0.000000_)"/>
    <numFmt numFmtId="169" formatCode="0.0000%"/>
    <numFmt numFmtId="170" formatCode="0.00_)"/>
    <numFmt numFmtId="171" formatCode="0.000000000_)"/>
    <numFmt numFmtId="172" formatCode="_(&quot;$&quot;* #,##0.000000_);_(&quot;$&quot;* \(#,##0.000000\);_(&quot;$&quot;* &quot;-&quot;??_);_(@_)"/>
    <numFmt numFmtId="173" formatCode="_(&quot;$&quot;* #,##0.00000_);_(&quot;$&quot;* \(#,##0.00000\);_(&quot;$&quot;* &quot;-&quot;??_);_(@_)"/>
    <numFmt numFmtId="174" formatCode="_(&quot;$&quot;* #,##0.000_);_(&quot;$&quot;* \(#,##0.000\);_(&quot;$&quot;* &quot;-&quot;??_);_(@_)"/>
    <numFmt numFmtId="175" formatCode="&quot;$&quot;#,##0"/>
    <numFmt numFmtId="176" formatCode="_(* #,##0.000000_);_(* \(#,##0.000000\);_(* &quot;-&quot;??_);_(@_)"/>
    <numFmt numFmtId="177" formatCode="0.0000\ \¢"/>
    <numFmt numFmtId="178" formatCode="0.000"/>
    <numFmt numFmtId="179" formatCode="_(&quot;$&quot;* #,##0.0000000_);_(&quot;$&quot;* \(#,##0.0000000\);_(&quot;$&quot;* &quot;-&quot;??_);_(@_)"/>
  </numFmts>
  <fonts count="27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rgb="FF006666"/>
      <name val="Arial"/>
      <family val="2"/>
    </font>
    <font>
      <sz val="8"/>
      <color rgb="FFFF0000"/>
      <name val="Arial"/>
      <family val="2"/>
    </font>
    <font>
      <sz val="12"/>
      <name val="Times New Roman"/>
      <family val="1"/>
    </font>
    <font>
      <b/>
      <i/>
      <sz val="8"/>
      <color rgb="FF0033CC"/>
      <name val="Arial"/>
      <family val="2"/>
    </font>
    <font>
      <b/>
      <i/>
      <sz val="8"/>
      <color rgb="FF0000FF"/>
      <name val="Arial"/>
      <family val="2"/>
    </font>
    <font>
      <sz val="12"/>
      <name val="Times New Roman"/>
      <family val="1"/>
    </font>
    <font>
      <u/>
      <sz val="8"/>
      <color theme="10"/>
      <name val="Arial"/>
      <family val="2"/>
    </font>
    <font>
      <sz val="8"/>
      <color rgb="FF008080"/>
      <name val="Arial"/>
      <family val="2"/>
    </font>
    <font>
      <b/>
      <sz val="8"/>
      <color rgb="FFFF0000"/>
      <name val="Arial"/>
      <family val="2"/>
    </font>
    <font>
      <b/>
      <sz val="8"/>
      <color rgb="FF0033CC"/>
      <name val="Arial"/>
      <family val="2"/>
    </font>
    <font>
      <b/>
      <sz val="12"/>
      <color rgb="FF0033CC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b/>
      <i/>
      <sz val="8"/>
      <color rgb="FF008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2" fillId="0" borderId="0"/>
    <xf numFmtId="43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quotePrefix="1" applyFont="1" applyFill="1" applyAlignment="1">
      <alignment horizontal="left"/>
    </xf>
    <xf numFmtId="0" fontId="5" fillId="0" borderId="0" xfId="0" applyFont="1" applyFill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indent="2"/>
    </xf>
    <xf numFmtId="0" fontId="6" fillId="0" borderId="0" xfId="0" applyFont="1" applyFill="1" applyAlignment="1"/>
    <xf numFmtId="0" fontId="7" fillId="0" borderId="0" xfId="0" applyFont="1"/>
    <xf numFmtId="0" fontId="6" fillId="0" borderId="0" xfId="0" quotePrefix="1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 applyProtection="1">
      <alignment horizontal="center" wrapText="1"/>
    </xf>
    <xf numFmtId="0" fontId="7" fillId="0" borderId="0" xfId="0" quotePrefix="1" applyFont="1" applyFill="1"/>
    <xf numFmtId="0" fontId="7" fillId="0" borderId="0" xfId="0" quotePrefix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quotePrefix="1" applyFont="1" applyFill="1" applyAlignment="1">
      <alignment horizontal="left"/>
    </xf>
    <xf numFmtId="0" fontId="7" fillId="0" borderId="0" xfId="0" applyFont="1" applyFill="1" applyAlignment="1" applyProtection="1">
      <alignment horizontal="left" indent="1"/>
    </xf>
    <xf numFmtId="167" fontId="7" fillId="0" borderId="0" xfId="0" applyNumberFormat="1" applyFont="1"/>
    <xf numFmtId="0" fontId="7" fillId="0" borderId="0" xfId="0" quotePrefix="1" applyFont="1" applyFill="1" applyAlignment="1" applyProtection="1">
      <alignment horizontal="left" indent="2"/>
    </xf>
    <xf numFmtId="0" fontId="7" fillId="0" borderId="0" xfId="0" applyFont="1" applyFill="1" applyAlignment="1" applyProtection="1">
      <alignment horizontal="left" indent="3"/>
    </xf>
    <xf numFmtId="165" fontId="7" fillId="0" borderId="0" xfId="0" applyNumberFormat="1" applyFont="1"/>
    <xf numFmtId="0" fontId="7" fillId="0" borderId="0" xfId="0" quotePrefix="1" applyFont="1" applyAlignment="1">
      <alignment horizontal="center"/>
    </xf>
    <xf numFmtId="0" fontId="10" fillId="0" borderId="0" xfId="0" applyFont="1" applyFill="1"/>
    <xf numFmtId="165" fontId="10" fillId="0" borderId="0" xfId="0" applyNumberFormat="1" applyFont="1" applyFill="1"/>
    <xf numFmtId="0" fontId="10" fillId="0" borderId="0" xfId="0" applyFont="1" applyFill="1" applyAlignment="1">
      <alignment horizontal="center"/>
    </xf>
    <xf numFmtId="172" fontId="7" fillId="0" borderId="0" xfId="0" applyNumberFormat="1" applyFont="1" applyFill="1"/>
    <xf numFmtId="165" fontId="7" fillId="0" borderId="0" xfId="0" applyNumberFormat="1" applyFont="1" applyFill="1" applyBorder="1"/>
    <xf numFmtId="165" fontId="9" fillId="0" borderId="0" xfId="0" applyNumberFormat="1" applyFont="1" applyFill="1"/>
    <xf numFmtId="165" fontId="7" fillId="0" borderId="0" xfId="0" applyNumberFormat="1" applyFont="1" applyFill="1"/>
    <xf numFmtId="44" fontId="7" fillId="0" borderId="0" xfId="0" applyNumberFormat="1" applyFont="1" applyFill="1"/>
    <xf numFmtId="0" fontId="7" fillId="0" borderId="0" xfId="0" applyFont="1" applyAlignment="1"/>
    <xf numFmtId="0" fontId="7" fillId="0" borderId="0" xfId="0" applyFont="1" applyFill="1" applyAlignment="1"/>
    <xf numFmtId="0" fontId="12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wrapText="1"/>
    </xf>
    <xf numFmtId="0" fontId="7" fillId="0" borderId="0" xfId="1" quotePrefix="1" applyFont="1" applyFill="1" applyAlignment="1">
      <alignment horizontal="center"/>
    </xf>
    <xf numFmtId="0" fontId="7" fillId="0" borderId="0" xfId="1" quotePrefix="1" applyFont="1" applyFill="1" applyAlignment="1">
      <alignment horizontal="left" indent="1"/>
    </xf>
    <xf numFmtId="0" fontId="6" fillId="0" borderId="0" xfId="1" applyFont="1" applyFill="1"/>
    <xf numFmtId="0" fontId="13" fillId="0" borderId="0" xfId="0" applyFont="1" applyFill="1"/>
    <xf numFmtId="167" fontId="7" fillId="0" borderId="0" xfId="0" applyNumberFormat="1" applyFont="1" applyBorder="1"/>
    <xf numFmtId="0" fontId="7" fillId="0" borderId="0" xfId="0" applyFont="1" applyBorder="1"/>
    <xf numFmtId="167" fontId="7" fillId="0" borderId="0" xfId="0" applyNumberFormat="1" applyFont="1" applyFill="1" applyBorder="1"/>
    <xf numFmtId="37" fontId="7" fillId="4" borderId="0" xfId="0" applyNumberFormat="1" applyFont="1" applyFill="1" applyBorder="1"/>
    <xf numFmtId="167" fontId="10" fillId="0" borderId="0" xfId="0" applyNumberFormat="1" applyFont="1" applyBorder="1"/>
    <xf numFmtId="0" fontId="10" fillId="0" borderId="0" xfId="0" applyFont="1" applyBorder="1"/>
    <xf numFmtId="0" fontId="6" fillId="0" borderId="15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17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167" fontId="6" fillId="0" borderId="22" xfId="0" quotePrefix="1" applyNumberFormat="1" applyFont="1" applyFill="1" applyBorder="1" applyAlignment="1">
      <alignment horizontal="center" wrapText="1"/>
    </xf>
    <xf numFmtId="0" fontId="6" fillId="0" borderId="22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167" fontId="7" fillId="0" borderId="21" xfId="0" applyNumberFormat="1" applyFont="1" applyFill="1" applyBorder="1" applyAlignment="1">
      <alignment horizontal="center" vertical="center" wrapText="1"/>
    </xf>
    <xf numFmtId="167" fontId="7" fillId="0" borderId="21" xfId="0" quotePrefix="1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quotePrefix="1" applyFont="1" applyFill="1" applyBorder="1" applyAlignment="1">
      <alignment horizontal="center" vertical="center" wrapText="1"/>
    </xf>
    <xf numFmtId="0" fontId="7" fillId="0" borderId="16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5" xfId="0" quotePrefix="1" applyFont="1" applyFill="1" applyBorder="1" applyAlignment="1">
      <alignment horizontal="center" vertical="center" wrapText="1"/>
    </xf>
    <xf numFmtId="0" fontId="7" fillId="0" borderId="0" xfId="0" applyFont="1" applyFill="1" applyBorder="1"/>
    <xf numFmtId="44" fontId="7" fillId="0" borderId="17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172" fontId="7" fillId="0" borderId="18" xfId="0" applyNumberFormat="1" applyFont="1" applyFill="1" applyBorder="1" applyAlignment="1">
      <alignment horizontal="center"/>
    </xf>
    <xf numFmtId="165" fontId="7" fillId="0" borderId="17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165" fontId="7" fillId="0" borderId="18" xfId="0" applyNumberFormat="1" applyFont="1" applyFill="1" applyBorder="1" applyAlignment="1">
      <alignment horizontal="center"/>
    </xf>
    <xf numFmtId="44" fontId="7" fillId="0" borderId="17" xfId="0" applyNumberFormat="1" applyFont="1" applyFill="1" applyBorder="1"/>
    <xf numFmtId="16" fontId="7" fillId="0" borderId="0" xfId="0" applyNumberFormat="1" applyFont="1" applyFill="1" applyBorder="1"/>
    <xf numFmtId="177" fontId="7" fillId="0" borderId="18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7" fillId="0" borderId="18" xfId="0" applyFont="1" applyFill="1" applyBorder="1"/>
    <xf numFmtId="165" fontId="7" fillId="0" borderId="18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22" xfId="0" applyFont="1" applyFill="1" applyBorder="1"/>
    <xf numFmtId="167" fontId="7" fillId="0" borderId="22" xfId="0" applyNumberFormat="1" applyFont="1" applyFill="1" applyBorder="1"/>
    <xf numFmtId="0" fontId="7" fillId="0" borderId="20" xfId="0" applyFont="1" applyFill="1" applyBorder="1"/>
    <xf numFmtId="0" fontId="7" fillId="0" borderId="19" xfId="0" applyFont="1" applyFill="1" applyBorder="1"/>
    <xf numFmtId="165" fontId="7" fillId="0" borderId="20" xfId="0" applyNumberFormat="1" applyFont="1" applyFill="1" applyBorder="1"/>
    <xf numFmtId="0" fontId="10" fillId="0" borderId="0" xfId="0" applyFont="1" applyFill="1" applyBorder="1"/>
    <xf numFmtId="10" fontId="7" fillId="0" borderId="0" xfId="0" applyNumberFormat="1" applyFont="1" applyFill="1" applyBorder="1"/>
    <xf numFmtId="165" fontId="7" fillId="4" borderId="0" xfId="3" applyNumberFormat="1" applyFont="1" applyFill="1" applyBorder="1"/>
    <xf numFmtId="0" fontId="6" fillId="0" borderId="0" xfId="0" quotePrefix="1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Continuous"/>
    </xf>
    <xf numFmtId="0" fontId="6" fillId="0" borderId="0" xfId="0" applyFont="1" applyFill="1" applyProtection="1"/>
    <xf numFmtId="3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37" fontId="6" fillId="0" borderId="7" xfId="0" applyNumberFormat="1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8" fillId="0" borderId="0" xfId="0" quotePrefix="1" applyFont="1" applyFill="1" applyAlignment="1" applyProtection="1">
      <alignment horizontal="left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0" xfId="0" applyNumberFormat="1" applyFont="1" applyFill="1" applyAlignment="1" applyProtection="1">
      <alignment horizontal="center"/>
    </xf>
    <xf numFmtId="0" fontId="7" fillId="0" borderId="0" xfId="0" quotePrefix="1" applyFont="1" applyFill="1" applyAlignment="1" applyProtection="1">
      <alignment horizontal="center"/>
    </xf>
    <xf numFmtId="37" fontId="7" fillId="0" borderId="0" xfId="0" quotePrefix="1" applyNumberFormat="1" applyFont="1" applyFill="1" applyAlignment="1" applyProtection="1">
      <alignment horizontal="center"/>
    </xf>
    <xf numFmtId="0" fontId="7" fillId="0" borderId="0" xfId="0" quotePrefix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 applyFill="1" applyBorder="1" applyAlignment="1">
      <alignment horizontal="right"/>
    </xf>
    <xf numFmtId="167" fontId="7" fillId="0" borderId="0" xfId="0" applyNumberFormat="1" applyFont="1" applyFill="1" applyProtection="1"/>
    <xf numFmtId="44" fontId="7" fillId="0" borderId="0" xfId="0" applyNumberFormat="1" applyFont="1" applyFill="1" applyProtection="1">
      <protection locked="0"/>
    </xf>
    <xf numFmtId="165" fontId="7" fillId="0" borderId="0" xfId="0" applyNumberFormat="1" applyFont="1" applyFill="1" applyProtection="1"/>
    <xf numFmtId="0" fontId="7" fillId="0" borderId="0" xfId="0" applyFont="1" applyFill="1" applyAlignment="1" applyProtection="1">
      <alignment horizontal="left" indent="2"/>
    </xf>
    <xf numFmtId="167" fontId="7" fillId="0" borderId="10" xfId="0" applyNumberFormat="1" applyFont="1" applyFill="1" applyBorder="1" applyProtection="1"/>
    <xf numFmtId="7" fontId="7" fillId="0" borderId="0" xfId="0" applyNumberFormat="1" applyFont="1" applyFill="1" applyProtection="1">
      <protection locked="0"/>
    </xf>
    <xf numFmtId="165" fontId="7" fillId="0" borderId="10" xfId="0" applyNumberFormat="1" applyFont="1" applyFill="1" applyBorder="1" applyProtection="1"/>
    <xf numFmtId="167" fontId="7" fillId="0" borderId="0" xfId="0" applyNumberFormat="1" applyFont="1" applyFill="1" applyBorder="1" applyProtection="1"/>
    <xf numFmtId="165" fontId="7" fillId="0" borderId="0" xfId="0" applyNumberFormat="1" applyFont="1" applyFill="1" applyBorder="1" applyProtection="1"/>
    <xf numFmtId="0" fontId="7" fillId="0" borderId="0" xfId="0" quotePrefix="1" applyFont="1" applyFill="1" applyAlignment="1" applyProtection="1">
      <alignment horizontal="left" indent="1"/>
    </xf>
    <xf numFmtId="172" fontId="7" fillId="0" borderId="0" xfId="0" applyNumberFormat="1" applyFont="1" applyFill="1" applyProtection="1">
      <protection locked="0"/>
    </xf>
    <xf numFmtId="5" fontId="7" fillId="0" borderId="0" xfId="0" applyNumberFormat="1" applyFont="1" applyFill="1" applyProtection="1">
      <protection locked="0"/>
    </xf>
    <xf numFmtId="5" fontId="7" fillId="0" borderId="0" xfId="0" applyNumberFormat="1" applyFont="1" applyFill="1" applyProtection="1"/>
    <xf numFmtId="0" fontId="7" fillId="0" borderId="0" xfId="0" quotePrefix="1" applyFont="1" applyFill="1" applyAlignment="1"/>
    <xf numFmtId="165" fontId="7" fillId="0" borderId="5" xfId="0" applyNumberFormat="1" applyFont="1" applyFill="1" applyBorder="1" applyProtection="1"/>
    <xf numFmtId="167" fontId="7" fillId="0" borderId="14" xfId="0" applyNumberFormat="1" applyFont="1" applyFill="1" applyBorder="1" applyProtection="1"/>
    <xf numFmtId="165" fontId="7" fillId="0" borderId="14" xfId="0" applyNumberFormat="1" applyFont="1" applyFill="1" applyBorder="1" applyProtection="1"/>
    <xf numFmtId="37" fontId="7" fillId="0" borderId="0" xfId="0" applyNumberFormat="1" applyFont="1" applyFill="1" applyBorder="1" applyProtection="1"/>
    <xf numFmtId="5" fontId="7" fillId="0" borderId="0" xfId="0" applyNumberFormat="1" applyFont="1" applyFill="1" applyBorder="1" applyProtection="1"/>
    <xf numFmtId="5" fontId="7" fillId="0" borderId="0" xfId="0" applyNumberFormat="1" applyFont="1" applyFill="1"/>
    <xf numFmtId="0" fontId="7" fillId="0" borderId="15" xfId="0" applyFont="1" applyFill="1" applyBorder="1"/>
    <xf numFmtId="0" fontId="7" fillId="0" borderId="21" xfId="0" applyFont="1" applyFill="1" applyBorder="1"/>
    <xf numFmtId="5" fontId="7" fillId="0" borderId="21" xfId="0" applyNumberFormat="1" applyFont="1" applyFill="1" applyBorder="1" applyProtection="1"/>
    <xf numFmtId="0" fontId="7" fillId="0" borderId="17" xfId="0" quotePrefix="1" applyFont="1" applyFill="1" applyBorder="1" applyAlignment="1">
      <alignment horizontal="left"/>
    </xf>
    <xf numFmtId="0" fontId="7" fillId="0" borderId="0" xfId="0" applyFont="1" applyFill="1" applyBorder="1" applyProtection="1"/>
    <xf numFmtId="5" fontId="7" fillId="0" borderId="17" xfId="0" applyNumberFormat="1" applyFont="1" applyFill="1" applyBorder="1" applyProtection="1"/>
    <xf numFmtId="165" fontId="7" fillId="0" borderId="18" xfId="0" applyNumberFormat="1" applyFont="1" applyFill="1" applyBorder="1" applyProtection="1"/>
    <xf numFmtId="5" fontId="7" fillId="0" borderId="17" xfId="0" quotePrefix="1" applyNumberFormat="1" applyFont="1" applyFill="1" applyBorder="1" applyAlignment="1" applyProtection="1">
      <alignment horizontal="left"/>
    </xf>
    <xf numFmtId="5" fontId="7" fillId="0" borderId="22" xfId="0" applyNumberFormat="1" applyFont="1" applyFill="1" applyBorder="1" applyProtection="1"/>
    <xf numFmtId="168" fontId="7" fillId="0" borderId="0" xfId="0" applyNumberFormat="1" applyFont="1" applyFill="1" applyProtection="1"/>
    <xf numFmtId="0" fontId="7" fillId="0" borderId="0" xfId="0" applyFont="1" applyFill="1" applyProtection="1">
      <protection locked="0"/>
    </xf>
    <xf numFmtId="37" fontId="7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wrapText="1"/>
    </xf>
    <xf numFmtId="37" fontId="7" fillId="0" borderId="0" xfId="0" applyNumberFormat="1" applyFont="1" applyFill="1"/>
    <xf numFmtId="170" fontId="7" fillId="0" borderId="0" xfId="0" applyNumberFormat="1" applyFont="1" applyFill="1" applyProtection="1">
      <protection locked="0"/>
    </xf>
    <xf numFmtId="37" fontId="7" fillId="0" borderId="5" xfId="0" applyNumberFormat="1" applyFont="1" applyFill="1" applyBorder="1" applyProtection="1"/>
    <xf numFmtId="5" fontId="7" fillId="0" borderId="12" xfId="0" applyNumberFormat="1" applyFont="1" applyFill="1" applyBorder="1" applyProtection="1"/>
    <xf numFmtId="172" fontId="7" fillId="0" borderId="0" xfId="0" applyNumberFormat="1" applyFont="1" applyFill="1" applyProtection="1"/>
    <xf numFmtId="0" fontId="7" fillId="0" borderId="0" xfId="0" quotePrefix="1" applyFont="1" applyFill="1" applyAlignment="1">
      <alignment horizontal="right"/>
    </xf>
    <xf numFmtId="0" fontId="7" fillId="0" borderId="21" xfId="0" applyFont="1" applyFill="1" applyBorder="1" applyProtection="1"/>
    <xf numFmtId="37" fontId="7" fillId="0" borderId="21" xfId="0" applyNumberFormat="1" applyFont="1" applyFill="1" applyBorder="1" applyProtection="1"/>
    <xf numFmtId="172" fontId="7" fillId="0" borderId="21" xfId="0" applyNumberFormat="1" applyFont="1" applyFill="1" applyBorder="1" applyProtection="1"/>
    <xf numFmtId="0" fontId="7" fillId="0" borderId="17" xfId="0" applyFont="1" applyFill="1" applyBorder="1" applyProtection="1"/>
    <xf numFmtId="172" fontId="7" fillId="0" borderId="0" xfId="0" applyNumberFormat="1" applyFont="1" applyFill="1" applyBorder="1" applyProtection="1"/>
    <xf numFmtId="164" fontId="7" fillId="0" borderId="0" xfId="0" applyNumberFormat="1" applyFont="1" applyFill="1" applyBorder="1"/>
    <xf numFmtId="0" fontId="7" fillId="0" borderId="22" xfId="0" applyFont="1" applyFill="1" applyBorder="1" applyProtection="1"/>
    <xf numFmtId="37" fontId="7" fillId="0" borderId="22" xfId="0" applyNumberFormat="1" applyFont="1" applyFill="1" applyBorder="1" applyProtection="1"/>
    <xf numFmtId="172" fontId="7" fillId="0" borderId="22" xfId="0" applyNumberFormat="1" applyFont="1" applyFill="1" applyBorder="1" applyProtection="1"/>
    <xf numFmtId="7" fontId="7" fillId="0" borderId="0" xfId="0" applyNumberFormat="1" applyFont="1" applyFill="1" applyProtection="1"/>
    <xf numFmtId="5" fontId="7" fillId="0" borderId="10" xfId="0" applyNumberFormat="1" applyFont="1" applyFill="1" applyBorder="1" applyProtection="1"/>
    <xf numFmtId="173" fontId="7" fillId="0" borderId="0" xfId="0" applyNumberFormat="1" applyFont="1" applyFill="1" applyProtection="1">
      <protection locked="0"/>
    </xf>
    <xf numFmtId="171" fontId="7" fillId="0" borderId="0" xfId="0" applyNumberFormat="1" applyFont="1" applyFill="1" applyProtection="1"/>
    <xf numFmtId="0" fontId="7" fillId="0" borderId="1" xfId="0" quotePrefix="1" applyFont="1" applyFill="1" applyBorder="1" applyAlignment="1">
      <alignment horizontal="left"/>
    </xf>
    <xf numFmtId="171" fontId="7" fillId="0" borderId="2" xfId="0" applyNumberFormat="1" applyFont="1" applyFill="1" applyBorder="1" applyProtection="1"/>
    <xf numFmtId="37" fontId="7" fillId="0" borderId="2" xfId="0" applyNumberFormat="1" applyFont="1" applyFill="1" applyBorder="1" applyProtection="1"/>
    <xf numFmtId="0" fontId="7" fillId="0" borderId="2" xfId="0" applyFont="1" applyFill="1" applyBorder="1" applyProtection="1"/>
    <xf numFmtId="5" fontId="7" fillId="0" borderId="2" xfId="0" applyNumberFormat="1" applyFont="1" applyFill="1" applyBorder="1" applyProtection="1"/>
    <xf numFmtId="0" fontId="7" fillId="0" borderId="13" xfId="0" applyFont="1" applyFill="1" applyBorder="1"/>
    <xf numFmtId="171" fontId="7" fillId="0" borderId="0" xfId="0" applyNumberFormat="1" applyFont="1" applyFill="1" applyBorder="1" applyProtection="1"/>
    <xf numFmtId="0" fontId="7" fillId="0" borderId="4" xfId="0" applyFont="1" applyFill="1" applyBorder="1" applyProtection="1"/>
    <xf numFmtId="171" fontId="7" fillId="0" borderId="5" xfId="0" applyNumberFormat="1" applyFont="1" applyFill="1" applyBorder="1" applyProtection="1"/>
    <xf numFmtId="0" fontId="7" fillId="0" borderId="5" xfId="0" applyFont="1" applyFill="1" applyBorder="1" applyProtection="1"/>
    <xf numFmtId="5" fontId="7" fillId="0" borderId="5" xfId="0" applyNumberFormat="1" applyFont="1" applyFill="1" applyBorder="1" applyProtection="1"/>
    <xf numFmtId="0" fontId="7" fillId="0" borderId="1" xfId="0" applyFont="1" applyFill="1" applyBorder="1"/>
    <xf numFmtId="3" fontId="7" fillId="0" borderId="0" xfId="0" applyNumberFormat="1" applyFont="1" applyFill="1"/>
    <xf numFmtId="165" fontId="7" fillId="0" borderId="32" xfId="0" applyNumberFormat="1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5" xfId="0" applyFont="1" applyFill="1" applyBorder="1"/>
    <xf numFmtId="44" fontId="7" fillId="0" borderId="5" xfId="0" applyNumberFormat="1" applyFont="1" applyFill="1" applyBorder="1"/>
    <xf numFmtId="172" fontId="7" fillId="0" borderId="5" xfId="0" applyNumberFormat="1" applyFont="1" applyFill="1" applyBorder="1"/>
    <xf numFmtId="3" fontId="7" fillId="0" borderId="9" xfId="0" quotePrefix="1" applyNumberFormat="1" applyFont="1" applyFill="1" applyBorder="1" applyAlignment="1">
      <alignment horizontal="left"/>
    </xf>
    <xf numFmtId="3" fontId="6" fillId="0" borderId="10" xfId="0" applyNumberFormat="1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/>
    <xf numFmtId="3" fontId="7" fillId="0" borderId="13" xfId="0" quotePrefix="1" applyNumberFormat="1" applyFont="1" applyFill="1" applyBorder="1" applyAlignment="1">
      <alignment horizontal="left"/>
    </xf>
    <xf numFmtId="172" fontId="7" fillId="0" borderId="0" xfId="0" applyNumberFormat="1" applyFont="1" applyFill="1" applyBorder="1"/>
    <xf numFmtId="0" fontId="7" fillId="0" borderId="32" xfId="0" applyFont="1" applyFill="1" applyBorder="1"/>
    <xf numFmtId="3" fontId="7" fillId="0" borderId="0" xfId="0" applyNumberFormat="1" applyFont="1" applyFill="1" applyBorder="1"/>
    <xf numFmtId="3" fontId="7" fillId="0" borderId="4" xfId="0" quotePrefix="1" applyNumberFormat="1" applyFont="1" applyFill="1" applyBorder="1" applyAlignment="1">
      <alignment horizontal="left"/>
    </xf>
    <xf numFmtId="165" fontId="7" fillId="0" borderId="5" xfId="0" applyNumberFormat="1" applyFont="1" applyFill="1" applyBorder="1"/>
    <xf numFmtId="0" fontId="7" fillId="0" borderId="6" xfId="0" applyFont="1" applyFill="1" applyBorder="1"/>
    <xf numFmtId="0" fontId="6" fillId="0" borderId="0" xfId="0" quotePrefix="1" applyFont="1" applyFill="1" applyAlignment="1">
      <alignment horizontal="left"/>
    </xf>
    <xf numFmtId="44" fontId="7" fillId="0" borderId="0" xfId="0" applyNumberFormat="1" applyFont="1" applyFill="1" applyBorder="1"/>
    <xf numFmtId="44" fontId="7" fillId="0" borderId="2" xfId="0" applyNumberFormat="1" applyFont="1" applyFill="1" applyBorder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0" fontId="7" fillId="3" borderId="0" xfId="0" applyNumberFormat="1" applyFont="1" applyFill="1" applyBorder="1"/>
    <xf numFmtId="44" fontId="7" fillId="0" borderId="32" xfId="0" applyNumberFormat="1" applyFont="1" applyFill="1" applyBorder="1"/>
    <xf numFmtId="10" fontId="7" fillId="0" borderId="5" xfId="0" applyNumberFormat="1" applyFont="1" applyFill="1" applyBorder="1"/>
    <xf numFmtId="173" fontId="7" fillId="0" borderId="6" xfId="0" applyNumberFormat="1" applyFont="1" applyFill="1" applyBorder="1"/>
    <xf numFmtId="0" fontId="7" fillId="0" borderId="0" xfId="0" quotePrefix="1" applyFont="1" applyFill="1" applyAlignment="1">
      <alignment wrapText="1"/>
    </xf>
    <xf numFmtId="3" fontId="7" fillId="0" borderId="0" xfId="0" quotePrefix="1" applyNumberFormat="1" applyFont="1" applyFill="1" applyBorder="1" applyAlignment="1">
      <alignment horizontal="left"/>
    </xf>
    <xf numFmtId="10" fontId="7" fillId="0" borderId="32" xfId="0" applyNumberFormat="1" applyFont="1" applyFill="1" applyBorder="1"/>
    <xf numFmtId="0" fontId="7" fillId="0" borderId="4" xfId="0" applyFont="1" applyFill="1" applyBorder="1" applyAlignment="1" applyProtection="1"/>
    <xf numFmtId="172" fontId="7" fillId="3" borderId="6" xfId="0" applyNumberFormat="1" applyFont="1" applyFill="1" applyBorder="1"/>
    <xf numFmtId="0" fontId="7" fillId="0" borderId="1" xfId="0" quotePrefix="1" applyFont="1" applyFill="1" applyBorder="1" applyAlignment="1"/>
    <xf numFmtId="5" fontId="7" fillId="0" borderId="3" xfId="0" applyNumberFormat="1" applyFont="1" applyFill="1" applyBorder="1"/>
    <xf numFmtId="0" fontId="7" fillId="0" borderId="13" xfId="0" applyFont="1" applyFill="1" applyBorder="1" applyAlignment="1"/>
    <xf numFmtId="5" fontId="7" fillId="0" borderId="32" xfId="0" applyNumberFormat="1" applyFont="1" applyFill="1" applyBorder="1"/>
    <xf numFmtId="0" fontId="7" fillId="0" borderId="13" xfId="0" quotePrefix="1" applyFont="1" applyFill="1" applyBorder="1" applyAlignment="1"/>
    <xf numFmtId="172" fontId="7" fillId="3" borderId="32" xfId="0" applyNumberFormat="1" applyFont="1" applyFill="1" applyBorder="1"/>
    <xf numFmtId="172" fontId="7" fillId="2" borderId="6" xfId="0" applyNumberFormat="1" applyFont="1" applyFill="1" applyBorder="1"/>
    <xf numFmtId="44" fontId="7" fillId="0" borderId="0" xfId="0" applyNumberFormat="1" applyFont="1" applyFill="1" applyBorder="1" applyProtection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3"/>
    </xf>
    <xf numFmtId="9" fontId="7" fillId="0" borderId="0" xfId="0" applyNumberFormat="1" applyFont="1" applyFill="1"/>
    <xf numFmtId="0" fontId="7" fillId="0" borderId="0" xfId="0" quotePrefix="1" applyFont="1" applyFill="1" applyAlignment="1">
      <alignment horizontal="left" indent="4"/>
    </xf>
    <xf numFmtId="5" fontId="7" fillId="0" borderId="14" xfId="0" applyNumberFormat="1" applyFont="1" applyFill="1" applyBorder="1" applyProtection="1"/>
    <xf numFmtId="44" fontId="7" fillId="0" borderId="2" xfId="0" applyNumberFormat="1" applyFont="1" applyFill="1" applyBorder="1" applyProtection="1">
      <protection locked="0"/>
    </xf>
    <xf numFmtId="0" fontId="7" fillId="0" borderId="0" xfId="0" applyFont="1" applyFill="1" applyBorder="1" applyAlignment="1"/>
    <xf numFmtId="44" fontId="7" fillId="0" borderId="0" xfId="0" applyNumberFormat="1" applyFont="1" applyFill="1" applyBorder="1" applyProtection="1">
      <protection locked="0"/>
    </xf>
    <xf numFmtId="44" fontId="7" fillId="0" borderId="5" xfId="0" applyNumberFormat="1" applyFont="1" applyFill="1" applyBorder="1" applyProtection="1">
      <protection locked="0"/>
    </xf>
    <xf numFmtId="172" fontId="7" fillId="0" borderId="6" xfId="0" applyNumberFormat="1" applyFont="1" applyFill="1" applyBorder="1"/>
    <xf numFmtId="174" fontId="7" fillId="0" borderId="0" xfId="0" applyNumberFormat="1" applyFont="1" applyFill="1" applyProtection="1">
      <protection locked="0"/>
    </xf>
    <xf numFmtId="0" fontId="6" fillId="0" borderId="0" xfId="0" applyFont="1" applyFill="1" applyBorder="1" applyAlignment="1" applyProtection="1">
      <alignment wrapText="1"/>
    </xf>
    <xf numFmtId="37" fontId="6" fillId="0" borderId="0" xfId="0" quotePrefix="1" applyNumberFormat="1" applyFont="1" applyFill="1" applyAlignment="1" applyProtection="1">
      <alignment horizontal="center"/>
    </xf>
    <xf numFmtId="37" fontId="6" fillId="0" borderId="7" xfId="0" quotePrefix="1" applyNumberFormat="1" applyFont="1" applyFill="1" applyBorder="1" applyAlignment="1" applyProtection="1">
      <alignment horizontal="center" wrapText="1"/>
    </xf>
    <xf numFmtId="167" fontId="7" fillId="0" borderId="0" xfId="0" applyNumberFormat="1" applyFont="1" applyFill="1"/>
    <xf numFmtId="42" fontId="7" fillId="0" borderId="14" xfId="0" applyNumberFormat="1" applyFont="1" applyFill="1" applyBorder="1" applyProtection="1"/>
    <xf numFmtId="0" fontId="6" fillId="0" borderId="0" xfId="1" quotePrefix="1" applyFont="1" applyFill="1" applyAlignment="1"/>
    <xf numFmtId="0" fontId="7" fillId="0" borderId="0" xfId="1" applyFont="1"/>
    <xf numFmtId="0" fontId="6" fillId="0" borderId="0" xfId="1" applyFont="1" applyFill="1" applyAlignment="1"/>
    <xf numFmtId="0" fontId="7" fillId="0" borderId="0" xfId="1" applyFont="1" applyAlignment="1">
      <alignment horizontal="center"/>
    </xf>
    <xf numFmtId="0" fontId="6" fillId="0" borderId="0" xfId="1" quotePrefix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7" xfId="1" applyFont="1" applyFill="1" applyBorder="1" applyAlignment="1">
      <alignment horizontal="center" wrapText="1"/>
    </xf>
    <xf numFmtId="0" fontId="6" fillId="0" borderId="7" xfId="1" applyFont="1" applyFill="1" applyBorder="1" applyAlignment="1" applyProtection="1">
      <alignment horizontal="center" wrapText="1"/>
    </xf>
    <xf numFmtId="0" fontId="6" fillId="0" borderId="7" xfId="1" quotePrefix="1" applyFont="1" applyFill="1" applyBorder="1" applyAlignment="1" applyProtection="1">
      <alignment horizontal="center" wrapText="1"/>
    </xf>
    <xf numFmtId="0" fontId="7" fillId="0" borderId="0" xfId="1" applyFont="1" applyAlignment="1">
      <alignment wrapText="1"/>
    </xf>
    <xf numFmtId="0" fontId="7" fillId="0" borderId="0" xfId="1" quotePrefix="1" applyFont="1" applyFill="1"/>
    <xf numFmtId="37" fontId="7" fillId="0" borderId="0" xfId="1" applyNumberFormat="1" applyFont="1" applyFill="1" applyAlignment="1" applyProtection="1">
      <alignment horizontal="center"/>
    </xf>
    <xf numFmtId="0" fontId="8" fillId="0" borderId="0" xfId="1" quotePrefix="1" applyFont="1" applyFill="1" applyAlignment="1">
      <alignment horizontal="left"/>
    </xf>
    <xf numFmtId="37" fontId="7" fillId="0" borderId="0" xfId="1" applyNumberFormat="1" applyFont="1" applyFill="1" applyProtection="1"/>
    <xf numFmtId="0" fontId="7" fillId="0" borderId="0" xfId="1" applyFont="1" applyFill="1" applyAlignment="1" applyProtection="1">
      <alignment horizontal="left" indent="1"/>
    </xf>
    <xf numFmtId="44" fontId="7" fillId="0" borderId="0" xfId="1" applyNumberFormat="1" applyFont="1" applyFill="1" applyProtection="1">
      <protection locked="0"/>
    </xf>
    <xf numFmtId="167" fontId="7" fillId="0" borderId="0" xfId="1" applyNumberFormat="1" applyFont="1"/>
    <xf numFmtId="165" fontId="7" fillId="0" borderId="0" xfId="1" applyNumberFormat="1" applyFont="1"/>
    <xf numFmtId="0" fontId="7" fillId="0" borderId="0" xfId="1" applyFont="1" applyFill="1" applyAlignment="1" applyProtection="1">
      <alignment horizontal="left" indent="3"/>
    </xf>
    <xf numFmtId="7" fontId="7" fillId="0" borderId="0" xfId="1" applyNumberFormat="1" applyFont="1" applyFill="1" applyProtection="1">
      <protection locked="0"/>
    </xf>
    <xf numFmtId="167" fontId="7" fillId="0" borderId="10" xfId="1" applyNumberFormat="1" applyFont="1" applyBorder="1"/>
    <xf numFmtId="165" fontId="7" fillId="0" borderId="10" xfId="1" applyNumberFormat="1" applyFont="1" applyBorder="1"/>
    <xf numFmtId="0" fontId="7" fillId="0" borderId="0" xfId="1" quotePrefix="1" applyFont="1" applyFill="1" applyAlignment="1" applyProtection="1">
      <alignment horizontal="left" indent="2"/>
    </xf>
    <xf numFmtId="172" fontId="7" fillId="0" borderId="0" xfId="1" applyNumberFormat="1" applyFont="1" applyFill="1" applyProtection="1">
      <protection locked="0"/>
    </xf>
    <xf numFmtId="172" fontId="7" fillId="0" borderId="0" xfId="1" applyNumberFormat="1" applyFont="1"/>
    <xf numFmtId="165" fontId="7" fillId="0" borderId="14" xfId="1" applyNumberFormat="1" applyFont="1" applyBorder="1"/>
    <xf numFmtId="0" fontId="7" fillId="0" borderId="0" xfId="1" applyFont="1" applyAlignment="1">
      <alignment horizontal="left" indent="4"/>
    </xf>
    <xf numFmtId="0" fontId="7" fillId="0" borderId="0" xfId="1" applyFont="1" applyAlignment="1">
      <alignment horizontal="left" indent="1"/>
    </xf>
    <xf numFmtId="0" fontId="7" fillId="0" borderId="0" xfId="1" quotePrefix="1" applyFont="1" applyAlignment="1">
      <alignment horizontal="center"/>
    </xf>
    <xf numFmtId="0" fontId="7" fillId="0" borderId="0" xfId="1" applyFont="1" applyAlignment="1">
      <alignment horizontal="left" indent="2"/>
    </xf>
    <xf numFmtId="44" fontId="7" fillId="0" borderId="0" xfId="1" applyNumberFormat="1" applyFont="1"/>
    <xf numFmtId="0" fontId="7" fillId="0" borderId="0" xfId="1" applyFont="1" applyAlignment="1">
      <alignment horizontal="left" indent="3"/>
    </xf>
    <xf numFmtId="0" fontId="7" fillId="0" borderId="0" xfId="1" quotePrefix="1" applyFont="1" applyAlignment="1">
      <alignment horizontal="left" indent="1"/>
    </xf>
    <xf numFmtId="173" fontId="7" fillId="0" borderId="0" xfId="1" applyNumberFormat="1" applyFont="1"/>
    <xf numFmtId="0" fontId="7" fillId="0" borderId="0" xfId="1" applyFont="1" applyAlignment="1">
      <alignment horizontal="left" indent="5"/>
    </xf>
    <xf numFmtId="0" fontId="7" fillId="0" borderId="0" xfId="1" quotePrefix="1" applyFont="1" applyAlignment="1">
      <alignment horizontal="left" indent="2"/>
    </xf>
    <xf numFmtId="0" fontId="7" fillId="0" borderId="0" xfId="1" quotePrefix="1" applyFont="1" applyAlignment="1">
      <alignment horizontal="left" indent="5"/>
    </xf>
    <xf numFmtId="172" fontId="7" fillId="0" borderId="0" xfId="1" applyNumberFormat="1" applyFont="1" applyFill="1"/>
    <xf numFmtId="0" fontId="7" fillId="0" borderId="0" xfId="1" quotePrefix="1" applyFont="1" applyFill="1" applyAlignment="1">
      <alignment horizontal="left"/>
    </xf>
    <xf numFmtId="167" fontId="7" fillId="0" borderId="0" xfId="1" applyNumberFormat="1" applyFont="1" applyFill="1"/>
    <xf numFmtId="165" fontId="7" fillId="0" borderId="0" xfId="1" applyNumberFormat="1" applyFont="1" applyFill="1"/>
    <xf numFmtId="0" fontId="6" fillId="0" borderId="7" xfId="0" quotePrefix="1" applyFont="1" applyFill="1" applyBorder="1" applyAlignment="1" applyProtection="1">
      <alignment horizontal="center" wrapText="1"/>
    </xf>
    <xf numFmtId="0" fontId="6" fillId="0" borderId="7" xfId="0" quotePrefix="1" applyFont="1" applyFill="1" applyBorder="1" applyAlignment="1" applyProtection="1">
      <alignment horizontal="left" wrapText="1"/>
    </xf>
    <xf numFmtId="0" fontId="6" fillId="0" borderId="7" xfId="0" quotePrefix="1" applyFont="1" applyFill="1" applyBorder="1" applyAlignment="1" applyProtection="1">
      <alignment horizontal="center"/>
    </xf>
    <xf numFmtId="0" fontId="7" fillId="0" borderId="0" xfId="0" quotePrefix="1" applyFont="1" applyAlignment="1"/>
    <xf numFmtId="167" fontId="7" fillId="0" borderId="14" xfId="0" applyNumberFormat="1" applyFont="1" applyBorder="1"/>
    <xf numFmtId="165" fontId="7" fillId="0" borderId="14" xfId="0" applyNumberFormat="1" applyFont="1" applyBorder="1"/>
    <xf numFmtId="0" fontId="7" fillId="0" borderId="0" xfId="0" quotePrefix="1" applyFont="1" applyAlignment="1">
      <alignment horizontal="left"/>
    </xf>
    <xf numFmtId="165" fontId="10" fillId="0" borderId="0" xfId="0" applyNumberFormat="1" applyFont="1"/>
    <xf numFmtId="0" fontId="10" fillId="0" borderId="0" xfId="0" applyFont="1"/>
    <xf numFmtId="165" fontId="12" fillId="0" borderId="17" xfId="0" applyNumberFormat="1" applyFont="1" applyFill="1" applyBorder="1"/>
    <xf numFmtId="167" fontId="12" fillId="0" borderId="0" xfId="0" applyNumberFormat="1" applyFont="1" applyFill="1" applyBorder="1"/>
    <xf numFmtId="172" fontId="12" fillId="0" borderId="0" xfId="0" applyNumberFormat="1" applyFont="1" applyFill="1" applyBorder="1" applyAlignment="1">
      <alignment horizontal="center"/>
    </xf>
    <xf numFmtId="165" fontId="12" fillId="0" borderId="18" xfId="0" applyNumberFormat="1" applyFont="1" applyFill="1" applyBorder="1" applyAlignment="1">
      <alignment horizontal="center"/>
    </xf>
    <xf numFmtId="165" fontId="12" fillId="0" borderId="46" xfId="0" applyNumberFormat="1" applyFont="1" applyFill="1" applyBorder="1"/>
    <xf numFmtId="44" fontId="12" fillId="0" borderId="0" xfId="0" applyNumberFormat="1" applyFont="1" applyFill="1" applyBorder="1" applyAlignment="1">
      <alignment horizontal="center"/>
    </xf>
    <xf numFmtId="44" fontId="12" fillId="0" borderId="17" xfId="0" applyNumberFormat="1" applyFont="1" applyFill="1" applyBorder="1"/>
    <xf numFmtId="165" fontId="12" fillId="0" borderId="18" xfId="0" applyNumberFormat="1" applyFont="1" applyFill="1" applyBorder="1"/>
    <xf numFmtId="37" fontId="12" fillId="0" borderId="0" xfId="0" applyNumberFormat="1" applyFont="1" applyFill="1" applyBorder="1"/>
    <xf numFmtId="37" fontId="10" fillId="0" borderId="0" xfId="0" applyNumberFormat="1" applyFont="1" applyFill="1" applyBorder="1"/>
    <xf numFmtId="165" fontId="12" fillId="0" borderId="0" xfId="0" applyNumberFormat="1" applyFont="1" applyFill="1" applyBorder="1"/>
    <xf numFmtId="37" fontId="7" fillId="0" borderId="0" xfId="0" applyNumberFormat="1" applyFont="1" applyFill="1" applyBorder="1"/>
    <xf numFmtId="165" fontId="7" fillId="0" borderId="0" xfId="3" applyNumberFormat="1" applyFont="1" applyFill="1" applyBorder="1"/>
    <xf numFmtId="167" fontId="10" fillId="0" borderId="0" xfId="1" applyNumberFormat="1" applyFont="1"/>
    <xf numFmtId="0" fontId="7" fillId="0" borderId="0" xfId="1" applyFont="1" applyFill="1" applyAlignment="1">
      <alignment horizontal="left"/>
    </xf>
    <xf numFmtId="0" fontId="6" fillId="0" borderId="38" xfId="0" applyFont="1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5" xfId="0" quotePrefix="1" applyFont="1" applyFill="1" applyBorder="1" applyAlignment="1">
      <alignment horizontal="center" wrapText="1"/>
    </xf>
    <xf numFmtId="0" fontId="6" fillId="0" borderId="42" xfId="0" quotePrefix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wrapText="1"/>
    </xf>
    <xf numFmtId="44" fontId="13" fillId="0" borderId="43" xfId="0" applyNumberFormat="1" applyFont="1" applyFill="1" applyBorder="1"/>
    <xf numFmtId="165" fontId="13" fillId="0" borderId="18" xfId="0" applyNumberFormat="1" applyFont="1" applyFill="1" applyBorder="1"/>
    <xf numFmtId="0" fontId="7" fillId="0" borderId="0" xfId="0" quotePrefix="1" applyFont="1" applyFill="1" applyBorder="1" applyAlignment="1">
      <alignment horizontal="left" indent="1"/>
    </xf>
    <xf numFmtId="44" fontId="13" fillId="0" borderId="18" xfId="0" applyNumberFormat="1" applyFont="1" applyFill="1" applyBorder="1"/>
    <xf numFmtId="167" fontId="13" fillId="0" borderId="0" xfId="0" applyNumberFormat="1" applyFont="1" applyFill="1"/>
    <xf numFmtId="167" fontId="13" fillId="0" borderId="10" xfId="0" applyNumberFormat="1" applyFont="1" applyFill="1" applyBorder="1"/>
    <xf numFmtId="172" fontId="13" fillId="0" borderId="0" xfId="0" applyNumberFormat="1" applyFont="1" applyFill="1"/>
    <xf numFmtId="165" fontId="13" fillId="0" borderId="14" xfId="0" applyNumberFormat="1" applyFont="1" applyFill="1" applyBorder="1"/>
    <xf numFmtId="165" fontId="13" fillId="0" borderId="43" xfId="0" applyNumberFormat="1" applyFont="1" applyFill="1" applyBorder="1"/>
    <xf numFmtId="0" fontId="7" fillId="0" borderId="0" xfId="0" applyFont="1" applyFill="1" applyAlignment="1">
      <alignment horizontal="left" indent="4"/>
    </xf>
    <xf numFmtId="165" fontId="13" fillId="0" borderId="0" xfId="0" applyNumberFormat="1" applyFont="1" applyFill="1"/>
    <xf numFmtId="0" fontId="7" fillId="0" borderId="0" xfId="0" applyFont="1" applyFill="1" applyBorder="1" applyAlignment="1">
      <alignment horizontal="left" indent="1"/>
    </xf>
    <xf numFmtId="0" fontId="13" fillId="0" borderId="18" xfId="0" applyFont="1" applyFill="1" applyBorder="1"/>
    <xf numFmtId="165" fontId="13" fillId="0" borderId="44" xfId="0" applyNumberFormat="1" applyFont="1" applyFill="1" applyBorder="1"/>
    <xf numFmtId="2" fontId="7" fillId="0" borderId="0" xfId="0" applyNumberFormat="1" applyFont="1" applyFill="1" applyBorder="1" applyAlignment="1">
      <alignment horizontal="center"/>
    </xf>
    <xf numFmtId="10" fontId="7" fillId="0" borderId="14" xfId="0" applyNumberFormat="1" applyFont="1" applyFill="1" applyBorder="1"/>
    <xf numFmtId="0" fontId="7" fillId="0" borderId="0" xfId="0" applyFont="1" applyFill="1" applyAlignment="1">
      <alignment horizontal="left" indent="5"/>
    </xf>
    <xf numFmtId="0" fontId="7" fillId="0" borderId="0" xfId="0" quotePrefix="1" applyFont="1" applyFill="1" applyAlignment="1">
      <alignment horizontal="left" indent="1"/>
    </xf>
    <xf numFmtId="0" fontId="9" fillId="0" borderId="18" xfId="0" applyFont="1" applyFill="1" applyBorder="1"/>
    <xf numFmtId="41" fontId="9" fillId="0" borderId="18" xfId="0" applyNumberFormat="1" applyFont="1" applyFill="1" applyBorder="1"/>
    <xf numFmtId="165" fontId="10" fillId="0" borderId="0" xfId="0" applyNumberFormat="1" applyFont="1" applyFill="1" applyBorder="1"/>
    <xf numFmtId="165" fontId="10" fillId="0" borderId="18" xfId="0" applyNumberFormat="1" applyFont="1" applyFill="1" applyBorder="1"/>
    <xf numFmtId="0" fontId="6" fillId="0" borderId="22" xfId="0" applyFont="1" applyFill="1" applyBorder="1"/>
    <xf numFmtId="165" fontId="10" fillId="0" borderId="22" xfId="0" applyNumberFormat="1" applyFont="1" applyFill="1" applyBorder="1"/>
    <xf numFmtId="165" fontId="10" fillId="0" borderId="20" xfId="0" applyNumberFormat="1" applyFont="1" applyFill="1" applyBorder="1"/>
    <xf numFmtId="0" fontId="7" fillId="0" borderId="0" xfId="0" quotePrefix="1" applyFont="1" applyFill="1" applyAlignment="1">
      <alignment horizontal="left" indent="5"/>
    </xf>
    <xf numFmtId="167" fontId="7" fillId="0" borderId="10" xfId="0" applyNumberFormat="1" applyFont="1" applyFill="1" applyBorder="1"/>
    <xf numFmtId="165" fontId="7" fillId="0" borderId="14" xfId="0" applyNumberFormat="1" applyFont="1" applyFill="1" applyBorder="1"/>
    <xf numFmtId="0" fontId="9" fillId="0" borderId="0" xfId="0" applyFont="1" applyFill="1"/>
    <xf numFmtId="0" fontId="7" fillId="0" borderId="0" xfId="0" quotePrefix="1" applyFont="1" applyFill="1" applyAlignment="1">
      <alignment horizontal="left" indent="2"/>
    </xf>
    <xf numFmtId="167" fontId="13" fillId="0" borderId="0" xfId="2" applyNumberFormat="1" applyFont="1" applyFill="1"/>
    <xf numFmtId="0" fontId="6" fillId="0" borderId="0" xfId="0" applyFont="1" applyFill="1"/>
    <xf numFmtId="165" fontId="7" fillId="0" borderId="0" xfId="0" applyNumberFormat="1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43" fontId="7" fillId="0" borderId="0" xfId="0" applyNumberFormat="1" applyFont="1" applyFill="1" applyProtection="1"/>
    <xf numFmtId="165" fontId="7" fillId="0" borderId="0" xfId="0" applyNumberFormat="1" applyFont="1" applyFill="1" applyBorder="1" applyProtection="1">
      <protection locked="0"/>
    </xf>
    <xf numFmtId="0" fontId="6" fillId="0" borderId="0" xfId="0" quotePrefix="1" applyFont="1" applyFill="1" applyAlignment="1">
      <alignment horizontal="left" indent="1"/>
    </xf>
    <xf numFmtId="165" fontId="7" fillId="0" borderId="10" xfId="0" applyNumberFormat="1" applyFont="1" applyFill="1" applyBorder="1" applyProtection="1">
      <protection locked="0"/>
    </xf>
    <xf numFmtId="164" fontId="7" fillId="0" borderId="10" xfId="0" applyNumberFormat="1" applyFont="1" applyFill="1" applyBorder="1" applyProtection="1">
      <protection locked="0"/>
    </xf>
    <xf numFmtId="43" fontId="7" fillId="0" borderId="10" xfId="0" applyNumberFormat="1" applyFont="1" applyFill="1" applyBorder="1" applyProtection="1"/>
    <xf numFmtId="43" fontId="7" fillId="0" borderId="0" xfId="0" applyNumberFormat="1" applyFont="1" applyFill="1"/>
    <xf numFmtId="164" fontId="7" fillId="0" borderId="0" xfId="0" applyNumberFormat="1" applyFont="1" applyFill="1"/>
    <xf numFmtId="37" fontId="7" fillId="0" borderId="8" xfId="0" applyNumberFormat="1" applyFont="1" applyFill="1" applyBorder="1"/>
    <xf numFmtId="165" fontId="7" fillId="0" borderId="8" xfId="0" applyNumberFormat="1" applyFont="1" applyFill="1" applyBorder="1"/>
    <xf numFmtId="164" fontId="7" fillId="0" borderId="8" xfId="0" applyNumberFormat="1" applyFont="1" applyFill="1" applyBorder="1" applyProtection="1">
      <protection locked="0"/>
    </xf>
    <xf numFmtId="43" fontId="7" fillId="0" borderId="8" xfId="0" applyNumberFormat="1" applyFont="1" applyFill="1" applyBorder="1" applyProtection="1"/>
    <xf numFmtId="167" fontId="7" fillId="0" borderId="8" xfId="0" applyNumberFormat="1" applyFont="1" applyFill="1" applyBorder="1"/>
    <xf numFmtId="165" fontId="7" fillId="0" borderId="0" xfId="0" applyNumberFormat="1" applyFont="1" applyFill="1" applyAlignment="1">
      <alignment horizontal="right"/>
    </xf>
    <xf numFmtId="5" fontId="7" fillId="0" borderId="0" xfId="0" applyNumberFormat="1" applyFont="1" applyFill="1" applyBorder="1"/>
    <xf numFmtId="175" fontId="7" fillId="0" borderId="0" xfId="0" applyNumberFormat="1" applyFont="1" applyFill="1"/>
    <xf numFmtId="164" fontId="7" fillId="0" borderId="0" xfId="0" applyNumberFormat="1" applyFont="1" applyFill="1" applyBorder="1" applyProtection="1">
      <protection locked="0"/>
    </xf>
    <xf numFmtId="1" fontId="7" fillId="0" borderId="0" xfId="0" applyNumberFormat="1" applyFont="1" applyFill="1"/>
    <xf numFmtId="166" fontId="7" fillId="0" borderId="0" xfId="0" applyNumberFormat="1" applyFont="1" applyFill="1"/>
    <xf numFmtId="0" fontId="6" fillId="0" borderId="7" xfId="0" quotePrefix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6" fontId="6" fillId="0" borderId="7" xfId="0" quotePrefix="1" applyNumberFormat="1" applyFont="1" applyFill="1" applyBorder="1" applyAlignment="1">
      <alignment horizontal="center" wrapText="1"/>
    </xf>
    <xf numFmtId="5" fontId="6" fillId="0" borderId="5" xfId="0" quotePrefix="1" applyNumberFormat="1" applyFont="1" applyFill="1" applyBorder="1" applyAlignment="1">
      <alignment horizontal="center" wrapText="1"/>
    </xf>
    <xf numFmtId="6" fontId="6" fillId="0" borderId="0" xfId="0" quotePrefix="1" applyNumberFormat="1" applyFont="1" applyFill="1" applyBorder="1" applyAlignment="1">
      <alignment horizontal="center"/>
    </xf>
    <xf numFmtId="10" fontId="7" fillId="0" borderId="0" xfId="0" applyNumberFormat="1" applyFont="1" applyFill="1"/>
    <xf numFmtId="10" fontId="7" fillId="0" borderId="0" xfId="0" applyNumberFormat="1" applyFont="1" applyFill="1" applyProtection="1"/>
    <xf numFmtId="44" fontId="7" fillId="0" borderId="0" xfId="0" applyNumberFormat="1" applyFont="1" applyFill="1" applyAlignment="1"/>
    <xf numFmtId="5" fontId="7" fillId="0" borderId="0" xfId="0" quotePrefix="1" applyNumberFormat="1" applyFont="1" applyFill="1" applyAlignment="1">
      <alignment horizontal="left"/>
    </xf>
    <xf numFmtId="10" fontId="7" fillId="0" borderId="6" xfId="0" applyNumberFormat="1" applyFont="1" applyFill="1" applyBorder="1"/>
    <xf numFmtId="172" fontId="7" fillId="0" borderId="32" xfId="0" applyNumberFormat="1" applyFont="1" applyFill="1" applyBorder="1"/>
    <xf numFmtId="5" fontId="7" fillId="0" borderId="16" xfId="0" applyNumberFormat="1" applyFont="1" applyFill="1" applyBorder="1"/>
    <xf numFmtId="5" fontId="7" fillId="0" borderId="18" xfId="0" applyNumberFormat="1" applyFont="1" applyFill="1" applyBorder="1"/>
    <xf numFmtId="10" fontId="7" fillId="0" borderId="18" xfId="0" applyNumberFormat="1" applyFont="1" applyFill="1" applyBorder="1"/>
    <xf numFmtId="172" fontId="7" fillId="0" borderId="20" xfId="0" applyNumberFormat="1" applyFont="1" applyFill="1" applyBorder="1"/>
    <xf numFmtId="165" fontId="7" fillId="0" borderId="3" xfId="0" applyNumberFormat="1" applyFont="1" applyFill="1" applyBorder="1"/>
    <xf numFmtId="10" fontId="7" fillId="0" borderId="0" xfId="0" quotePrefix="1" applyNumberFormat="1" applyFont="1" applyFill="1" applyAlignment="1">
      <alignment horizontal="left"/>
    </xf>
    <xf numFmtId="165" fontId="7" fillId="0" borderId="16" xfId="0" applyNumberFormat="1" applyFont="1" applyFill="1" applyBorder="1"/>
    <xf numFmtId="10" fontId="7" fillId="0" borderId="33" xfId="0" applyNumberFormat="1" applyFont="1" applyFill="1" applyBorder="1"/>
    <xf numFmtId="5" fontId="7" fillId="0" borderId="34" xfId="0" applyNumberFormat="1" applyFont="1" applyFill="1" applyBorder="1" applyAlignment="1" applyProtection="1">
      <alignment horizontal="right"/>
    </xf>
    <xf numFmtId="167" fontId="7" fillId="0" borderId="10" xfId="1" applyNumberFormat="1" applyFont="1" applyFill="1" applyBorder="1"/>
    <xf numFmtId="165" fontId="7" fillId="0" borderId="10" xfId="1" applyNumberFormat="1" applyFont="1" applyFill="1" applyBorder="1"/>
    <xf numFmtId="165" fontId="7" fillId="0" borderId="14" xfId="1" applyNumberFormat="1" applyFont="1" applyFill="1" applyBorder="1"/>
    <xf numFmtId="10" fontId="7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7" fontId="7" fillId="0" borderId="0" xfId="2" applyNumberFormat="1" applyFont="1" applyFill="1"/>
    <xf numFmtId="44" fontId="7" fillId="0" borderId="10" xfId="0" applyNumberFormat="1" applyFont="1" applyFill="1" applyBorder="1"/>
    <xf numFmtId="165" fontId="7" fillId="0" borderId="10" xfId="0" applyNumberFormat="1" applyFont="1" applyFill="1" applyBorder="1"/>
    <xf numFmtId="0" fontId="7" fillId="0" borderId="0" xfId="1" quotePrefix="1" applyFont="1" applyFill="1" applyAlignment="1"/>
    <xf numFmtId="0" fontId="7" fillId="0" borderId="0" xfId="1" applyFont="1" applyFill="1" applyAlignment="1"/>
    <xf numFmtId="0" fontId="7" fillId="0" borderId="7" xfId="1" quotePrefix="1" applyFont="1" applyFill="1" applyBorder="1" applyAlignment="1" applyProtection="1">
      <alignment horizontal="center" wrapText="1"/>
    </xf>
    <xf numFmtId="0" fontId="7" fillId="0" borderId="7" xfId="1" applyFont="1" applyFill="1" applyBorder="1" applyAlignment="1" applyProtection="1">
      <alignment horizontal="center" wrapText="1"/>
    </xf>
    <xf numFmtId="165" fontId="7" fillId="0" borderId="2" xfId="0" applyNumberFormat="1" applyFont="1" applyFill="1" applyBorder="1"/>
    <xf numFmtId="165" fontId="7" fillId="0" borderId="46" xfId="0" applyNumberFormat="1" applyFont="1" applyFill="1" applyBorder="1"/>
    <xf numFmtId="0" fontId="7" fillId="0" borderId="15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/>
    <xf numFmtId="167" fontId="7" fillId="0" borderId="17" xfId="0" applyNumberFormat="1" applyFont="1" applyFill="1" applyBorder="1"/>
    <xf numFmtId="0" fontId="6" fillId="0" borderId="0" xfId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6" fillId="0" borderId="0" xfId="0" quotePrefix="1" applyFont="1" applyFill="1" applyAlignment="1">
      <alignment horizontal="center"/>
    </xf>
    <xf numFmtId="0" fontId="6" fillId="0" borderId="39" xfId="0" quotePrefix="1" applyFont="1" applyFill="1" applyBorder="1" applyAlignment="1">
      <alignment horizontal="center" wrapText="1"/>
    </xf>
    <xf numFmtId="0" fontId="6" fillId="0" borderId="5" xfId="0" quotePrefix="1" applyFont="1" applyFill="1" applyBorder="1" applyAlignment="1">
      <alignment horizontal="center"/>
    </xf>
    <xf numFmtId="0" fontId="6" fillId="0" borderId="35" xfId="0" quotePrefix="1" applyFont="1" applyFill="1" applyBorder="1" applyAlignment="1">
      <alignment horizontal="center" wrapText="1"/>
    </xf>
    <xf numFmtId="0" fontId="6" fillId="0" borderId="36" xfId="0" quotePrefix="1" applyFont="1" applyFill="1" applyBorder="1" applyAlignment="1">
      <alignment horizontal="center" wrapText="1"/>
    </xf>
    <xf numFmtId="0" fontId="6" fillId="0" borderId="37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0" xfId="0" quotePrefix="1" applyFont="1" applyFill="1" applyBorder="1" applyAlignment="1" applyProtection="1">
      <alignment horizontal="center" wrapText="1"/>
    </xf>
    <xf numFmtId="0" fontId="6" fillId="0" borderId="0" xfId="0" quotePrefix="1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9" xfId="0" quotePrefix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"/>
    </xf>
    <xf numFmtId="10" fontId="12" fillId="0" borderId="0" xfId="0" applyNumberFormat="1" applyFont="1" applyFill="1" applyBorder="1"/>
    <xf numFmtId="0" fontId="7" fillId="0" borderId="0" xfId="1" applyFont="1" applyFill="1" applyAlignment="1">
      <alignment wrapText="1"/>
    </xf>
    <xf numFmtId="44" fontId="7" fillId="0" borderId="0" xfId="1" applyNumberFormat="1" applyFont="1" applyFill="1"/>
    <xf numFmtId="0" fontId="15" fillId="0" borderId="0" xfId="0" quotePrefix="1" applyFont="1" applyAlignment="1">
      <alignment horizontal="left"/>
    </xf>
    <xf numFmtId="0" fontId="7" fillId="0" borderId="0" xfId="0" applyFont="1" applyAlignment="1">
      <alignment vertical="top"/>
    </xf>
    <xf numFmtId="0" fontId="13" fillId="0" borderId="0" xfId="1" applyFont="1" applyFill="1"/>
    <xf numFmtId="0" fontId="7" fillId="0" borderId="23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quotePrefix="1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8" xfId="0" quotePrefix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quotePrefix="1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Continuous"/>
    </xf>
    <xf numFmtId="0" fontId="7" fillId="0" borderId="5" xfId="0" applyFont="1" applyFill="1" applyBorder="1" applyAlignment="1">
      <alignment horizontal="center" wrapText="1"/>
    </xf>
    <xf numFmtId="0" fontId="7" fillId="0" borderId="5" xfId="0" quotePrefix="1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quotePrefix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>
      <alignment horizontal="center"/>
    </xf>
    <xf numFmtId="3" fontId="7" fillId="0" borderId="10" xfId="0" applyNumberFormat="1" applyFont="1" applyFill="1" applyBorder="1"/>
    <xf numFmtId="178" fontId="7" fillId="0" borderId="0" xfId="0" applyNumberFormat="1" applyFont="1" applyFill="1" applyAlignment="1">
      <alignment horizontal="center"/>
    </xf>
    <xf numFmtId="167" fontId="7" fillId="0" borderId="14" xfId="0" applyNumberFormat="1" applyFont="1" applyFill="1" applyBorder="1"/>
    <xf numFmtId="10" fontId="7" fillId="0" borderId="14" xfId="0" applyNumberFormat="1" applyFont="1" applyFill="1" applyBorder="1" applyAlignment="1">
      <alignment horizontal="center"/>
    </xf>
    <xf numFmtId="42" fontId="7" fillId="0" borderId="0" xfId="0" applyNumberFormat="1" applyFont="1" applyFill="1"/>
    <xf numFmtId="165" fontId="12" fillId="0" borderId="14" xfId="0" applyNumberFormat="1" applyFont="1" applyFill="1" applyBorder="1"/>
    <xf numFmtId="9" fontId="6" fillId="0" borderId="21" xfId="0" applyNumberFormat="1" applyFont="1" applyFill="1" applyBorder="1"/>
    <xf numFmtId="10" fontId="6" fillId="0" borderId="16" xfId="0" applyNumberFormat="1" applyFont="1" applyFill="1" applyBorder="1"/>
    <xf numFmtId="10" fontId="6" fillId="0" borderId="18" xfId="0" applyNumberFormat="1" applyFont="1" applyFill="1" applyBorder="1"/>
    <xf numFmtId="9" fontId="6" fillId="0" borderId="18" xfId="0" applyNumberFormat="1" applyFont="1" applyFill="1" applyBorder="1"/>
    <xf numFmtId="10" fontId="6" fillId="0" borderId="20" xfId="0" applyNumberFormat="1" applyFont="1" applyFill="1" applyBorder="1"/>
    <xf numFmtId="0" fontId="6" fillId="0" borderId="0" xfId="0" quotePrefix="1" applyFont="1" applyFill="1" applyAlignment="1">
      <alignment wrapText="1"/>
    </xf>
    <xf numFmtId="165" fontId="7" fillId="0" borderId="0" xfId="0" quotePrefix="1" applyNumberFormat="1" applyFont="1" applyFill="1" applyAlignment="1">
      <alignment horizontal="left"/>
    </xf>
    <xf numFmtId="179" fontId="10" fillId="0" borderId="0" xfId="1" applyNumberFormat="1" applyFont="1" applyFill="1"/>
    <xf numFmtId="0" fontId="7" fillId="0" borderId="0" xfId="1" applyFont="1" applyFill="1" applyAlignment="1">
      <alignment horizontal="left" indent="2"/>
    </xf>
    <xf numFmtId="173" fontId="7" fillId="0" borderId="0" xfId="1" applyNumberFormat="1" applyFont="1" applyFill="1"/>
    <xf numFmtId="0" fontId="7" fillId="0" borderId="0" xfId="1" quotePrefix="1" applyFont="1" applyFill="1" applyAlignment="1">
      <alignment horizontal="left" indent="2"/>
    </xf>
    <xf numFmtId="10" fontId="7" fillId="0" borderId="0" xfId="1" applyNumberFormat="1" applyFont="1" applyFill="1"/>
    <xf numFmtId="0" fontId="7" fillId="0" borderId="0" xfId="1" applyFont="1" applyFill="1" applyAlignment="1">
      <alignment horizontal="left" indent="1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 indent="1"/>
    </xf>
    <xf numFmtId="44" fontId="7" fillId="0" borderId="0" xfId="1" applyNumberFormat="1" applyFont="1" applyFill="1" applyBorder="1"/>
    <xf numFmtId="169" fontId="7" fillId="0" borderId="0" xfId="1" applyNumberFormat="1" applyFont="1" applyFill="1" applyBorder="1"/>
    <xf numFmtId="10" fontId="7" fillId="0" borderId="0" xfId="1" applyNumberFormat="1" applyFont="1" applyFill="1" applyBorder="1"/>
    <xf numFmtId="0" fontId="7" fillId="0" borderId="0" xfId="1" quotePrefix="1" applyFont="1" applyFill="1" applyBorder="1" applyAlignment="1">
      <alignment horizontal="left" indent="1"/>
    </xf>
    <xf numFmtId="9" fontId="7" fillId="0" borderId="0" xfId="1" applyNumberFormat="1" applyFont="1" applyFill="1" applyBorder="1"/>
    <xf numFmtId="0" fontId="7" fillId="0" borderId="0" xfId="1" quotePrefix="1" applyFont="1" applyFill="1" applyBorder="1" applyAlignment="1">
      <alignment horizontal="left" indent="2"/>
    </xf>
    <xf numFmtId="44" fontId="7" fillId="0" borderId="0" xfId="1" quotePrefix="1" applyNumberFormat="1" applyFont="1" applyFill="1" applyAlignment="1">
      <alignment horizontal="left"/>
    </xf>
    <xf numFmtId="41" fontId="16" fillId="0" borderId="0" xfId="0" applyNumberFormat="1" applyFont="1" applyFill="1" applyBorder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Continuous"/>
    </xf>
    <xf numFmtId="0" fontId="6" fillId="0" borderId="5" xfId="1" quotePrefix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left" wrapText="1"/>
    </xf>
    <xf numFmtId="0" fontId="12" fillId="0" borderId="0" xfId="0" applyFont="1" applyFill="1" applyBorder="1"/>
    <xf numFmtId="0" fontId="6" fillId="0" borderId="0" xfId="1" quotePrefix="1" applyFont="1" applyFill="1" applyAlignment="1">
      <alignment horizontal="left"/>
    </xf>
    <xf numFmtId="167" fontId="6" fillId="0" borderId="0" xfId="1" applyNumberFormat="1" applyFont="1" applyFill="1"/>
    <xf numFmtId="165" fontId="6" fillId="0" borderId="0" xfId="1" applyNumberFormat="1" applyFont="1" applyFill="1"/>
    <xf numFmtId="167" fontId="17" fillId="0" borderId="0" xfId="1" applyNumberFormat="1" applyFont="1"/>
    <xf numFmtId="44" fontId="7" fillId="0" borderId="18" xfId="0" applyNumberFormat="1" applyFont="1" applyFill="1" applyBorder="1" applyAlignment="1">
      <alignment horizontal="center"/>
    </xf>
    <xf numFmtId="44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7" fillId="5" borderId="21" xfId="0" applyFont="1" applyFill="1" applyBorder="1"/>
    <xf numFmtId="0" fontId="7" fillId="5" borderId="22" xfId="0" applyFont="1" applyFill="1" applyBorder="1"/>
    <xf numFmtId="165" fontId="7" fillId="5" borderId="22" xfId="0" applyNumberFormat="1" applyFont="1" applyFill="1" applyBorder="1"/>
    <xf numFmtId="165" fontId="7" fillId="5" borderId="20" xfId="0" applyNumberFormat="1" applyFont="1" applyFill="1" applyBorder="1"/>
    <xf numFmtId="165" fontId="18" fillId="5" borderId="21" xfId="0" applyNumberFormat="1" applyFont="1" applyFill="1" applyBorder="1"/>
    <xf numFmtId="0" fontId="7" fillId="5" borderId="15" xfId="0" applyFont="1" applyFill="1" applyBorder="1" applyAlignment="1"/>
    <xf numFmtId="165" fontId="18" fillId="5" borderId="16" xfId="0" applyNumberFormat="1" applyFont="1" applyFill="1" applyBorder="1"/>
    <xf numFmtId="0" fontId="7" fillId="5" borderId="19" xfId="0" applyFont="1" applyFill="1" applyBorder="1" applyAlignment="1"/>
    <xf numFmtId="165" fontId="3" fillId="5" borderId="15" xfId="0" quotePrefix="1" applyNumberFormat="1" applyFont="1" applyFill="1" applyBorder="1" applyAlignment="1">
      <alignment horizontal="right"/>
    </xf>
    <xf numFmtId="165" fontId="3" fillId="5" borderId="19" xfId="0" quotePrefix="1" applyNumberFormat="1" applyFont="1" applyFill="1" applyBorder="1" applyAlignment="1">
      <alignment horizontal="right"/>
    </xf>
    <xf numFmtId="165" fontId="3" fillId="5" borderId="21" xfId="0" quotePrefix="1" applyNumberFormat="1" applyFont="1" applyFill="1" applyBorder="1" applyAlignment="1">
      <alignment horizontal="right"/>
    </xf>
    <xf numFmtId="165" fontId="3" fillId="5" borderId="22" xfId="0" quotePrefix="1" applyNumberFormat="1" applyFont="1" applyFill="1" applyBorder="1" applyAlignment="1">
      <alignment horizontal="right"/>
    </xf>
    <xf numFmtId="165" fontId="18" fillId="5" borderId="21" xfId="1" applyNumberFormat="1" applyFont="1" applyFill="1" applyBorder="1"/>
    <xf numFmtId="0" fontId="19" fillId="5" borderId="21" xfId="1" applyFont="1" applyFill="1" applyBorder="1"/>
    <xf numFmtId="177" fontId="18" fillId="5" borderId="21" xfId="1" applyNumberFormat="1" applyFont="1" applyFill="1" applyBorder="1" applyAlignment="1">
      <alignment horizontal="center"/>
    </xf>
    <xf numFmtId="165" fontId="18" fillId="5" borderId="16" xfId="1" applyNumberFormat="1" applyFont="1" applyFill="1" applyBorder="1"/>
    <xf numFmtId="0" fontId="7" fillId="5" borderId="15" xfId="0" applyFont="1" applyFill="1" applyBorder="1"/>
    <xf numFmtId="0" fontId="7" fillId="5" borderId="19" xfId="0" applyFont="1" applyFill="1" applyBorder="1"/>
    <xf numFmtId="0" fontId="6" fillId="6" borderId="5" xfId="1" quotePrefix="1" applyFont="1" applyFill="1" applyBorder="1" applyAlignment="1">
      <alignment horizontal="center" wrapText="1"/>
    </xf>
    <xf numFmtId="0" fontId="7" fillId="6" borderId="0" xfId="1" applyFont="1" applyFill="1"/>
    <xf numFmtId="172" fontId="7" fillId="6" borderId="0" xfId="1" applyNumberFormat="1" applyFont="1" applyFill="1"/>
    <xf numFmtId="44" fontId="7" fillId="6" borderId="0" xfId="1" applyNumberFormat="1" applyFont="1" applyFill="1"/>
    <xf numFmtId="165" fontId="3" fillId="6" borderId="15" xfId="0" quotePrefix="1" applyNumberFormat="1" applyFont="1" applyFill="1" applyBorder="1" applyAlignment="1">
      <alignment horizontal="left"/>
    </xf>
    <xf numFmtId="0" fontId="7" fillId="6" borderId="21" xfId="0" applyFont="1" applyFill="1" applyBorder="1"/>
    <xf numFmtId="165" fontId="18" fillId="6" borderId="21" xfId="0" applyNumberFormat="1" applyFont="1" applyFill="1" applyBorder="1"/>
    <xf numFmtId="0" fontId="18" fillId="6" borderId="21" xfId="0" applyFont="1" applyFill="1" applyBorder="1"/>
    <xf numFmtId="6" fontId="18" fillId="6" borderId="21" xfId="0" applyNumberFormat="1" applyFont="1" applyFill="1" applyBorder="1"/>
    <xf numFmtId="0" fontId="7" fillId="6" borderId="16" xfId="0" applyFont="1" applyFill="1" applyBorder="1"/>
    <xf numFmtId="165" fontId="3" fillId="6" borderId="19" xfId="0" quotePrefix="1" applyNumberFormat="1" applyFont="1" applyFill="1" applyBorder="1" applyAlignment="1">
      <alignment horizontal="center"/>
    </xf>
    <xf numFmtId="0" fontId="7" fillId="6" borderId="22" xfId="0" applyFont="1" applyFill="1" applyBorder="1"/>
    <xf numFmtId="165" fontId="7" fillId="6" borderId="22" xfId="0" applyNumberFormat="1" applyFont="1" applyFill="1" applyBorder="1"/>
    <xf numFmtId="165" fontId="7" fillId="6" borderId="20" xfId="0" applyNumberFormat="1" applyFont="1" applyFill="1" applyBorder="1"/>
    <xf numFmtId="165" fontId="12" fillId="6" borderId="14" xfId="0" applyNumberFormat="1" applyFont="1" applyFill="1" applyBorder="1"/>
    <xf numFmtId="0" fontId="7" fillId="6" borderId="0" xfId="0" applyFont="1" applyFill="1"/>
    <xf numFmtId="165" fontId="3" fillId="6" borderId="15" xfId="0" quotePrefix="1" applyNumberFormat="1" applyFont="1" applyFill="1" applyBorder="1" applyAlignment="1">
      <alignment horizontal="center"/>
    </xf>
    <xf numFmtId="0" fontId="7" fillId="6" borderId="15" xfId="0" applyFont="1" applyFill="1" applyBorder="1" applyAlignment="1"/>
    <xf numFmtId="165" fontId="3" fillId="6" borderId="21" xfId="0" quotePrefix="1" applyNumberFormat="1" applyFont="1" applyFill="1" applyBorder="1" applyAlignment="1">
      <alignment horizontal="right"/>
    </xf>
    <xf numFmtId="167" fontId="6" fillId="6" borderId="39" xfId="1" applyNumberFormat="1" applyFont="1" applyFill="1" applyBorder="1"/>
    <xf numFmtId="165" fontId="6" fillId="6" borderId="39" xfId="1" applyNumberFormat="1" applyFont="1" applyFill="1" applyBorder="1"/>
    <xf numFmtId="0" fontId="6" fillId="6" borderId="39" xfId="1" applyFont="1" applyFill="1" applyBorder="1"/>
    <xf numFmtId="165" fontId="12" fillId="6" borderId="39" xfId="1" applyNumberFormat="1" applyFont="1" applyFill="1" applyBorder="1"/>
    <xf numFmtId="165" fontId="6" fillId="6" borderId="41" xfId="1" applyNumberFormat="1" applyFont="1" applyFill="1" applyBorder="1"/>
    <xf numFmtId="0" fontId="7" fillId="6" borderId="19" xfId="0" applyFont="1" applyFill="1" applyBorder="1" applyAlignment="1"/>
    <xf numFmtId="165" fontId="3" fillId="6" borderId="22" xfId="0" quotePrefix="1" applyNumberFormat="1" applyFont="1" applyFill="1" applyBorder="1" applyAlignment="1">
      <alignment horizontal="right"/>
    </xf>
    <xf numFmtId="165" fontId="3" fillId="6" borderId="20" xfId="0" quotePrefix="1" applyNumberFormat="1" applyFont="1" applyFill="1" applyBorder="1" applyAlignment="1">
      <alignment horizontal="right"/>
    </xf>
    <xf numFmtId="0" fontId="6" fillId="6" borderId="7" xfId="1" quotePrefix="1" applyFont="1" applyFill="1" applyBorder="1" applyAlignment="1" applyProtection="1">
      <alignment horizontal="center" wrapText="1"/>
    </xf>
    <xf numFmtId="0" fontId="7" fillId="6" borderId="0" xfId="1" applyFont="1" applyFill="1" applyAlignment="1">
      <alignment horizontal="center"/>
    </xf>
    <xf numFmtId="172" fontId="12" fillId="6" borderId="0" xfId="1" applyNumberFormat="1" applyFont="1" applyFill="1"/>
    <xf numFmtId="165" fontId="7" fillId="6" borderId="14" xfId="1" applyNumberFormat="1" applyFont="1" applyFill="1" applyBorder="1"/>
    <xf numFmtId="165" fontId="7" fillId="6" borderId="0" xfId="1" applyNumberFormat="1" applyFont="1" applyFill="1"/>
    <xf numFmtId="0" fontId="12" fillId="6" borderId="0" xfId="1" applyFont="1" applyFill="1"/>
    <xf numFmtId="44" fontId="12" fillId="6" borderId="0" xfId="1" applyNumberFormat="1" applyFont="1" applyFill="1"/>
    <xf numFmtId="172" fontId="12" fillId="6" borderId="0" xfId="0" applyNumberFormat="1" applyFont="1" applyFill="1"/>
    <xf numFmtId="172" fontId="7" fillId="6" borderId="0" xfId="0" applyNumberFormat="1" applyFont="1" applyFill="1"/>
    <xf numFmtId="165" fontId="12" fillId="6" borderId="0" xfId="1" applyNumberFormat="1" applyFont="1" applyFill="1"/>
    <xf numFmtId="165" fontId="6" fillId="6" borderId="0" xfId="1" applyNumberFormat="1" applyFont="1" applyFill="1"/>
    <xf numFmtId="0" fontId="7" fillId="0" borderId="0" xfId="0" quotePrefix="1" applyFont="1" applyFill="1" applyAlignment="1">
      <alignment horizontal="center"/>
    </xf>
    <xf numFmtId="165" fontId="18" fillId="0" borderId="14" xfId="0" applyNumberFormat="1" applyFont="1" applyFill="1" applyBorder="1"/>
    <xf numFmtId="0" fontId="22" fillId="0" borderId="0" xfId="0" applyFont="1"/>
    <xf numFmtId="0" fontId="20" fillId="0" borderId="0" xfId="0" applyFont="1"/>
    <xf numFmtId="0" fontId="23" fillId="0" borderId="0" xfId="0" applyFont="1"/>
    <xf numFmtId="0" fontId="22" fillId="0" borderId="5" xfId="0" applyFont="1" applyBorder="1" applyAlignment="1">
      <alignment horizontal="center"/>
    </xf>
    <xf numFmtId="0" fontId="20" fillId="0" borderId="0" xfId="0" applyFont="1" applyAlignment="1">
      <alignment horizontal="left" indent="1"/>
    </xf>
    <xf numFmtId="10" fontId="21" fillId="0" borderId="0" xfId="0" applyNumberFormat="1" applyFont="1"/>
    <xf numFmtId="167" fontId="21" fillId="0" borderId="0" xfId="0" applyNumberFormat="1" applyFont="1"/>
    <xf numFmtId="41" fontId="21" fillId="0" borderId="0" xfId="0" applyNumberFormat="1" applyFont="1"/>
    <xf numFmtId="41" fontId="21" fillId="0" borderId="2" xfId="0" applyNumberFormat="1" applyFont="1" applyBorder="1"/>
    <xf numFmtId="167" fontId="21" fillId="0" borderId="2" xfId="0" applyNumberFormat="1" applyFont="1" applyBorder="1"/>
    <xf numFmtId="167" fontId="21" fillId="0" borderId="14" xfId="0" applyNumberFormat="1" applyFont="1" applyBorder="1"/>
    <xf numFmtId="167" fontId="0" fillId="0" borderId="0" xfId="0" applyNumberFormat="1"/>
    <xf numFmtId="43" fontId="21" fillId="0" borderId="0" xfId="0" applyNumberFormat="1" applyFont="1"/>
    <xf numFmtId="43" fontId="21" fillId="0" borderId="47" xfId="0" applyNumberFormat="1" applyFont="1" applyBorder="1"/>
    <xf numFmtId="43" fontId="24" fillId="0" borderId="0" xfId="2" applyFont="1"/>
    <xf numFmtId="167" fontId="21" fillId="6" borderId="0" xfId="0" applyNumberFormat="1" applyFont="1" applyFill="1"/>
    <xf numFmtId="167" fontId="21" fillId="6" borderId="47" xfId="0" applyNumberFormat="1" applyFont="1" applyFill="1" applyBorder="1"/>
    <xf numFmtId="165" fontId="7" fillId="6" borderId="0" xfId="0" applyNumberFormat="1" applyFont="1" applyFill="1"/>
    <xf numFmtId="167" fontId="18" fillId="6" borderId="39" xfId="0" applyNumberFormat="1" applyFont="1" applyFill="1" applyBorder="1"/>
    <xf numFmtId="165" fontId="18" fillId="6" borderId="39" xfId="0" applyNumberFormat="1" applyFont="1" applyFill="1" applyBorder="1"/>
    <xf numFmtId="0" fontId="19" fillId="6" borderId="39" xfId="0" applyFont="1" applyFill="1" applyBorder="1"/>
    <xf numFmtId="165" fontId="18" fillId="6" borderId="41" xfId="0" applyNumberFormat="1" applyFont="1" applyFill="1" applyBorder="1"/>
    <xf numFmtId="165" fontId="25" fillId="6" borderId="0" xfId="0" applyNumberFormat="1" applyFont="1" applyFill="1"/>
    <xf numFmtId="165" fontId="26" fillId="6" borderId="0" xfId="0" applyNumberFormat="1" applyFont="1" applyFill="1"/>
    <xf numFmtId="165" fontId="16" fillId="6" borderId="0" xfId="0" applyNumberFormat="1" applyFont="1" applyFill="1"/>
    <xf numFmtId="44" fontId="10" fillId="0" borderId="0" xfId="0" applyNumberFormat="1" applyFont="1" applyFill="1"/>
    <xf numFmtId="0" fontId="7" fillId="0" borderId="0" xfId="0" quotePrefix="1" applyFont="1" applyAlignment="1">
      <alignment horizontal="left" vertical="top" wrapText="1"/>
    </xf>
    <xf numFmtId="0" fontId="6" fillId="0" borderId="5" xfId="1" quotePrefix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5" xfId="0" quotePrefix="1" applyFont="1" applyFill="1" applyBorder="1" applyAlignment="1">
      <alignment horizontal="center"/>
    </xf>
    <xf numFmtId="0" fontId="7" fillId="0" borderId="19" xfId="0" quotePrefix="1" applyFont="1" applyFill="1" applyBorder="1" applyAlignment="1">
      <alignment horizontal="left"/>
    </xf>
    <xf numFmtId="0" fontId="7" fillId="0" borderId="22" xfId="0" quotePrefix="1" applyFont="1" applyFill="1" applyBorder="1" applyAlignment="1">
      <alignment horizontal="left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5" xfId="0" quotePrefix="1" applyFont="1" applyFill="1" applyBorder="1" applyAlignment="1">
      <alignment horizontal="left"/>
    </xf>
    <xf numFmtId="0" fontId="7" fillId="0" borderId="21" xfId="0" quotePrefix="1" applyFont="1" applyFill="1" applyBorder="1" applyAlignment="1">
      <alignment horizontal="left"/>
    </xf>
    <xf numFmtId="0" fontId="7" fillId="0" borderId="17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quotePrefix="1" applyFont="1" applyFill="1" applyAlignment="1">
      <alignment horizontal="left"/>
    </xf>
    <xf numFmtId="0" fontId="7" fillId="0" borderId="1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39" xfId="0" quotePrefix="1" applyFont="1" applyFill="1" applyBorder="1" applyAlignment="1">
      <alignment horizontal="center" wrapText="1"/>
    </xf>
    <xf numFmtId="0" fontId="6" fillId="0" borderId="41" xfId="0" quotePrefix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quotePrefix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6" fillId="0" borderId="5" xfId="1" applyFont="1" applyFill="1" applyBorder="1" applyAlignment="1">
      <alignment horizontal="center"/>
    </xf>
    <xf numFmtId="0" fontId="6" fillId="0" borderId="5" xfId="1" quotePrefix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5" xfId="0" quotePrefix="1" applyFont="1" applyFill="1" applyBorder="1" applyAlignment="1">
      <alignment horizontal="center" wrapText="1"/>
    </xf>
    <xf numFmtId="0" fontId="6" fillId="0" borderId="36" xfId="0" quotePrefix="1" applyFont="1" applyFill="1" applyBorder="1" applyAlignment="1">
      <alignment horizontal="center" wrapText="1"/>
    </xf>
    <xf numFmtId="0" fontId="6" fillId="0" borderId="37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quotePrefix="1" applyFont="1" applyFill="1" applyBorder="1" applyAlignment="1" applyProtection="1">
      <alignment horizontal="center" wrapText="1"/>
    </xf>
    <xf numFmtId="0" fontId="6" fillId="0" borderId="5" xfId="0" quotePrefix="1" applyFont="1" applyFill="1" applyBorder="1" applyAlignment="1" applyProtection="1">
      <alignment horizontal="center" wrapText="1"/>
    </xf>
    <xf numFmtId="0" fontId="6" fillId="0" borderId="0" xfId="0" quotePrefix="1" applyNumberFormat="1" applyFont="1" applyFill="1" applyAlignment="1">
      <alignment horizontal="center"/>
    </xf>
    <xf numFmtId="0" fontId="6" fillId="0" borderId="0" xfId="0" quotePrefix="1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9" xfId="0" quotePrefix="1" applyFont="1" applyFill="1" applyBorder="1" applyAlignment="1" applyProtection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0" xfId="0" quotePrefix="1" applyFont="1" applyFill="1" applyAlignment="1" applyProtection="1">
      <alignment horizontal="left"/>
    </xf>
  </cellXfs>
  <cellStyles count="8">
    <cellStyle name="Comma" xfId="2" builtinId="3"/>
    <cellStyle name="Comma 2" xfId="4" xr:uid="{00000000-0005-0000-0000-000001000000}"/>
    <cellStyle name="Comma 3" xfId="7" xr:uid="{00000000-0005-0000-0000-000002000000}"/>
    <cellStyle name="Currency" xfId="3" builtinId="4"/>
    <cellStyle name="Currency 2" xfId="5" xr:uid="{00000000-0005-0000-0000-000004000000}"/>
    <cellStyle name="Normal" xfId="0" builtinId="0"/>
    <cellStyle name="Normal 2" xfId="1" xr:uid="{00000000-0005-0000-0000-000006000000}"/>
    <cellStyle name="Normal 3" xfId="6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0033CC"/>
      <color rgb="FF006666"/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F54"/>
  <sheetViews>
    <sheetView workbookViewId="0">
      <selection activeCell="F7" sqref="F7:F20"/>
    </sheetView>
  </sheetViews>
  <sheetFormatPr defaultColWidth="9" defaultRowHeight="11.25" x14ac:dyDescent="0.2"/>
  <cols>
    <col min="1" max="1" width="2.125" style="8" customWidth="1"/>
    <col min="2" max="2" width="22" style="8" bestFit="1" customWidth="1"/>
    <col min="3" max="3" width="23.625" style="8" bestFit="1" customWidth="1"/>
    <col min="4" max="4" width="8.625" style="8" bestFit="1" customWidth="1"/>
    <col min="5" max="5" width="1.75" style="8" customWidth="1"/>
    <col min="6" max="6" width="71.75" style="8" bestFit="1" customWidth="1"/>
    <col min="7" max="16384" width="9" style="8"/>
  </cols>
  <sheetData>
    <row r="1" spans="1:6" x14ac:dyDescent="0.2">
      <c r="A1" s="1" t="s">
        <v>72</v>
      </c>
      <c r="B1" s="1"/>
      <c r="C1" s="1"/>
      <c r="D1" s="2"/>
    </row>
    <row r="2" spans="1:6" x14ac:dyDescent="0.2">
      <c r="A2" s="3" t="s">
        <v>555</v>
      </c>
      <c r="B2" s="1"/>
      <c r="C2" s="1"/>
      <c r="D2" s="2"/>
    </row>
    <row r="3" spans="1:6" x14ac:dyDescent="0.2">
      <c r="A3" s="3" t="s">
        <v>561</v>
      </c>
      <c r="B3" s="1"/>
      <c r="C3" s="1"/>
      <c r="D3" s="2"/>
    </row>
    <row r="4" spans="1:6" x14ac:dyDescent="0.2">
      <c r="A4" s="2"/>
      <c r="B4" s="4"/>
      <c r="C4" s="4"/>
      <c r="D4" s="2"/>
    </row>
    <row r="5" spans="1:6" x14ac:dyDescent="0.2">
      <c r="A5" s="2"/>
      <c r="B5" s="1" t="s">
        <v>556</v>
      </c>
      <c r="C5" s="1" t="s">
        <v>557</v>
      </c>
      <c r="D5" s="1" t="s">
        <v>558</v>
      </c>
      <c r="F5" s="3" t="s">
        <v>559</v>
      </c>
    </row>
    <row r="6" spans="1:6" ht="15.75" customHeight="1" x14ac:dyDescent="0.2">
      <c r="A6" s="2"/>
      <c r="B6" s="1"/>
      <c r="C6" s="1"/>
      <c r="D6" s="1"/>
    </row>
    <row r="7" spans="1:6" x14ac:dyDescent="0.2">
      <c r="A7" s="5"/>
      <c r="B7" s="432" t="s">
        <v>576</v>
      </c>
      <c r="C7" s="5" t="s">
        <v>563</v>
      </c>
      <c r="D7" s="5" t="s">
        <v>560</v>
      </c>
      <c r="E7" s="433"/>
      <c r="F7" s="589" t="s">
        <v>562</v>
      </c>
    </row>
    <row r="8" spans="1:6" x14ac:dyDescent="0.2">
      <c r="A8" s="5"/>
      <c r="B8" s="432" t="s">
        <v>577</v>
      </c>
      <c r="C8" s="5" t="s">
        <v>564</v>
      </c>
      <c r="D8" s="5" t="s">
        <v>560</v>
      </c>
      <c r="E8" s="433"/>
      <c r="F8" s="589"/>
    </row>
    <row r="9" spans="1:6" x14ac:dyDescent="0.2">
      <c r="A9" s="5"/>
      <c r="B9" s="432" t="s">
        <v>578</v>
      </c>
      <c r="C9" s="5" t="s">
        <v>565</v>
      </c>
      <c r="D9" s="5" t="s">
        <v>560</v>
      </c>
      <c r="E9" s="433"/>
      <c r="F9" s="589"/>
    </row>
    <row r="10" spans="1:6" x14ac:dyDescent="0.2">
      <c r="A10" s="5"/>
      <c r="B10" s="432" t="s">
        <v>579</v>
      </c>
      <c r="C10" s="5" t="s">
        <v>566</v>
      </c>
      <c r="D10" s="5" t="s">
        <v>560</v>
      </c>
      <c r="E10" s="433"/>
      <c r="F10" s="589"/>
    </row>
    <row r="11" spans="1:6" x14ac:dyDescent="0.2">
      <c r="A11" s="5"/>
      <c r="B11" s="432" t="s">
        <v>580</v>
      </c>
      <c r="C11" s="5" t="s">
        <v>567</v>
      </c>
      <c r="D11" s="5" t="s">
        <v>560</v>
      </c>
      <c r="E11" s="433"/>
      <c r="F11" s="589"/>
    </row>
    <row r="12" spans="1:6" x14ac:dyDescent="0.2">
      <c r="A12" s="433"/>
      <c r="B12" s="432" t="s">
        <v>584</v>
      </c>
      <c r="C12" s="5" t="s">
        <v>568</v>
      </c>
      <c r="D12" s="5" t="s">
        <v>560</v>
      </c>
      <c r="E12" s="433"/>
      <c r="F12" s="589"/>
    </row>
    <row r="13" spans="1:6" x14ac:dyDescent="0.2">
      <c r="A13" s="433"/>
      <c r="B13" s="432" t="s">
        <v>585</v>
      </c>
      <c r="C13" s="5" t="s">
        <v>650</v>
      </c>
      <c r="D13" s="5" t="s">
        <v>560</v>
      </c>
      <c r="E13" s="433"/>
      <c r="F13" s="589"/>
    </row>
    <row r="14" spans="1:6" x14ac:dyDescent="0.2">
      <c r="A14" s="433"/>
      <c r="B14" s="432" t="s">
        <v>586</v>
      </c>
      <c r="C14" s="5" t="s">
        <v>569</v>
      </c>
      <c r="D14" s="5" t="s">
        <v>560</v>
      </c>
      <c r="E14" s="433"/>
      <c r="F14" s="589"/>
    </row>
    <row r="15" spans="1:6" x14ac:dyDescent="0.2">
      <c r="A15" s="433"/>
      <c r="B15" s="432" t="s">
        <v>587</v>
      </c>
      <c r="C15" s="5" t="s">
        <v>570</v>
      </c>
      <c r="D15" s="5" t="s">
        <v>560</v>
      </c>
      <c r="E15" s="433"/>
      <c r="F15" s="589"/>
    </row>
    <row r="16" spans="1:6" x14ac:dyDescent="0.2">
      <c r="A16" s="433"/>
      <c r="B16" s="432" t="s">
        <v>581</v>
      </c>
      <c r="C16" s="5" t="s">
        <v>571</v>
      </c>
      <c r="D16" s="5" t="s">
        <v>560</v>
      </c>
      <c r="E16" s="433"/>
      <c r="F16" s="589"/>
    </row>
    <row r="17" spans="1:6" x14ac:dyDescent="0.2">
      <c r="A17" s="433"/>
      <c r="B17" s="432" t="s">
        <v>582</v>
      </c>
      <c r="C17" s="5" t="s">
        <v>573</v>
      </c>
      <c r="D17" s="5" t="s">
        <v>560</v>
      </c>
      <c r="E17" s="433"/>
      <c r="F17" s="589"/>
    </row>
    <row r="18" spans="1:6" x14ac:dyDescent="0.2">
      <c r="A18" s="433"/>
      <c r="B18" s="432" t="s">
        <v>583</v>
      </c>
      <c r="C18" s="5" t="s">
        <v>572</v>
      </c>
      <c r="D18" s="5" t="s">
        <v>560</v>
      </c>
      <c r="E18" s="433"/>
      <c r="F18" s="589"/>
    </row>
    <row r="19" spans="1:6" x14ac:dyDescent="0.2">
      <c r="A19" s="433"/>
      <c r="B19" s="432" t="s">
        <v>588</v>
      </c>
      <c r="C19" s="5" t="s">
        <v>574</v>
      </c>
      <c r="D19" s="5" t="s">
        <v>560</v>
      </c>
      <c r="E19" s="433"/>
      <c r="F19" s="589"/>
    </row>
    <row r="20" spans="1:6" x14ac:dyDescent="0.2">
      <c r="A20" s="433"/>
      <c r="B20" s="432" t="s">
        <v>589</v>
      </c>
      <c r="C20" s="5" t="s">
        <v>575</v>
      </c>
      <c r="D20" s="5" t="s">
        <v>560</v>
      </c>
      <c r="E20" s="433"/>
      <c r="F20" s="589"/>
    </row>
    <row r="21" spans="1:6" x14ac:dyDescent="0.2">
      <c r="A21" s="433"/>
      <c r="B21" s="287"/>
      <c r="C21" s="287"/>
      <c r="D21" s="287"/>
      <c r="E21" s="433"/>
    </row>
    <row r="22" spans="1:6" x14ac:dyDescent="0.2">
      <c r="A22" s="433"/>
      <c r="B22" s="433"/>
      <c r="C22" s="6"/>
      <c r="D22" s="5"/>
      <c r="E22" s="433"/>
      <c r="F22" s="433"/>
    </row>
    <row r="23" spans="1:6" x14ac:dyDescent="0.2">
      <c r="A23" s="433"/>
      <c r="B23" s="433"/>
      <c r="D23" s="5"/>
      <c r="E23" s="433"/>
      <c r="F23" s="433"/>
    </row>
    <row r="24" spans="1:6" x14ac:dyDescent="0.2">
      <c r="A24" s="433"/>
      <c r="B24" s="433"/>
      <c r="C24" s="6"/>
      <c r="D24" s="5"/>
      <c r="E24" s="433"/>
      <c r="F24" s="433"/>
    </row>
    <row r="25" spans="1:6" x14ac:dyDescent="0.2">
      <c r="A25" s="433"/>
      <c r="B25" s="433"/>
      <c r="C25" s="6"/>
      <c r="D25" s="5"/>
      <c r="E25" s="433"/>
      <c r="F25" s="433"/>
    </row>
    <row r="26" spans="1:6" x14ac:dyDescent="0.2">
      <c r="A26" s="433"/>
      <c r="B26" s="433"/>
      <c r="C26" s="6"/>
      <c r="D26" s="5"/>
      <c r="E26" s="433"/>
      <c r="F26" s="433"/>
    </row>
    <row r="27" spans="1:6" x14ac:dyDescent="0.2">
      <c r="A27" s="433"/>
      <c r="B27" s="433"/>
      <c r="C27" s="6"/>
      <c r="D27" s="5"/>
      <c r="E27" s="433"/>
      <c r="F27" s="433"/>
    </row>
    <row r="28" spans="1:6" x14ac:dyDescent="0.2">
      <c r="A28" s="433"/>
      <c r="B28" s="433"/>
      <c r="C28" s="6"/>
      <c r="D28" s="5"/>
      <c r="E28" s="433"/>
      <c r="F28" s="433"/>
    </row>
    <row r="29" spans="1:6" x14ac:dyDescent="0.2">
      <c r="A29" s="433"/>
      <c r="B29" s="433"/>
      <c r="C29" s="6"/>
      <c r="D29" s="5"/>
      <c r="E29" s="433"/>
      <c r="F29" s="433"/>
    </row>
    <row r="30" spans="1:6" x14ac:dyDescent="0.2">
      <c r="A30" s="433"/>
      <c r="B30" s="433"/>
      <c r="C30" s="6"/>
      <c r="D30" s="5"/>
      <c r="E30" s="433"/>
      <c r="F30" s="433"/>
    </row>
    <row r="31" spans="1:6" x14ac:dyDescent="0.2">
      <c r="A31" s="433"/>
      <c r="B31" s="433"/>
      <c r="C31" s="6"/>
      <c r="D31" s="5"/>
      <c r="E31" s="433"/>
      <c r="F31" s="433"/>
    </row>
    <row r="32" spans="1:6" x14ac:dyDescent="0.2">
      <c r="A32" s="433"/>
      <c r="B32" s="433"/>
      <c r="C32" s="5"/>
      <c r="D32" s="5"/>
      <c r="E32" s="433"/>
      <c r="F32" s="433"/>
    </row>
    <row r="33" spans="1:6" x14ac:dyDescent="0.2">
      <c r="A33" s="433"/>
      <c r="B33" s="433"/>
      <c r="C33" s="6"/>
      <c r="D33" s="5"/>
      <c r="E33" s="433"/>
      <c r="F33" s="433"/>
    </row>
    <row r="34" spans="1:6" x14ac:dyDescent="0.2">
      <c r="A34" s="433"/>
      <c r="B34" s="433"/>
      <c r="C34" s="6"/>
      <c r="D34" s="5"/>
      <c r="E34" s="433"/>
      <c r="F34" s="433"/>
    </row>
    <row r="35" spans="1:6" x14ac:dyDescent="0.2">
      <c r="A35" s="433"/>
      <c r="B35" s="433"/>
      <c r="C35" s="6"/>
      <c r="D35" s="5"/>
      <c r="E35" s="433"/>
      <c r="F35" s="433"/>
    </row>
    <row r="36" spans="1:6" x14ac:dyDescent="0.2">
      <c r="A36" s="433"/>
      <c r="B36" s="433"/>
      <c r="C36" s="6"/>
      <c r="D36" s="5"/>
      <c r="E36" s="433"/>
      <c r="F36" s="433"/>
    </row>
    <row r="37" spans="1:6" x14ac:dyDescent="0.2">
      <c r="A37" s="433"/>
      <c r="B37" s="433"/>
      <c r="C37" s="6"/>
      <c r="D37" s="5"/>
      <c r="E37" s="433"/>
      <c r="F37" s="433"/>
    </row>
    <row r="38" spans="1:6" x14ac:dyDescent="0.2">
      <c r="A38" s="433"/>
      <c r="B38" s="433"/>
      <c r="C38" s="6"/>
      <c r="D38" s="5"/>
      <c r="E38" s="433"/>
      <c r="F38" s="433"/>
    </row>
    <row r="39" spans="1:6" x14ac:dyDescent="0.2">
      <c r="A39" s="433"/>
      <c r="B39" s="433"/>
      <c r="C39" s="6"/>
      <c r="D39" s="5"/>
      <c r="E39" s="433"/>
      <c r="F39" s="433"/>
    </row>
    <row r="40" spans="1:6" x14ac:dyDescent="0.2">
      <c r="A40" s="433"/>
      <c r="B40" s="433"/>
      <c r="C40" s="6"/>
      <c r="D40" s="5"/>
      <c r="E40" s="433"/>
      <c r="F40" s="433"/>
    </row>
    <row r="41" spans="1:6" x14ac:dyDescent="0.2">
      <c r="A41" s="433"/>
      <c r="B41" s="433"/>
      <c r="C41" s="6"/>
      <c r="D41" s="5"/>
      <c r="E41" s="433"/>
      <c r="F41" s="433"/>
    </row>
    <row r="42" spans="1:6" x14ac:dyDescent="0.2">
      <c r="A42" s="433"/>
      <c r="B42" s="433"/>
      <c r="C42" s="6"/>
      <c r="D42" s="5"/>
      <c r="E42" s="433"/>
      <c r="F42" s="433"/>
    </row>
    <row r="43" spans="1:6" x14ac:dyDescent="0.2">
      <c r="A43" s="433"/>
      <c r="B43" s="433"/>
      <c r="C43" s="5"/>
      <c r="D43" s="5"/>
      <c r="E43" s="433"/>
      <c r="F43" s="433"/>
    </row>
    <row r="44" spans="1:6" x14ac:dyDescent="0.2">
      <c r="A44" s="433"/>
      <c r="B44" s="433"/>
      <c r="C44" s="6"/>
      <c r="D44" s="5"/>
      <c r="E44" s="433"/>
      <c r="F44" s="433"/>
    </row>
    <row r="45" spans="1:6" x14ac:dyDescent="0.2">
      <c r="A45" s="433"/>
      <c r="B45" s="433"/>
      <c r="C45" s="6"/>
      <c r="D45" s="5"/>
      <c r="E45" s="433"/>
      <c r="F45" s="433"/>
    </row>
    <row r="46" spans="1:6" x14ac:dyDescent="0.2">
      <c r="A46" s="433"/>
      <c r="B46" s="433"/>
      <c r="C46" s="6"/>
      <c r="D46" s="5"/>
      <c r="E46" s="433"/>
      <c r="F46" s="433"/>
    </row>
    <row r="47" spans="1:6" x14ac:dyDescent="0.2">
      <c r="A47" s="433"/>
      <c r="B47" s="433"/>
      <c r="C47" s="6"/>
      <c r="D47" s="5"/>
      <c r="E47" s="433"/>
      <c r="F47" s="433"/>
    </row>
    <row r="48" spans="1:6" x14ac:dyDescent="0.2">
      <c r="A48" s="433"/>
      <c r="B48" s="433"/>
      <c r="C48" s="6"/>
      <c r="D48" s="5"/>
      <c r="E48" s="433"/>
      <c r="F48" s="433"/>
    </row>
    <row r="49" spans="1:6" x14ac:dyDescent="0.2">
      <c r="A49" s="433"/>
      <c r="B49" s="433"/>
      <c r="C49" s="6"/>
      <c r="D49" s="5"/>
      <c r="E49" s="433"/>
      <c r="F49" s="433"/>
    </row>
    <row r="50" spans="1:6" x14ac:dyDescent="0.2">
      <c r="A50" s="433"/>
      <c r="B50" s="433"/>
      <c r="C50" s="6"/>
      <c r="D50" s="5"/>
      <c r="E50" s="433"/>
      <c r="F50" s="433"/>
    </row>
    <row r="51" spans="1:6" x14ac:dyDescent="0.2">
      <c r="A51" s="433"/>
      <c r="B51" s="433"/>
      <c r="C51" s="6"/>
      <c r="D51" s="5"/>
      <c r="E51" s="433"/>
      <c r="F51" s="433"/>
    </row>
    <row r="52" spans="1:6" x14ac:dyDescent="0.2">
      <c r="A52" s="433"/>
      <c r="B52" s="433"/>
      <c r="C52" s="6"/>
      <c r="D52" s="5"/>
      <c r="E52" s="433"/>
      <c r="F52" s="433"/>
    </row>
    <row r="53" spans="1:6" x14ac:dyDescent="0.2">
      <c r="A53" s="433"/>
      <c r="B53" s="433"/>
      <c r="C53" s="6"/>
      <c r="D53" s="5"/>
      <c r="E53" s="433"/>
      <c r="F53" s="433"/>
    </row>
    <row r="54" spans="1:6" x14ac:dyDescent="0.2">
      <c r="A54" s="433"/>
      <c r="B54" s="433"/>
      <c r="C54" s="6"/>
      <c r="D54" s="5"/>
      <c r="E54" s="433"/>
      <c r="F54" s="433"/>
    </row>
  </sheetData>
  <mergeCells count="1">
    <mergeCell ref="F7:F20"/>
  </mergeCells>
  <hyperlinks>
    <hyperlink ref="B7" location="'Exhibit No.__(BDJ-Tariff)'!A1" display="Exhibit BDJ-5, Page 1-6" xr:uid="{00000000-0004-0000-0000-000000000000}"/>
    <hyperlink ref="B8" location="'Exhibit No.__(BDJ-Rate Spread)'!A1" display="Exhibit BDJ-5, Page 7-8" xr:uid="{00000000-0004-0000-0000-000001000000}"/>
    <hyperlink ref="B9" location="'Exhibit No.__(BDJ-Rate Des Sum)'!A1" display="Exhibit BDJ-5, Page 9" xr:uid="{00000000-0004-0000-0000-000002000000}"/>
    <hyperlink ref="B10" location="'Exhibit No.__(BDJ-Prof-Prop)'!A1" display="Exhibit BDJ-5, Page 10" xr:uid="{00000000-0004-0000-0000-000003000000}"/>
    <hyperlink ref="B11" location="'Exhibit No.__(BDJ-MYRP-SUM)'!A1" display="Exhibit BDJ-5, Page 11-12" xr:uid="{00000000-0004-0000-0000-000004000000}"/>
    <hyperlink ref="B12" location="'Exhibit No.__(BDJ-MYRP)'!A1" display="Exhibit BDJ-5, Page 13-20" xr:uid="{00000000-0004-0000-0000-000005000000}"/>
    <hyperlink ref="B13" location="'Exhibit No.__(BDJ-141C)'!A1" display="Exhibit BDJ-5, Page 21-22" xr:uid="{00000000-0004-0000-0000-000006000000}"/>
    <hyperlink ref="B14" location="'Exhibit No.__(BDJ-Res RD)'!A1" display="Exhibit BDJ-5, Page 23" xr:uid="{00000000-0004-0000-0000-000007000000}"/>
    <hyperlink ref="B15" location="'Exhibit No.__(BDJ-SV RD)'!A1" display="Exhibit BDJ-5, Page 24-27" xr:uid="{00000000-0004-0000-0000-000008000000}"/>
    <hyperlink ref="B16" location="'Exhibit No.__(BDJ-PV RD)'!A1" display="Exhibit BDJ-5, Page 28-29" xr:uid="{00000000-0004-0000-0000-000009000000}"/>
    <hyperlink ref="B17" location="'Exhibit No.__(BDJ-CONJ  DEM)'!A1" display="Exhibit BDJ-5, Page 30" xr:uid="{00000000-0004-0000-0000-00000A000000}"/>
    <hyperlink ref="B18" location="'Exhibit No.__(BDJ-HV RD)'!A1" display="Exhibit BDJ-5, Page 31" xr:uid="{00000000-0004-0000-0000-00000B000000}"/>
    <hyperlink ref="B19" location="'Exhibit No.__(BDJ-TRANSP RD)'!A1" display="Exhibit BDJ-5, Page 32" xr:uid="{00000000-0004-0000-0000-00000C000000}"/>
    <hyperlink ref="B20" location="'Exhibit No.__(BDJ-LIGHT RD) '!A1" display="Exhibit BDJ-5, Page 33" xr:uid="{00000000-0004-0000-0000-00000D000000}"/>
  </hyperlinks>
  <pageMargins left="0.7" right="0.7" top="0.75" bottom="0.75" header="0.3" footer="0.3"/>
  <pageSetup scale="70" orientation="landscape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AP181"/>
  <sheetViews>
    <sheetView zoomScaleNormal="100" workbookViewId="0">
      <pane xSplit="5" ySplit="12" topLeftCell="I21" activePane="bottomRight" state="frozen"/>
      <selection activeCell="E29" sqref="E29"/>
      <selection pane="topRight" activeCell="E29" sqref="E29"/>
      <selection pane="bottomLeft" activeCell="E29" sqref="E29"/>
      <selection pane="bottomRight" activeCell="L23" sqref="L23 I21"/>
    </sheetView>
  </sheetViews>
  <sheetFormatPr defaultColWidth="3.375" defaultRowHeight="11.25" x14ac:dyDescent="0.2"/>
  <cols>
    <col min="1" max="1" width="5.5" style="241" customWidth="1"/>
    <col min="2" max="2" width="10.25" style="243" bestFit="1" customWidth="1"/>
    <col min="3" max="3" width="28" style="241" bestFit="1" customWidth="1"/>
    <col min="4" max="4" width="14.625" style="241" customWidth="1"/>
    <col min="5" max="5" width="16.25" style="241" customWidth="1"/>
    <col min="6" max="6" width="12.625" style="35" bestFit="1" customWidth="1"/>
    <col min="7" max="7" width="11.25" style="35" bestFit="1" customWidth="1"/>
    <col min="8" max="8" width="0.875" style="35" customWidth="1"/>
    <col min="9" max="9" width="12.625" style="35" customWidth="1"/>
    <col min="10" max="10" width="11.25" style="35" customWidth="1"/>
    <col min="11" max="11" width="11.25" style="35" bestFit="1" customWidth="1"/>
    <col min="12" max="12" width="10.625" style="35" bestFit="1" customWidth="1"/>
    <col min="13" max="13" width="11.25" style="35" customWidth="1"/>
    <col min="14" max="14" width="0.625" style="35" customWidth="1"/>
    <col min="15" max="15" width="12.625" style="35" customWidth="1"/>
    <col min="16" max="16" width="11.25" style="35" customWidth="1"/>
    <col min="17" max="17" width="11.25" style="35" bestFit="1" customWidth="1"/>
    <col min="18" max="18" width="10.625" style="35" bestFit="1" customWidth="1"/>
    <col min="19" max="19" width="11.25" style="35" customWidth="1"/>
    <col min="20" max="20" width="0.875" style="241" customWidth="1"/>
    <col min="21" max="21" width="12.625" style="241" customWidth="1"/>
    <col min="22" max="22" width="8.5" style="241" bestFit="1" customWidth="1"/>
    <col min="23" max="23" width="12.5" style="241" customWidth="1"/>
    <col min="24" max="25" width="6.875" style="241" bestFit="1" customWidth="1"/>
    <col min="26" max="26" width="9.375" style="241" bestFit="1" customWidth="1"/>
    <col min="27" max="27" width="8.625" style="241" bestFit="1" customWidth="1"/>
    <col min="28" max="30" width="9.125" style="241" bestFit="1" customWidth="1"/>
    <col min="31" max="31" width="3.875" style="241" bestFit="1" customWidth="1"/>
    <col min="32" max="32" width="9.375" style="241" bestFit="1" customWidth="1"/>
    <col min="33" max="33" width="8.625" style="241" bestFit="1" customWidth="1"/>
    <col min="34" max="36" width="9.125" style="241" bestFit="1" customWidth="1"/>
    <col min="37" max="37" width="7.25" style="241" bestFit="1" customWidth="1"/>
    <col min="38" max="38" width="11.75" style="241" bestFit="1" customWidth="1"/>
    <col min="39" max="40" width="11" style="241" bestFit="1" customWidth="1"/>
    <col min="41" max="41" width="9.125" style="241" bestFit="1" customWidth="1"/>
    <col min="42" max="42" width="11" style="241" bestFit="1" customWidth="1"/>
    <col min="43" max="16384" width="3.375" style="241"/>
  </cols>
  <sheetData>
    <row r="2" spans="1:42" x14ac:dyDescent="0.2">
      <c r="A2" s="240" t="s">
        <v>485</v>
      </c>
      <c r="B2" s="240"/>
      <c r="C2" s="240"/>
      <c r="D2" s="240"/>
      <c r="E2" s="240"/>
      <c r="F2" s="240"/>
      <c r="G2" s="400"/>
      <c r="H2" s="240"/>
      <c r="I2" s="240"/>
      <c r="J2" s="400"/>
      <c r="K2" s="400"/>
      <c r="L2" s="240"/>
      <c r="M2" s="240"/>
      <c r="N2" s="240"/>
      <c r="O2" s="240"/>
      <c r="P2" s="400"/>
      <c r="Q2" s="400"/>
      <c r="R2" s="240"/>
      <c r="S2" s="240"/>
      <c r="T2" s="240"/>
      <c r="U2" s="240"/>
      <c r="V2" s="240"/>
      <c r="W2" s="240"/>
      <c r="X2" s="240"/>
      <c r="Y2" s="240"/>
    </row>
    <row r="3" spans="1:42" x14ac:dyDescent="0.2">
      <c r="A3" s="242" t="s">
        <v>43</v>
      </c>
      <c r="B3" s="242"/>
      <c r="C3" s="242"/>
      <c r="D3" s="242"/>
      <c r="E3" s="242"/>
      <c r="F3" s="242"/>
      <c r="G3" s="401"/>
      <c r="H3" s="242"/>
      <c r="I3" s="242"/>
      <c r="J3" s="401"/>
      <c r="K3" s="401"/>
      <c r="L3" s="242"/>
      <c r="M3" s="242"/>
      <c r="N3" s="242"/>
      <c r="O3" s="242"/>
      <c r="P3" s="401"/>
      <c r="Q3" s="401"/>
      <c r="R3" s="242"/>
      <c r="S3" s="242"/>
      <c r="T3" s="242"/>
      <c r="U3" s="242"/>
      <c r="V3" s="242"/>
      <c r="W3" s="242"/>
      <c r="X3" s="242"/>
      <c r="Y3" s="242"/>
    </row>
    <row r="4" spans="1:42" x14ac:dyDescent="0.2">
      <c r="A4" s="240" t="s">
        <v>365</v>
      </c>
      <c r="B4" s="242"/>
      <c r="C4" s="242"/>
      <c r="D4" s="242"/>
      <c r="E4" s="242"/>
      <c r="F4" s="242"/>
      <c r="G4" s="401"/>
      <c r="H4" s="242"/>
      <c r="I4" s="242"/>
      <c r="J4" s="401"/>
      <c r="K4" s="401"/>
      <c r="L4" s="242"/>
      <c r="M4" s="242"/>
      <c r="N4" s="242"/>
      <c r="O4" s="242"/>
      <c r="P4" s="401"/>
      <c r="Q4" s="401"/>
      <c r="R4" s="242"/>
      <c r="S4" s="242"/>
      <c r="T4" s="242"/>
      <c r="U4" s="242"/>
      <c r="V4" s="242"/>
      <c r="W4" s="242"/>
      <c r="X4" s="242"/>
      <c r="Y4" s="242"/>
    </row>
    <row r="5" spans="1:42" x14ac:dyDescent="0.2">
      <c r="A5" s="240" t="s">
        <v>79</v>
      </c>
      <c r="B5" s="242"/>
      <c r="C5" s="242"/>
      <c r="D5" s="242"/>
      <c r="E5" s="242"/>
      <c r="F5" s="242"/>
      <c r="G5" s="401"/>
      <c r="H5" s="242"/>
      <c r="I5" s="242"/>
      <c r="J5" s="401"/>
      <c r="K5" s="401"/>
      <c r="L5" s="242"/>
      <c r="M5" s="242"/>
      <c r="N5" s="242"/>
      <c r="O5" s="242"/>
      <c r="P5" s="401"/>
      <c r="Q5" s="401"/>
      <c r="R5" s="242"/>
      <c r="S5" s="242"/>
      <c r="T5" s="242"/>
      <c r="U5" s="242"/>
      <c r="V5" s="242"/>
      <c r="W5" s="242"/>
      <c r="X5" s="242"/>
      <c r="Y5" s="242"/>
    </row>
    <row r="6" spans="1:42" x14ac:dyDescent="0.2">
      <c r="A6" s="240" t="s">
        <v>403</v>
      </c>
      <c r="B6" s="240"/>
      <c r="C6" s="240"/>
      <c r="D6" s="240"/>
      <c r="E6" s="240"/>
      <c r="F6" s="240"/>
      <c r="G6" s="400"/>
      <c r="H6" s="240"/>
      <c r="I6" s="240"/>
      <c r="J6" s="400"/>
      <c r="K6" s="400"/>
      <c r="L6" s="240"/>
      <c r="M6" s="240"/>
      <c r="N6" s="240"/>
      <c r="O6" s="240"/>
      <c r="P6" s="400"/>
      <c r="Q6" s="400"/>
      <c r="R6" s="240"/>
      <c r="S6" s="240"/>
      <c r="T6" s="240"/>
      <c r="U6" s="240"/>
      <c r="V6" s="240"/>
      <c r="W6" s="240"/>
      <c r="X6" s="240"/>
      <c r="Y6" s="240"/>
    </row>
    <row r="9" spans="1:42" x14ac:dyDescent="0.2">
      <c r="D9" s="244" t="s">
        <v>414</v>
      </c>
      <c r="E9" s="245" t="s">
        <v>413</v>
      </c>
    </row>
    <row r="10" spans="1:42" x14ac:dyDescent="0.2">
      <c r="A10" s="36" t="s">
        <v>5</v>
      </c>
      <c r="B10" s="36"/>
      <c r="C10" s="35"/>
      <c r="D10" s="245" t="s">
        <v>367</v>
      </c>
      <c r="E10" s="245" t="s">
        <v>4</v>
      </c>
      <c r="F10" s="590" t="s">
        <v>404</v>
      </c>
      <c r="G10" s="622"/>
      <c r="I10" s="622" t="s">
        <v>348</v>
      </c>
      <c r="J10" s="622"/>
      <c r="K10" s="622"/>
      <c r="L10" s="622"/>
      <c r="M10" s="622"/>
      <c r="O10" s="590" t="s">
        <v>341</v>
      </c>
      <c r="P10" s="622"/>
      <c r="Q10" s="622"/>
      <c r="R10" s="622"/>
      <c r="S10" s="622"/>
      <c r="U10" s="623" t="s">
        <v>342</v>
      </c>
      <c r="V10" s="624"/>
      <c r="W10" s="624"/>
      <c r="X10" s="624"/>
      <c r="Y10" s="624"/>
    </row>
    <row r="11" spans="1:42" s="249" customFormat="1" ht="32.25" customHeight="1" x14ac:dyDescent="0.2">
      <c r="A11" s="246" t="s">
        <v>6</v>
      </c>
      <c r="B11" s="246" t="s">
        <v>251</v>
      </c>
      <c r="C11" s="246" t="s">
        <v>7</v>
      </c>
      <c r="D11" s="247" t="s">
        <v>24</v>
      </c>
      <c r="E11" s="247" t="s">
        <v>24</v>
      </c>
      <c r="F11" s="247" t="s">
        <v>366</v>
      </c>
      <c r="G11" s="402" t="s">
        <v>408</v>
      </c>
      <c r="H11" s="430"/>
      <c r="I11" s="247" t="s">
        <v>366</v>
      </c>
      <c r="J11" s="403" t="s">
        <v>368</v>
      </c>
      <c r="K11" s="403" t="s">
        <v>407</v>
      </c>
      <c r="L11" s="550" t="s">
        <v>410</v>
      </c>
      <c r="M11" s="550" t="s">
        <v>411</v>
      </c>
      <c r="N11" s="430"/>
      <c r="O11" s="247" t="s">
        <v>366</v>
      </c>
      <c r="P11" s="403" t="s">
        <v>368</v>
      </c>
      <c r="Q11" s="403" t="s">
        <v>407</v>
      </c>
      <c r="R11" s="550" t="s">
        <v>410</v>
      </c>
      <c r="S11" s="550" t="s">
        <v>411</v>
      </c>
      <c r="U11" s="247" t="s">
        <v>366</v>
      </c>
      <c r="V11" s="247" t="s">
        <v>368</v>
      </c>
      <c r="W11" s="247" t="s">
        <v>407</v>
      </c>
      <c r="X11" s="248" t="s">
        <v>410</v>
      </c>
      <c r="Y11" s="248" t="s">
        <v>411</v>
      </c>
    </row>
    <row r="12" spans="1:42" x14ac:dyDescent="0.2">
      <c r="A12" s="250"/>
      <c r="B12" s="36"/>
      <c r="C12" s="38"/>
      <c r="D12" s="251" t="s">
        <v>357</v>
      </c>
      <c r="E12" s="251" t="s">
        <v>358</v>
      </c>
      <c r="F12" s="36" t="s">
        <v>369</v>
      </c>
      <c r="G12" s="36" t="s">
        <v>370</v>
      </c>
      <c r="H12" s="36"/>
      <c r="I12" s="36" t="s">
        <v>371</v>
      </c>
      <c r="J12" s="36" t="s">
        <v>362</v>
      </c>
      <c r="K12" s="36" t="s">
        <v>363</v>
      </c>
      <c r="L12" s="551" t="s">
        <v>364</v>
      </c>
      <c r="M12" s="551" t="s">
        <v>372</v>
      </c>
      <c r="N12" s="36"/>
      <c r="O12" s="36" t="s">
        <v>373</v>
      </c>
      <c r="P12" s="36" t="s">
        <v>416</v>
      </c>
      <c r="Q12" s="36" t="s">
        <v>417</v>
      </c>
      <c r="R12" s="551" t="s">
        <v>418</v>
      </c>
      <c r="S12" s="551" t="s">
        <v>419</v>
      </c>
      <c r="T12" s="243"/>
      <c r="U12" s="243" t="s">
        <v>420</v>
      </c>
      <c r="V12" s="243" t="s">
        <v>421</v>
      </c>
      <c r="W12" s="243" t="s">
        <v>422</v>
      </c>
      <c r="X12" s="243" t="s">
        <v>423</v>
      </c>
      <c r="Y12" s="243" t="s">
        <v>425</v>
      </c>
      <c r="Z12" s="243"/>
    </row>
    <row r="13" spans="1:42" x14ac:dyDescent="0.2">
      <c r="A13" s="36">
        <v>1</v>
      </c>
      <c r="B13" s="36" t="s">
        <v>685</v>
      </c>
      <c r="C13" s="252" t="s">
        <v>19</v>
      </c>
      <c r="D13" s="253"/>
      <c r="E13" s="253"/>
      <c r="L13" s="524"/>
      <c r="M13" s="524"/>
      <c r="R13" s="524"/>
      <c r="S13" s="524"/>
    </row>
    <row r="14" spans="1:42" x14ac:dyDescent="0.2">
      <c r="A14" s="243">
        <f t="shared" ref="A14:A45" si="0">+A13+1</f>
        <v>2</v>
      </c>
      <c r="B14" s="243" t="str">
        <f t="shared" ref="B14:B24" si="1">+B13</f>
        <v>7, 307, 317, 327</v>
      </c>
      <c r="C14" s="254" t="s">
        <v>33</v>
      </c>
      <c r="L14" s="524"/>
      <c r="M14" s="524"/>
      <c r="R14" s="524"/>
      <c r="S14" s="524"/>
    </row>
    <row r="15" spans="1:42" x14ac:dyDescent="0.2">
      <c r="A15" s="243">
        <f t="shared" si="0"/>
        <v>3</v>
      </c>
      <c r="B15" s="243" t="str">
        <f t="shared" si="1"/>
        <v>7, 307, 317, 327</v>
      </c>
      <c r="C15" s="254" t="s">
        <v>31</v>
      </c>
      <c r="D15" s="255">
        <f>'Exhibit No.__(BDJ-Tariff)'!$D$8</f>
        <v>7.49</v>
      </c>
      <c r="E15" s="255">
        <f>'Exhibit No.__(BDJ-Tariff)'!$E$8</f>
        <v>7.49</v>
      </c>
      <c r="F15" s="279">
        <v>13014927</v>
      </c>
      <c r="G15" s="280">
        <f>+$D15*F15</f>
        <v>97481803.230000004</v>
      </c>
      <c r="I15" s="279">
        <v>13183397</v>
      </c>
      <c r="J15" s="280">
        <f>+$D15*I15</f>
        <v>98743643.530000001</v>
      </c>
      <c r="K15" s="280">
        <f>+$E15*I15</f>
        <v>98743643.530000001</v>
      </c>
      <c r="L15" s="524"/>
      <c r="M15" s="524"/>
      <c r="O15" s="279">
        <v>13354075</v>
      </c>
      <c r="P15" s="280">
        <f>+$D15*O15</f>
        <v>100022021.75</v>
      </c>
      <c r="Q15" s="280">
        <f>+$E15*O15</f>
        <v>100022021.75</v>
      </c>
      <c r="R15" s="524"/>
      <c r="S15" s="524"/>
      <c r="U15" s="256"/>
      <c r="V15" s="257"/>
      <c r="W15" s="257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</row>
    <row r="16" spans="1:42" x14ac:dyDescent="0.2">
      <c r="A16" s="243">
        <f t="shared" si="0"/>
        <v>4</v>
      </c>
      <c r="B16" s="243" t="str">
        <f t="shared" si="1"/>
        <v>7, 307, 317, 327</v>
      </c>
      <c r="C16" s="254" t="s">
        <v>32</v>
      </c>
      <c r="D16" s="255">
        <f>'Exhibit No.__(BDJ-Tariff)'!$D$9</f>
        <v>17.989999999999998</v>
      </c>
      <c r="E16" s="255">
        <f>'Exhibit No.__(BDJ-Tariff)'!$E$9</f>
        <v>17.989999999999998</v>
      </c>
      <c r="F16" s="279">
        <v>3912</v>
      </c>
      <c r="G16" s="280">
        <f>+$D16*F16</f>
        <v>70376.87999999999</v>
      </c>
      <c r="I16" s="279">
        <v>3963</v>
      </c>
      <c r="J16" s="280">
        <f>+$D16*I16</f>
        <v>71294.37</v>
      </c>
      <c r="K16" s="280">
        <f>+$E16*I16</f>
        <v>71294.37</v>
      </c>
      <c r="L16" s="524"/>
      <c r="M16" s="524"/>
      <c r="O16" s="279">
        <v>4014</v>
      </c>
      <c r="P16" s="280">
        <f>+$D16*O16</f>
        <v>72211.86</v>
      </c>
      <c r="Q16" s="280">
        <f>+$E16*O16</f>
        <v>72211.86</v>
      </c>
      <c r="R16" s="524"/>
      <c r="S16" s="524"/>
      <c r="U16" s="256"/>
      <c r="V16" s="257"/>
      <c r="W16" s="257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</row>
    <row r="17" spans="1:42" x14ac:dyDescent="0.2">
      <c r="A17" s="243">
        <f t="shared" si="0"/>
        <v>5</v>
      </c>
      <c r="B17" s="243" t="str">
        <f t="shared" si="1"/>
        <v>7, 307, 317, 327</v>
      </c>
      <c r="C17" s="258" t="s">
        <v>26</v>
      </c>
      <c r="D17" s="259"/>
      <c r="E17" s="259"/>
      <c r="F17" s="392">
        <f>SUM(F15:F16)</f>
        <v>13018839</v>
      </c>
      <c r="G17" s="393">
        <f>SUM(G15:G16)</f>
        <v>97552180.109999999</v>
      </c>
      <c r="I17" s="392">
        <f>SUM(I15:I16)</f>
        <v>13187360</v>
      </c>
      <c r="J17" s="393">
        <f>SUM(J15:J16)</f>
        <v>98814937.900000006</v>
      </c>
      <c r="K17" s="393">
        <f>SUM(K15:K16)</f>
        <v>98814937.900000006</v>
      </c>
      <c r="L17" s="524"/>
      <c r="M17" s="524"/>
      <c r="O17" s="392">
        <f>SUM(O15:O16)</f>
        <v>13358089</v>
      </c>
      <c r="P17" s="393">
        <f>SUM(P15:P16)</f>
        <v>100094233.61</v>
      </c>
      <c r="Q17" s="393">
        <f>SUM(Q15:Q16)</f>
        <v>100094233.61</v>
      </c>
      <c r="R17" s="524"/>
      <c r="S17" s="524"/>
      <c r="U17" s="260"/>
      <c r="V17" s="261"/>
      <c r="W17" s="261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</row>
    <row r="18" spans="1:42" x14ac:dyDescent="0.2">
      <c r="A18" s="243">
        <f t="shared" si="0"/>
        <v>6</v>
      </c>
      <c r="B18" s="243" t="str">
        <f t="shared" si="1"/>
        <v>7, 307, 317, 327</v>
      </c>
      <c r="C18" s="254" t="s">
        <v>75</v>
      </c>
      <c r="F18" s="279"/>
      <c r="G18" s="280"/>
      <c r="I18" s="279"/>
      <c r="J18" s="280"/>
      <c r="K18" s="280"/>
      <c r="L18" s="524"/>
      <c r="M18" s="524"/>
      <c r="O18" s="279"/>
      <c r="P18" s="280"/>
      <c r="Q18" s="280"/>
      <c r="R18" s="524"/>
      <c r="S18" s="524"/>
      <c r="U18" s="256"/>
      <c r="V18" s="257"/>
      <c r="W18" s="257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</row>
    <row r="19" spans="1:42" x14ac:dyDescent="0.2">
      <c r="A19" s="243">
        <f t="shared" si="0"/>
        <v>7</v>
      </c>
      <c r="B19" s="243" t="str">
        <f t="shared" si="1"/>
        <v>7, 307, 317, 327</v>
      </c>
      <c r="C19" s="262" t="s">
        <v>70</v>
      </c>
      <c r="D19" s="263">
        <f>'Exhibit No.__(BDJ-Tariff)'!$D$11</f>
        <v>9.1343999999999995E-2</v>
      </c>
      <c r="E19" s="263">
        <f>'Exhibit No.__(BDJ-Tariff)'!$E$11</f>
        <v>8.9437000000000003E-2</v>
      </c>
      <c r="F19" s="279">
        <v>6247939082.251133</v>
      </c>
      <c r="G19" s="280">
        <f>+$D19*F19</f>
        <v>570711747.52914751</v>
      </c>
      <c r="I19" s="279">
        <v>6280127130.0109262</v>
      </c>
      <c r="J19" s="280">
        <f>+$D19*I19</f>
        <v>573651932.56371796</v>
      </c>
      <c r="K19" s="280">
        <f>+$E19*I19</f>
        <v>561675730.12678719</v>
      </c>
      <c r="L19" s="525"/>
      <c r="M19" s="525"/>
      <c r="O19" s="279">
        <v>6338147287.3603191</v>
      </c>
      <c r="P19" s="280">
        <f>+$D19*O19</f>
        <v>578951725.81664097</v>
      </c>
      <c r="Q19" s="280">
        <f>+$E19*O19</f>
        <v>566864878.93964493</v>
      </c>
      <c r="R19" s="525"/>
      <c r="S19" s="525"/>
      <c r="U19" s="256"/>
      <c r="V19" s="257"/>
      <c r="W19" s="257"/>
      <c r="X19" s="264"/>
      <c r="Y19" s="264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</row>
    <row r="20" spans="1:42" x14ac:dyDescent="0.2">
      <c r="A20" s="243">
        <f t="shared" si="0"/>
        <v>8</v>
      </c>
      <c r="B20" s="243" t="str">
        <f t="shared" si="1"/>
        <v>7, 307, 317, 327</v>
      </c>
      <c r="C20" s="262" t="s">
        <v>184</v>
      </c>
      <c r="D20" s="263">
        <f>'Exhibit No.__(BDJ-Tariff)'!$D$12</f>
        <v>0.111175</v>
      </c>
      <c r="E20" s="263">
        <f>'Exhibit No.__(BDJ-Tariff)'!$E$12</f>
        <v>0.10885400000000001</v>
      </c>
      <c r="F20" s="279">
        <v>4666888923.248867</v>
      </c>
      <c r="G20" s="280">
        <f>+$D20*F20</f>
        <v>518841376.04219276</v>
      </c>
      <c r="I20" s="279">
        <v>4682923245.4890728</v>
      </c>
      <c r="J20" s="280">
        <f>+$D20*I20</f>
        <v>520623991.81724763</v>
      </c>
      <c r="K20" s="280">
        <f>+$E20*I20</f>
        <v>509754926.96446759</v>
      </c>
      <c r="L20" s="524"/>
      <c r="M20" s="524"/>
      <c r="O20" s="279">
        <v>4726293582.1396818</v>
      </c>
      <c r="P20" s="280">
        <f>+$D20*O20</f>
        <v>525445688.9943791</v>
      </c>
      <c r="Q20" s="280">
        <f>+$E20*O20</f>
        <v>514475961.59023297</v>
      </c>
      <c r="R20" s="524"/>
      <c r="S20" s="524"/>
      <c r="U20" s="256"/>
      <c r="V20" s="257"/>
      <c r="W20" s="257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</row>
    <row r="21" spans="1:42" x14ac:dyDescent="0.2">
      <c r="A21" s="243">
        <f t="shared" si="0"/>
        <v>9</v>
      </c>
      <c r="B21" s="243" t="str">
        <f t="shared" si="1"/>
        <v>7, 307, 317, 327</v>
      </c>
      <c r="C21" s="258" t="s">
        <v>26</v>
      </c>
      <c r="F21" s="392">
        <f>SUM(F19:F20)</f>
        <v>10914828005.5</v>
      </c>
      <c r="G21" s="393">
        <f>SUM(G19:G20)</f>
        <v>1089553123.5713403</v>
      </c>
      <c r="I21" s="392">
        <f>SUM(I19:I20)</f>
        <v>10963050375.5</v>
      </c>
      <c r="J21" s="393">
        <f>SUM(J19:J20)</f>
        <v>1094275924.3809657</v>
      </c>
      <c r="K21" s="393">
        <f>SUM(K19:K20)</f>
        <v>1071430657.0912547</v>
      </c>
      <c r="L21" s="552">
        <f>ROUND(+L$23/I$21,6)</f>
        <v>1.2668E-2</v>
      </c>
      <c r="M21" s="525">
        <f>ROUND(+M$23/I$21,6)</f>
        <v>2.3679999999999999E-3</v>
      </c>
      <c r="O21" s="392">
        <f>SUM(O19:O20)</f>
        <v>11064440869.5</v>
      </c>
      <c r="P21" s="393">
        <f>SUM(P19:P20)</f>
        <v>1104397414.8110201</v>
      </c>
      <c r="Q21" s="393">
        <f>SUM(Q19:Q20)</f>
        <v>1081340840.5298779</v>
      </c>
      <c r="R21" s="552">
        <f>ROUND(+R$23/O$21,6)</f>
        <v>1.0828000000000001E-2</v>
      </c>
      <c r="S21" s="525">
        <f>ROUND(+S$23/O$21,6)</f>
        <v>5.8050000000000003E-3</v>
      </c>
      <c r="U21" s="260"/>
      <c r="V21" s="261"/>
      <c r="W21" s="261"/>
      <c r="X21" s="264"/>
      <c r="Y21" s="264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</row>
    <row r="22" spans="1:42" ht="12" thickBot="1" x14ac:dyDescent="0.25">
      <c r="A22" s="243">
        <f t="shared" si="0"/>
        <v>10</v>
      </c>
      <c r="B22" s="243" t="str">
        <f t="shared" si="1"/>
        <v>7, 307, 317, 327</v>
      </c>
      <c r="C22" s="258" t="s">
        <v>409</v>
      </c>
      <c r="F22" s="279"/>
      <c r="G22" s="394">
        <f>SUM(G21,G17)</f>
        <v>1187105303.6813402</v>
      </c>
      <c r="I22" s="279"/>
      <c r="J22" s="394">
        <f>SUM(J21,J17)</f>
        <v>1193090862.2809658</v>
      </c>
      <c r="K22" s="394">
        <f>SUM(K21,K17)</f>
        <v>1170245594.9912548</v>
      </c>
      <c r="L22" s="553">
        <f>+L21*I21</f>
        <v>138879922.15683401</v>
      </c>
      <c r="M22" s="553">
        <f>+M21*I21</f>
        <v>25960503.289184</v>
      </c>
      <c r="O22" s="279"/>
      <c r="P22" s="394">
        <f>SUM(P21,P17)</f>
        <v>1204491648.42102</v>
      </c>
      <c r="Q22" s="394">
        <f>SUM(Q21,Q17)</f>
        <v>1181435074.1398778</v>
      </c>
      <c r="R22" s="553">
        <f>+R21*O21</f>
        <v>119805765.73494601</v>
      </c>
      <c r="S22" s="553">
        <f>+S21*O21</f>
        <v>64229079.247447506</v>
      </c>
      <c r="U22" s="256"/>
      <c r="V22" s="265"/>
      <c r="W22" s="265"/>
      <c r="X22" s="265"/>
      <c r="Y22" s="265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</row>
    <row r="23" spans="1:42" ht="12" thickTop="1" x14ac:dyDescent="0.2">
      <c r="A23" s="243">
        <f t="shared" si="0"/>
        <v>11</v>
      </c>
      <c r="B23" s="243" t="str">
        <f t="shared" si="1"/>
        <v>7, 307, 317, 327</v>
      </c>
      <c r="C23" s="266" t="s">
        <v>379</v>
      </c>
      <c r="L23" s="554">
        <f>+'Exhibit No.__(BDJ-Rate Spread)'!S8*1000</f>
        <v>138878879.31887999</v>
      </c>
      <c r="M23" s="554">
        <f>+'Exhibit No.__(BDJ-Rate Spread)'!W8*1000</f>
        <v>25961523.441204604</v>
      </c>
      <c r="R23" s="554">
        <f>+'Exhibit No.__(BDJ-Rate Spread)'!T8*1000</f>
        <v>119803779.51287967</v>
      </c>
      <c r="S23" s="554">
        <f>+'Exhibit No.__(BDJ-Rate Spread)'!X8*1000</f>
        <v>64231016.817021534</v>
      </c>
      <c r="X23" s="257"/>
      <c r="Y23" s="257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</row>
    <row r="24" spans="1:42" ht="12" thickBot="1" x14ac:dyDescent="0.25">
      <c r="A24" s="243">
        <f t="shared" si="0"/>
        <v>12</v>
      </c>
      <c r="B24" s="243" t="str">
        <f t="shared" si="1"/>
        <v>7, 307, 317, 327</v>
      </c>
      <c r="C24" s="267" t="s">
        <v>376</v>
      </c>
      <c r="G24" s="280"/>
      <c r="J24" s="280"/>
      <c r="K24" s="280"/>
      <c r="L24" s="554"/>
      <c r="M24" s="553">
        <f>SUM(K22,L22:M22)</f>
        <v>1335086020.437273</v>
      </c>
      <c r="P24" s="280"/>
      <c r="Q24" s="280"/>
      <c r="R24" s="554"/>
      <c r="S24" s="553">
        <f>SUM(Q22,R22:S22)</f>
        <v>1365469919.1222713</v>
      </c>
      <c r="V24" s="257"/>
      <c r="W24" s="257"/>
      <c r="X24" s="257"/>
      <c r="Y24" s="265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</row>
    <row r="25" spans="1:42" ht="12" thickTop="1" x14ac:dyDescent="0.2">
      <c r="A25" s="243">
        <f t="shared" si="0"/>
        <v>13</v>
      </c>
      <c r="G25" s="280"/>
      <c r="J25" s="280"/>
      <c r="K25" s="280"/>
      <c r="L25" s="554"/>
      <c r="M25" s="554"/>
      <c r="P25" s="280"/>
      <c r="Q25" s="280"/>
      <c r="R25" s="554"/>
      <c r="S25" s="554"/>
      <c r="V25" s="257"/>
      <c r="W25" s="257"/>
      <c r="X25" s="257"/>
      <c r="Y25" s="257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</row>
    <row r="26" spans="1:42" x14ac:dyDescent="0.2">
      <c r="A26" s="243">
        <f t="shared" si="0"/>
        <v>14</v>
      </c>
      <c r="C26" s="252" t="s">
        <v>53</v>
      </c>
      <c r="L26" s="524"/>
      <c r="M26" s="524"/>
      <c r="R26" s="524"/>
      <c r="S26" s="524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</row>
    <row r="27" spans="1:42" x14ac:dyDescent="0.2">
      <c r="A27" s="243">
        <f t="shared" si="0"/>
        <v>15</v>
      </c>
      <c r="B27" s="268" t="s">
        <v>686</v>
      </c>
      <c r="C27" s="267" t="s">
        <v>33</v>
      </c>
      <c r="L27" s="524"/>
      <c r="M27" s="524"/>
      <c r="R27" s="524"/>
      <c r="S27" s="524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</row>
    <row r="28" spans="1:42" x14ac:dyDescent="0.2">
      <c r="A28" s="243">
        <f t="shared" si="0"/>
        <v>16</v>
      </c>
      <c r="B28" s="243" t="str">
        <f t="shared" ref="B28:B37" si="2">+B27</f>
        <v>8, 24, 324</v>
      </c>
      <c r="C28" s="269" t="s">
        <v>374</v>
      </c>
      <c r="D28" s="270">
        <f>+'Exhibit No.__(BDJ-SV RD)'!$D15</f>
        <v>10.210000000000001</v>
      </c>
      <c r="E28" s="270">
        <f>+'Exhibit No.__(BDJ-SV RD)'!$G15</f>
        <v>10.210000000000001</v>
      </c>
      <c r="F28" s="279">
        <v>1144330</v>
      </c>
      <c r="G28" s="280">
        <f>+$D28*F28</f>
        <v>11683609.300000001</v>
      </c>
      <c r="I28" s="279">
        <v>1159050</v>
      </c>
      <c r="J28" s="280">
        <f>+$D28*I28</f>
        <v>11833900.500000002</v>
      </c>
      <c r="K28" s="280">
        <f>+$E28*I28</f>
        <v>11833900.500000002</v>
      </c>
      <c r="L28" s="524"/>
      <c r="M28" s="524"/>
      <c r="O28" s="279">
        <v>1173360</v>
      </c>
      <c r="P28" s="280">
        <f>+$D28*O28</f>
        <v>11980005.600000001</v>
      </c>
      <c r="Q28" s="280">
        <f>+$E28*O28</f>
        <v>11980005.600000001</v>
      </c>
      <c r="R28" s="524"/>
      <c r="S28" s="524"/>
      <c r="U28" s="256"/>
      <c r="V28" s="257"/>
      <c r="W28" s="257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</row>
    <row r="29" spans="1:42" x14ac:dyDescent="0.2">
      <c r="A29" s="243">
        <f t="shared" si="0"/>
        <v>17</v>
      </c>
      <c r="B29" s="243" t="str">
        <f t="shared" si="2"/>
        <v>8, 24, 324</v>
      </c>
      <c r="C29" s="269" t="s">
        <v>375</v>
      </c>
      <c r="D29" s="270">
        <f>+'Exhibit No.__(BDJ-SV RD)'!$D16</f>
        <v>25.95</v>
      </c>
      <c r="E29" s="270">
        <f>+'Exhibit No.__(BDJ-SV RD)'!$G16</f>
        <v>25.95</v>
      </c>
      <c r="F29" s="279">
        <v>482994</v>
      </c>
      <c r="G29" s="280">
        <f>+$D29*F29</f>
        <v>12533694.299999999</v>
      </c>
      <c r="I29" s="279">
        <v>489208</v>
      </c>
      <c r="J29" s="280">
        <f>+$D29*I29</f>
        <v>12694947.6</v>
      </c>
      <c r="K29" s="280">
        <f>+$E29*I29</f>
        <v>12694947.6</v>
      </c>
      <c r="L29" s="524"/>
      <c r="M29" s="524"/>
      <c r="O29" s="279">
        <v>495246</v>
      </c>
      <c r="P29" s="280">
        <f>+$D29*O29</f>
        <v>12851633.699999999</v>
      </c>
      <c r="Q29" s="280">
        <f>+$E29*O29</f>
        <v>12851633.699999999</v>
      </c>
      <c r="R29" s="524"/>
      <c r="S29" s="524"/>
      <c r="U29" s="256"/>
      <c r="V29" s="257"/>
      <c r="W29" s="257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</row>
    <row r="30" spans="1:42" x14ac:dyDescent="0.2">
      <c r="A30" s="243">
        <f t="shared" si="0"/>
        <v>18</v>
      </c>
      <c r="B30" s="243" t="str">
        <f t="shared" si="2"/>
        <v>8, 24, 324</v>
      </c>
      <c r="C30" s="271" t="s">
        <v>26</v>
      </c>
      <c r="D30" s="270"/>
      <c r="E30" s="270"/>
      <c r="F30" s="392">
        <f>SUM(F28:F29)</f>
        <v>1627324</v>
      </c>
      <c r="G30" s="393">
        <f>SUM(G28:G29)</f>
        <v>24217303.600000001</v>
      </c>
      <c r="I30" s="392">
        <f>SUM(I28:I29)</f>
        <v>1648258</v>
      </c>
      <c r="J30" s="393">
        <f>SUM(J28:J29)</f>
        <v>24528848.100000001</v>
      </c>
      <c r="K30" s="393">
        <f>SUM(K28:K29)</f>
        <v>24528848.100000001</v>
      </c>
      <c r="L30" s="524"/>
      <c r="M30" s="524"/>
      <c r="O30" s="392">
        <f>SUM(O28:O29)</f>
        <v>1668606</v>
      </c>
      <c r="P30" s="393">
        <f>SUM(P28:P29)</f>
        <v>24831639.300000001</v>
      </c>
      <c r="Q30" s="393">
        <f>SUM(Q28:Q29)</f>
        <v>24831639.300000001</v>
      </c>
      <c r="R30" s="524"/>
      <c r="S30" s="524"/>
      <c r="U30" s="260"/>
      <c r="V30" s="261"/>
      <c r="W30" s="261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</row>
    <row r="31" spans="1:42" x14ac:dyDescent="0.2">
      <c r="A31" s="243">
        <f t="shared" si="0"/>
        <v>19</v>
      </c>
      <c r="B31" s="243" t="str">
        <f t="shared" si="2"/>
        <v>8, 24, 324</v>
      </c>
      <c r="C31" s="267" t="s">
        <v>75</v>
      </c>
      <c r="D31" s="270"/>
      <c r="E31" s="270"/>
      <c r="F31" s="279"/>
      <c r="G31" s="280"/>
      <c r="I31" s="279"/>
      <c r="J31" s="280"/>
      <c r="K31" s="280"/>
      <c r="L31" s="524"/>
      <c r="M31" s="524"/>
      <c r="O31" s="279"/>
      <c r="P31" s="280"/>
      <c r="Q31" s="280"/>
      <c r="R31" s="524"/>
      <c r="S31" s="524"/>
      <c r="U31" s="256"/>
      <c r="V31" s="257"/>
      <c r="W31" s="257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</row>
    <row r="32" spans="1:42" x14ac:dyDescent="0.2">
      <c r="A32" s="243">
        <f t="shared" si="0"/>
        <v>20</v>
      </c>
      <c r="B32" s="243" t="str">
        <f t="shared" si="2"/>
        <v>8, 24, 324</v>
      </c>
      <c r="C32" s="269" t="s">
        <v>73</v>
      </c>
      <c r="D32" s="263">
        <f>+'Exhibit No.__(BDJ-SV RD)'!$D19</f>
        <v>9.4531000000000004E-2</v>
      </c>
      <c r="E32" s="263">
        <f>+'Exhibit No.__(BDJ-SV RD)'!$G19</f>
        <v>9.2536999999999994E-2</v>
      </c>
      <c r="F32" s="279">
        <v>1379980000</v>
      </c>
      <c r="G32" s="280">
        <f>+$D32*F32</f>
        <v>130450889.38000001</v>
      </c>
      <c r="I32" s="279">
        <v>1418426000</v>
      </c>
      <c r="J32" s="280">
        <f>+$D32*I32</f>
        <v>134085228.206</v>
      </c>
      <c r="K32" s="280">
        <f>+$E32*I32</f>
        <v>131256886.76199999</v>
      </c>
      <c r="L32" s="525"/>
      <c r="M32" s="525"/>
      <c r="O32" s="279">
        <v>1441422000</v>
      </c>
      <c r="P32" s="280">
        <f>+$D32*O32</f>
        <v>136259063.08200002</v>
      </c>
      <c r="Q32" s="280">
        <f>+$E32*O32</f>
        <v>133384867.61399999</v>
      </c>
      <c r="R32" s="525"/>
      <c r="S32" s="525"/>
      <c r="U32" s="256"/>
      <c r="V32" s="257"/>
      <c r="W32" s="257"/>
      <c r="X32" s="264"/>
      <c r="Y32" s="264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</row>
    <row r="33" spans="1:42" x14ac:dyDescent="0.2">
      <c r="A33" s="243">
        <f t="shared" si="0"/>
        <v>21</v>
      </c>
      <c r="B33" s="243" t="str">
        <f t="shared" si="2"/>
        <v>8, 24, 324</v>
      </c>
      <c r="C33" s="269" t="s">
        <v>74</v>
      </c>
      <c r="D33" s="263">
        <f>+'Exhibit No.__(BDJ-SV RD)'!$D20</f>
        <v>9.1261999999999996E-2</v>
      </c>
      <c r="E33" s="263">
        <f>+'Exhibit No.__(BDJ-SV RD)'!$G20</f>
        <v>8.9337E-2</v>
      </c>
      <c r="F33" s="279">
        <v>1248137000</v>
      </c>
      <c r="G33" s="280">
        <f>+$D33*F33</f>
        <v>113907478.89399999</v>
      </c>
      <c r="I33" s="279">
        <v>1279207000</v>
      </c>
      <c r="J33" s="280">
        <f>+$D33*I33</f>
        <v>116742989.234</v>
      </c>
      <c r="K33" s="280">
        <f>+$E33*I33</f>
        <v>114280515.759</v>
      </c>
      <c r="L33" s="524"/>
      <c r="M33" s="524"/>
      <c r="O33" s="279">
        <v>1288950000</v>
      </c>
      <c r="P33" s="280">
        <f>+$D33*O33</f>
        <v>117632154.89999999</v>
      </c>
      <c r="Q33" s="280">
        <f>+$E33*O33</f>
        <v>115150926.15000001</v>
      </c>
      <c r="R33" s="524"/>
      <c r="S33" s="524"/>
      <c r="U33" s="256"/>
      <c r="V33" s="257"/>
      <c r="W33" s="257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</row>
    <row r="34" spans="1:42" x14ac:dyDescent="0.2">
      <c r="A34" s="243">
        <f t="shared" si="0"/>
        <v>22</v>
      </c>
      <c r="B34" s="243" t="str">
        <f t="shared" si="2"/>
        <v>8, 24, 324</v>
      </c>
      <c r="C34" s="271" t="s">
        <v>26</v>
      </c>
      <c r="F34" s="392">
        <f>SUM(F32:F33)</f>
        <v>2628117000</v>
      </c>
      <c r="G34" s="393">
        <f>SUM(G32:G33)</f>
        <v>244358368.27399999</v>
      </c>
      <c r="I34" s="392">
        <f>SUM(I32:I33)</f>
        <v>2697633000</v>
      </c>
      <c r="J34" s="393">
        <f>SUM(J32:J33)</f>
        <v>250828217.44</v>
      </c>
      <c r="K34" s="393">
        <f>SUM(K32:K33)</f>
        <v>245537402.521</v>
      </c>
      <c r="L34" s="552">
        <f>ROUND(+L$36/I$34,6)</f>
        <v>9.8779999999999996E-3</v>
      </c>
      <c r="M34" s="525">
        <f>ROUND(+M$36/I$34,6)</f>
        <v>1.8469999999999999E-3</v>
      </c>
      <c r="O34" s="392">
        <f>SUM(O32:O33)</f>
        <v>2730372000</v>
      </c>
      <c r="P34" s="393">
        <f>SUM(P32:P33)</f>
        <v>253891217.98199999</v>
      </c>
      <c r="Q34" s="393">
        <f>SUM(Q32:Q33)</f>
        <v>248535793.764</v>
      </c>
      <c r="R34" s="552">
        <f>ROUND(+R$36/O$34,6)</f>
        <v>8.4189999999999994E-3</v>
      </c>
      <c r="S34" s="525">
        <f>ROUND(+S$36/O$34,6)</f>
        <v>4.5139999999999998E-3</v>
      </c>
      <c r="U34" s="260"/>
      <c r="V34" s="261"/>
      <c r="W34" s="261"/>
      <c r="X34" s="264"/>
      <c r="Y34" s="264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</row>
    <row r="35" spans="1:42" ht="12" thickBot="1" x14ac:dyDescent="0.25">
      <c r="A35" s="243">
        <f t="shared" si="0"/>
        <v>23</v>
      </c>
      <c r="B35" s="243" t="str">
        <f t="shared" si="2"/>
        <v>8, 24, 324</v>
      </c>
      <c r="C35" s="258" t="s">
        <v>409</v>
      </c>
      <c r="F35" s="279"/>
      <c r="G35" s="394">
        <f>SUM(G34,G30)</f>
        <v>268575671.87400001</v>
      </c>
      <c r="I35" s="279"/>
      <c r="J35" s="394">
        <f>SUM(J34,J30)</f>
        <v>275357065.54000002</v>
      </c>
      <c r="K35" s="394">
        <f>SUM(K34,K30)</f>
        <v>270066250.62099999</v>
      </c>
      <c r="L35" s="553">
        <f>+L34*I34</f>
        <v>26647218.774</v>
      </c>
      <c r="M35" s="553">
        <f>+M34*I34</f>
        <v>4982528.1509999996</v>
      </c>
      <c r="O35" s="279"/>
      <c r="P35" s="394">
        <f>SUM(P34,P30)</f>
        <v>278722857.28200001</v>
      </c>
      <c r="Q35" s="394">
        <f>SUM(Q34,Q30)</f>
        <v>273367433.06400001</v>
      </c>
      <c r="R35" s="553">
        <f>+R34*O34</f>
        <v>22987001.867999997</v>
      </c>
      <c r="S35" s="553">
        <f>+S34*O34</f>
        <v>12324899.207999999</v>
      </c>
      <c r="U35" s="256"/>
      <c r="V35" s="265"/>
      <c r="W35" s="265"/>
      <c r="X35" s="265"/>
      <c r="Y35" s="265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</row>
    <row r="36" spans="1:42" ht="12" thickTop="1" x14ac:dyDescent="0.2">
      <c r="A36" s="243">
        <f t="shared" si="0"/>
        <v>24</v>
      </c>
      <c r="B36" s="243" t="str">
        <f t="shared" si="2"/>
        <v>8, 24, 324</v>
      </c>
      <c r="C36" s="266" t="s">
        <v>379</v>
      </c>
      <c r="L36" s="554">
        <f>+'Exhibit No.__(BDJ-Rate Spread)'!S11*1000</f>
        <v>26648480.387150168</v>
      </c>
      <c r="M36" s="554">
        <f>+'Exhibit No.__(BDJ-Rate Spread)'!W11*1000</f>
        <v>4981572.0837936532</v>
      </c>
      <c r="R36" s="554">
        <f>+'Exhibit No.__(BDJ-Rate Spread)'!T11*1000</f>
        <v>22988295.155557312</v>
      </c>
      <c r="S36" s="554">
        <f>+'Exhibit No.__(BDJ-Rate Spread)'!X11*1000</f>
        <v>12324832.978850359</v>
      </c>
      <c r="X36" s="257"/>
      <c r="Y36" s="257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</row>
    <row r="37" spans="1:42" ht="12" thickBot="1" x14ac:dyDescent="0.25">
      <c r="A37" s="243">
        <f t="shared" si="0"/>
        <v>25</v>
      </c>
      <c r="B37" s="243" t="str">
        <f t="shared" si="2"/>
        <v>8, 24, 324</v>
      </c>
      <c r="C37" s="272" t="s">
        <v>377</v>
      </c>
      <c r="G37" s="280"/>
      <c r="J37" s="280"/>
      <c r="K37" s="280"/>
      <c r="L37" s="554"/>
      <c r="M37" s="553">
        <f>SUM(K35,L35:M35)</f>
        <v>301695997.546</v>
      </c>
      <c r="P37" s="280"/>
      <c r="Q37" s="280"/>
      <c r="R37" s="554"/>
      <c r="S37" s="553">
        <f>SUM(Q35,R35:S35)</f>
        <v>308679334.13999999</v>
      </c>
      <c r="V37" s="257"/>
      <c r="W37" s="257"/>
      <c r="X37" s="257"/>
      <c r="Y37" s="265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</row>
    <row r="38" spans="1:42" ht="12" thickTop="1" x14ac:dyDescent="0.2">
      <c r="A38" s="243">
        <f t="shared" si="0"/>
        <v>26</v>
      </c>
      <c r="L38" s="524"/>
      <c r="M38" s="524"/>
      <c r="R38" s="524"/>
      <c r="S38" s="524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</row>
    <row r="39" spans="1:42" x14ac:dyDescent="0.2">
      <c r="A39" s="243">
        <f t="shared" si="0"/>
        <v>27</v>
      </c>
      <c r="B39" s="243" t="s">
        <v>57</v>
      </c>
      <c r="C39" s="267" t="s">
        <v>33</v>
      </c>
      <c r="D39" s="270">
        <f>+'Exhibit No.__(BDJ-SV RD)'!D41</f>
        <v>53.95</v>
      </c>
      <c r="E39" s="270">
        <f>+'Exhibit No.__(BDJ-SV RD)'!G41</f>
        <v>53.95</v>
      </c>
      <c r="F39" s="279">
        <v>100824.97374611688</v>
      </c>
      <c r="G39" s="280">
        <f>+$D39*F39</f>
        <v>5439507.3336030059</v>
      </c>
      <c r="I39" s="279">
        <v>100947.09838885683</v>
      </c>
      <c r="J39" s="280">
        <f>+$D39*I39</f>
        <v>5446095.9580788258</v>
      </c>
      <c r="K39" s="280">
        <f>+$E39*I39</f>
        <v>5446095.9580788258</v>
      </c>
      <c r="L39" s="524"/>
      <c r="M39" s="524"/>
      <c r="O39" s="279">
        <v>102398.30526455554</v>
      </c>
      <c r="P39" s="280">
        <f>+$D39*O39</f>
        <v>5524388.5690227719</v>
      </c>
      <c r="Q39" s="280">
        <f>+$E39*O39</f>
        <v>5524388.5690227719</v>
      </c>
      <c r="R39" s="524"/>
      <c r="S39" s="524"/>
      <c r="U39" s="256"/>
      <c r="V39" s="257"/>
      <c r="W39" s="257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</row>
    <row r="40" spans="1:42" x14ac:dyDescent="0.2">
      <c r="A40" s="243">
        <f t="shared" si="0"/>
        <v>28</v>
      </c>
      <c r="B40" s="243" t="str">
        <f t="shared" ref="B40:B53" si="3">+B39</f>
        <v>7A, 11, 25</v>
      </c>
      <c r="C40" s="267" t="s">
        <v>36</v>
      </c>
      <c r="D40" s="270"/>
      <c r="E40" s="270"/>
      <c r="F40" s="279"/>
      <c r="G40" s="280"/>
      <c r="I40" s="279"/>
      <c r="J40" s="280"/>
      <c r="K40" s="280"/>
      <c r="L40" s="524"/>
      <c r="M40" s="524"/>
      <c r="O40" s="279"/>
      <c r="P40" s="280"/>
      <c r="Q40" s="280"/>
      <c r="R40" s="524"/>
      <c r="S40" s="524"/>
      <c r="U40" s="256"/>
      <c r="V40" s="257"/>
      <c r="W40" s="257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</row>
    <row r="41" spans="1:42" x14ac:dyDescent="0.2">
      <c r="A41" s="243">
        <f t="shared" si="0"/>
        <v>29</v>
      </c>
      <c r="B41" s="243" t="str">
        <f t="shared" si="3"/>
        <v>7A, 11, 25</v>
      </c>
      <c r="C41" s="269" t="s">
        <v>82</v>
      </c>
      <c r="D41" s="263">
        <f>+'Exhibit No.__(BDJ-SV RD)'!D43</f>
        <v>9.2719999999999997E-2</v>
      </c>
      <c r="E41" s="263">
        <f>+'Exhibit No.__(BDJ-SV RD)'!G43</f>
        <v>9.0594999999999995E-2</v>
      </c>
      <c r="F41" s="279">
        <v>760627742.84171677</v>
      </c>
      <c r="G41" s="280">
        <f>+$D41*F41</f>
        <v>70525404.316283971</v>
      </c>
      <c r="I41" s="279">
        <v>781769926.84073794</v>
      </c>
      <c r="J41" s="280">
        <f>+$D41*I41</f>
        <v>72485707.616673216</v>
      </c>
      <c r="K41" s="280">
        <f>+$E41*I41</f>
        <v>70824446.522136644</v>
      </c>
      <c r="L41" s="525"/>
      <c r="M41" s="525"/>
      <c r="O41" s="279">
        <v>794849277.88484299</v>
      </c>
      <c r="P41" s="280">
        <f>+$D41*O41</f>
        <v>73698425.045482635</v>
      </c>
      <c r="Q41" s="280">
        <f>+$E41*O41</f>
        <v>72009370.329977348</v>
      </c>
      <c r="R41" s="525"/>
      <c r="S41" s="525"/>
      <c r="U41" s="256"/>
      <c r="V41" s="257"/>
      <c r="W41" s="257"/>
      <c r="X41" s="264"/>
      <c r="Y41" s="264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</row>
    <row r="42" spans="1:42" x14ac:dyDescent="0.2">
      <c r="A42" s="243">
        <f t="shared" si="0"/>
        <v>30</v>
      </c>
      <c r="B42" s="243" t="str">
        <f t="shared" si="3"/>
        <v>7A, 11, 25</v>
      </c>
      <c r="C42" s="269" t="s">
        <v>81</v>
      </c>
      <c r="D42" s="263">
        <f>+'Exhibit No.__(BDJ-SV RD)'!D44</f>
        <v>8.3563999999999999E-2</v>
      </c>
      <c r="E42" s="263">
        <f>+'Exhibit No.__(BDJ-SV RD)'!G44</f>
        <v>8.1648999999999999E-2</v>
      </c>
      <c r="F42" s="279">
        <v>753432437.27237582</v>
      </c>
      <c r="G42" s="280">
        <f>+$D42*F42</f>
        <v>62959828.188228816</v>
      </c>
      <c r="I42" s="279">
        <v>772193281.14606547</v>
      </c>
      <c r="J42" s="280">
        <f>+$D42*I42</f>
        <v>64527559.345689818</v>
      </c>
      <c r="K42" s="280">
        <f>+$E42*I42</f>
        <v>63048809.2122951</v>
      </c>
      <c r="L42" s="525"/>
      <c r="M42" s="525"/>
      <c r="O42" s="279">
        <v>778561276.60693872</v>
      </c>
      <c r="P42" s="280">
        <f>+$D42*O42</f>
        <v>65059694.518382229</v>
      </c>
      <c r="Q42" s="280">
        <f>+$E42*O42</f>
        <v>63568749.67367994</v>
      </c>
      <c r="R42" s="525"/>
      <c r="S42" s="525"/>
      <c r="U42" s="256"/>
      <c r="V42" s="257"/>
      <c r="W42" s="257"/>
      <c r="X42" s="264"/>
      <c r="Y42" s="264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</row>
    <row r="43" spans="1:42" x14ac:dyDescent="0.2">
      <c r="A43" s="243">
        <f t="shared" si="0"/>
        <v>31</v>
      </c>
      <c r="B43" s="243" t="str">
        <f t="shared" si="3"/>
        <v>7A, 11, 25</v>
      </c>
      <c r="C43" s="269" t="s">
        <v>83</v>
      </c>
      <c r="D43" s="263">
        <f>+'Exhibit No.__(BDJ-SV RD)'!D45</f>
        <v>6.6092999999999999E-2</v>
      </c>
      <c r="E43" s="263">
        <f>+'Exhibit No.__(BDJ-SV RD)'!G45</f>
        <v>6.4577999999999997E-2</v>
      </c>
      <c r="F43" s="279">
        <v>1322748819.8859076</v>
      </c>
      <c r="G43" s="280">
        <f>+$D43*F43</f>
        <v>87424437.752719298</v>
      </c>
      <c r="I43" s="279">
        <v>1357735792.0131969</v>
      </c>
      <c r="J43" s="280">
        <f>+$D43*I43</f>
        <v>89736831.701528221</v>
      </c>
      <c r="K43" s="280">
        <f>+$E43*I43</f>
        <v>87679861.976628229</v>
      </c>
      <c r="L43" s="525"/>
      <c r="M43" s="525"/>
      <c r="O43" s="279">
        <v>1374761445.5082183</v>
      </c>
      <c r="P43" s="280">
        <f>+$D43*O43</f>
        <v>90862108.217974663</v>
      </c>
      <c r="Q43" s="280">
        <f>+$E43*O43</f>
        <v>88779344.628029719</v>
      </c>
      <c r="R43" s="525"/>
      <c r="S43" s="525"/>
      <c r="U43" s="256"/>
      <c r="V43" s="257"/>
      <c r="W43" s="257"/>
      <c r="X43" s="264"/>
      <c r="Y43" s="264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</row>
    <row r="44" spans="1:42" x14ac:dyDescent="0.2">
      <c r="A44" s="243">
        <f t="shared" si="0"/>
        <v>32</v>
      </c>
      <c r="B44" s="243" t="str">
        <f t="shared" si="3"/>
        <v>7A, 11, 25</v>
      </c>
      <c r="C44" s="271" t="s">
        <v>26</v>
      </c>
      <c r="D44" s="270"/>
      <c r="E44" s="270"/>
      <c r="F44" s="392">
        <f>SUM(F41:F43)</f>
        <v>2836809000</v>
      </c>
      <c r="G44" s="393">
        <f>SUM(G41:G43)</f>
        <v>220909670.25723207</v>
      </c>
      <c r="I44" s="392">
        <f>SUM(I41:I43)</f>
        <v>2911699000.0000005</v>
      </c>
      <c r="J44" s="393">
        <f>SUM(J41:J43)</f>
        <v>226750098.66389126</v>
      </c>
      <c r="K44" s="393">
        <f>SUM(K41:K43)</f>
        <v>221553117.71105999</v>
      </c>
      <c r="L44" s="552">
        <f>ROUND(L52*($K$44/SUM($K$44,$K$48))/$I$44,6)</f>
        <v>8.7340000000000004E-3</v>
      </c>
      <c r="M44" s="525">
        <f>ROUND(M52*($K$44/SUM($K$44,$K$48))/$I$44,6)</f>
        <v>1.6329999999999999E-3</v>
      </c>
      <c r="O44" s="392">
        <f>SUM(O41:O43)</f>
        <v>2948172000</v>
      </c>
      <c r="P44" s="393">
        <f>SUM(P41:P43)</f>
        <v>229620227.78183952</v>
      </c>
      <c r="Q44" s="393">
        <f>SUM(Q41:Q43)</f>
        <v>224357464.63168699</v>
      </c>
      <c r="R44" s="552">
        <f>ROUND(R52*($K$44/SUM($K$44,$K$48))/$O$44,6)</f>
        <v>7.4409999999999997E-3</v>
      </c>
      <c r="S44" s="525">
        <f>ROUND(S52*($K$44/SUM($K$44,$K$48))/$O$44,6)</f>
        <v>3.9899999999999996E-3</v>
      </c>
      <c r="U44" s="260"/>
      <c r="V44" s="261"/>
      <c r="W44" s="261"/>
      <c r="X44" s="264"/>
      <c r="Y44" s="264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</row>
    <row r="45" spans="1:42" x14ac:dyDescent="0.2">
      <c r="A45" s="243">
        <f t="shared" si="0"/>
        <v>33</v>
      </c>
      <c r="B45" s="243" t="str">
        <f t="shared" si="3"/>
        <v>7A, 11, 25</v>
      </c>
      <c r="C45" s="267" t="s">
        <v>35</v>
      </c>
      <c r="D45" s="270"/>
      <c r="E45" s="270"/>
      <c r="F45" s="279"/>
      <c r="I45" s="279"/>
      <c r="L45" s="555"/>
      <c r="M45" s="524"/>
      <c r="O45" s="279"/>
      <c r="R45" s="555"/>
      <c r="S45" s="524"/>
      <c r="U45" s="256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</row>
    <row r="46" spans="1:42" x14ac:dyDescent="0.2">
      <c r="A46" s="243">
        <f t="shared" ref="A46:A77" si="4">+A45+1</f>
        <v>34</v>
      </c>
      <c r="B46" s="243" t="str">
        <f t="shared" si="3"/>
        <v>7A, 11, 25</v>
      </c>
      <c r="C46" s="269" t="s">
        <v>84</v>
      </c>
      <c r="D46" s="270">
        <f>+'Exhibit No.__(BDJ-SV RD)'!D51</f>
        <v>10.119999999999999</v>
      </c>
      <c r="E46" s="270">
        <f>+'Exhibit No.__(BDJ-SV RD)'!G51</f>
        <v>10.119999999999999</v>
      </c>
      <c r="F46" s="279">
        <v>2235443.7115792874</v>
      </c>
      <c r="G46" s="280">
        <f>+$D46*F46</f>
        <v>22622690.361182388</v>
      </c>
      <c r="I46" s="279">
        <v>2311361.9473690903</v>
      </c>
      <c r="J46" s="280">
        <f>+$D46*I46</f>
        <v>23390982.90737519</v>
      </c>
      <c r="K46" s="280">
        <f>+$E46*I46</f>
        <v>23390982.90737519</v>
      </c>
      <c r="L46" s="555"/>
      <c r="M46" s="524"/>
      <c r="O46" s="279">
        <v>2341768.287054738</v>
      </c>
      <c r="P46" s="280">
        <f>+$D46*O46</f>
        <v>23698695.064993948</v>
      </c>
      <c r="Q46" s="280">
        <f>+$E46*O46</f>
        <v>23698695.064993948</v>
      </c>
      <c r="R46" s="555"/>
      <c r="S46" s="524"/>
      <c r="U46" s="256"/>
      <c r="V46" s="257"/>
      <c r="W46" s="257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</row>
    <row r="47" spans="1:42" x14ac:dyDescent="0.2">
      <c r="A47" s="243">
        <f t="shared" si="4"/>
        <v>35</v>
      </c>
      <c r="B47" s="243" t="str">
        <f t="shared" si="3"/>
        <v>7A, 11, 25</v>
      </c>
      <c r="C47" s="269" t="s">
        <v>85</v>
      </c>
      <c r="D47" s="270">
        <f>+'Exhibit No.__(BDJ-SV RD)'!D52</f>
        <v>6.75</v>
      </c>
      <c r="E47" s="270">
        <f>+'Exhibit No.__(BDJ-SV RD)'!G52</f>
        <v>6.75</v>
      </c>
      <c r="F47" s="279">
        <v>2121903.92404202</v>
      </c>
      <c r="G47" s="280">
        <f>+$D47*F47</f>
        <v>14322851.487283636</v>
      </c>
      <c r="I47" s="279">
        <v>2206114.3873631964</v>
      </c>
      <c r="J47" s="280">
        <f>+$D47*I47</f>
        <v>14891272.114701575</v>
      </c>
      <c r="K47" s="280">
        <f>+$E47*I47</f>
        <v>14891272.114701575</v>
      </c>
      <c r="L47" s="555"/>
      <c r="M47" s="524"/>
      <c r="O47" s="279">
        <v>2231832.3058989868</v>
      </c>
      <c r="P47" s="280">
        <f>+$D47*O47</f>
        <v>15064868.064818161</v>
      </c>
      <c r="Q47" s="280">
        <f>+$E47*O47</f>
        <v>15064868.064818161</v>
      </c>
      <c r="R47" s="555"/>
      <c r="S47" s="524"/>
      <c r="U47" s="256"/>
      <c r="V47" s="257"/>
      <c r="W47" s="257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</row>
    <row r="48" spans="1:42" x14ac:dyDescent="0.2">
      <c r="A48" s="243">
        <f t="shared" si="4"/>
        <v>36</v>
      </c>
      <c r="B48" s="243" t="str">
        <f t="shared" si="3"/>
        <v>7A, 11, 25</v>
      </c>
      <c r="C48" s="271" t="s">
        <v>26</v>
      </c>
      <c r="D48" s="270"/>
      <c r="E48" s="270"/>
      <c r="F48" s="392">
        <f>SUM(F46:F47)</f>
        <v>4357347.6356213074</v>
      </c>
      <c r="G48" s="393">
        <f>SUM(G46:G47)</f>
        <v>36945541.848466024</v>
      </c>
      <c r="I48" s="392">
        <f>SUM(I46:I47)</f>
        <v>4517476.3347322866</v>
      </c>
      <c r="J48" s="393">
        <f>SUM(J46:J47)</f>
        <v>38282255.022076763</v>
      </c>
      <c r="K48" s="393">
        <f>SUM(K46:K47)</f>
        <v>38282255.022076763</v>
      </c>
      <c r="L48" s="556">
        <f>ROUND(L52*($K$48/SUM($K$44,$K$48))/$I$48,2)</f>
        <v>0.97</v>
      </c>
      <c r="M48" s="526">
        <f>ROUND(M52*($K$48/SUM($K$44,$K$48))/$I$48,2)</f>
        <v>0.18</v>
      </c>
      <c r="O48" s="392">
        <f>SUM(O46:O47)</f>
        <v>4573600.5929537248</v>
      </c>
      <c r="P48" s="393">
        <f>SUM(P46:P47)</f>
        <v>38763563.129812106</v>
      </c>
      <c r="Q48" s="393">
        <f>SUM(Q46:Q47)</f>
        <v>38763563.129812106</v>
      </c>
      <c r="R48" s="556">
        <f>ROUND(R52*($K$48/SUM($K$44,$K$48))/$O$48,2)</f>
        <v>0.83</v>
      </c>
      <c r="S48" s="526">
        <f>ROUND(S52*($K$48/SUM($K$44,$K$48))/$O$48,2)</f>
        <v>0.44</v>
      </c>
      <c r="U48" s="260"/>
      <c r="V48" s="261"/>
      <c r="W48" s="261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</row>
    <row r="49" spans="1:42" x14ac:dyDescent="0.2">
      <c r="A49" s="243">
        <f t="shared" si="4"/>
        <v>37</v>
      </c>
      <c r="B49" s="243" t="str">
        <f t="shared" si="3"/>
        <v>7A, 11, 25</v>
      </c>
      <c r="C49" s="271"/>
      <c r="D49" s="270"/>
      <c r="E49" s="270"/>
      <c r="F49" s="279"/>
      <c r="G49" s="280"/>
      <c r="I49" s="279"/>
      <c r="J49" s="280"/>
      <c r="K49" s="280"/>
      <c r="L49" s="524"/>
      <c r="M49" s="524"/>
      <c r="O49" s="279"/>
      <c r="P49" s="280"/>
      <c r="Q49" s="280"/>
      <c r="R49" s="524"/>
      <c r="S49" s="524"/>
      <c r="U49" s="256"/>
      <c r="V49" s="257"/>
      <c r="W49" s="257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</row>
    <row r="50" spans="1:42" x14ac:dyDescent="0.2">
      <c r="A50" s="243">
        <f t="shared" si="4"/>
        <v>38</v>
      </c>
      <c r="B50" s="243" t="str">
        <f t="shared" si="3"/>
        <v>7A, 11, 25</v>
      </c>
      <c r="C50" s="267" t="s">
        <v>86</v>
      </c>
      <c r="D50" s="273">
        <f>+'Exhibit No.__(BDJ-SV RD)'!D55</f>
        <v>3.1800000000000001E-3</v>
      </c>
      <c r="E50" s="273">
        <f>+'Exhibit No.__(BDJ-SV RD)'!G55</f>
        <v>3.1800000000000001E-3</v>
      </c>
      <c r="F50" s="392">
        <v>577370911.62192631</v>
      </c>
      <c r="G50" s="393">
        <f>+$D50*F50</f>
        <v>1836039.4989577257</v>
      </c>
      <c r="I50" s="392">
        <v>592195660.20454574</v>
      </c>
      <c r="J50" s="393">
        <f>+$D50*I50</f>
        <v>1883182.1994504556</v>
      </c>
      <c r="K50" s="393">
        <f>+$E50*I50</f>
        <v>1883182.1994504556</v>
      </c>
      <c r="L50" s="524"/>
      <c r="M50" s="524"/>
      <c r="O50" s="392">
        <v>599193988.63050675</v>
      </c>
      <c r="P50" s="393">
        <f>+$D50*O50</f>
        <v>1905436.8838450115</v>
      </c>
      <c r="Q50" s="393">
        <f>+$E50*O50</f>
        <v>1905436.8838450115</v>
      </c>
      <c r="R50" s="524"/>
      <c r="S50" s="524"/>
      <c r="U50" s="260"/>
      <c r="V50" s="261"/>
      <c r="W50" s="257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</row>
    <row r="51" spans="1:42" ht="12" thickBot="1" x14ac:dyDescent="0.25">
      <c r="A51" s="243">
        <f t="shared" si="4"/>
        <v>39</v>
      </c>
      <c r="B51" s="243" t="str">
        <f t="shared" si="3"/>
        <v>7A, 11, 25</v>
      </c>
      <c r="C51" s="258" t="s">
        <v>409</v>
      </c>
      <c r="D51" s="273"/>
      <c r="E51" s="273"/>
      <c r="F51" s="279"/>
      <c r="G51" s="394">
        <f>SUM(G50,G48,G44,G39)</f>
        <v>265130758.9382588</v>
      </c>
      <c r="I51" s="279"/>
      <c r="J51" s="394">
        <f>SUM(J50,J48,J44,J39)</f>
        <v>272361631.84349728</v>
      </c>
      <c r="K51" s="394">
        <f>SUM(K50,K48,K44,K39)</f>
        <v>267164650.89066604</v>
      </c>
      <c r="L51" s="553">
        <f>+L44*I44+I48*L48</f>
        <v>29812731.110690325</v>
      </c>
      <c r="M51" s="553">
        <f>+M44*I44+I48*M48</f>
        <v>5567950.2072518114</v>
      </c>
      <c r="O51" s="279"/>
      <c r="P51" s="394">
        <f>SUM(P50,P48,P44,P39)</f>
        <v>275813616.36451942</v>
      </c>
      <c r="Q51" s="394">
        <f>SUM(Q50,Q48,Q44,Q39)</f>
        <v>270550853.21436685</v>
      </c>
      <c r="R51" s="553">
        <f>+R44*O44+O48*R48</f>
        <v>25733436.34415159</v>
      </c>
      <c r="S51" s="553">
        <f>+S44*O44+O48*S48</f>
        <v>13775590.540899638</v>
      </c>
      <c r="U51" s="256"/>
      <c r="V51" s="265"/>
      <c r="W51" s="265"/>
      <c r="X51" s="265"/>
      <c r="Y51" s="265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</row>
    <row r="52" spans="1:42" ht="12" thickTop="1" x14ac:dyDescent="0.2">
      <c r="A52" s="243">
        <f t="shared" si="4"/>
        <v>40</v>
      </c>
      <c r="B52" s="243" t="str">
        <f t="shared" si="3"/>
        <v>7A, 11, 25</v>
      </c>
      <c r="C52" s="274" t="s">
        <v>379</v>
      </c>
      <c r="D52" s="270"/>
      <c r="E52" s="270"/>
      <c r="F52" s="279"/>
      <c r="I52" s="279"/>
      <c r="L52" s="554">
        <f>+'Exhibit No.__(BDJ-Rate Spread)'!$S$12*1000*$I$44/SUM($I$44,$I$77)</f>
        <v>29825719.788115349</v>
      </c>
      <c r="M52" s="554">
        <f>+'Exhibit No.__(BDJ-Rate Spread)'!$W$12*1000*$I$44/SUM($I$44,$I$77)</f>
        <v>5575513.9098727657</v>
      </c>
      <c r="O52" s="279"/>
      <c r="R52" s="554">
        <f>+'Exhibit No.__(BDJ-Rate Spread)'!$T$12*1000*$O$44/SUM($O$44,$O$77)</f>
        <v>25729630.825121742</v>
      </c>
      <c r="S52" s="554">
        <f>+'Exhibit No.__(BDJ-Rate Spread)'!$X$12*1000*$O$44/SUM($O$44,$O$77)</f>
        <v>13794559.378207937</v>
      </c>
      <c r="U52" s="256"/>
      <c r="X52" s="257"/>
      <c r="Y52" s="257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</row>
    <row r="53" spans="1:42" ht="12" thickBot="1" x14ac:dyDescent="0.25">
      <c r="A53" s="243">
        <f t="shared" si="4"/>
        <v>41</v>
      </c>
      <c r="B53" s="243" t="str">
        <f t="shared" si="3"/>
        <v>7A, 11, 25</v>
      </c>
      <c r="C53" s="275" t="s">
        <v>378</v>
      </c>
      <c r="D53" s="270"/>
      <c r="E53" s="270"/>
      <c r="G53" s="280"/>
      <c r="J53" s="280"/>
      <c r="K53" s="280"/>
      <c r="L53" s="554"/>
      <c r="M53" s="553">
        <f>SUM(K51,L51:M51)</f>
        <v>302545332.20860815</v>
      </c>
      <c r="P53" s="280"/>
      <c r="Q53" s="280"/>
      <c r="R53" s="554"/>
      <c r="S53" s="553">
        <f>SUM(Q51,R51:S51)</f>
        <v>310059880.0994181</v>
      </c>
      <c r="V53" s="257"/>
      <c r="W53" s="257"/>
      <c r="X53" s="257"/>
      <c r="Y53" s="265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</row>
    <row r="54" spans="1:42" ht="12" thickTop="1" x14ac:dyDescent="0.2">
      <c r="A54" s="243">
        <f t="shared" si="4"/>
        <v>42</v>
      </c>
      <c r="D54" s="270"/>
      <c r="E54" s="270"/>
      <c r="L54" s="524"/>
      <c r="M54" s="524"/>
      <c r="R54" s="524"/>
      <c r="S54" s="524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</row>
    <row r="55" spans="1:42" x14ac:dyDescent="0.2">
      <c r="A55" s="243">
        <f t="shared" si="4"/>
        <v>43</v>
      </c>
      <c r="B55" s="268" t="s">
        <v>58</v>
      </c>
      <c r="C55" s="267" t="s">
        <v>33</v>
      </c>
      <c r="D55" s="270">
        <f>+'Exhibit No.__(BDJ-SV RD)'!D86</f>
        <v>109.08</v>
      </c>
      <c r="E55" s="270">
        <f>+'Exhibit No.__(BDJ-SV RD)'!G86</f>
        <v>109.08</v>
      </c>
      <c r="F55" s="279">
        <v>10218.051131441669</v>
      </c>
      <c r="G55" s="280">
        <f>+$D55*F55</f>
        <v>1114585.0174176572</v>
      </c>
      <c r="I55" s="279">
        <v>10573.371751323841</v>
      </c>
      <c r="J55" s="280">
        <f>+$D55*I55</f>
        <v>1153343.3906344045</v>
      </c>
      <c r="K55" s="280">
        <f>+$E55*I55</f>
        <v>1153343.3906344045</v>
      </c>
      <c r="L55" s="524"/>
      <c r="M55" s="524"/>
      <c r="O55" s="279">
        <v>11333.555688686807</v>
      </c>
      <c r="P55" s="280">
        <f>+$D55*O55</f>
        <v>1236264.2545219569</v>
      </c>
      <c r="Q55" s="280">
        <f>+$E55*O55</f>
        <v>1236264.2545219569</v>
      </c>
      <c r="R55" s="524"/>
      <c r="S55" s="524"/>
      <c r="U55" s="256"/>
      <c r="V55" s="257"/>
      <c r="W55" s="257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</row>
    <row r="56" spans="1:42" x14ac:dyDescent="0.2">
      <c r="A56" s="243">
        <f t="shared" si="4"/>
        <v>44</v>
      </c>
      <c r="B56" s="243" t="str">
        <f t="shared" ref="B56:B66" si="5">+B55</f>
        <v>12, 26, 26P</v>
      </c>
      <c r="C56" s="272" t="s">
        <v>75</v>
      </c>
      <c r="D56" s="270"/>
      <c r="E56" s="270"/>
      <c r="F56" s="279"/>
      <c r="G56" s="280"/>
      <c r="I56" s="279"/>
      <c r="J56" s="280"/>
      <c r="K56" s="280"/>
      <c r="L56" s="524"/>
      <c r="M56" s="524"/>
      <c r="O56" s="279"/>
      <c r="P56" s="280"/>
      <c r="Q56" s="280"/>
      <c r="R56" s="524"/>
      <c r="S56" s="524"/>
      <c r="U56" s="256"/>
      <c r="V56" s="257"/>
      <c r="W56" s="257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</row>
    <row r="57" spans="1:42" x14ac:dyDescent="0.2">
      <c r="A57" s="243">
        <f t="shared" si="4"/>
        <v>45</v>
      </c>
      <c r="B57" s="243" t="str">
        <f t="shared" si="5"/>
        <v>12, 26, 26P</v>
      </c>
      <c r="C57" s="269" t="s">
        <v>41</v>
      </c>
      <c r="D57" s="263">
        <f>+'Exhibit No.__(BDJ-SV RD)'!D88</f>
        <v>5.9096000000000003E-2</v>
      </c>
      <c r="E57" s="263">
        <f>+'Exhibit No.__(BDJ-SV RD)'!G88</f>
        <v>5.7457000000000001E-2</v>
      </c>
      <c r="F57" s="279">
        <v>1789712000</v>
      </c>
      <c r="G57" s="280">
        <f>+$D57*F57</f>
        <v>105764820.352</v>
      </c>
      <c r="I57" s="279">
        <v>1831289000</v>
      </c>
      <c r="J57" s="280">
        <f>+$D57*I57</f>
        <v>108221854.744</v>
      </c>
      <c r="K57" s="280">
        <f>+$E57*I57</f>
        <v>105220372.073</v>
      </c>
      <c r="L57" s="552">
        <f>ROUND(L65*($K$57/SUM($K$57,$K$61))/$I$57,6)</f>
        <v>6.2940000000000001E-3</v>
      </c>
      <c r="M57" s="525">
        <f>ROUND(M65*($K$57/SUM($K$57,$K$61))/$I$57,6)</f>
        <v>1.1770000000000001E-3</v>
      </c>
      <c r="O57" s="279">
        <v>1853862000</v>
      </c>
      <c r="P57" s="280">
        <f>+$D57*O57</f>
        <v>109555828.752</v>
      </c>
      <c r="Q57" s="280">
        <f>+$E57*O57</f>
        <v>106517348.934</v>
      </c>
      <c r="R57" s="552">
        <f>ROUND(R65*($K$57/SUM($K$57,$K$61))/$O$57,6)</f>
        <v>5.3629999999999997E-3</v>
      </c>
      <c r="S57" s="525">
        <f>ROUND(S65*($K$57/SUM($K$57,$K$61))/$O$57,6)</f>
        <v>2.875E-3</v>
      </c>
      <c r="U57" s="256"/>
      <c r="V57" s="257"/>
      <c r="W57" s="257"/>
      <c r="X57" s="264"/>
      <c r="Y57" s="264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</row>
    <row r="58" spans="1:42" x14ac:dyDescent="0.2">
      <c r="A58" s="243">
        <f t="shared" si="4"/>
        <v>46</v>
      </c>
      <c r="B58" s="243" t="str">
        <f t="shared" si="5"/>
        <v>12, 26, 26P</v>
      </c>
      <c r="C58" s="267" t="s">
        <v>35</v>
      </c>
      <c r="D58" s="270"/>
      <c r="E58" s="270"/>
      <c r="F58" s="279"/>
      <c r="I58" s="279"/>
      <c r="L58" s="555"/>
      <c r="M58" s="524"/>
      <c r="O58" s="279"/>
      <c r="R58" s="555"/>
      <c r="S58" s="524"/>
      <c r="U58" s="256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</row>
    <row r="59" spans="1:42" x14ac:dyDescent="0.2">
      <c r="A59" s="243">
        <f t="shared" si="4"/>
        <v>47</v>
      </c>
      <c r="B59" s="243" t="str">
        <f t="shared" si="5"/>
        <v>12, 26, 26P</v>
      </c>
      <c r="C59" s="269" t="s">
        <v>90</v>
      </c>
      <c r="D59" s="270">
        <f>+'Exhibit No.__(BDJ-SV RD)'!D94</f>
        <v>12.23</v>
      </c>
      <c r="E59" s="270">
        <f>+'Exhibit No.__(BDJ-SV RD)'!G94</f>
        <v>12.23</v>
      </c>
      <c r="F59" s="279">
        <v>2152069.7666545114</v>
      </c>
      <c r="G59" s="280">
        <f>+$D59*F59</f>
        <v>26319813.246184677</v>
      </c>
      <c r="I59" s="279">
        <v>2166079.5198340947</v>
      </c>
      <c r="J59" s="280">
        <f>+$D59*I59</f>
        <v>26491152.527570978</v>
      </c>
      <c r="K59" s="280">
        <f>+$E59*I59</f>
        <v>26491152.527570978</v>
      </c>
      <c r="L59" s="555"/>
      <c r="M59" s="524"/>
      <c r="O59" s="279">
        <v>2170544.7039725371</v>
      </c>
      <c r="P59" s="280">
        <f>+$D59*O59</f>
        <v>26545761.729584128</v>
      </c>
      <c r="Q59" s="280">
        <f>+$E59*O59</f>
        <v>26545761.729584128</v>
      </c>
      <c r="R59" s="555"/>
      <c r="S59" s="524"/>
      <c r="U59" s="256"/>
      <c r="V59" s="257"/>
      <c r="W59" s="257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</row>
    <row r="60" spans="1:42" x14ac:dyDescent="0.2">
      <c r="A60" s="243">
        <f t="shared" si="4"/>
        <v>48</v>
      </c>
      <c r="B60" s="243" t="str">
        <f t="shared" si="5"/>
        <v>12, 26, 26P</v>
      </c>
      <c r="C60" s="269" t="s">
        <v>91</v>
      </c>
      <c r="D60" s="270">
        <f>+'Exhibit No.__(BDJ-SV RD)'!D95</f>
        <v>8.15</v>
      </c>
      <c r="E60" s="270">
        <f>+'Exhibit No.__(BDJ-SV RD)'!G95</f>
        <v>8.15</v>
      </c>
      <c r="F60" s="279">
        <v>2255629.4570080377</v>
      </c>
      <c r="G60" s="280">
        <f>+$D60*F60</f>
        <v>18383380.074615508</v>
      </c>
      <c r="I60" s="279">
        <v>2260766.8850435158</v>
      </c>
      <c r="J60" s="280">
        <f>+$D60*I60</f>
        <v>18425250.113104656</v>
      </c>
      <c r="K60" s="280">
        <f>+$E60*I60</f>
        <v>18425250.113104656</v>
      </c>
      <c r="L60" s="555"/>
      <c r="M60" s="524"/>
      <c r="O60" s="279">
        <v>2265015.1757267229</v>
      </c>
      <c r="P60" s="280">
        <f>+$D60*O60</f>
        <v>18459873.682172794</v>
      </c>
      <c r="Q60" s="280">
        <f>+$E60*O60</f>
        <v>18459873.682172794</v>
      </c>
      <c r="R60" s="555"/>
      <c r="S60" s="524"/>
      <c r="U60" s="256"/>
      <c r="V60" s="257"/>
      <c r="W60" s="257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</row>
    <row r="61" spans="1:42" x14ac:dyDescent="0.2">
      <c r="A61" s="243">
        <f t="shared" si="4"/>
        <v>49</v>
      </c>
      <c r="B61" s="243" t="str">
        <f t="shared" si="5"/>
        <v>12, 26, 26P</v>
      </c>
      <c r="C61" s="271" t="s">
        <v>26</v>
      </c>
      <c r="D61" s="270"/>
      <c r="E61" s="270"/>
      <c r="F61" s="392">
        <f>SUM(F59:F60)</f>
        <v>4407699.2236625496</v>
      </c>
      <c r="G61" s="393">
        <f>SUM(G59:G60)</f>
        <v>44703193.320800185</v>
      </c>
      <c r="I61" s="392">
        <f>SUM(I59:I60)</f>
        <v>4426846.4048776105</v>
      </c>
      <c r="J61" s="393">
        <f>SUM(J59:J60)</f>
        <v>44916402.640675634</v>
      </c>
      <c r="K61" s="393">
        <f>SUM(K59:K60)</f>
        <v>44916402.640675634</v>
      </c>
      <c r="L61" s="556">
        <f>ROUND(L65*($K$61/SUM($K$57,$K$61))/$I$61,2)</f>
        <v>1.1100000000000001</v>
      </c>
      <c r="M61" s="526">
        <f>ROUND(M65*($K$61/SUM($K$57,$K$61))/$I$61,2)</f>
        <v>0.21</v>
      </c>
      <c r="O61" s="392">
        <f>SUM(O59:O60)</f>
        <v>4435559.87969926</v>
      </c>
      <c r="P61" s="393">
        <f>SUM(P59:P60)</f>
        <v>45005635.411756918</v>
      </c>
      <c r="Q61" s="393">
        <f>SUM(Q59:Q60)</f>
        <v>45005635.411756918</v>
      </c>
      <c r="R61" s="556">
        <f>ROUND(R65*($K$61/SUM($K$57,$K$61))/$O$61,2)</f>
        <v>0.96</v>
      </c>
      <c r="S61" s="526">
        <f>ROUND(S65*($K$61/SUM($K$57,$K$61))/$O$61,2)</f>
        <v>0.51</v>
      </c>
      <c r="U61" s="260"/>
      <c r="V61" s="261"/>
      <c r="W61" s="261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</row>
    <row r="62" spans="1:42" x14ac:dyDescent="0.2">
      <c r="A62" s="243">
        <f t="shared" si="4"/>
        <v>50</v>
      </c>
      <c r="B62" s="243" t="str">
        <f t="shared" si="5"/>
        <v>12, 26, 26P</v>
      </c>
      <c r="C62" s="271"/>
      <c r="D62" s="270"/>
      <c r="E62" s="270"/>
      <c r="F62" s="279"/>
      <c r="I62" s="279"/>
      <c r="L62" s="524"/>
      <c r="M62" s="524"/>
      <c r="O62" s="279"/>
      <c r="R62" s="524"/>
      <c r="S62" s="524"/>
      <c r="U62" s="256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</row>
    <row r="63" spans="1:42" x14ac:dyDescent="0.2">
      <c r="A63" s="243">
        <f t="shared" si="4"/>
        <v>51</v>
      </c>
      <c r="B63" s="243" t="str">
        <f t="shared" si="5"/>
        <v>12, 26, 26P</v>
      </c>
      <c r="C63" s="267" t="s">
        <v>86</v>
      </c>
      <c r="D63" s="273">
        <f>+'Exhibit No.__(BDJ-SV RD)'!D98</f>
        <v>1.2999999999999999E-3</v>
      </c>
      <c r="E63" s="273">
        <f>+'Exhibit No.__(BDJ-SV RD)'!G98</f>
        <v>1.2999999999999999E-3</v>
      </c>
      <c r="F63" s="279">
        <v>760835311.06196761</v>
      </c>
      <c r="G63" s="280">
        <f>+$D63*F63</f>
        <v>989085.90438055783</v>
      </c>
      <c r="I63" s="279">
        <v>777956807.55748641</v>
      </c>
      <c r="J63" s="280">
        <f>+$D63*I63</f>
        <v>1011343.8498247323</v>
      </c>
      <c r="K63" s="280">
        <f>+$E63*I63</f>
        <v>1011343.8498247323</v>
      </c>
      <c r="L63" s="524"/>
      <c r="M63" s="524"/>
      <c r="O63" s="279">
        <v>786534330.97848678</v>
      </c>
      <c r="P63" s="280">
        <f>+$D63*O63</f>
        <v>1022494.6302720328</v>
      </c>
      <c r="Q63" s="280">
        <f>+$E63*O63</f>
        <v>1022494.6302720328</v>
      </c>
      <c r="R63" s="524"/>
      <c r="S63" s="524"/>
      <c r="U63" s="256"/>
      <c r="V63" s="257"/>
      <c r="W63" s="257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</row>
    <row r="64" spans="1:42" ht="12" thickBot="1" x14ac:dyDescent="0.25">
      <c r="A64" s="243">
        <f t="shared" si="4"/>
        <v>52</v>
      </c>
      <c r="B64" s="243" t="str">
        <f t="shared" si="5"/>
        <v>12, 26, 26P</v>
      </c>
      <c r="C64" s="258" t="s">
        <v>409</v>
      </c>
      <c r="D64" s="273"/>
      <c r="E64" s="273"/>
      <c r="F64" s="279"/>
      <c r="G64" s="394">
        <f>SUM(G63,G61,G57,G55)</f>
        <v>152571684.59459841</v>
      </c>
      <c r="I64" s="279"/>
      <c r="J64" s="394">
        <f>SUM(J63,J61,J57,J55)</f>
        <v>155302944.6251348</v>
      </c>
      <c r="K64" s="394">
        <f>SUM(K63,K61,K57,K55)</f>
        <v>152301461.95413479</v>
      </c>
      <c r="L64" s="553">
        <f>+L57*I57+I61*L61</f>
        <v>16439932.475414149</v>
      </c>
      <c r="M64" s="553">
        <f>+M57*I57+I61*M61</f>
        <v>3085064.8980242987</v>
      </c>
      <c r="O64" s="279"/>
      <c r="P64" s="394">
        <f>SUM(P63,P61,P57,P55)</f>
        <v>156820223.0485509</v>
      </c>
      <c r="Q64" s="394">
        <f>SUM(Q63,Q61,Q57,Q55)</f>
        <v>153781743.23055092</v>
      </c>
      <c r="R64" s="553">
        <f>+R57*O57+O61*R61</f>
        <v>14200399.390511289</v>
      </c>
      <c r="S64" s="553">
        <f>+S57*O57+O61*S61</f>
        <v>7591988.7886466226</v>
      </c>
      <c r="U64" s="256"/>
      <c r="V64" s="265"/>
      <c r="W64" s="265"/>
      <c r="X64" s="265"/>
      <c r="Y64" s="265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</row>
    <row r="65" spans="1:42" ht="12" thickTop="1" x14ac:dyDescent="0.2">
      <c r="A65" s="243">
        <f t="shared" si="4"/>
        <v>53</v>
      </c>
      <c r="B65" s="243" t="str">
        <f t="shared" si="5"/>
        <v>12, 26, 26P</v>
      </c>
      <c r="C65" s="274" t="s">
        <v>379</v>
      </c>
      <c r="D65" s="270"/>
      <c r="E65" s="270"/>
      <c r="L65" s="554">
        <f>+'Exhibit No.__(BDJ-Rate Spread)'!S13*1000</f>
        <v>16445490.205892617</v>
      </c>
      <c r="M65" s="554">
        <f>+'Exhibit No.__(BDJ-Rate Spread)'!W13*1000</f>
        <v>3074261.4109238414</v>
      </c>
      <c r="R65" s="554">
        <f>+'Exhibit No.__(BDJ-Rate Spread)'!T13*1000</f>
        <v>14186691.974120336</v>
      </c>
      <c r="S65" s="554">
        <f>+'Exhibit No.__(BDJ-Rate Spread)'!X13*1000</f>
        <v>7605984.1723913653</v>
      </c>
      <c r="X65" s="257"/>
      <c r="Y65" s="257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</row>
    <row r="66" spans="1:42" ht="12" thickBot="1" x14ac:dyDescent="0.25">
      <c r="A66" s="243">
        <f t="shared" si="4"/>
        <v>54</v>
      </c>
      <c r="B66" s="243" t="str">
        <f t="shared" si="5"/>
        <v>12, 26, 26P</v>
      </c>
      <c r="C66" s="275" t="s">
        <v>380</v>
      </c>
      <c r="G66" s="280"/>
      <c r="J66" s="280"/>
      <c r="K66" s="280"/>
      <c r="L66" s="554"/>
      <c r="M66" s="553">
        <f>SUM(K64,L64:M64)</f>
        <v>171826459.32757324</v>
      </c>
      <c r="P66" s="280"/>
      <c r="Q66" s="280"/>
      <c r="R66" s="554"/>
      <c r="S66" s="553">
        <f>SUM(Q64,R64:S64)</f>
        <v>175574131.40970883</v>
      </c>
      <c r="V66" s="257"/>
      <c r="W66" s="257"/>
      <c r="X66" s="257"/>
      <c r="Y66" s="265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</row>
    <row r="67" spans="1:42" ht="12" thickTop="1" x14ac:dyDescent="0.2">
      <c r="A67" s="243">
        <f t="shared" si="4"/>
        <v>55</v>
      </c>
      <c r="L67" s="524"/>
      <c r="M67" s="524"/>
      <c r="R67" s="524"/>
      <c r="S67" s="524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</row>
    <row r="68" spans="1:42" x14ac:dyDescent="0.2">
      <c r="A68" s="243">
        <f t="shared" si="4"/>
        <v>56</v>
      </c>
      <c r="B68" s="243">
        <v>29</v>
      </c>
      <c r="C68" s="267" t="s">
        <v>33</v>
      </c>
      <c r="L68" s="524"/>
      <c r="M68" s="524"/>
      <c r="R68" s="524"/>
      <c r="S68" s="524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</row>
    <row r="69" spans="1:42" x14ac:dyDescent="0.2">
      <c r="A69" s="243">
        <f t="shared" si="4"/>
        <v>57</v>
      </c>
      <c r="B69" s="243">
        <f t="shared" ref="B69:B86" si="6">+B68</f>
        <v>29</v>
      </c>
      <c r="C69" s="267" t="s">
        <v>31</v>
      </c>
      <c r="D69" s="270">
        <f>+'Exhibit No.__(BDJ-SV RD)'!D146</f>
        <v>9.99</v>
      </c>
      <c r="E69" s="270">
        <f>+'Exhibit No.__(BDJ-SV RD)'!G146</f>
        <v>9.99</v>
      </c>
      <c r="F69" s="279">
        <v>2398</v>
      </c>
      <c r="G69" s="280">
        <f>+$D69*F69</f>
        <v>23956.02</v>
      </c>
      <c r="I69" s="279">
        <v>2421</v>
      </c>
      <c r="J69" s="280">
        <f>+$D69*I69</f>
        <v>24185.79</v>
      </c>
      <c r="K69" s="280">
        <f>+$E69*I69</f>
        <v>24185.79</v>
      </c>
      <c r="L69" s="524"/>
      <c r="M69" s="524"/>
      <c r="O69" s="279">
        <v>2447</v>
      </c>
      <c r="P69" s="280">
        <f>+$D69*O69</f>
        <v>24445.53</v>
      </c>
      <c r="Q69" s="280">
        <f>+$E69*O69</f>
        <v>24445.53</v>
      </c>
      <c r="R69" s="524"/>
      <c r="S69" s="524"/>
      <c r="U69" s="256"/>
      <c r="V69" s="257"/>
      <c r="W69" s="257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</row>
    <row r="70" spans="1:42" x14ac:dyDescent="0.2">
      <c r="A70" s="243">
        <f t="shared" si="4"/>
        <v>58</v>
      </c>
      <c r="B70" s="243">
        <f t="shared" si="6"/>
        <v>29</v>
      </c>
      <c r="C70" s="267" t="s">
        <v>32</v>
      </c>
      <c r="D70" s="270">
        <f>+'Exhibit No.__(BDJ-SV RD)'!D147</f>
        <v>25.36</v>
      </c>
      <c r="E70" s="270">
        <f>+'Exhibit No.__(BDJ-SV RD)'!G147</f>
        <v>25.36</v>
      </c>
      <c r="F70" s="279">
        <v>5540</v>
      </c>
      <c r="G70" s="280">
        <f>+$D70*F70</f>
        <v>140494.39999999999</v>
      </c>
      <c r="I70" s="279">
        <v>5598</v>
      </c>
      <c r="J70" s="280">
        <f>+$D70*I70</f>
        <v>141965.28</v>
      </c>
      <c r="K70" s="280">
        <f>+$E70*I70</f>
        <v>141965.28</v>
      </c>
      <c r="L70" s="524"/>
      <c r="M70" s="524"/>
      <c r="O70" s="279">
        <v>5652</v>
      </c>
      <c r="P70" s="280">
        <f>+$D70*O70</f>
        <v>143334.72</v>
      </c>
      <c r="Q70" s="280">
        <f>+$E70*O70</f>
        <v>143334.72</v>
      </c>
      <c r="R70" s="524"/>
      <c r="S70" s="524"/>
      <c r="U70" s="256"/>
      <c r="V70" s="257"/>
      <c r="W70" s="257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</row>
    <row r="71" spans="1:42" x14ac:dyDescent="0.2">
      <c r="A71" s="243">
        <f t="shared" si="4"/>
        <v>59</v>
      </c>
      <c r="B71" s="243">
        <f t="shared" si="6"/>
        <v>29</v>
      </c>
      <c r="C71" s="271" t="s">
        <v>26</v>
      </c>
      <c r="D71" s="270"/>
      <c r="E71" s="270"/>
      <c r="F71" s="392">
        <f>SUM(F69:F70)</f>
        <v>7938</v>
      </c>
      <c r="G71" s="393">
        <f>SUM(G69:G70)</f>
        <v>164450.41999999998</v>
      </c>
      <c r="I71" s="392">
        <f>SUM(I69:I70)</f>
        <v>8019</v>
      </c>
      <c r="J71" s="393">
        <f>SUM(J69:J70)</f>
        <v>166151.07</v>
      </c>
      <c r="K71" s="393">
        <f>SUM(K69:K70)</f>
        <v>166151.07</v>
      </c>
      <c r="L71" s="524"/>
      <c r="M71" s="524"/>
      <c r="O71" s="392">
        <f>SUM(O69:O70)</f>
        <v>8099</v>
      </c>
      <c r="P71" s="393">
        <f>SUM(P69:P70)</f>
        <v>167780.25</v>
      </c>
      <c r="Q71" s="393">
        <f>SUM(Q69:Q70)</f>
        <v>167780.25</v>
      </c>
      <c r="R71" s="524"/>
      <c r="S71" s="524"/>
      <c r="U71" s="260"/>
      <c r="V71" s="261"/>
      <c r="W71" s="261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</row>
    <row r="72" spans="1:42" x14ac:dyDescent="0.2">
      <c r="A72" s="243">
        <f t="shared" si="4"/>
        <v>60</v>
      </c>
      <c r="B72" s="243">
        <f t="shared" si="6"/>
        <v>29</v>
      </c>
      <c r="C72" s="267" t="s">
        <v>36</v>
      </c>
      <c r="D72" s="270"/>
      <c r="E72" s="270"/>
      <c r="F72" s="279"/>
      <c r="I72" s="279"/>
      <c r="L72" s="524"/>
      <c r="M72" s="524"/>
      <c r="O72" s="279"/>
      <c r="R72" s="524"/>
      <c r="S72" s="524"/>
      <c r="U72" s="256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</row>
    <row r="73" spans="1:42" x14ac:dyDescent="0.2">
      <c r="A73" s="243">
        <f t="shared" si="4"/>
        <v>61</v>
      </c>
      <c r="B73" s="243">
        <f t="shared" si="6"/>
        <v>29</v>
      </c>
      <c r="C73" s="269" t="s">
        <v>82</v>
      </c>
      <c r="D73" s="263">
        <f>+'Exhibit No.__(BDJ-SV RD)'!D150</f>
        <v>9.3538999999999997E-2</v>
      </c>
      <c r="E73" s="263">
        <f>+'Exhibit No.__(BDJ-SV RD)'!G150</f>
        <v>9.1401999999999997E-2</v>
      </c>
      <c r="F73" s="279">
        <v>2249852.0878202002</v>
      </c>
      <c r="G73" s="280">
        <f>+$D73*F73</f>
        <v>210448.91444261369</v>
      </c>
      <c r="I73" s="279">
        <v>2290130.0821588552</v>
      </c>
      <c r="J73" s="280">
        <f>+$D73*I73</f>
        <v>214216.47775505716</v>
      </c>
      <c r="K73" s="280">
        <f>+$E73*I73</f>
        <v>209322.46976948367</v>
      </c>
      <c r="L73" s="525"/>
      <c r="M73" s="525"/>
      <c r="O73" s="279">
        <v>2319496.799318599</v>
      </c>
      <c r="P73" s="280">
        <f>+$D73*O73</f>
        <v>216963.41111146242</v>
      </c>
      <c r="Q73" s="280">
        <f>+$E73*O73</f>
        <v>212006.64645131858</v>
      </c>
      <c r="R73" s="525"/>
      <c r="S73" s="525"/>
      <c r="U73" s="256"/>
      <c r="V73" s="257"/>
      <c r="W73" s="257"/>
      <c r="X73" s="264"/>
      <c r="Y73" s="264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</row>
    <row r="74" spans="1:42" x14ac:dyDescent="0.2">
      <c r="A74" s="243">
        <f t="shared" si="4"/>
        <v>62</v>
      </c>
      <c r="B74" s="243">
        <f t="shared" si="6"/>
        <v>29</v>
      </c>
      <c r="C74" s="269" t="s">
        <v>102</v>
      </c>
      <c r="D74" s="263">
        <f>+'Exhibit No.__(BDJ-SV RD)'!D151</f>
        <v>7.1040000000000006E-2</v>
      </c>
      <c r="E74" s="263">
        <f>+'Exhibit No.__(BDJ-SV RD)'!G151</f>
        <v>6.9417000000000006E-2</v>
      </c>
      <c r="F74" s="279">
        <v>11567780.945702411</v>
      </c>
      <c r="G74" s="280">
        <f>+$D74*F74</f>
        <v>821775.15838269936</v>
      </c>
      <c r="I74" s="279">
        <v>11755258.298124935</v>
      </c>
      <c r="J74" s="280">
        <f>+$D74*I74</f>
        <v>835093.54949879553</v>
      </c>
      <c r="K74" s="280">
        <f>+$E74*I74</f>
        <v>816014.76528093871</v>
      </c>
      <c r="L74" s="525"/>
      <c r="M74" s="525"/>
      <c r="O74" s="279">
        <v>11848731.977769069</v>
      </c>
      <c r="P74" s="280">
        <f>+$D74*O74</f>
        <v>841733.91970071476</v>
      </c>
      <c r="Q74" s="280">
        <f>+$E74*O74</f>
        <v>822503.42770079558</v>
      </c>
      <c r="R74" s="525"/>
      <c r="S74" s="525"/>
      <c r="U74" s="256"/>
      <c r="V74" s="257"/>
      <c r="W74" s="257"/>
      <c r="X74" s="264"/>
      <c r="Y74" s="264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</row>
    <row r="75" spans="1:42" x14ac:dyDescent="0.2">
      <c r="A75" s="243">
        <f t="shared" si="4"/>
        <v>63</v>
      </c>
      <c r="B75" s="243">
        <f t="shared" si="6"/>
        <v>29</v>
      </c>
      <c r="C75" s="269" t="s">
        <v>81</v>
      </c>
      <c r="D75" s="263">
        <f>+'Exhibit No.__(BDJ-SV RD)'!D152</f>
        <v>6.4817E-2</v>
      </c>
      <c r="E75" s="263">
        <f>+'Exhibit No.__(BDJ-SV RD)'!G152</f>
        <v>6.3336000000000003E-2</v>
      </c>
      <c r="F75" s="279">
        <v>159564.17630507849</v>
      </c>
      <c r="G75" s="280">
        <f>+$D75*F75</f>
        <v>10342.471215566273</v>
      </c>
      <c r="I75" s="279">
        <v>162181.22156353388</v>
      </c>
      <c r="J75" s="280">
        <f>+$D75*I75</f>
        <v>10512.100238083576</v>
      </c>
      <c r="K75" s="280">
        <f>+$E75*I75</f>
        <v>10271.909848947982</v>
      </c>
      <c r="L75" s="525"/>
      <c r="M75" s="525"/>
      <c r="O75" s="279">
        <v>164778.51026321203</v>
      </c>
      <c r="P75" s="280">
        <f>+$D75*O75</f>
        <v>10680.448699730614</v>
      </c>
      <c r="Q75" s="280">
        <f>+$E75*O75</f>
        <v>10436.411726030798</v>
      </c>
      <c r="R75" s="525"/>
      <c r="S75" s="525"/>
      <c r="U75" s="256"/>
      <c r="V75" s="257"/>
      <c r="W75" s="257"/>
      <c r="X75" s="264"/>
      <c r="Y75" s="264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</row>
    <row r="76" spans="1:42" x14ac:dyDescent="0.2">
      <c r="A76" s="243">
        <f t="shared" si="4"/>
        <v>64</v>
      </c>
      <c r="B76" s="243">
        <f t="shared" si="6"/>
        <v>29</v>
      </c>
      <c r="C76" s="269" t="s">
        <v>101</v>
      </c>
      <c r="D76" s="263">
        <f>+'Exhibit No.__(BDJ-SV RD)'!D153</f>
        <v>5.5537000000000003E-2</v>
      </c>
      <c r="E76" s="263">
        <f>+'Exhibit No.__(BDJ-SV RD)'!G153</f>
        <v>5.4267999999999997E-2</v>
      </c>
      <c r="F76" s="279">
        <v>879315.29017230961</v>
      </c>
      <c r="G76" s="280">
        <f>+$D76*F76</f>
        <v>48834.533270299558</v>
      </c>
      <c r="I76" s="279">
        <v>893396.89815267397</v>
      </c>
      <c r="J76" s="280">
        <f>+$D76*I76</f>
        <v>49616.583532705059</v>
      </c>
      <c r="K76" s="280">
        <f>+$E76*I76</f>
        <v>48482.862868949305</v>
      </c>
      <c r="L76" s="525"/>
      <c r="M76" s="525"/>
      <c r="O76" s="279">
        <v>900445.21264912025</v>
      </c>
      <c r="P76" s="280">
        <f>+$D76*O76</f>
        <v>50008.025774894195</v>
      </c>
      <c r="Q76" s="280">
        <f>+$E76*O76</f>
        <v>48865.360800042457</v>
      </c>
      <c r="R76" s="525"/>
      <c r="S76" s="525"/>
      <c r="U76" s="256"/>
      <c r="V76" s="257"/>
      <c r="W76" s="257"/>
      <c r="X76" s="264"/>
      <c r="Y76" s="264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</row>
    <row r="77" spans="1:42" x14ac:dyDescent="0.2">
      <c r="A77" s="243">
        <f t="shared" si="4"/>
        <v>65</v>
      </c>
      <c r="B77" s="243">
        <f t="shared" si="6"/>
        <v>29</v>
      </c>
      <c r="C77" s="271" t="s">
        <v>26</v>
      </c>
      <c r="D77" s="270"/>
      <c r="E77" s="270"/>
      <c r="F77" s="392">
        <f>SUM(F73:F76)</f>
        <v>14856512.5</v>
      </c>
      <c r="G77" s="393">
        <f>SUM(G73:G76)</f>
        <v>1091401.0773111789</v>
      </c>
      <c r="I77" s="392">
        <f>SUM(I73:I76)</f>
        <v>15100966.499999998</v>
      </c>
      <c r="J77" s="393">
        <f>SUM(J73:J76)</f>
        <v>1109438.7110246413</v>
      </c>
      <c r="K77" s="393">
        <f>SUM(K73:K76)</f>
        <v>1084092.0077683197</v>
      </c>
      <c r="L77" s="552">
        <f>ROUND(L85*($K$77/SUM($K$77,$K$81))/$I$77,6)</f>
        <v>9.8949999999999993E-3</v>
      </c>
      <c r="M77" s="525">
        <f>ROUND(M85*($K$77/SUM($K$77,$K$81))/$I$77,6)</f>
        <v>1.8500000000000001E-3</v>
      </c>
      <c r="O77" s="392">
        <f>SUM(O73:O76)</f>
        <v>15233452.5</v>
      </c>
      <c r="P77" s="393">
        <f>SUM(P73:P76)</f>
        <v>1119385.8052868021</v>
      </c>
      <c r="Q77" s="393">
        <f>SUM(Q73:Q76)</f>
        <v>1093811.8466781874</v>
      </c>
      <c r="R77" s="552">
        <f>ROUND(R85*($K$77/SUM($K$77,$K$81))/$O$77,6)</f>
        <v>8.4309999999999993E-3</v>
      </c>
      <c r="S77" s="525">
        <f>ROUND(S85*($K$77/SUM($K$77,$K$81))/$O$77,6)</f>
        <v>4.5199999999999997E-3</v>
      </c>
      <c r="U77" s="260"/>
      <c r="V77" s="261"/>
      <c r="W77" s="261"/>
      <c r="X77" s="264"/>
      <c r="Y77" s="264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</row>
    <row r="78" spans="1:42" x14ac:dyDescent="0.2">
      <c r="A78" s="243">
        <f t="shared" ref="A78:A109" si="7">+A77+1</f>
        <v>66</v>
      </c>
      <c r="B78" s="243">
        <f t="shared" si="6"/>
        <v>29</v>
      </c>
      <c r="C78" s="267" t="s">
        <v>35</v>
      </c>
      <c r="F78" s="279"/>
      <c r="I78" s="279"/>
      <c r="L78" s="555"/>
      <c r="M78" s="524"/>
      <c r="O78" s="279"/>
      <c r="R78" s="555"/>
      <c r="S78" s="524"/>
      <c r="U78" s="256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</row>
    <row r="79" spans="1:42" x14ac:dyDescent="0.2">
      <c r="A79" s="243">
        <f t="shared" si="7"/>
        <v>67</v>
      </c>
      <c r="B79" s="243">
        <f t="shared" si="6"/>
        <v>29</v>
      </c>
      <c r="C79" s="269" t="s">
        <v>84</v>
      </c>
      <c r="D79" s="270">
        <f>+'Exhibit No.__(BDJ-SV RD)'!D160</f>
        <v>9.2200000000000006</v>
      </c>
      <c r="E79" s="270">
        <f>+'Exhibit No.__(BDJ-SV RD)'!G160</f>
        <v>9.2200000000000006</v>
      </c>
      <c r="F79" s="279">
        <v>2042.0000000000002</v>
      </c>
      <c r="G79" s="280">
        <f>+$D79*F79</f>
        <v>18827.240000000002</v>
      </c>
      <c r="I79" s="279">
        <v>2078.5</v>
      </c>
      <c r="J79" s="280">
        <f>+$D79*I79</f>
        <v>19163.77</v>
      </c>
      <c r="K79" s="280">
        <f>+$E79*I79</f>
        <v>19163.77</v>
      </c>
      <c r="L79" s="555"/>
      <c r="M79" s="524"/>
      <c r="O79" s="279">
        <v>2101.5</v>
      </c>
      <c r="P79" s="280">
        <f>+$D79*O79</f>
        <v>19375.830000000002</v>
      </c>
      <c r="Q79" s="280">
        <f>+$E79*O79</f>
        <v>19375.830000000002</v>
      </c>
      <c r="R79" s="555"/>
      <c r="S79" s="524"/>
      <c r="U79" s="256"/>
      <c r="V79" s="257"/>
      <c r="W79" s="257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</row>
    <row r="80" spans="1:42" x14ac:dyDescent="0.2">
      <c r="A80" s="243">
        <f t="shared" si="7"/>
        <v>68</v>
      </c>
      <c r="B80" s="243">
        <f t="shared" si="6"/>
        <v>29</v>
      </c>
      <c r="C80" s="269" t="s">
        <v>85</v>
      </c>
      <c r="D80" s="270">
        <f>+'Exhibit No.__(BDJ-SV RD)'!D161</f>
        <v>4.54</v>
      </c>
      <c r="E80" s="270">
        <f>+'Exhibit No.__(BDJ-SV RD)'!G161</f>
        <v>4.54</v>
      </c>
      <c r="F80" s="279">
        <v>4079</v>
      </c>
      <c r="G80" s="280">
        <f>+$D80*F80</f>
        <v>18518.66</v>
      </c>
      <c r="I80" s="279">
        <v>4175</v>
      </c>
      <c r="J80" s="280">
        <f>+$D80*I80</f>
        <v>18954.5</v>
      </c>
      <c r="K80" s="280">
        <f>+$E80*I80</f>
        <v>18954.5</v>
      </c>
      <c r="L80" s="555"/>
      <c r="M80" s="524"/>
      <c r="O80" s="279">
        <v>4219.5</v>
      </c>
      <c r="P80" s="280">
        <f>+$D80*O80</f>
        <v>19156.53</v>
      </c>
      <c r="Q80" s="280">
        <f>+$E80*O80</f>
        <v>19156.53</v>
      </c>
      <c r="R80" s="555"/>
      <c r="S80" s="524"/>
      <c r="U80" s="256"/>
      <c r="V80" s="257"/>
      <c r="W80" s="257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</row>
    <row r="81" spans="1:42" x14ac:dyDescent="0.2">
      <c r="A81" s="243">
        <f t="shared" si="7"/>
        <v>69</v>
      </c>
      <c r="B81" s="243">
        <f t="shared" si="6"/>
        <v>29</v>
      </c>
      <c r="C81" s="271" t="s">
        <v>26</v>
      </c>
      <c r="D81" s="270"/>
      <c r="E81" s="270"/>
      <c r="F81" s="392">
        <f>SUM(F79:F80)</f>
        <v>6121</v>
      </c>
      <c r="G81" s="393">
        <f>SUM(G79:G80)</f>
        <v>37345.9</v>
      </c>
      <c r="I81" s="392">
        <f>SUM(I79:I80)</f>
        <v>6253.5</v>
      </c>
      <c r="J81" s="393">
        <f>SUM(J79:J80)</f>
        <v>38118.270000000004</v>
      </c>
      <c r="K81" s="393">
        <f>SUM(K79:K80)</f>
        <v>38118.270000000004</v>
      </c>
      <c r="L81" s="556">
        <f>ROUND(L85*($K$81/SUM($K$77,$K$81))/$I$81,2)</f>
        <v>0.84</v>
      </c>
      <c r="M81" s="526">
        <f>ROUND(M85*($K$81/SUM($K$77,$K$81))/$I$81,2)</f>
        <v>0.16</v>
      </c>
      <c r="O81" s="392">
        <f>SUM(O79:O80)</f>
        <v>6321</v>
      </c>
      <c r="P81" s="393">
        <f>SUM(P79:P80)</f>
        <v>38532.36</v>
      </c>
      <c r="Q81" s="393">
        <f>SUM(Q79:Q80)</f>
        <v>38532.36</v>
      </c>
      <c r="R81" s="556">
        <f>ROUND(R85*($K$81/SUM($K$77,$K$81))/$O$81,2)</f>
        <v>0.71</v>
      </c>
      <c r="S81" s="526">
        <f>ROUND(S85*($K$81/SUM($K$77,$K$81))/$O$81,2)</f>
        <v>0.38</v>
      </c>
      <c r="U81" s="260"/>
      <c r="V81" s="261"/>
      <c r="W81" s="261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</row>
    <row r="82" spans="1:42" x14ac:dyDescent="0.2">
      <c r="A82" s="243">
        <f t="shared" si="7"/>
        <v>70</v>
      </c>
      <c r="B82" s="243">
        <f t="shared" si="6"/>
        <v>29</v>
      </c>
      <c r="C82" s="271"/>
      <c r="D82" s="270"/>
      <c r="E82" s="270"/>
      <c r="F82" s="279"/>
      <c r="I82" s="279"/>
      <c r="L82" s="524"/>
      <c r="M82" s="524"/>
      <c r="O82" s="279"/>
      <c r="R82" s="524"/>
      <c r="S82" s="524"/>
      <c r="U82" s="256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</row>
    <row r="83" spans="1:42" x14ac:dyDescent="0.2">
      <c r="A83" s="243">
        <f t="shared" si="7"/>
        <v>71</v>
      </c>
      <c r="B83" s="243">
        <f t="shared" si="6"/>
        <v>29</v>
      </c>
      <c r="C83" s="267" t="s">
        <v>86</v>
      </c>
      <c r="D83" s="273">
        <f>+'Exhibit No.__(BDJ-SV RD)'!D164</f>
        <v>2.9299999999999999E-3</v>
      </c>
      <c r="E83" s="273">
        <f>+'Exhibit No.__(BDJ-SV RD)'!G164</f>
        <v>2.9299999999999999E-3</v>
      </c>
      <c r="F83" s="279">
        <v>319106.98916267877</v>
      </c>
      <c r="G83" s="280">
        <f>+$D83*F83</f>
        <v>934.98347824664882</v>
      </c>
      <c r="I83" s="279">
        <v>326374.07479365316</v>
      </c>
      <c r="J83" s="280">
        <f>+$D83*I83</f>
        <v>956.27603914540373</v>
      </c>
      <c r="K83" s="280">
        <f>+$E83*I83</f>
        <v>956.27603914540373</v>
      </c>
      <c r="L83" s="524"/>
      <c r="M83" s="524"/>
      <c r="O83" s="279">
        <v>331649.16990478826</v>
      </c>
      <c r="P83" s="280">
        <f>+$D83*O83</f>
        <v>971.73206782102955</v>
      </c>
      <c r="Q83" s="280">
        <f>+$E83*O83</f>
        <v>971.73206782102955</v>
      </c>
      <c r="R83" s="524"/>
      <c r="S83" s="524"/>
      <c r="U83" s="256"/>
      <c r="V83" s="257"/>
      <c r="W83" s="257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</row>
    <row r="84" spans="1:42" ht="12" thickBot="1" x14ac:dyDescent="0.25">
      <c r="A84" s="243">
        <f t="shared" si="7"/>
        <v>72</v>
      </c>
      <c r="B84" s="243">
        <f t="shared" si="6"/>
        <v>29</v>
      </c>
      <c r="C84" s="258" t="s">
        <v>409</v>
      </c>
      <c r="D84" s="273"/>
      <c r="E84" s="273"/>
      <c r="F84" s="279"/>
      <c r="G84" s="394">
        <f>SUM(G83,G81,G77,G71)</f>
        <v>1294132.3807894255</v>
      </c>
      <c r="I84" s="279"/>
      <c r="J84" s="394">
        <f>SUM(J83,J81,J77,J71)</f>
        <v>1314664.3270637868</v>
      </c>
      <c r="K84" s="394">
        <f>SUM(K83,K81,K77,K71)</f>
        <v>1289317.6238074652</v>
      </c>
      <c r="L84" s="553">
        <f>+L77*I77+I81*L81</f>
        <v>154677.00351749998</v>
      </c>
      <c r="M84" s="553">
        <f>+M77*I77+I81*M81</f>
        <v>28937.348024999999</v>
      </c>
      <c r="O84" s="279"/>
      <c r="P84" s="394">
        <f>SUM(P83,P81,P77,P71)</f>
        <v>1326670.1473546231</v>
      </c>
      <c r="Q84" s="394">
        <f>SUM(Q83,Q81,Q77,Q71)</f>
        <v>1301096.1887460083</v>
      </c>
      <c r="R84" s="553">
        <f>+R77*O77+O81*R81</f>
        <v>132921.14802749999</v>
      </c>
      <c r="S84" s="553">
        <f>+S77*O77+O81*S81</f>
        <v>71257.185299999997</v>
      </c>
      <c r="U84" s="256"/>
      <c r="V84" s="265"/>
      <c r="W84" s="265"/>
      <c r="X84" s="265"/>
      <c r="Y84" s="265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</row>
    <row r="85" spans="1:42" ht="12" thickTop="1" x14ac:dyDescent="0.2">
      <c r="A85" s="243">
        <f t="shared" si="7"/>
        <v>73</v>
      </c>
      <c r="B85" s="243">
        <f t="shared" si="6"/>
        <v>29</v>
      </c>
      <c r="C85" s="274" t="s">
        <v>379</v>
      </c>
      <c r="L85" s="554">
        <f>+'Exhibit No.__(BDJ-Rate Spread)'!$S$12*1000*$I$77/SUM($I$44,$I$77)</f>
        <v>154685.35564930193</v>
      </c>
      <c r="M85" s="554">
        <f>+'Exhibit No.__(BDJ-Rate Spread)'!$W$12*1000*$I$77/SUM($I$44,$I$77)</f>
        <v>28916.329872446513</v>
      </c>
      <c r="R85" s="554">
        <f>+'Exhibit No.__(BDJ-Rate Spread)'!$T$12*1000*$O$77/SUM($O$44,$O$77)</f>
        <v>132947.16489303467</v>
      </c>
      <c r="S85" s="554">
        <f>+'Exhibit No.__(BDJ-Rate Spread)'!$X$12*1000*$O$77/SUM($O$44,$O$77)</f>
        <v>71277.64765636473</v>
      </c>
      <c r="X85" s="257"/>
      <c r="Y85" s="257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</row>
    <row r="86" spans="1:42" ht="12" thickBot="1" x14ac:dyDescent="0.25">
      <c r="A86" s="243">
        <f t="shared" si="7"/>
        <v>74</v>
      </c>
      <c r="B86" s="243">
        <f t="shared" si="6"/>
        <v>29</v>
      </c>
      <c r="C86" s="275" t="s">
        <v>381</v>
      </c>
      <c r="G86" s="280"/>
      <c r="J86" s="280"/>
      <c r="K86" s="280"/>
      <c r="L86" s="554"/>
      <c r="M86" s="553">
        <f>SUM(K84,L84:M84)</f>
        <v>1472931.975349965</v>
      </c>
      <c r="P86" s="280"/>
      <c r="Q86" s="280"/>
      <c r="R86" s="554"/>
      <c r="S86" s="553">
        <f>SUM(Q84,R84:S84)</f>
        <v>1505274.5220735082</v>
      </c>
      <c r="T86" s="257"/>
      <c r="V86" s="257"/>
      <c r="W86" s="257"/>
      <c r="X86" s="257"/>
      <c r="Y86" s="265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</row>
    <row r="87" spans="1:42" ht="12" thickTop="1" x14ac:dyDescent="0.2">
      <c r="A87" s="243">
        <f t="shared" si="7"/>
        <v>75</v>
      </c>
      <c r="L87" s="524"/>
      <c r="M87" s="524"/>
      <c r="R87" s="524"/>
      <c r="S87" s="524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</row>
    <row r="88" spans="1:42" x14ac:dyDescent="0.2">
      <c r="A88" s="243">
        <f t="shared" si="7"/>
        <v>76</v>
      </c>
      <c r="C88" s="252" t="s">
        <v>54</v>
      </c>
      <c r="L88" s="524"/>
      <c r="M88" s="524"/>
      <c r="R88" s="524"/>
      <c r="S88" s="524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</row>
    <row r="89" spans="1:42" x14ac:dyDescent="0.2">
      <c r="A89" s="243">
        <f t="shared" si="7"/>
        <v>77</v>
      </c>
      <c r="B89" s="243" t="s">
        <v>59</v>
      </c>
      <c r="C89" s="267" t="s">
        <v>33</v>
      </c>
      <c r="D89" s="270">
        <f>+'Exhibit No.__(BDJ-PV RD)'!D15</f>
        <v>358.11</v>
      </c>
      <c r="E89" s="270">
        <f>+'Exhibit No.__(BDJ-PV RD)'!G15</f>
        <v>358.11</v>
      </c>
      <c r="F89" s="279">
        <v>6086.1696385856967</v>
      </c>
      <c r="G89" s="280">
        <f>+$D89*F89</f>
        <v>2179518.2092739241</v>
      </c>
      <c r="I89" s="279">
        <v>6136.0693760082077</v>
      </c>
      <c r="J89" s="280">
        <f>+$D89*I89</f>
        <v>2197387.8042422994</v>
      </c>
      <c r="K89" s="280">
        <f>+$E89*I89</f>
        <v>2197387.8042422994</v>
      </c>
      <c r="L89" s="524"/>
      <c r="M89" s="524"/>
      <c r="O89" s="279">
        <v>6164.1310308628408</v>
      </c>
      <c r="P89" s="280">
        <f>+$D89*O89</f>
        <v>2207436.9634622922</v>
      </c>
      <c r="Q89" s="280">
        <f>+$E89*O89</f>
        <v>2207436.9634622922</v>
      </c>
      <c r="R89" s="524"/>
      <c r="S89" s="524"/>
      <c r="U89" s="256"/>
      <c r="V89" s="257"/>
      <c r="W89" s="257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</row>
    <row r="90" spans="1:42" x14ac:dyDescent="0.2">
      <c r="A90" s="243">
        <f t="shared" si="7"/>
        <v>78</v>
      </c>
      <c r="B90" s="243" t="str">
        <f t="shared" ref="B90:B100" si="8">+B89</f>
        <v>10, 31</v>
      </c>
      <c r="C90" s="272" t="s">
        <v>75</v>
      </c>
      <c r="F90" s="279"/>
      <c r="G90" s="280"/>
      <c r="I90" s="279"/>
      <c r="J90" s="280"/>
      <c r="K90" s="280"/>
      <c r="L90" s="524"/>
      <c r="M90" s="524"/>
      <c r="O90" s="279"/>
      <c r="P90" s="280"/>
      <c r="Q90" s="280"/>
      <c r="R90" s="524"/>
      <c r="S90" s="524"/>
      <c r="U90" s="256"/>
      <c r="V90" s="257"/>
      <c r="W90" s="257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</row>
    <row r="91" spans="1:42" x14ac:dyDescent="0.2">
      <c r="A91" s="243">
        <f t="shared" si="7"/>
        <v>79</v>
      </c>
      <c r="B91" s="243" t="str">
        <f t="shared" si="8"/>
        <v>10, 31</v>
      </c>
      <c r="C91" s="269" t="s">
        <v>41</v>
      </c>
      <c r="D91" s="263">
        <f>+'Exhibit No.__(BDJ-PV RD)'!D17</f>
        <v>5.7328999999999998E-2</v>
      </c>
      <c r="E91" s="263">
        <f>+'Exhibit No.__(BDJ-PV RD)'!G17</f>
        <v>5.5718999999999998E-2</v>
      </c>
      <c r="F91" s="279">
        <v>1318295000</v>
      </c>
      <c r="G91" s="280">
        <f>+$D91*F91</f>
        <v>75576534.054999992</v>
      </c>
      <c r="I91" s="279">
        <v>1332008000</v>
      </c>
      <c r="J91" s="280">
        <f>+$D91*I91</f>
        <v>76362686.631999999</v>
      </c>
      <c r="K91" s="280">
        <f>+$E91*I91</f>
        <v>74218153.752000004</v>
      </c>
      <c r="L91" s="552">
        <f>ROUND(L99*($K$91/SUM($K$91,$K$95))/$I$91,6)</f>
        <v>6.0460000000000002E-3</v>
      </c>
      <c r="M91" s="525">
        <f>ROUND(M99*($K$91/SUM($K$91,$K$95))/$I$91,6)</f>
        <v>1.1299999999999999E-3</v>
      </c>
      <c r="O91" s="279">
        <v>1335448000</v>
      </c>
      <c r="P91" s="280">
        <f>+$D91*O91</f>
        <v>76559898.392000005</v>
      </c>
      <c r="Q91" s="280">
        <f>+$E91*O91</f>
        <v>74409827.112000003</v>
      </c>
      <c r="R91" s="552">
        <f>ROUND(R99*($K$91/SUM($K$91,$K$95))/$O$91,6)</f>
        <v>5.202E-3</v>
      </c>
      <c r="S91" s="525">
        <f>ROUND(S99*($K$91/SUM($K$91,$K$95))/$O$91,6)</f>
        <v>2.7889999999999998E-3</v>
      </c>
      <c r="U91" s="256"/>
      <c r="V91" s="257"/>
      <c r="W91" s="257"/>
      <c r="X91" s="264"/>
      <c r="Y91" s="264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</row>
    <row r="92" spans="1:42" x14ac:dyDescent="0.2">
      <c r="A92" s="243">
        <f t="shared" si="7"/>
        <v>80</v>
      </c>
      <c r="B92" s="243" t="str">
        <f t="shared" si="8"/>
        <v>10, 31</v>
      </c>
      <c r="C92" s="267" t="s">
        <v>35</v>
      </c>
      <c r="F92" s="279"/>
      <c r="I92" s="279"/>
      <c r="L92" s="555"/>
      <c r="M92" s="524"/>
      <c r="O92" s="279"/>
      <c r="R92" s="555"/>
      <c r="S92" s="524"/>
      <c r="U92" s="256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</row>
    <row r="93" spans="1:42" x14ac:dyDescent="0.2">
      <c r="A93" s="243">
        <f t="shared" si="7"/>
        <v>81</v>
      </c>
      <c r="B93" s="243" t="str">
        <f t="shared" si="8"/>
        <v>10, 31</v>
      </c>
      <c r="C93" s="269" t="s">
        <v>90</v>
      </c>
      <c r="D93" s="270">
        <f>+'Exhibit No.__(BDJ-PV RD)'!D23</f>
        <v>11.94</v>
      </c>
      <c r="E93" s="270">
        <f>+'Exhibit No.__(BDJ-PV RD)'!G23</f>
        <v>11.94</v>
      </c>
      <c r="F93" s="279">
        <v>1615363.3833470757</v>
      </c>
      <c r="G93" s="280">
        <f>+$D93*F93</f>
        <v>19287438.797164083</v>
      </c>
      <c r="I93" s="279">
        <v>1611634.5729500088</v>
      </c>
      <c r="J93" s="280">
        <f>+$D93*I93</f>
        <v>19242916.801023103</v>
      </c>
      <c r="K93" s="280">
        <f>+$E93*I93</f>
        <v>19242916.801023103</v>
      </c>
      <c r="L93" s="555"/>
      <c r="M93" s="524"/>
      <c r="O93" s="279">
        <v>1602213.5251208919</v>
      </c>
      <c r="P93" s="280">
        <f>+$D93*O93</f>
        <v>19130429.489943448</v>
      </c>
      <c r="Q93" s="280">
        <f>+$E93*O93</f>
        <v>19130429.489943448</v>
      </c>
      <c r="R93" s="555"/>
      <c r="S93" s="524"/>
      <c r="U93" s="256"/>
      <c r="V93" s="257"/>
      <c r="W93" s="257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</row>
    <row r="94" spans="1:42" x14ac:dyDescent="0.2">
      <c r="A94" s="243">
        <f t="shared" si="7"/>
        <v>82</v>
      </c>
      <c r="B94" s="243" t="str">
        <f t="shared" si="8"/>
        <v>10, 31</v>
      </c>
      <c r="C94" s="269" t="s">
        <v>91</v>
      </c>
      <c r="D94" s="270">
        <f>+'Exhibit No.__(BDJ-PV RD)'!D24</f>
        <v>7.96</v>
      </c>
      <c r="E94" s="270">
        <f>+'Exhibit No.__(BDJ-PV RD)'!G24</f>
        <v>7.96</v>
      </c>
      <c r="F94" s="279">
        <v>1688882.1519224746</v>
      </c>
      <c r="G94" s="280">
        <f>+$D94*F94</f>
        <v>13443501.929302897</v>
      </c>
      <c r="I94" s="279">
        <v>1680397.6414039268</v>
      </c>
      <c r="J94" s="280">
        <f>+$D94*I94</f>
        <v>13375965.225575257</v>
      </c>
      <c r="K94" s="280">
        <f>+$E94*I94</f>
        <v>13375965.225575257</v>
      </c>
      <c r="L94" s="555"/>
      <c r="M94" s="524"/>
      <c r="O94" s="279">
        <v>1671360.9363106801</v>
      </c>
      <c r="P94" s="280">
        <f>+$D94*O94</f>
        <v>13304033.053033013</v>
      </c>
      <c r="Q94" s="280">
        <f>+$E94*O94</f>
        <v>13304033.053033013</v>
      </c>
      <c r="R94" s="555"/>
      <c r="S94" s="524"/>
      <c r="U94" s="256"/>
      <c r="V94" s="257"/>
      <c r="W94" s="257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</row>
    <row r="95" spans="1:42" x14ac:dyDescent="0.2">
      <c r="A95" s="243">
        <f t="shared" si="7"/>
        <v>83</v>
      </c>
      <c r="B95" s="243" t="str">
        <f t="shared" si="8"/>
        <v>10, 31</v>
      </c>
      <c r="C95" s="271" t="s">
        <v>26</v>
      </c>
      <c r="D95" s="270"/>
      <c r="E95" s="270"/>
      <c r="F95" s="392">
        <f>SUM(F93:F94)</f>
        <v>3304245.53526955</v>
      </c>
      <c r="G95" s="393">
        <f>SUM(G93:G94)</f>
        <v>32730940.72646698</v>
      </c>
      <c r="I95" s="392">
        <f>SUM(I93:I94)</f>
        <v>3292032.2143539358</v>
      </c>
      <c r="J95" s="393">
        <f>SUM(J93:J94)</f>
        <v>32618882.02659836</v>
      </c>
      <c r="K95" s="393">
        <f>SUM(K93:K94)</f>
        <v>32618882.02659836</v>
      </c>
      <c r="L95" s="556">
        <f>ROUND(L99*($K$95/SUM($K$91,$K$95))/$I$95,2)</f>
        <v>1.08</v>
      </c>
      <c r="M95" s="526">
        <f>ROUND(M99*($K$95/SUM($K$91,$K$95))/$I$95,2)</f>
        <v>0.2</v>
      </c>
      <c r="O95" s="392">
        <f>SUM(O93:O94)</f>
        <v>3273574.4614315722</v>
      </c>
      <c r="P95" s="393">
        <f>SUM(P93:P94)</f>
        <v>32434462.542976461</v>
      </c>
      <c r="Q95" s="393">
        <f>SUM(Q93:Q94)</f>
        <v>32434462.542976461</v>
      </c>
      <c r="R95" s="556">
        <f>ROUND(R99*($K$95/SUM($K$91,$K$95))/$O$95,2)</f>
        <v>0.93</v>
      </c>
      <c r="S95" s="526">
        <f>ROUND(S99*($K$95/SUM($K$91,$K$95))/$O$95,2)</f>
        <v>0.5</v>
      </c>
      <c r="U95" s="260"/>
      <c r="V95" s="261"/>
      <c r="W95" s="261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</row>
    <row r="96" spans="1:42" x14ac:dyDescent="0.2">
      <c r="A96" s="243">
        <f t="shared" si="7"/>
        <v>84</v>
      </c>
      <c r="B96" s="243" t="str">
        <f t="shared" si="8"/>
        <v>10, 31</v>
      </c>
      <c r="C96" s="271"/>
      <c r="D96" s="270"/>
      <c r="E96" s="270"/>
      <c r="F96" s="279"/>
      <c r="I96" s="279"/>
      <c r="L96" s="555"/>
      <c r="M96" s="524"/>
      <c r="O96" s="279"/>
      <c r="R96" s="555"/>
      <c r="S96" s="524"/>
      <c r="U96" s="256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</row>
    <row r="97" spans="1:42" x14ac:dyDescent="0.2">
      <c r="A97" s="243">
        <f t="shared" si="7"/>
        <v>85</v>
      </c>
      <c r="B97" s="243" t="str">
        <f t="shared" si="8"/>
        <v>10, 31</v>
      </c>
      <c r="C97" s="267" t="s">
        <v>86</v>
      </c>
      <c r="D97" s="273">
        <f>+'Exhibit No.__(BDJ-PV RD)'!D27</f>
        <v>1.1199999999999999E-3</v>
      </c>
      <c r="E97" s="273">
        <f>+'Exhibit No.__(BDJ-PV RD)'!G27</f>
        <v>1.1199999999999999E-3</v>
      </c>
      <c r="F97" s="279">
        <v>664361870.91667593</v>
      </c>
      <c r="G97" s="280">
        <f>+$D97*F97</f>
        <v>744085.29542667698</v>
      </c>
      <c r="I97" s="279">
        <v>671039368.69977927</v>
      </c>
      <c r="J97" s="280">
        <f>+$D97*I97</f>
        <v>751564.09294375277</v>
      </c>
      <c r="K97" s="280">
        <f>+$E97*I97</f>
        <v>751564.09294375277</v>
      </c>
      <c r="L97" s="524"/>
      <c r="M97" s="524"/>
      <c r="O97" s="279">
        <v>672507031.39690697</v>
      </c>
      <c r="P97" s="280">
        <f>+$D97*O97</f>
        <v>753207.87516453571</v>
      </c>
      <c r="Q97" s="280">
        <f>+$E97*O97</f>
        <v>753207.87516453571</v>
      </c>
      <c r="R97" s="524"/>
      <c r="S97" s="524"/>
      <c r="U97" s="256"/>
      <c r="V97" s="257"/>
      <c r="W97" s="257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</row>
    <row r="98" spans="1:42" ht="12" thickBot="1" x14ac:dyDescent="0.25">
      <c r="A98" s="243">
        <f t="shared" si="7"/>
        <v>86</v>
      </c>
      <c r="B98" s="243" t="str">
        <f t="shared" si="8"/>
        <v>10, 31</v>
      </c>
      <c r="C98" s="258" t="s">
        <v>409</v>
      </c>
      <c r="D98" s="273"/>
      <c r="E98" s="273"/>
      <c r="F98" s="279"/>
      <c r="G98" s="394">
        <f>SUM(G97,G95,G91,G89)</f>
        <v>111231078.28616758</v>
      </c>
      <c r="I98" s="279"/>
      <c r="J98" s="394">
        <f>SUM(J97,J95,J91,J89)</f>
        <v>111930520.55578442</v>
      </c>
      <c r="K98" s="394">
        <f>SUM(K97,K95,K91,K89)</f>
        <v>109785987.67578442</v>
      </c>
      <c r="L98" s="553">
        <f>+L91*I91+I95*L95</f>
        <v>11608715.159502251</v>
      </c>
      <c r="M98" s="553">
        <f>+M91*I91+I95*M95</f>
        <v>2163575.4828707869</v>
      </c>
      <c r="O98" s="279"/>
      <c r="P98" s="394">
        <f>SUM(P97,P95,P91,P89)</f>
        <v>111955005.77360329</v>
      </c>
      <c r="Q98" s="394">
        <f>SUM(Q97,Q95,Q91,Q89)</f>
        <v>109804934.49360329</v>
      </c>
      <c r="R98" s="553">
        <f>+R91*O91+O95*R95</f>
        <v>9991424.7451313622</v>
      </c>
      <c r="S98" s="553">
        <f>+S91*O91+O95*S95</f>
        <v>5361351.7027157862</v>
      </c>
      <c r="U98" s="256"/>
      <c r="V98" s="265"/>
      <c r="W98" s="265"/>
      <c r="X98" s="265"/>
      <c r="Y98" s="265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</row>
    <row r="99" spans="1:42" ht="12" thickTop="1" x14ac:dyDescent="0.2">
      <c r="A99" s="243">
        <f t="shared" si="7"/>
        <v>87</v>
      </c>
      <c r="B99" s="243" t="str">
        <f t="shared" si="8"/>
        <v>10, 31</v>
      </c>
      <c r="C99" s="274" t="s">
        <v>379</v>
      </c>
      <c r="L99" s="554">
        <f>+'Exhibit No.__(BDJ-Rate Spread)'!S17*1000</f>
        <v>11592240.309164792</v>
      </c>
      <c r="M99" s="554">
        <f>+'Exhibit No.__(BDJ-Rate Spread)'!W17*1000</f>
        <v>2167012.14755227</v>
      </c>
      <c r="R99" s="554">
        <f>+'Exhibit No.__(BDJ-Rate Spread)'!T17*1000</f>
        <v>10000038.94667585</v>
      </c>
      <c r="S99" s="554">
        <f>+'Exhibit No.__(BDJ-Rate Spread)'!X17*1000</f>
        <v>5361372.3403922664</v>
      </c>
      <c r="X99" s="257"/>
      <c r="Y99" s="257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</row>
    <row r="100" spans="1:42" ht="12" thickBot="1" x14ac:dyDescent="0.25">
      <c r="A100" s="243">
        <f t="shared" si="7"/>
        <v>88</v>
      </c>
      <c r="B100" s="243" t="str">
        <f t="shared" si="8"/>
        <v>10, 31</v>
      </c>
      <c r="C100" s="275" t="s">
        <v>382</v>
      </c>
      <c r="G100" s="280"/>
      <c r="J100" s="280"/>
      <c r="K100" s="280"/>
      <c r="L100" s="554"/>
      <c r="M100" s="553">
        <f>SUM(K98,L98:M98)</f>
        <v>123558278.31815746</v>
      </c>
      <c r="P100" s="280"/>
      <c r="Q100" s="280"/>
      <c r="R100" s="554"/>
      <c r="S100" s="553">
        <f>SUM(Q98,R98:S98)</f>
        <v>125157710.94145043</v>
      </c>
      <c r="V100" s="257"/>
      <c r="W100" s="257"/>
      <c r="X100" s="257"/>
      <c r="Y100" s="265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</row>
    <row r="101" spans="1:42" ht="12" thickTop="1" x14ac:dyDescent="0.2">
      <c r="A101" s="243">
        <f t="shared" si="7"/>
        <v>89</v>
      </c>
      <c r="L101" s="524"/>
      <c r="M101" s="524"/>
      <c r="R101" s="524"/>
      <c r="S101" s="524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</row>
    <row r="102" spans="1:42" x14ac:dyDescent="0.2">
      <c r="A102" s="243">
        <f t="shared" si="7"/>
        <v>90</v>
      </c>
      <c r="B102" s="243">
        <v>35</v>
      </c>
      <c r="C102" s="267" t="s">
        <v>33</v>
      </c>
      <c r="D102" s="270">
        <f>+'Exhibit No.__(BDJ-PV RD)'!D44</f>
        <v>358.11</v>
      </c>
      <c r="E102" s="270">
        <f>+'Exhibit No.__(BDJ-PV RD)'!G44</f>
        <v>358.11</v>
      </c>
      <c r="F102" s="279">
        <v>24</v>
      </c>
      <c r="G102" s="280">
        <f>+$D102*F102</f>
        <v>8594.64</v>
      </c>
      <c r="I102" s="279">
        <v>24</v>
      </c>
      <c r="J102" s="280">
        <f>+$D102*I102</f>
        <v>8594.64</v>
      </c>
      <c r="K102" s="280">
        <f>+$E102*I102</f>
        <v>8594.64</v>
      </c>
      <c r="L102" s="524"/>
      <c r="M102" s="524"/>
      <c r="O102" s="279">
        <v>24</v>
      </c>
      <c r="P102" s="280">
        <f>+$D102*O102</f>
        <v>8594.64</v>
      </c>
      <c r="Q102" s="280">
        <f>+$E102*O102</f>
        <v>8594.64</v>
      </c>
      <c r="R102" s="524"/>
      <c r="S102" s="524"/>
      <c r="U102" s="256"/>
      <c r="V102" s="257"/>
      <c r="W102" s="257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</row>
    <row r="103" spans="1:42" x14ac:dyDescent="0.2">
      <c r="A103" s="243">
        <f t="shared" si="7"/>
        <v>91</v>
      </c>
      <c r="B103" s="243">
        <f t="shared" ref="B103:B113" si="9">+B102</f>
        <v>35</v>
      </c>
      <c r="C103" s="272" t="s">
        <v>75</v>
      </c>
      <c r="F103" s="279"/>
      <c r="I103" s="279"/>
      <c r="L103" s="524"/>
      <c r="M103" s="524"/>
      <c r="O103" s="279"/>
      <c r="R103" s="524"/>
      <c r="S103" s="524"/>
      <c r="U103" s="256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</row>
    <row r="104" spans="1:42" x14ac:dyDescent="0.2">
      <c r="A104" s="243">
        <f t="shared" si="7"/>
        <v>92</v>
      </c>
      <c r="B104" s="243">
        <f t="shared" si="9"/>
        <v>35</v>
      </c>
      <c r="C104" s="269" t="s">
        <v>41</v>
      </c>
      <c r="D104" s="264">
        <f>+'Exhibit No.__(BDJ-PV RD)'!D46</f>
        <v>5.3178000000000003E-2</v>
      </c>
      <c r="E104" s="264">
        <f>+'Exhibit No.__(BDJ-PV RD)'!G46</f>
        <v>5.3178000000000003E-2</v>
      </c>
      <c r="F104" s="279">
        <v>4565000</v>
      </c>
      <c r="G104" s="280">
        <f>+$D104*F104</f>
        <v>242757.57</v>
      </c>
      <c r="I104" s="279">
        <v>4663000</v>
      </c>
      <c r="J104" s="280">
        <f>+$D104*I104</f>
        <v>247969.01400000002</v>
      </c>
      <c r="K104" s="280">
        <f>+$E104*I104</f>
        <v>247969.01400000002</v>
      </c>
      <c r="L104" s="552">
        <f>ROUND(L112*($K$104/SUM($K$104,$K$108))/$I$104,6)</f>
        <v>1.0874E-2</v>
      </c>
      <c r="M104" s="525">
        <f>ROUND(M112*($K$104/SUM($K$104,$K$108))/$I$104,6)</f>
        <v>2.0330000000000001E-3</v>
      </c>
      <c r="O104" s="279">
        <v>4695000</v>
      </c>
      <c r="P104" s="280">
        <f>+$D104*O104</f>
        <v>249670.71000000002</v>
      </c>
      <c r="Q104" s="280">
        <f>+$E104*O104</f>
        <v>249670.71000000002</v>
      </c>
      <c r="R104" s="552">
        <f>ROUND(R112*($K$104/SUM($K$104,$K$108))/$O$104,6)</f>
        <v>9.3170000000000006E-3</v>
      </c>
      <c r="S104" s="525">
        <f>ROUND(S112*($K$104/SUM($K$104,$K$108))/$O$104,6)</f>
        <v>4.9950000000000003E-3</v>
      </c>
      <c r="U104" s="256"/>
      <c r="V104" s="257"/>
      <c r="W104" s="257"/>
      <c r="X104" s="264"/>
      <c r="Y104" s="264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</row>
    <row r="105" spans="1:42" x14ac:dyDescent="0.2">
      <c r="A105" s="243">
        <f t="shared" si="7"/>
        <v>93</v>
      </c>
      <c r="B105" s="243">
        <f t="shared" si="9"/>
        <v>35</v>
      </c>
      <c r="C105" s="267" t="s">
        <v>35</v>
      </c>
      <c r="F105" s="279"/>
      <c r="I105" s="279"/>
      <c r="L105" s="555"/>
      <c r="M105" s="524"/>
      <c r="O105" s="279"/>
      <c r="R105" s="555"/>
      <c r="S105" s="524"/>
      <c r="U105" s="256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</row>
    <row r="106" spans="1:42" x14ac:dyDescent="0.2">
      <c r="A106" s="243">
        <f t="shared" si="7"/>
        <v>94</v>
      </c>
      <c r="B106" s="243">
        <f t="shared" si="9"/>
        <v>35</v>
      </c>
      <c r="C106" s="269" t="s">
        <v>90</v>
      </c>
      <c r="D106" s="270">
        <f>+'Exhibit No.__(BDJ-PV RD)'!D52</f>
        <v>4.92</v>
      </c>
      <c r="E106" s="270">
        <f>+'Exhibit No.__(BDJ-PV RD)'!G52</f>
        <v>4.92</v>
      </c>
      <c r="F106" s="279">
        <v>2126.4206412676504</v>
      </c>
      <c r="G106" s="280">
        <f>+$D106*F106</f>
        <v>10461.98955503684</v>
      </c>
      <c r="I106" s="279">
        <v>2180.7576327989195</v>
      </c>
      <c r="J106" s="280">
        <f>+$D106*I106</f>
        <v>10729.327553370684</v>
      </c>
      <c r="K106" s="280">
        <f>+$E106*I106</f>
        <v>10729.327553370684</v>
      </c>
      <c r="L106" s="555"/>
      <c r="M106" s="524"/>
      <c r="O106" s="279">
        <v>2205.2682848289551</v>
      </c>
      <c r="P106" s="280">
        <f>+$D106*O106</f>
        <v>10849.919961358459</v>
      </c>
      <c r="Q106" s="280">
        <f>+$E106*O106</f>
        <v>10849.919961358459</v>
      </c>
      <c r="R106" s="555"/>
      <c r="S106" s="524"/>
      <c r="U106" s="256"/>
      <c r="V106" s="257"/>
      <c r="W106" s="257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</row>
    <row r="107" spans="1:42" x14ac:dyDescent="0.2">
      <c r="A107" s="243">
        <f t="shared" si="7"/>
        <v>95</v>
      </c>
      <c r="B107" s="243">
        <f t="shared" si="9"/>
        <v>35</v>
      </c>
      <c r="C107" s="269" t="s">
        <v>91</v>
      </c>
      <c r="D107" s="270">
        <f>+'Exhibit No.__(BDJ-PV RD)'!D53</f>
        <v>3.28</v>
      </c>
      <c r="E107" s="270">
        <f>+'Exhibit No.__(BDJ-PV RD)'!G53</f>
        <v>3.28</v>
      </c>
      <c r="F107" s="279">
        <v>6085.6399488507341</v>
      </c>
      <c r="G107" s="280">
        <f>+$D107*F107</f>
        <v>19960.899032230405</v>
      </c>
      <c r="I107" s="279">
        <v>6315.6121389677801</v>
      </c>
      <c r="J107" s="280">
        <f>+$D107*I107</f>
        <v>20715.207815814316</v>
      </c>
      <c r="K107" s="280">
        <f>+$E107*I107</f>
        <v>20715.207815814316</v>
      </c>
      <c r="L107" s="555"/>
      <c r="M107" s="524"/>
      <c r="O107" s="279">
        <v>6385.8091379541329</v>
      </c>
      <c r="P107" s="280">
        <f>+$D107*O107</f>
        <v>20945.453972489555</v>
      </c>
      <c r="Q107" s="280">
        <f>+$E107*O107</f>
        <v>20945.453972489555</v>
      </c>
      <c r="R107" s="555"/>
      <c r="S107" s="524"/>
      <c r="U107" s="256"/>
      <c r="V107" s="257"/>
      <c r="W107" s="257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</row>
    <row r="108" spans="1:42" x14ac:dyDescent="0.2">
      <c r="A108" s="243">
        <f t="shared" si="7"/>
        <v>96</v>
      </c>
      <c r="B108" s="243">
        <f t="shared" si="9"/>
        <v>35</v>
      </c>
      <c r="C108" s="271" t="s">
        <v>26</v>
      </c>
      <c r="F108" s="392">
        <f>SUM(F106:F107)</f>
        <v>8212.0605901183844</v>
      </c>
      <c r="G108" s="393">
        <f>SUM(G106:G107)</f>
        <v>30422.888587267247</v>
      </c>
      <c r="I108" s="392">
        <f>SUM(I106:I107)</f>
        <v>8496.3697717667001</v>
      </c>
      <c r="J108" s="393">
        <f>SUM(J106:J107)</f>
        <v>31444.535369185</v>
      </c>
      <c r="K108" s="393">
        <f>SUM(K106:K107)</f>
        <v>31444.535369185</v>
      </c>
      <c r="L108" s="556">
        <f>ROUND(L112*($K$108/SUM($K$104,$K$108))/$I$108,2)</f>
        <v>0.76</v>
      </c>
      <c r="M108" s="526">
        <f>ROUND(M112*($K$108/SUM($K$104,$K$108))/$I$108,2)</f>
        <v>0.14000000000000001</v>
      </c>
      <c r="O108" s="392">
        <f>SUM(O106:O107)</f>
        <v>8591.077422783088</v>
      </c>
      <c r="P108" s="393">
        <f>SUM(P106:P107)</f>
        <v>31795.373933848015</v>
      </c>
      <c r="Q108" s="393">
        <f>SUM(Q106:Q107)</f>
        <v>31795.373933848015</v>
      </c>
      <c r="R108" s="556">
        <f>ROUND(R112*($K$108/SUM($K$104,$K$108))/$O$108,2)</f>
        <v>0.65</v>
      </c>
      <c r="S108" s="526">
        <f>ROUND(S112*($K$108/SUM($K$104,$K$108))/$O$108,2)</f>
        <v>0.35</v>
      </c>
      <c r="U108" s="260"/>
      <c r="V108" s="261"/>
      <c r="W108" s="261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</row>
    <row r="109" spans="1:42" x14ac:dyDescent="0.2">
      <c r="A109" s="243">
        <f t="shared" si="7"/>
        <v>97</v>
      </c>
      <c r="B109" s="243">
        <f t="shared" si="9"/>
        <v>35</v>
      </c>
      <c r="C109" s="271"/>
      <c r="F109" s="279"/>
      <c r="I109" s="279"/>
      <c r="L109" s="555"/>
      <c r="M109" s="524"/>
      <c r="O109" s="279"/>
      <c r="R109" s="555"/>
      <c r="S109" s="524"/>
      <c r="U109" s="256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</row>
    <row r="110" spans="1:42" x14ac:dyDescent="0.2">
      <c r="A110" s="243">
        <f t="shared" ref="A110:A141" si="10">+A109+1</f>
        <v>98</v>
      </c>
      <c r="B110" s="243">
        <f t="shared" si="9"/>
        <v>35</v>
      </c>
      <c r="C110" s="267" t="s">
        <v>86</v>
      </c>
      <c r="D110" s="273">
        <f>+'Exhibit No.__(BDJ-PV RD)'!D56</f>
        <v>1.1800000000000001E-3</v>
      </c>
      <c r="E110" s="273">
        <f>+'Exhibit No.__(BDJ-PV RD)'!G56</f>
        <v>1.1800000000000001E-3</v>
      </c>
      <c r="F110" s="279">
        <v>2493433.7024926301</v>
      </c>
      <c r="G110" s="280">
        <f>+$D110*F110</f>
        <v>2942.2517689413035</v>
      </c>
      <c r="I110" s="279">
        <v>2547271.6141468417</v>
      </c>
      <c r="J110" s="280">
        <f>+$D110*I110</f>
        <v>3005.7805046932735</v>
      </c>
      <c r="K110" s="280">
        <f>+$E110*I110</f>
        <v>3005.7805046932735</v>
      </c>
      <c r="L110" s="524"/>
      <c r="M110" s="524"/>
      <c r="O110" s="279">
        <v>2564841.52760123</v>
      </c>
      <c r="P110" s="280">
        <f>+$D110*O110</f>
        <v>3026.5130025694516</v>
      </c>
      <c r="Q110" s="280">
        <f>+$E110*O110</f>
        <v>3026.5130025694516</v>
      </c>
      <c r="R110" s="524"/>
      <c r="S110" s="524"/>
      <c r="U110" s="256"/>
      <c r="V110" s="257"/>
      <c r="W110" s="257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</row>
    <row r="111" spans="1:42" ht="12" thickBot="1" x14ac:dyDescent="0.25">
      <c r="A111" s="243">
        <f t="shared" si="10"/>
        <v>99</v>
      </c>
      <c r="B111" s="243">
        <f t="shared" si="9"/>
        <v>35</v>
      </c>
      <c r="C111" s="258" t="s">
        <v>409</v>
      </c>
      <c r="D111" s="273"/>
      <c r="E111" s="273"/>
      <c r="F111" s="279"/>
      <c r="G111" s="394">
        <f>SUM(G110,G108,G104,G102)</f>
        <v>284717.35035620857</v>
      </c>
      <c r="I111" s="279"/>
      <c r="J111" s="394">
        <f>SUM(J110,J108,J104,J102)</f>
        <v>291013.96987387829</v>
      </c>
      <c r="K111" s="394">
        <f>SUM(K110,K108,K104,K102)</f>
        <v>291013.96987387829</v>
      </c>
      <c r="L111" s="553">
        <f>+L104*I104+I108*L108</f>
        <v>57162.703026542695</v>
      </c>
      <c r="M111" s="553">
        <f>+M104*I104+I108*M108</f>
        <v>10669.370768047338</v>
      </c>
      <c r="O111" s="279"/>
      <c r="P111" s="394">
        <f>SUM(P110,P108,P104,P102)</f>
        <v>293087.23693641752</v>
      </c>
      <c r="Q111" s="394">
        <f>SUM(Q110,Q108,Q104,Q102)</f>
        <v>293087.23693641752</v>
      </c>
      <c r="R111" s="553">
        <f>+R104*O104+O108*R108</f>
        <v>49327.515324809006</v>
      </c>
      <c r="S111" s="553">
        <f>+S104*O104+O108*S108</f>
        <v>26458.402097974082</v>
      </c>
      <c r="U111" s="256"/>
      <c r="V111" s="265"/>
      <c r="W111" s="265"/>
      <c r="X111" s="265"/>
      <c r="Y111" s="265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</row>
    <row r="112" spans="1:42" ht="12" thickTop="1" x14ac:dyDescent="0.2">
      <c r="A112" s="243">
        <f t="shared" si="10"/>
        <v>100</v>
      </c>
      <c r="B112" s="243">
        <f t="shared" si="9"/>
        <v>35</v>
      </c>
      <c r="C112" s="274" t="s">
        <v>379</v>
      </c>
      <c r="L112" s="554">
        <f>+'Exhibit No.__(BDJ-Rate Spread)'!S18*1000</f>
        <v>57137.257365926307</v>
      </c>
      <c r="M112" s="554">
        <f>+'Exhibit No.__(BDJ-Rate Spread)'!W18*1000</f>
        <v>10681.035545121787</v>
      </c>
      <c r="R112" s="554">
        <f>+'Exhibit No.__(BDJ-Rate Spread)'!T18*1000</f>
        <v>49289.419795220892</v>
      </c>
      <c r="S112" s="554">
        <f>+'Exhibit No.__(BDJ-Rate Spread)'!X18*1000</f>
        <v>26425.790276739237</v>
      </c>
      <c r="X112" s="257"/>
      <c r="Y112" s="257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</row>
    <row r="113" spans="1:42" ht="12" thickBot="1" x14ac:dyDescent="0.25">
      <c r="A113" s="243">
        <f t="shared" si="10"/>
        <v>101</v>
      </c>
      <c r="B113" s="243">
        <f t="shared" si="9"/>
        <v>35</v>
      </c>
      <c r="C113" s="275" t="s">
        <v>383</v>
      </c>
      <c r="G113" s="280"/>
      <c r="J113" s="280"/>
      <c r="K113" s="280"/>
      <c r="L113" s="554"/>
      <c r="M113" s="553">
        <f>SUM(K111,L111:M111)</f>
        <v>358846.04366846831</v>
      </c>
      <c r="P113" s="280"/>
      <c r="Q113" s="280"/>
      <c r="R113" s="554"/>
      <c r="S113" s="553">
        <f>SUM(Q111,R111:S111)</f>
        <v>368873.15435920062</v>
      </c>
      <c r="V113" s="257"/>
      <c r="W113" s="257"/>
      <c r="X113" s="257"/>
      <c r="Y113" s="265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</row>
    <row r="114" spans="1:42" ht="12" thickTop="1" x14ac:dyDescent="0.2">
      <c r="A114" s="243">
        <f t="shared" si="10"/>
        <v>102</v>
      </c>
      <c r="L114" s="524"/>
      <c r="M114" s="524"/>
      <c r="R114" s="524"/>
      <c r="S114" s="524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</row>
    <row r="115" spans="1:42" x14ac:dyDescent="0.2">
      <c r="A115" s="243">
        <f t="shared" si="10"/>
        <v>103</v>
      </c>
      <c r="B115" s="243">
        <v>43</v>
      </c>
      <c r="C115" s="267" t="s">
        <v>33</v>
      </c>
      <c r="D115" s="270">
        <f>+'Exhibit No.__(BDJ-PV RD)'!D72</f>
        <v>358.11</v>
      </c>
      <c r="E115" s="270">
        <f>+'Exhibit No.__(BDJ-PV RD)'!G72</f>
        <v>358.11</v>
      </c>
      <c r="F115" s="279">
        <v>1796.2428978453806</v>
      </c>
      <c r="G115" s="280">
        <f>+$D115*F115</f>
        <v>643252.54414740927</v>
      </c>
      <c r="I115" s="279">
        <v>1815.6033001416461</v>
      </c>
      <c r="J115" s="280">
        <f>+$D115*I115</f>
        <v>650185.69781372487</v>
      </c>
      <c r="K115" s="280">
        <f>+$E115*I115</f>
        <v>650185.69781372487</v>
      </c>
      <c r="L115" s="524"/>
      <c r="M115" s="524"/>
      <c r="O115" s="279">
        <v>1832.640204697733</v>
      </c>
      <c r="P115" s="280">
        <f>+$D115*O115</f>
        <v>656286.78370430518</v>
      </c>
      <c r="Q115" s="280">
        <f>+$E115*O115</f>
        <v>656286.78370430518</v>
      </c>
      <c r="R115" s="524"/>
      <c r="S115" s="524"/>
      <c r="U115" s="256"/>
      <c r="V115" s="257"/>
      <c r="W115" s="257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</row>
    <row r="116" spans="1:42" x14ac:dyDescent="0.2">
      <c r="A116" s="243">
        <f t="shared" si="10"/>
        <v>104</v>
      </c>
      <c r="B116" s="243">
        <f t="shared" ref="B116:B124" si="11">+B115</f>
        <v>43</v>
      </c>
      <c r="C116" s="272" t="s">
        <v>75</v>
      </c>
      <c r="F116" s="279"/>
      <c r="I116" s="279"/>
      <c r="L116" s="524"/>
      <c r="M116" s="524"/>
      <c r="O116" s="279"/>
      <c r="R116" s="524"/>
      <c r="S116" s="524"/>
      <c r="U116" s="256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</row>
    <row r="117" spans="1:42" x14ac:dyDescent="0.2">
      <c r="A117" s="243">
        <f t="shared" si="10"/>
        <v>105</v>
      </c>
      <c r="B117" s="243">
        <f t="shared" si="11"/>
        <v>43</v>
      </c>
      <c r="C117" s="269" t="s">
        <v>41</v>
      </c>
      <c r="D117" s="264">
        <f>+'Exhibit No.__(BDJ-PV RD)'!D74</f>
        <v>5.9549999999999999E-2</v>
      </c>
      <c r="E117" s="264">
        <f>+'Exhibit No.__(BDJ-PV RD)'!G74</f>
        <v>5.7393E-2</v>
      </c>
      <c r="F117" s="279">
        <v>114881000</v>
      </c>
      <c r="G117" s="280">
        <f>+$D117*F117</f>
        <v>6841163.5499999998</v>
      </c>
      <c r="I117" s="279">
        <v>118190000</v>
      </c>
      <c r="J117" s="280">
        <f>+$D117*I117</f>
        <v>7038214.5</v>
      </c>
      <c r="K117" s="280">
        <f>+$E117*I117</f>
        <v>6783278.6699999999</v>
      </c>
      <c r="L117" s="552">
        <f>ROUND(L123*($K$117/SUM($K$117,$K$119))/$I$117,6)</f>
        <v>5.4590000000000003E-3</v>
      </c>
      <c r="M117" s="525">
        <f>ROUND(M123*($K$117/SUM($K$117,$K$119))/$I$117,6)</f>
        <v>1.0200000000000001E-3</v>
      </c>
      <c r="O117" s="279">
        <v>119782000</v>
      </c>
      <c r="P117" s="280">
        <f>+$D117*O117</f>
        <v>7133018.0999999996</v>
      </c>
      <c r="Q117" s="280">
        <f>+$E117*O117</f>
        <v>6874648.3260000004</v>
      </c>
      <c r="R117" s="552">
        <f>ROUND(R123*($K$117/SUM($K$117,$K$119))/$O$117,6)</f>
        <v>4.6470000000000001E-3</v>
      </c>
      <c r="S117" s="525">
        <f>ROUND(S123*($K$117/SUM($K$117,$K$119))/$O$117,6)</f>
        <v>2.4910000000000002E-3</v>
      </c>
      <c r="U117" s="256"/>
      <c r="V117" s="257"/>
      <c r="W117" s="257"/>
      <c r="X117" s="264"/>
      <c r="Y117" s="264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</row>
    <row r="118" spans="1:42" x14ac:dyDescent="0.2">
      <c r="A118" s="243">
        <f t="shared" si="10"/>
        <v>106</v>
      </c>
      <c r="B118" s="243">
        <f t="shared" si="11"/>
        <v>43</v>
      </c>
      <c r="C118" s="267" t="s">
        <v>35</v>
      </c>
      <c r="F118" s="279"/>
      <c r="I118" s="279"/>
      <c r="L118" s="555"/>
      <c r="M118" s="524"/>
      <c r="O118" s="279"/>
      <c r="R118" s="555"/>
      <c r="S118" s="524"/>
      <c r="U118" s="256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</row>
    <row r="119" spans="1:42" x14ac:dyDescent="0.2">
      <c r="A119" s="243">
        <f t="shared" si="10"/>
        <v>107</v>
      </c>
      <c r="B119" s="243">
        <f t="shared" si="11"/>
        <v>43</v>
      </c>
      <c r="C119" s="275" t="s">
        <v>384</v>
      </c>
      <c r="D119" s="270">
        <f>+'Exhibit No.__(BDJ-PV RD)'!D80</f>
        <v>5.01</v>
      </c>
      <c r="E119" s="270">
        <f>+'Exhibit No.__(BDJ-PV RD)'!G80</f>
        <v>5.01</v>
      </c>
      <c r="F119" s="279">
        <v>569907.38191925827</v>
      </c>
      <c r="G119" s="280">
        <f>+$D119*F119</f>
        <v>2855235.983415484</v>
      </c>
      <c r="I119" s="279">
        <v>593190.97908409662</v>
      </c>
      <c r="J119" s="280">
        <f>+$D119*I119</f>
        <v>2971886.8052113238</v>
      </c>
      <c r="K119" s="280">
        <f>+$E119*I119</f>
        <v>2971886.8052113238</v>
      </c>
      <c r="L119" s="556">
        <f>ROUND(L123*($K$119/SUM($K$117,$K$119))/$I$119,2)</f>
        <v>0.48</v>
      </c>
      <c r="M119" s="526">
        <f>ROUND(M123*($K$119/SUM($K$117,$K$119))/$I$119,2)</f>
        <v>0.09</v>
      </c>
      <c r="O119" s="279">
        <v>600868.62342584261</v>
      </c>
      <c r="P119" s="280">
        <f>+$D119*O119</f>
        <v>3010351.8033634713</v>
      </c>
      <c r="Q119" s="280">
        <f>+$E119*O119</f>
        <v>3010351.8033634713</v>
      </c>
      <c r="R119" s="556">
        <f>ROUND(R123*($K$119/SUM($K$117,$K$119))/$O$119,2)</f>
        <v>0.41</v>
      </c>
      <c r="S119" s="526">
        <f>ROUND(S123*($K$119/SUM($K$117,$K$119))/$O$119,2)</f>
        <v>0.22</v>
      </c>
      <c r="U119" s="256"/>
      <c r="V119" s="257"/>
      <c r="W119" s="257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</row>
    <row r="120" spans="1:42" x14ac:dyDescent="0.2">
      <c r="A120" s="243">
        <f t="shared" si="10"/>
        <v>108</v>
      </c>
      <c r="B120" s="243">
        <f t="shared" si="11"/>
        <v>43</v>
      </c>
      <c r="C120" s="275"/>
      <c r="D120" s="270"/>
      <c r="E120" s="270"/>
      <c r="F120" s="279"/>
      <c r="I120" s="279"/>
      <c r="L120" s="524"/>
      <c r="M120" s="524"/>
      <c r="O120" s="279"/>
      <c r="R120" s="524"/>
      <c r="S120" s="524"/>
      <c r="U120" s="256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</row>
    <row r="121" spans="1:42" x14ac:dyDescent="0.2">
      <c r="A121" s="243">
        <f t="shared" si="10"/>
        <v>109</v>
      </c>
      <c r="B121" s="243">
        <f t="shared" si="11"/>
        <v>43</v>
      </c>
      <c r="C121" s="267" t="s">
        <v>86</v>
      </c>
      <c r="D121" s="273">
        <f>+'Exhibit No.__(BDJ-PV RD)'!D85</f>
        <v>3.1700000000000001E-3</v>
      </c>
      <c r="E121" s="273">
        <f>+'Exhibit No.__(BDJ-PV RD)'!G85</f>
        <v>3.1700000000000001E-3</v>
      </c>
      <c r="F121" s="279">
        <v>44208447.555363372</v>
      </c>
      <c r="G121" s="280">
        <f>+$D121*F121</f>
        <v>140140.77875050189</v>
      </c>
      <c r="I121" s="279">
        <v>45423445.869114868</v>
      </c>
      <c r="J121" s="280">
        <f>+$D121*I121</f>
        <v>143992.32340509412</v>
      </c>
      <c r="K121" s="280">
        <f>+$E121*I121</f>
        <v>143992.32340509412</v>
      </c>
      <c r="L121" s="524"/>
      <c r="M121" s="524"/>
      <c r="O121" s="279">
        <v>45989643.29206147</v>
      </c>
      <c r="P121" s="280">
        <f>+$D121*O121</f>
        <v>145787.16923583485</v>
      </c>
      <c r="Q121" s="280">
        <f>+$E121*O121</f>
        <v>145787.16923583485</v>
      </c>
      <c r="R121" s="524"/>
      <c r="S121" s="524"/>
      <c r="U121" s="256"/>
      <c r="V121" s="257"/>
      <c r="W121" s="257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</row>
    <row r="122" spans="1:42" ht="12" thickBot="1" x14ac:dyDescent="0.25">
      <c r="A122" s="243">
        <f t="shared" si="10"/>
        <v>110</v>
      </c>
      <c r="B122" s="243">
        <f t="shared" si="11"/>
        <v>43</v>
      </c>
      <c r="C122" s="258" t="s">
        <v>409</v>
      </c>
      <c r="D122" s="273"/>
      <c r="E122" s="273"/>
      <c r="F122" s="279"/>
      <c r="G122" s="394">
        <f>SUM(G121,G119,G117,G115)</f>
        <v>10479792.856313396</v>
      </c>
      <c r="I122" s="279"/>
      <c r="J122" s="394">
        <f>SUM(J121,J119,J117,J115)</f>
        <v>10804279.326430144</v>
      </c>
      <c r="K122" s="394">
        <f>SUM(K121,K119,K117,K115)</f>
        <v>10549343.496430142</v>
      </c>
      <c r="L122" s="553">
        <f>L117*I117+L119*I119</f>
        <v>929930.87996036652</v>
      </c>
      <c r="M122" s="553">
        <f>M117*I117+M119*I119</f>
        <v>173940.98811756869</v>
      </c>
      <c r="O122" s="279"/>
      <c r="P122" s="394">
        <f>SUM(P121,P119,P117,P115)</f>
        <v>10945443.856303612</v>
      </c>
      <c r="Q122" s="394">
        <f>SUM(Q121,Q119,Q117,Q115)</f>
        <v>10687074.082303612</v>
      </c>
      <c r="R122" s="553">
        <f>R117*O117+R119*O119</f>
        <v>802983.08960459544</v>
      </c>
      <c r="S122" s="553">
        <f>S117*O117+S119*O119</f>
        <v>430568.05915368535</v>
      </c>
      <c r="U122" s="256"/>
      <c r="V122" s="265"/>
      <c r="W122" s="265"/>
      <c r="X122" s="265"/>
      <c r="Y122" s="265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</row>
    <row r="123" spans="1:42" ht="12" thickTop="1" x14ac:dyDescent="0.2">
      <c r="A123" s="243">
        <f t="shared" si="10"/>
        <v>111</v>
      </c>
      <c r="B123" s="243">
        <f t="shared" si="11"/>
        <v>43</v>
      </c>
      <c r="C123" s="274" t="s">
        <v>379</v>
      </c>
      <c r="D123" s="270"/>
      <c r="E123" s="270"/>
      <c r="F123" s="279"/>
      <c r="I123" s="279"/>
      <c r="L123" s="554">
        <f>+'Exhibit No.__(BDJ-Rate Spread)'!S19*1000</f>
        <v>927870.24641468772</v>
      </c>
      <c r="M123" s="554">
        <f>+'Exhibit No.__(BDJ-Rate Spread)'!W19*1000</f>
        <v>173452.76164981569</v>
      </c>
      <c r="O123" s="279"/>
      <c r="R123" s="554">
        <f>+'Exhibit No.__(BDJ-Rate Spread)'!T19*1000</f>
        <v>800426.69528450421</v>
      </c>
      <c r="S123" s="554">
        <f>+'Exhibit No.__(BDJ-Rate Spread)'!X19*1000</f>
        <v>429136.88311548484</v>
      </c>
      <c r="U123" s="256"/>
      <c r="X123" s="257"/>
      <c r="Y123" s="257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</row>
    <row r="124" spans="1:42" ht="12" thickBot="1" x14ac:dyDescent="0.25">
      <c r="A124" s="243">
        <f t="shared" si="10"/>
        <v>112</v>
      </c>
      <c r="B124" s="243">
        <f t="shared" si="11"/>
        <v>43</v>
      </c>
      <c r="C124" s="275" t="s">
        <v>385</v>
      </c>
      <c r="G124" s="280"/>
      <c r="J124" s="280"/>
      <c r="K124" s="280"/>
      <c r="L124" s="554"/>
      <c r="M124" s="553">
        <f>SUM(K122,L122:M122)</f>
        <v>11653215.364508078</v>
      </c>
      <c r="P124" s="280"/>
      <c r="Q124" s="280"/>
      <c r="R124" s="554"/>
      <c r="S124" s="553">
        <f>SUM(Q122,R122:S122)</f>
        <v>11920625.231061893</v>
      </c>
      <c r="V124" s="257"/>
      <c r="W124" s="257"/>
      <c r="X124" s="257"/>
      <c r="Y124" s="265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</row>
    <row r="125" spans="1:42" ht="12" thickTop="1" x14ac:dyDescent="0.2">
      <c r="A125" s="243">
        <f t="shared" si="10"/>
        <v>113</v>
      </c>
      <c r="L125" s="524"/>
      <c r="M125" s="524"/>
      <c r="R125" s="524"/>
      <c r="S125" s="524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</row>
    <row r="126" spans="1:42" x14ac:dyDescent="0.2">
      <c r="A126" s="243">
        <f t="shared" si="10"/>
        <v>114</v>
      </c>
      <c r="C126" s="252" t="s">
        <v>55</v>
      </c>
      <c r="L126" s="524"/>
      <c r="M126" s="524"/>
      <c r="R126" s="524"/>
      <c r="S126" s="524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</row>
    <row r="127" spans="1:42" x14ac:dyDescent="0.2">
      <c r="A127" s="243">
        <f t="shared" si="10"/>
        <v>115</v>
      </c>
      <c r="B127" s="243">
        <v>46</v>
      </c>
      <c r="C127" s="272" t="s">
        <v>75</v>
      </c>
      <c r="L127" s="524"/>
      <c r="M127" s="524"/>
      <c r="R127" s="524"/>
      <c r="S127" s="524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</row>
    <row r="128" spans="1:42" x14ac:dyDescent="0.2">
      <c r="A128" s="243">
        <f t="shared" si="10"/>
        <v>116</v>
      </c>
      <c r="B128" s="243">
        <f t="shared" ref="B128:B133" si="12">+B127</f>
        <v>46</v>
      </c>
      <c r="C128" s="269" t="s">
        <v>41</v>
      </c>
      <c r="D128" s="264">
        <f>+'Exhibit No.__(BDJ-HV RD)'!D16</f>
        <v>5.2347999999999999E-2</v>
      </c>
      <c r="E128" s="264">
        <f>+'Exhibit No.__(BDJ-HV RD)'!G16</f>
        <v>5.0422000000000002E-2</v>
      </c>
      <c r="F128" s="279">
        <v>89884025.499999985</v>
      </c>
      <c r="G128" s="280">
        <f>+$D128*F128</f>
        <v>4705248.9668739988</v>
      </c>
      <c r="I128" s="279">
        <v>89530525.500000015</v>
      </c>
      <c r="J128" s="280">
        <f>+$D128*I128</f>
        <v>4686743.9488740005</v>
      </c>
      <c r="K128" s="280">
        <f>+$E128*I128</f>
        <v>4514308.1567610009</v>
      </c>
      <c r="L128" s="552">
        <f>ROUND(L132*($K$128/SUM($K$128,$K$130))/$I$128,6)</f>
        <v>3.777E-3</v>
      </c>
      <c r="M128" s="525">
        <f>ROUND(M132*($K$128/SUM($K$128,$K$130))/$I$128,6)</f>
        <v>7.0600000000000003E-4</v>
      </c>
      <c r="O128" s="279">
        <v>89210525.500000015</v>
      </c>
      <c r="P128" s="280">
        <f>+$D128*O128</f>
        <v>4669992.5888740011</v>
      </c>
      <c r="Q128" s="280">
        <f>+$E128*O128</f>
        <v>4498173.1167610008</v>
      </c>
      <c r="R128" s="552">
        <f>ROUND(R132*($K$128/SUM($K$128,$K$130))/$O$128,6)</f>
        <v>3.2880000000000001E-3</v>
      </c>
      <c r="S128" s="525">
        <f>ROUND(S132*($K$128/SUM($K$128,$K$130))/$O$128,6)</f>
        <v>1.763E-3</v>
      </c>
      <c r="U128" s="256"/>
      <c r="V128" s="257"/>
      <c r="W128" s="257"/>
      <c r="X128" s="264"/>
      <c r="Y128" s="264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</row>
    <row r="129" spans="1:42" x14ac:dyDescent="0.2">
      <c r="A129" s="243">
        <f t="shared" si="10"/>
        <v>117</v>
      </c>
      <c r="B129" s="243">
        <f t="shared" si="12"/>
        <v>46</v>
      </c>
      <c r="C129" s="267" t="s">
        <v>35</v>
      </c>
      <c r="F129" s="279"/>
      <c r="I129" s="279"/>
      <c r="L129" s="555"/>
      <c r="M129" s="524"/>
      <c r="O129" s="279"/>
      <c r="R129" s="555"/>
      <c r="S129" s="524"/>
      <c r="U129" s="256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</row>
    <row r="130" spans="1:42" x14ac:dyDescent="0.2">
      <c r="A130" s="243">
        <f t="shared" si="10"/>
        <v>118</v>
      </c>
      <c r="B130" s="243">
        <f t="shared" si="12"/>
        <v>46</v>
      </c>
      <c r="C130" s="275" t="s">
        <v>386</v>
      </c>
      <c r="D130" s="270">
        <f>+'Exhibit No.__(BDJ-HV RD)'!D20</f>
        <v>3.04</v>
      </c>
      <c r="E130" s="270">
        <f>+'Exhibit No.__(BDJ-HV RD)'!G20</f>
        <v>3.04</v>
      </c>
      <c r="F130" s="279">
        <v>376169.5</v>
      </c>
      <c r="G130" s="280">
        <f>+$D130*F130</f>
        <v>1143555.28</v>
      </c>
      <c r="I130" s="279">
        <v>373997.99999999994</v>
      </c>
      <c r="J130" s="280">
        <f>+$D130*I130</f>
        <v>1136953.92</v>
      </c>
      <c r="K130" s="280">
        <f>+$E130*I130</f>
        <v>1136953.92</v>
      </c>
      <c r="L130" s="556">
        <f>ROUND(L132*($K$130/SUM($K$128,$K$130))/$I$130,2)</f>
        <v>0.23</v>
      </c>
      <c r="M130" s="526">
        <f>ROUND(M132*($K$130/SUM($K$128,$K$130))/$I$130,2)</f>
        <v>0.04</v>
      </c>
      <c r="O130" s="279">
        <v>372083.5</v>
      </c>
      <c r="P130" s="280">
        <f>+$D130*O130</f>
        <v>1131133.8400000001</v>
      </c>
      <c r="Q130" s="280">
        <f>+$E130*O130</f>
        <v>1131133.8400000001</v>
      </c>
      <c r="R130" s="556">
        <f>ROUND(R132*($K$130/SUM($K$128,$K$130))/$O$130,2)</f>
        <v>0.2</v>
      </c>
      <c r="S130" s="526">
        <f>ROUND(S132*($K$130/SUM($K$128,$K$130))/$O$130,2)</f>
        <v>0.11</v>
      </c>
      <c r="U130" s="256"/>
      <c r="V130" s="257"/>
      <c r="W130" s="257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</row>
    <row r="131" spans="1:42" ht="12" thickBot="1" x14ac:dyDescent="0.25">
      <c r="A131" s="243">
        <f t="shared" si="10"/>
        <v>119</v>
      </c>
      <c r="B131" s="243">
        <f t="shared" si="12"/>
        <v>46</v>
      </c>
      <c r="C131" s="258" t="s">
        <v>409</v>
      </c>
      <c r="D131" s="273"/>
      <c r="E131" s="273"/>
      <c r="F131" s="279"/>
      <c r="G131" s="394">
        <f>SUM(G130,G128)</f>
        <v>5848804.246873999</v>
      </c>
      <c r="I131" s="279"/>
      <c r="J131" s="394">
        <f>SUM(J130,J128)</f>
        <v>5823697.8688740004</v>
      </c>
      <c r="K131" s="394">
        <f>SUM(K130,K128)</f>
        <v>5651262.0767610008</v>
      </c>
      <c r="L131" s="553">
        <f>L128*I128+L130*I130</f>
        <v>424176.33481350006</v>
      </c>
      <c r="M131" s="553">
        <f>M128*I128+M130*I130</f>
        <v>78168.471003000013</v>
      </c>
      <c r="O131" s="279"/>
      <c r="P131" s="394">
        <f>SUM(P130,P128)</f>
        <v>5801126.4288740009</v>
      </c>
      <c r="Q131" s="394">
        <f>SUM(Q130,Q128)</f>
        <v>5629306.9567610007</v>
      </c>
      <c r="R131" s="553">
        <f>R128*O128+R130*O130</f>
        <v>367740.90784400009</v>
      </c>
      <c r="S131" s="553">
        <f>S128*O128+S130*O130</f>
        <v>198207.34145650003</v>
      </c>
      <c r="U131" s="256"/>
      <c r="V131" s="265"/>
      <c r="W131" s="265"/>
      <c r="X131" s="265"/>
      <c r="Y131" s="265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</row>
    <row r="132" spans="1:42" ht="12" thickTop="1" x14ac:dyDescent="0.2">
      <c r="A132" s="243">
        <f t="shared" si="10"/>
        <v>120</v>
      </c>
      <c r="B132" s="243">
        <f t="shared" si="12"/>
        <v>46</v>
      </c>
      <c r="C132" s="274" t="s">
        <v>379</v>
      </c>
      <c r="L132" s="554">
        <f>+'Exhibit No.__(BDJ-Rate Spread)'!$S$22*1000*$I$128/SUM($I$136,$I$128)</f>
        <v>423351.53907623776</v>
      </c>
      <c r="M132" s="554">
        <f>+'Exhibit No.__(BDJ-Rate Spread)'!$W$22*1000*$I$128/SUM($I$136,$I$128)</f>
        <v>79139.830041123001</v>
      </c>
      <c r="R132" s="554">
        <f>+'Exhibit No.__(BDJ-Rate Spread)'!T22*1000*O128/SUM(O136,O128)</f>
        <v>367205.8265094533</v>
      </c>
      <c r="S132" s="554">
        <f>+'Exhibit No.__(BDJ-Rate Spread)'!X22*1000*O128/SUM(O136,O128)</f>
        <v>196871.94939706672</v>
      </c>
      <c r="X132" s="257"/>
      <c r="Y132" s="257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</row>
    <row r="133" spans="1:42" ht="12" thickBot="1" x14ac:dyDescent="0.25">
      <c r="A133" s="243">
        <f t="shared" si="10"/>
        <v>121</v>
      </c>
      <c r="B133" s="243">
        <f t="shared" si="12"/>
        <v>46</v>
      </c>
      <c r="C133" s="275" t="s">
        <v>387</v>
      </c>
      <c r="G133" s="280"/>
      <c r="J133" s="280"/>
      <c r="K133" s="280"/>
      <c r="L133" s="554"/>
      <c r="M133" s="553">
        <f>SUM(K131,L131:M131)</f>
        <v>6153606.8825775003</v>
      </c>
      <c r="P133" s="280"/>
      <c r="Q133" s="280"/>
      <c r="R133" s="554"/>
      <c r="S133" s="553">
        <f>SUM(Q131,R131:S131)</f>
        <v>6195255.2060615011</v>
      </c>
      <c r="V133" s="257"/>
      <c r="W133" s="257"/>
      <c r="X133" s="257"/>
      <c r="Y133" s="265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</row>
    <row r="134" spans="1:42" ht="12" thickTop="1" x14ac:dyDescent="0.2">
      <c r="A134" s="243">
        <f t="shared" si="10"/>
        <v>122</v>
      </c>
      <c r="L134" s="524"/>
      <c r="M134" s="524"/>
      <c r="R134" s="524"/>
      <c r="S134" s="524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</row>
    <row r="135" spans="1:42" x14ac:dyDescent="0.2">
      <c r="A135" s="243">
        <f t="shared" si="10"/>
        <v>123</v>
      </c>
      <c r="B135" s="243">
        <v>49</v>
      </c>
      <c r="C135" s="272" t="s">
        <v>75</v>
      </c>
      <c r="L135" s="524"/>
      <c r="M135" s="524"/>
      <c r="R135" s="524"/>
      <c r="S135" s="524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</row>
    <row r="136" spans="1:42" x14ac:dyDescent="0.2">
      <c r="A136" s="243">
        <f t="shared" si="10"/>
        <v>124</v>
      </c>
      <c r="B136" s="243">
        <f t="shared" ref="B136:B141" si="13">+B135</f>
        <v>49</v>
      </c>
      <c r="C136" s="269" t="s">
        <v>41</v>
      </c>
      <c r="D136" s="264">
        <f>+'Exhibit No.__(BDJ-HV RD)'!D31</f>
        <v>5.2347999999999999E-2</v>
      </c>
      <c r="E136" s="264">
        <f>+'Exhibit No.__(BDJ-HV RD)'!G31</f>
        <v>5.0422000000000002E-2</v>
      </c>
      <c r="F136" s="279">
        <v>504163000</v>
      </c>
      <c r="G136" s="280">
        <f>+$D136*F136</f>
        <v>26391924.723999999</v>
      </c>
      <c r="I136" s="279">
        <v>504715000</v>
      </c>
      <c r="J136" s="280">
        <f>+$D136*I136</f>
        <v>26420820.82</v>
      </c>
      <c r="K136" s="280">
        <f>+$E136*I136</f>
        <v>25448739.73</v>
      </c>
      <c r="L136" s="552">
        <f>ROUND(L140*($K$136/SUM($K$136,$K$138))/$I$136,6)</f>
        <v>3.705E-3</v>
      </c>
      <c r="M136" s="525">
        <f>ROUND(M140*($K$136/SUM($K$136,$K$138))/$I$136,6)</f>
        <v>6.9300000000000004E-4</v>
      </c>
      <c r="O136" s="279">
        <v>499683000</v>
      </c>
      <c r="P136" s="280">
        <f>+$D136*O136</f>
        <v>26157405.684</v>
      </c>
      <c r="Q136" s="280">
        <f>+$E136*O136</f>
        <v>25195016.226</v>
      </c>
      <c r="R136" s="552">
        <f>ROUND(R140*($K$136/SUM($K$136,$K$138))/$O$136,6)</f>
        <v>3.225E-3</v>
      </c>
      <c r="S136" s="525">
        <f>ROUND(S140*($K$136/SUM($K$136,$K$138))/$O$136,6)</f>
        <v>1.7290000000000001E-3</v>
      </c>
      <c r="U136" s="256"/>
      <c r="V136" s="257"/>
      <c r="W136" s="257"/>
      <c r="X136" s="264"/>
      <c r="Y136" s="264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</row>
    <row r="137" spans="1:42" x14ac:dyDescent="0.2">
      <c r="A137" s="243">
        <f t="shared" si="10"/>
        <v>125</v>
      </c>
      <c r="B137" s="243">
        <f t="shared" si="13"/>
        <v>49</v>
      </c>
      <c r="C137" s="267" t="s">
        <v>35</v>
      </c>
      <c r="F137" s="279"/>
      <c r="I137" s="279"/>
      <c r="K137" s="280"/>
      <c r="L137" s="555"/>
      <c r="M137" s="524"/>
      <c r="O137" s="279"/>
      <c r="Q137" s="280"/>
      <c r="R137" s="555"/>
      <c r="S137" s="524"/>
      <c r="U137" s="256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</row>
    <row r="138" spans="1:42" x14ac:dyDescent="0.2">
      <c r="A138" s="243">
        <f t="shared" si="10"/>
        <v>126</v>
      </c>
      <c r="B138" s="243">
        <f t="shared" si="13"/>
        <v>49</v>
      </c>
      <c r="C138" s="275" t="s">
        <v>386</v>
      </c>
      <c r="D138" s="270">
        <f>+'Exhibit No.__(BDJ-HV RD)'!D35</f>
        <v>5.65</v>
      </c>
      <c r="E138" s="270">
        <f>+'Exhibit No.__(BDJ-HV RD)'!G35</f>
        <v>5.65</v>
      </c>
      <c r="F138" s="279">
        <v>1256796.2816623512</v>
      </c>
      <c r="G138" s="280">
        <f>+$D138*F138</f>
        <v>7100898.9913922846</v>
      </c>
      <c r="I138" s="279">
        <v>1244995.9124206307</v>
      </c>
      <c r="J138" s="280">
        <f>+$D138*I138</f>
        <v>7034226.9051765641</v>
      </c>
      <c r="K138" s="280">
        <f>+$E138*I138</f>
        <v>7034226.9051765641</v>
      </c>
      <c r="L138" s="556">
        <f>ROUND(L140*($K$138/SUM($K$136,$K$138))/$I$138,2)</f>
        <v>0.42</v>
      </c>
      <c r="M138" s="526">
        <f>ROUND(M140*($K$138/SUM($K$136,$K$138))/$I$138,2)</f>
        <v>0.08</v>
      </c>
      <c r="O138" s="279">
        <v>1235914.6702547306</v>
      </c>
      <c r="P138" s="280">
        <f>+$D138*O138</f>
        <v>6982917.8869392285</v>
      </c>
      <c r="Q138" s="280">
        <f>+$E138*O138</f>
        <v>6982917.8869392285</v>
      </c>
      <c r="R138" s="556">
        <f>ROUND(R140*($K$138/SUM($K$136,$K$138))/$O$138,2)</f>
        <v>0.36</v>
      </c>
      <c r="S138" s="526">
        <f>ROUND(S140*($K$138/SUM($K$136,$K$138))/$O$138,2)</f>
        <v>0.19</v>
      </c>
      <c r="U138" s="256"/>
      <c r="V138" s="257"/>
      <c r="W138" s="257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</row>
    <row r="139" spans="1:42" ht="12" thickBot="1" x14ac:dyDescent="0.25">
      <c r="A139" s="243">
        <f t="shared" si="10"/>
        <v>127</v>
      </c>
      <c r="B139" s="243">
        <f t="shared" si="13"/>
        <v>49</v>
      </c>
      <c r="C139" s="258" t="s">
        <v>409</v>
      </c>
      <c r="D139" s="273"/>
      <c r="E139" s="273"/>
      <c r="F139" s="279"/>
      <c r="G139" s="394">
        <f>SUM(G138,G136)</f>
        <v>33492823.715392284</v>
      </c>
      <c r="I139" s="279"/>
      <c r="J139" s="394">
        <f>SUM(J138,J136)</f>
        <v>33455047.725176565</v>
      </c>
      <c r="K139" s="394">
        <f>SUM(K138,K136)</f>
        <v>32482966.635176565</v>
      </c>
      <c r="L139" s="553">
        <f>L136*I136+L138*I138</f>
        <v>2392867.3582166648</v>
      </c>
      <c r="M139" s="553">
        <f>M136*I136+M138*I138</f>
        <v>449367.16799365042</v>
      </c>
      <c r="O139" s="279"/>
      <c r="P139" s="394">
        <f>SUM(P138,P136)</f>
        <v>33140323.570939228</v>
      </c>
      <c r="Q139" s="394">
        <f>SUM(Q138,Q136)</f>
        <v>32177934.112939227</v>
      </c>
      <c r="R139" s="553">
        <f>R136*O136+R138*O138</f>
        <v>2056406.956291703</v>
      </c>
      <c r="S139" s="553">
        <f>S136*O136+S138*O138</f>
        <v>1098775.6943483988</v>
      </c>
      <c r="U139" s="256"/>
      <c r="V139" s="265"/>
      <c r="W139" s="265"/>
      <c r="X139" s="265"/>
      <c r="Y139" s="265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</row>
    <row r="140" spans="1:42" ht="12" thickTop="1" x14ac:dyDescent="0.2">
      <c r="A140" s="243">
        <f t="shared" si="10"/>
        <v>128</v>
      </c>
      <c r="B140" s="243">
        <f t="shared" si="13"/>
        <v>49</v>
      </c>
      <c r="C140" s="274" t="s">
        <v>379</v>
      </c>
      <c r="L140" s="554">
        <f>+'Exhibit No.__(BDJ-Rate Spread)'!$S$22*1000*$I$136/SUM($I$128,$I$136)</f>
        <v>2386581.2341832314</v>
      </c>
      <c r="M140" s="554">
        <f>+'Exhibit No.__(BDJ-Rate Spread)'!$W$22*1000*$I$136/SUM($I$128,$I$136)</f>
        <v>446139.00226918008</v>
      </c>
      <c r="R140" s="554">
        <f>+'Exhibit No.__(BDJ-Rate Spread)'!T22*1000*O136/SUM(O128,O136)</f>
        <v>2056780.945738551</v>
      </c>
      <c r="S140" s="554">
        <f>+'Exhibit No.__(BDJ-Rate Spread)'!X22*1000*O136/SUM(O128,O136)</f>
        <v>1102712.5525740176</v>
      </c>
      <c r="X140" s="257"/>
      <c r="Y140" s="257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</row>
    <row r="141" spans="1:42" ht="12" thickBot="1" x14ac:dyDescent="0.25">
      <c r="A141" s="243">
        <f t="shared" si="10"/>
        <v>129</v>
      </c>
      <c r="B141" s="243">
        <f t="shared" si="13"/>
        <v>49</v>
      </c>
      <c r="C141" s="275" t="s">
        <v>388</v>
      </c>
      <c r="G141" s="280"/>
      <c r="J141" s="280"/>
      <c r="K141" s="280"/>
      <c r="L141" s="554"/>
      <c r="M141" s="553">
        <f>SUM(K139,L139:M139)</f>
        <v>35325201.161386877</v>
      </c>
      <c r="P141" s="280"/>
      <c r="Q141" s="280"/>
      <c r="R141" s="554"/>
      <c r="S141" s="553">
        <f>SUM(Q139,R139:S139)</f>
        <v>35333116.763579331</v>
      </c>
      <c r="V141" s="257"/>
      <c r="W141" s="257"/>
      <c r="X141" s="257"/>
      <c r="Y141" s="265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</row>
    <row r="142" spans="1:42" ht="12" thickTop="1" x14ac:dyDescent="0.2">
      <c r="A142" s="243">
        <f t="shared" ref="A142:A175" si="14">+A141+1</f>
        <v>130</v>
      </c>
      <c r="L142" s="524"/>
      <c r="M142" s="524"/>
      <c r="R142" s="524"/>
      <c r="S142" s="524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</row>
    <row r="143" spans="1:42" x14ac:dyDescent="0.2">
      <c r="A143" s="243">
        <f t="shared" si="14"/>
        <v>131</v>
      </c>
      <c r="B143" s="243" t="s">
        <v>389</v>
      </c>
      <c r="C143" s="272" t="s">
        <v>390</v>
      </c>
      <c r="D143" s="264">
        <f>+'Exhibit No.__(BDJ-Prof-Prop)'!L43/'Exhibit No.__(BDJ-Prof-Prop)'!I43</f>
        <v>0.25444310234316114</v>
      </c>
      <c r="E143" s="264">
        <f>+'Exhibit No.__(BDJ-Prof-Prop)'!N43/'Exhibit No.__(BDJ-Prof-Prop)'!I43</f>
        <v>0.24954457821507642</v>
      </c>
      <c r="F143" s="279">
        <v>64560000</v>
      </c>
      <c r="G143" s="280">
        <f>+$D143*F143</f>
        <v>16426846.687274484</v>
      </c>
      <c r="I143" s="279">
        <v>62703000</v>
      </c>
      <c r="J143" s="280">
        <f>+$D143*I143</f>
        <v>15954345.846223233</v>
      </c>
      <c r="K143" s="280">
        <f>+$E143*I143</f>
        <v>15647193.687819937</v>
      </c>
      <c r="L143" s="552">
        <f>ROUND(+L$145/I$143,6)</f>
        <v>4.4534999999999998E-2</v>
      </c>
      <c r="M143" s="525">
        <f>ROUND(+M$145/I$143,6)</f>
        <v>8.3250000000000008E-3</v>
      </c>
      <c r="O143" s="279">
        <v>61382000</v>
      </c>
      <c r="P143" s="280">
        <f>+$D143*O143</f>
        <v>15618226.508027917</v>
      </c>
      <c r="Q143" s="280">
        <f>+$E143*O143</f>
        <v>15317545.299997821</v>
      </c>
      <c r="R143" s="552">
        <f>ROUND(+R$145/O$143,6)</f>
        <v>3.9245000000000002E-2</v>
      </c>
      <c r="S143" s="525">
        <f>ROUND(+S$145/O$143,6)</f>
        <v>2.104E-2</v>
      </c>
      <c r="U143" s="256"/>
      <c r="V143" s="257"/>
      <c r="W143" s="257"/>
      <c r="X143" s="264"/>
      <c r="Y143" s="264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</row>
    <row r="144" spans="1:42" ht="12" thickBot="1" x14ac:dyDescent="0.25">
      <c r="A144" s="243">
        <f t="shared" si="14"/>
        <v>132</v>
      </c>
      <c r="B144" s="243" t="str">
        <f>+B143</f>
        <v>3, 50-59</v>
      </c>
      <c r="C144" s="258" t="s">
        <v>409</v>
      </c>
      <c r="D144" s="273"/>
      <c r="E144" s="273"/>
      <c r="F144" s="279"/>
      <c r="G144" s="394">
        <f>SUM(G143)</f>
        <v>16426846.687274484</v>
      </c>
      <c r="I144" s="279"/>
      <c r="J144" s="394">
        <f>SUM(J143)</f>
        <v>15954345.846223233</v>
      </c>
      <c r="K144" s="394">
        <f>SUM(K143)</f>
        <v>15647193.687819937</v>
      </c>
      <c r="L144" s="553">
        <f>+L143*I143</f>
        <v>2792478.105</v>
      </c>
      <c r="M144" s="553">
        <f>+M143*I143</f>
        <v>522002.47500000003</v>
      </c>
      <c r="O144" s="279"/>
      <c r="P144" s="394">
        <f>SUM(P143)</f>
        <v>15618226.508027917</v>
      </c>
      <c r="Q144" s="394">
        <f>SUM(Q143)</f>
        <v>15317545.299997821</v>
      </c>
      <c r="R144" s="553">
        <f>+R143*O143</f>
        <v>2408936.5900000003</v>
      </c>
      <c r="S144" s="553">
        <f>+S143*O143</f>
        <v>1291477.28</v>
      </c>
      <c r="U144" s="256"/>
      <c r="V144" s="265"/>
      <c r="W144" s="265"/>
      <c r="X144" s="265"/>
      <c r="Y144" s="265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</row>
    <row r="145" spans="1:42" ht="12" thickTop="1" x14ac:dyDescent="0.2">
      <c r="A145" s="243">
        <f t="shared" si="14"/>
        <v>133</v>
      </c>
      <c r="B145" s="243" t="str">
        <f>+B144</f>
        <v>3, 50-59</v>
      </c>
      <c r="C145" s="276" t="s">
        <v>379</v>
      </c>
      <c r="F145" s="279"/>
      <c r="I145" s="279"/>
      <c r="L145" s="554">
        <f>+'Exhibit No.__(BDJ-Rate Spread)'!S26*1000</f>
        <v>2792467.4077684358</v>
      </c>
      <c r="M145" s="554">
        <f>+'Exhibit No.__(BDJ-Rate Spread)'!W26*1000</f>
        <v>522013.91904322838</v>
      </c>
      <c r="O145" s="279"/>
      <c r="R145" s="554">
        <f>+'Exhibit No.__(BDJ-Rate Spread)'!T26*1000</f>
        <v>2408920.2854887377</v>
      </c>
      <c r="S145" s="554">
        <f>+'Exhibit No.__(BDJ-Rate Spread)'!X26*1000</f>
        <v>1291506.8288931339</v>
      </c>
      <c r="U145" s="256"/>
      <c r="X145" s="257"/>
      <c r="Y145" s="257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</row>
    <row r="146" spans="1:42" ht="12" thickBot="1" x14ac:dyDescent="0.25">
      <c r="A146" s="243">
        <f t="shared" si="14"/>
        <v>134</v>
      </c>
      <c r="B146" s="243" t="str">
        <f>+B145</f>
        <v>3, 50-59</v>
      </c>
      <c r="C146" s="275" t="s">
        <v>391</v>
      </c>
      <c r="G146" s="280"/>
      <c r="J146" s="280"/>
      <c r="K146" s="280"/>
      <c r="L146" s="554"/>
      <c r="M146" s="553">
        <f>SUM(K144,L144:M144)</f>
        <v>18961674.267819937</v>
      </c>
      <c r="P146" s="280"/>
      <c r="Q146" s="280"/>
      <c r="R146" s="554"/>
      <c r="S146" s="553">
        <f>SUM(Q144,R144:S144)</f>
        <v>19017959.169997822</v>
      </c>
      <c r="V146" s="257"/>
      <c r="W146" s="257"/>
      <c r="X146" s="257"/>
      <c r="Y146" s="265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</row>
    <row r="147" spans="1:42" ht="12" thickTop="1" x14ac:dyDescent="0.2">
      <c r="A147" s="243">
        <f t="shared" si="14"/>
        <v>135</v>
      </c>
      <c r="F147" s="279"/>
      <c r="I147" s="279"/>
      <c r="L147" s="524"/>
      <c r="M147" s="524"/>
      <c r="O147" s="279"/>
      <c r="R147" s="524"/>
      <c r="S147" s="524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</row>
    <row r="148" spans="1:42" x14ac:dyDescent="0.2">
      <c r="A148" s="243">
        <f t="shared" si="14"/>
        <v>136</v>
      </c>
      <c r="B148" s="243" t="s">
        <v>299</v>
      </c>
      <c r="C148" s="272" t="s">
        <v>313</v>
      </c>
      <c r="D148" s="270">
        <f>+'Exhibit No.__(BDJ-TRANSP RD)'!D14</f>
        <v>2277</v>
      </c>
      <c r="E148" s="270">
        <f>+'Exhibit No.__(BDJ-TRANSP RD)'!G14</f>
        <v>1791</v>
      </c>
      <c r="F148" s="279">
        <v>240</v>
      </c>
      <c r="G148" s="280">
        <f>+$D148*F148</f>
        <v>546480</v>
      </c>
      <c r="I148" s="279">
        <v>240</v>
      </c>
      <c r="J148" s="280">
        <f>+$D148*I148</f>
        <v>546480</v>
      </c>
      <c r="K148" s="280">
        <f>+$E148*I148</f>
        <v>429840</v>
      </c>
      <c r="L148" s="556">
        <f>ROUND(+L$152/I$148,0)</f>
        <v>613</v>
      </c>
      <c r="M148" s="526">
        <f>ROUND(+M$152/I$148,0)</f>
        <v>115</v>
      </c>
      <c r="O148" s="279">
        <v>240</v>
      </c>
      <c r="P148" s="280">
        <f>+$D148*O148</f>
        <v>546480</v>
      </c>
      <c r="Q148" s="280">
        <f>+$E148*O148</f>
        <v>429840</v>
      </c>
      <c r="R148" s="556">
        <f>ROUND(+R$152/O$148,0)</f>
        <v>529</v>
      </c>
      <c r="S148" s="526">
        <f>ROUND(+S$152/O$148,0)</f>
        <v>283</v>
      </c>
      <c r="T148" s="270">
        <f>ROUND(+T$152/P$148,0)</f>
        <v>1</v>
      </c>
      <c r="U148" s="256"/>
      <c r="V148" s="257"/>
      <c r="W148" s="257"/>
      <c r="X148" s="270"/>
      <c r="Y148" s="270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</row>
    <row r="149" spans="1:42" x14ac:dyDescent="0.2">
      <c r="A149" s="243">
        <f t="shared" si="14"/>
        <v>137</v>
      </c>
      <c r="B149" s="243" t="str">
        <f>+B148</f>
        <v>449, 459</v>
      </c>
      <c r="C149" s="272" t="s">
        <v>40</v>
      </c>
      <c r="D149" s="270">
        <v>0</v>
      </c>
      <c r="E149" s="270">
        <v>0</v>
      </c>
      <c r="F149" s="279">
        <v>1900721000</v>
      </c>
      <c r="G149" s="280">
        <f>+$D149*F149</f>
        <v>0</v>
      </c>
      <c r="I149" s="279">
        <v>1895530000</v>
      </c>
      <c r="J149" s="280">
        <f>+$D149*I149</f>
        <v>0</v>
      </c>
      <c r="K149" s="280">
        <f>+$D149*J149</f>
        <v>0</v>
      </c>
      <c r="L149" s="526"/>
      <c r="M149" s="526"/>
      <c r="O149" s="279">
        <v>1895104000</v>
      </c>
      <c r="P149" s="280">
        <f>+$D149*O149</f>
        <v>0</v>
      </c>
      <c r="Q149" s="280">
        <f>+$E149*O149</f>
        <v>0</v>
      </c>
      <c r="R149" s="526"/>
      <c r="S149" s="526"/>
      <c r="T149" s="270"/>
      <c r="U149" s="256"/>
      <c r="V149" s="257"/>
      <c r="W149" s="257"/>
      <c r="X149" s="270"/>
      <c r="Y149" s="270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</row>
    <row r="150" spans="1:42" x14ac:dyDescent="0.2">
      <c r="A150" s="243">
        <f t="shared" si="14"/>
        <v>138</v>
      </c>
      <c r="B150" s="243" t="str">
        <f>+B149</f>
        <v>449, 459</v>
      </c>
      <c r="C150" s="272" t="s">
        <v>400</v>
      </c>
      <c r="D150" s="270"/>
      <c r="E150" s="270"/>
      <c r="F150" s="279"/>
      <c r="G150" s="280">
        <f>+'Exhibit No.__(BDJ-TRANSP RD)'!I23</f>
        <v>8794531</v>
      </c>
      <c r="I150" s="279"/>
      <c r="J150" s="280">
        <f>ROUND(+'Exhibit No.__(BDJ-TRANSP RD)'!$F$23,-2)</f>
        <v>8794500</v>
      </c>
      <c r="K150" s="280">
        <f>+G150</f>
        <v>8794531</v>
      </c>
      <c r="L150" s="526"/>
      <c r="M150" s="526"/>
      <c r="O150" s="279"/>
      <c r="P150" s="280">
        <f>ROUND(+'Exhibit No.__(BDJ-TRANSP RD)'!$F$23,-2)</f>
        <v>8794500</v>
      </c>
      <c r="Q150" s="280">
        <f>+K150</f>
        <v>8794531</v>
      </c>
      <c r="R150" s="526"/>
      <c r="S150" s="526"/>
      <c r="T150" s="270"/>
      <c r="U150" s="256"/>
      <c r="V150" s="257"/>
      <c r="W150" s="257"/>
      <c r="X150" s="270"/>
      <c r="Y150" s="270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</row>
    <row r="151" spans="1:42" ht="12" thickBot="1" x14ac:dyDescent="0.25">
      <c r="A151" s="243">
        <f t="shared" si="14"/>
        <v>139</v>
      </c>
      <c r="B151" s="243" t="str">
        <f>+B150</f>
        <v>449, 459</v>
      </c>
      <c r="C151" s="258" t="s">
        <v>409</v>
      </c>
      <c r="D151" s="273"/>
      <c r="E151" s="273"/>
      <c r="F151" s="279"/>
      <c r="G151" s="394">
        <f>SUM(G148:G150)</f>
        <v>9341011</v>
      </c>
      <c r="I151" s="279"/>
      <c r="J151" s="394">
        <f>SUM(J148:J150)</f>
        <v>9340980</v>
      </c>
      <c r="K151" s="394">
        <f>SUM(K148:K150)</f>
        <v>9224371</v>
      </c>
      <c r="L151" s="553">
        <f>+L148*I148</f>
        <v>147120</v>
      </c>
      <c r="M151" s="553">
        <f>+M148*I148</f>
        <v>27600</v>
      </c>
      <c r="O151" s="279"/>
      <c r="P151" s="394">
        <f>SUM(P148:P150)</f>
        <v>9340980</v>
      </c>
      <c r="Q151" s="394">
        <f>SUM(Q148:Q150)</f>
        <v>9224371</v>
      </c>
      <c r="R151" s="553">
        <f>+R148*O148</f>
        <v>126960</v>
      </c>
      <c r="S151" s="553">
        <f>+S148*O148</f>
        <v>67920</v>
      </c>
      <c r="U151" s="256"/>
      <c r="V151" s="265"/>
      <c r="W151" s="265"/>
      <c r="X151" s="265"/>
      <c r="Y151" s="265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</row>
    <row r="152" spans="1:42" ht="12" thickTop="1" x14ac:dyDescent="0.2">
      <c r="A152" s="243">
        <f t="shared" si="14"/>
        <v>140</v>
      </c>
      <c r="B152" s="243" t="str">
        <f>+B151</f>
        <v>449, 459</v>
      </c>
      <c r="C152" s="276" t="s">
        <v>379</v>
      </c>
      <c r="F152" s="279"/>
      <c r="I152" s="279"/>
      <c r="L152" s="554">
        <f>+'Exhibit No.__(BDJ-Rate Spread)'!S$24*1000*$I$173/SUM(I$175)</f>
        <v>147100.93631883257</v>
      </c>
      <c r="M152" s="554">
        <f>+'Exhibit No.__(BDJ-Rate Spread)'!W$24*1000*$I$173/SUM($I$175)</f>
        <v>27498.52551514178</v>
      </c>
      <c r="O152" s="279"/>
      <c r="R152" s="554">
        <f>+'Exhibit No.__(BDJ-Rate Spread)'!T$24*1000*$I$173/SUM($I$175)</f>
        <v>126896.53190831709</v>
      </c>
      <c r="S152" s="554">
        <f>+'Exhibit No.__(BDJ-Rate Spread)'!X$24*1000*$I$173/$I$175</f>
        <v>68033.690657885905</v>
      </c>
      <c r="T152" s="257">
        <f>+'Exhibit No.__(BDJ-Rate Spread)'!X24*1000</f>
        <v>373589.05767941609</v>
      </c>
      <c r="U152" s="256"/>
      <c r="X152" s="257"/>
      <c r="Y152" s="257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</row>
    <row r="153" spans="1:42" ht="12" thickBot="1" x14ac:dyDescent="0.25">
      <c r="A153" s="243">
        <f t="shared" si="14"/>
        <v>141</v>
      </c>
      <c r="B153" s="243" t="str">
        <f>+B152</f>
        <v>449, 459</v>
      </c>
      <c r="C153" s="275" t="s">
        <v>392</v>
      </c>
      <c r="G153" s="280"/>
      <c r="J153" s="280"/>
      <c r="K153" s="280"/>
      <c r="L153" s="554"/>
      <c r="M153" s="553">
        <f>SUM(K151,L151:M151)</f>
        <v>9399091</v>
      </c>
      <c r="P153" s="280"/>
      <c r="Q153" s="280"/>
      <c r="R153" s="554"/>
      <c r="S153" s="553">
        <f>SUM(Q151,R151:S151)</f>
        <v>9419251</v>
      </c>
      <c r="T153" s="257">
        <f>+S153+T152</f>
        <v>9792840.0576794166</v>
      </c>
      <c r="V153" s="257"/>
      <c r="W153" s="257"/>
      <c r="X153" s="257"/>
      <c r="Y153" s="265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</row>
    <row r="154" spans="1:42" ht="12" thickTop="1" x14ac:dyDescent="0.2">
      <c r="A154" s="243">
        <f t="shared" si="14"/>
        <v>142</v>
      </c>
      <c r="F154" s="279"/>
      <c r="I154" s="279"/>
      <c r="L154" s="524"/>
      <c r="M154" s="524"/>
      <c r="O154" s="279"/>
      <c r="R154" s="524"/>
      <c r="S154" s="524"/>
      <c r="U154" s="256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</row>
    <row r="155" spans="1:42" x14ac:dyDescent="0.2">
      <c r="A155" s="243">
        <f t="shared" si="14"/>
        <v>143</v>
      </c>
      <c r="B155" s="243" t="s">
        <v>298</v>
      </c>
      <c r="C155" s="272" t="s">
        <v>313</v>
      </c>
      <c r="D155" s="270">
        <f>+'Exhibit No.__(BDJ-TRANSP RD)'!D30</f>
        <v>236</v>
      </c>
      <c r="E155" s="270">
        <f>+'Exhibit No.__(BDJ-TRANSP RD)'!G30</f>
        <v>307</v>
      </c>
      <c r="F155" s="279">
        <v>1068.2296072507554</v>
      </c>
      <c r="G155" s="280">
        <f>+$D155*F155</f>
        <v>252102.18731117828</v>
      </c>
      <c r="I155" s="279">
        <v>1068.2296072507554</v>
      </c>
      <c r="J155" s="280">
        <f>+$D155*I155</f>
        <v>252102.18731117828</v>
      </c>
      <c r="K155" s="280">
        <f>+$E155*I155</f>
        <v>327946.48942598188</v>
      </c>
      <c r="L155" s="526"/>
      <c r="M155" s="526"/>
      <c r="O155" s="279">
        <v>1068.2296072507554</v>
      </c>
      <c r="P155" s="280">
        <f>+$D155*O155</f>
        <v>252102.18731117828</v>
      </c>
      <c r="Q155" s="280">
        <f>+$E155*O155</f>
        <v>327946.48942598188</v>
      </c>
      <c r="R155" s="526"/>
      <c r="S155" s="526"/>
      <c r="U155" s="256"/>
      <c r="V155" s="257"/>
      <c r="W155" s="257"/>
      <c r="X155" s="270"/>
      <c r="Y155" s="270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</row>
    <row r="156" spans="1:42" x14ac:dyDescent="0.2">
      <c r="A156" s="243">
        <f t="shared" si="14"/>
        <v>144</v>
      </c>
      <c r="B156" s="243" t="str">
        <f>+B155</f>
        <v>SC</v>
      </c>
      <c r="C156" s="272" t="s">
        <v>40</v>
      </c>
      <c r="D156" s="270">
        <v>0</v>
      </c>
      <c r="E156" s="270">
        <v>0</v>
      </c>
      <c r="F156" s="279">
        <v>289426000</v>
      </c>
      <c r="G156" s="280">
        <f>+$D156*F156</f>
        <v>0</v>
      </c>
      <c r="I156" s="279">
        <v>289426000</v>
      </c>
      <c r="J156" s="280">
        <f>+$D156*I156</f>
        <v>0</v>
      </c>
      <c r="K156" s="280">
        <f>+$E156*I156</f>
        <v>0</v>
      </c>
      <c r="L156" s="557">
        <f>ROUND(+L$159/I$156,6)</f>
        <v>2.2829999999999999E-3</v>
      </c>
      <c r="M156" s="558">
        <f>ROUND(+M$159/I$156,6)</f>
        <v>4.2700000000000002E-4</v>
      </c>
      <c r="O156" s="279">
        <v>289426000</v>
      </c>
      <c r="P156" s="280">
        <f>+$D156*O156</f>
        <v>0</v>
      </c>
      <c r="Q156" s="280">
        <f>+$E156*O156</f>
        <v>0</v>
      </c>
      <c r="R156" s="557">
        <f>ROUND(+R$159/O$156,6)</f>
        <v>1.9689999999999998E-3</v>
      </c>
      <c r="S156" s="558">
        <f>ROUND(+S$159/O$156,6)</f>
        <v>1.0560000000000001E-3</v>
      </c>
      <c r="U156" s="256"/>
      <c r="V156" s="257"/>
      <c r="W156" s="257"/>
      <c r="X156" s="264"/>
      <c r="Y156" s="264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</row>
    <row r="157" spans="1:42" x14ac:dyDescent="0.2">
      <c r="A157" s="243">
        <f t="shared" si="14"/>
        <v>145</v>
      </c>
      <c r="B157" s="243" t="str">
        <f>+B156</f>
        <v>SC</v>
      </c>
      <c r="C157" s="272" t="s">
        <v>291</v>
      </c>
      <c r="D157" s="270">
        <f>+'Exhibit No.__(BDJ-TRANSP RD)'!F33/'Exhibit No.__(BDJ-TRANSP RD)'!C33</f>
        <v>5.3836603445040723</v>
      </c>
      <c r="E157" s="270">
        <f>+'Exhibit No.__(BDJ-TRANSP RD)'!I33/'Exhibit No.__(BDJ-TRANSP RD)'!C33</f>
        <v>4.1076819004015466</v>
      </c>
      <c r="F157" s="279">
        <v>789104.56442720047</v>
      </c>
      <c r="G157" s="280">
        <f>+$D157*F157</f>
        <v>4248270.9511738783</v>
      </c>
      <c r="I157" s="279">
        <v>789104.56442720047</v>
      </c>
      <c r="J157" s="280">
        <f>+$D157*I157</f>
        <v>4248270.9511738783</v>
      </c>
      <c r="K157" s="280">
        <f>+$E157*I157</f>
        <v>3241390.5368218576</v>
      </c>
      <c r="L157" s="526"/>
      <c r="M157" s="526"/>
      <c r="O157" s="279">
        <v>786374.61208836501</v>
      </c>
      <c r="P157" s="280">
        <f>+$D157*O157</f>
        <v>4233573.815024903</v>
      </c>
      <c r="Q157" s="280">
        <f>+$E157*O157</f>
        <v>3230176.761010664</v>
      </c>
      <c r="R157" s="526"/>
      <c r="S157" s="525"/>
      <c r="U157" s="256"/>
      <c r="V157" s="257"/>
      <c r="W157" s="257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</row>
    <row r="158" spans="1:42" ht="12" thickBot="1" x14ac:dyDescent="0.25">
      <c r="A158" s="243">
        <f t="shared" si="14"/>
        <v>146</v>
      </c>
      <c r="B158" s="243" t="str">
        <f>+B157</f>
        <v>SC</v>
      </c>
      <c r="C158" s="258" t="s">
        <v>409</v>
      </c>
      <c r="D158" s="273"/>
      <c r="E158" s="273"/>
      <c r="F158" s="279"/>
      <c r="G158" s="394">
        <f>SUM(G155:G157)</f>
        <v>4500373.1384850563</v>
      </c>
      <c r="I158" s="279"/>
      <c r="J158" s="394">
        <f>SUM(J155:J157)</f>
        <v>4500373.1384850563</v>
      </c>
      <c r="K158" s="394">
        <f>SUM(K155:K157)</f>
        <v>3569337.0262478394</v>
      </c>
      <c r="L158" s="553">
        <f>+L156*I156</f>
        <v>660759.55799999996</v>
      </c>
      <c r="M158" s="553">
        <f>+M156*I156</f>
        <v>123584.902</v>
      </c>
      <c r="O158" s="279"/>
      <c r="P158" s="394">
        <f>SUM(P155:P157)</f>
        <v>4485676.0023360811</v>
      </c>
      <c r="Q158" s="394">
        <f>SUM(Q155:Q157)</f>
        <v>3558123.2504366459</v>
      </c>
      <c r="R158" s="553">
        <f>+R156*O156</f>
        <v>569879.79399999999</v>
      </c>
      <c r="S158" s="553">
        <f>+S156*O156</f>
        <v>305633.85600000003</v>
      </c>
      <c r="U158" s="256"/>
      <c r="V158" s="265"/>
      <c r="W158" s="265"/>
      <c r="X158" s="265"/>
      <c r="Y158" s="265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</row>
    <row r="159" spans="1:42" ht="12" thickTop="1" x14ac:dyDescent="0.2">
      <c r="A159" s="243">
        <f t="shared" si="14"/>
        <v>147</v>
      </c>
      <c r="B159" s="243" t="str">
        <f>+B158</f>
        <v>SC</v>
      </c>
      <c r="C159" s="276" t="s">
        <v>379</v>
      </c>
      <c r="L159" s="554">
        <f>+'Exhibit No.__(BDJ-Rate Spread)'!S$24*1000*$I$174/SUM(I$175)</f>
        <v>660665.03450671874</v>
      </c>
      <c r="M159" s="554">
        <f>+'Exhibit No.__(BDJ-Rate Spread)'!W$24*1000*$I$174/SUM($I$175)</f>
        <v>123502.37029741573</v>
      </c>
      <c r="R159" s="554">
        <f>+'Exhibit No.__(BDJ-Rate Spread)'!T$24*1000*$I$174/SUM($I$175)</f>
        <v>569922.28418098902</v>
      </c>
      <c r="S159" s="554">
        <f>+'Exhibit No.__(BDJ-Rate Spread)'!X$24*1000*$I$174/$I$175</f>
        <v>305555.36702153017</v>
      </c>
      <c r="X159" s="257"/>
      <c r="Y159" s="257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</row>
    <row r="160" spans="1:42" ht="12" thickBot="1" x14ac:dyDescent="0.25">
      <c r="A160" s="243">
        <f t="shared" si="14"/>
        <v>148</v>
      </c>
      <c r="B160" s="243" t="str">
        <f>+B159</f>
        <v>SC</v>
      </c>
      <c r="C160" s="275" t="s">
        <v>399</v>
      </c>
      <c r="G160" s="280"/>
      <c r="J160" s="280"/>
      <c r="K160" s="280"/>
      <c r="L160" s="554"/>
      <c r="M160" s="553">
        <f>SUM(K158,L158:M158)</f>
        <v>4353681.4862478394</v>
      </c>
      <c r="P160" s="280"/>
      <c r="Q160" s="280"/>
      <c r="R160" s="554"/>
      <c r="S160" s="553">
        <f>SUM(Q158,R158:S158)</f>
        <v>4433636.9004366454</v>
      </c>
      <c r="V160" s="257"/>
      <c r="W160" s="257"/>
      <c r="X160" s="257"/>
      <c r="Y160" s="265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</row>
    <row r="161" spans="1:42" ht="12" thickTop="1" x14ac:dyDescent="0.2">
      <c r="A161" s="243">
        <f t="shared" si="14"/>
        <v>149</v>
      </c>
      <c r="C161" s="275"/>
      <c r="G161" s="280"/>
      <c r="J161" s="280"/>
      <c r="K161" s="280"/>
      <c r="L161" s="554"/>
      <c r="M161" s="554"/>
      <c r="P161" s="280"/>
      <c r="Q161" s="280"/>
      <c r="R161" s="554"/>
      <c r="S161" s="554"/>
      <c r="V161" s="257"/>
      <c r="W161" s="257"/>
      <c r="X161" s="257"/>
      <c r="Y161" s="257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</row>
    <row r="162" spans="1:42" x14ac:dyDescent="0.2">
      <c r="A162" s="243">
        <f t="shared" si="14"/>
        <v>150</v>
      </c>
      <c r="B162" s="268" t="s">
        <v>179</v>
      </c>
      <c r="C162" s="272" t="s">
        <v>40</v>
      </c>
      <c r="D162" s="264">
        <f>+'Exhibit No.__(BDJ-TRANSP RD)'!D47</f>
        <v>3.5139999999999998E-2</v>
      </c>
      <c r="E162" s="264">
        <f>+'Exhibit No.__(BDJ-TRANSP RD)'!G47</f>
        <v>3.5139999999999998E-2</v>
      </c>
      <c r="F162" s="279">
        <v>7520000</v>
      </c>
      <c r="G162" s="280">
        <f>+$D162*F162</f>
        <v>264252.79999999999</v>
      </c>
      <c r="I162" s="279">
        <v>7521000</v>
      </c>
      <c r="J162" s="280">
        <f>+$D162*I162</f>
        <v>264287.94</v>
      </c>
      <c r="K162" s="280">
        <f>+$E162*I162</f>
        <v>264287.94</v>
      </c>
      <c r="L162" s="552">
        <f>ROUND(L167*($K$162/SUM($K$162,$K$163))/$I$162,6)</f>
        <v>6.2709999999999997E-3</v>
      </c>
      <c r="M162" s="525">
        <f>ROUND(M167*($K$162/SUM($K$162,$K$163))/$I$162,6)</f>
        <v>1.1720000000000001E-3</v>
      </c>
      <c r="O162" s="279">
        <v>7552000</v>
      </c>
      <c r="P162" s="280">
        <f>+$D162*O162</f>
        <v>265377.27999999997</v>
      </c>
      <c r="Q162" s="280">
        <f>+$E162*O162</f>
        <v>265377.27999999997</v>
      </c>
      <c r="R162" s="552">
        <f>ROUND(R167*($K$162/SUM($K$162,$K$163))/$O$162,6)</f>
        <v>5.3880000000000004E-3</v>
      </c>
      <c r="S162" s="525">
        <f>ROUND(S167*($K$162/SUM($K$162,$K$163))/$O$162,6)</f>
        <v>2.8890000000000001E-3</v>
      </c>
      <c r="U162" s="256"/>
      <c r="V162" s="257"/>
      <c r="W162" s="257"/>
      <c r="X162" s="264"/>
      <c r="Y162" s="264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</row>
    <row r="163" spans="1:42" x14ac:dyDescent="0.2">
      <c r="A163" s="243">
        <f t="shared" si="14"/>
        <v>151</v>
      </c>
      <c r="B163" s="243" t="str">
        <f>+B162</f>
        <v>Firm Resale</v>
      </c>
      <c r="C163" s="272" t="s">
        <v>398</v>
      </c>
      <c r="D163" s="264">
        <f>+'Exhibit No.__(BDJ-TRANSP RD)'!D52</f>
        <v>5.25</v>
      </c>
      <c r="E163" s="264">
        <f>+'Exhibit No.__(BDJ-TRANSP RD)'!G52</f>
        <v>5.25</v>
      </c>
      <c r="F163" s="279">
        <v>14950.85716497262</v>
      </c>
      <c r="G163" s="280">
        <f>+$D163*F163</f>
        <v>78492.000116106254</v>
      </c>
      <c r="I163" s="279">
        <v>14950.857165103656</v>
      </c>
      <c r="J163" s="280">
        <f>+$D163*I163</f>
        <v>78492.000116794195</v>
      </c>
      <c r="K163" s="280">
        <f>+$E163*I163</f>
        <v>78492.000116794195</v>
      </c>
      <c r="L163" s="556">
        <f>ROUND(L167*($K$163/SUM($K$162,$K$163))/$I$163,2)</f>
        <v>0.94</v>
      </c>
      <c r="M163" s="526">
        <f>ROUND(M167*($K$163/SUM($K$162,$K$163))/$I$163,2)</f>
        <v>0.18</v>
      </c>
      <c r="O163" s="279">
        <v>14941.592782693015</v>
      </c>
      <c r="P163" s="280">
        <f>+$D163*O163</f>
        <v>78443.362109138325</v>
      </c>
      <c r="Q163" s="280">
        <f>+$E163*O163</f>
        <v>78443.362109138325</v>
      </c>
      <c r="R163" s="556">
        <f>ROUND(R167*($K$163/SUM($K$162,$K$163))/$O$163,2)</f>
        <v>0.81</v>
      </c>
      <c r="S163" s="526">
        <f>ROUND(S167*($K$163/SUM($K$162,$K$163))/$O$163,2)</f>
        <v>0.43</v>
      </c>
      <c r="U163" s="256"/>
      <c r="V163" s="257"/>
      <c r="W163" s="257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</row>
    <row r="164" spans="1:42" x14ac:dyDescent="0.2">
      <c r="A164" s="243">
        <f t="shared" si="14"/>
        <v>152</v>
      </c>
      <c r="B164" s="243" t="str">
        <f>+B163</f>
        <v>Firm Resale</v>
      </c>
      <c r="C164" s="272" t="s">
        <v>86</v>
      </c>
      <c r="D164" s="264">
        <f>+'Exhibit No.__(BDJ-TRANSP RD)'!D54</f>
        <v>2.5000000000000001E-4</v>
      </c>
      <c r="E164" s="264">
        <f>+'Exhibit No.__(BDJ-TRANSP RD)'!G54</f>
        <v>2.5000000000000001E-4</v>
      </c>
      <c r="F164" s="279">
        <v>1934500.6523658875</v>
      </c>
      <c r="G164" s="280">
        <f>+$D164*F164</f>
        <v>483.6251630914719</v>
      </c>
      <c r="I164" s="279">
        <v>1935048.9019313797</v>
      </c>
      <c r="J164" s="280">
        <f>+$D164*I164</f>
        <v>483.76222548284494</v>
      </c>
      <c r="K164" s="280">
        <f>+$E164*I164</f>
        <v>483.76222548284494</v>
      </c>
      <c r="L164" s="524"/>
      <c r="M164" s="524"/>
      <c r="O164" s="279">
        <v>1942079.2341014855</v>
      </c>
      <c r="P164" s="280">
        <f>+$D164*O164</f>
        <v>485.51980852537139</v>
      </c>
      <c r="Q164" s="280">
        <f>+$E164*O164</f>
        <v>485.51980852537139</v>
      </c>
      <c r="R164" s="524"/>
      <c r="S164" s="524"/>
      <c r="U164" s="256"/>
      <c r="V164" s="257"/>
      <c r="W164" s="257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</row>
    <row r="165" spans="1:42" x14ac:dyDescent="0.2">
      <c r="A165" s="243">
        <f t="shared" si="14"/>
        <v>153</v>
      </c>
      <c r="B165" s="243" t="str">
        <f>+B164</f>
        <v>Firm Resale</v>
      </c>
      <c r="C165" s="267" t="s">
        <v>494</v>
      </c>
      <c r="G165" s="280">
        <f>+'Exhibit No.__(BDJ-Prof-Prop)'!$P$47</f>
        <v>228.27725999999996</v>
      </c>
      <c r="K165" s="280">
        <f>+G165*1000</f>
        <v>228277.25999999995</v>
      </c>
      <c r="L165" s="524"/>
      <c r="M165" s="524"/>
      <c r="Q165" s="280">
        <f>+K165</f>
        <v>228277.25999999995</v>
      </c>
      <c r="R165" s="524"/>
      <c r="S165" s="524"/>
      <c r="W165" s="257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</row>
    <row r="166" spans="1:42" ht="12" thickBot="1" x14ac:dyDescent="0.25">
      <c r="A166" s="243">
        <f t="shared" si="14"/>
        <v>154</v>
      </c>
      <c r="B166" s="243" t="str">
        <f>+B165</f>
        <v>Firm Resale</v>
      </c>
      <c r="C166" s="258" t="s">
        <v>409</v>
      </c>
      <c r="D166" s="273"/>
      <c r="E166" s="273"/>
      <c r="F166" s="279"/>
      <c r="G166" s="394">
        <f>SUM(G162:G165)</f>
        <v>343456.70253919769</v>
      </c>
      <c r="I166" s="279"/>
      <c r="J166" s="394">
        <f>SUM(J162:J165)</f>
        <v>343263.70234227704</v>
      </c>
      <c r="K166" s="394">
        <f>SUM(K162:K165)</f>
        <v>571540.96234227694</v>
      </c>
      <c r="L166" s="553">
        <f>L162*I162+L163*I163</f>
        <v>61217.996735197434</v>
      </c>
      <c r="M166" s="553">
        <f>M162*I162+M163*I163</f>
        <v>11505.76628971866</v>
      </c>
      <c r="O166" s="279"/>
      <c r="P166" s="394">
        <f>SUM(P162:P165)</f>
        <v>344306.1619176637</v>
      </c>
      <c r="Q166" s="394">
        <f>SUM(Q162:Q165)</f>
        <v>572583.42191766365</v>
      </c>
      <c r="R166" s="553">
        <f>R162*O162+R163*O163</f>
        <v>52792.866153981347</v>
      </c>
      <c r="S166" s="553">
        <f>S162*O162+S163*O163</f>
        <v>28242.612896557996</v>
      </c>
      <c r="U166" s="256"/>
      <c r="V166" s="265"/>
      <c r="W166" s="265"/>
      <c r="X166" s="265"/>
      <c r="Y166" s="265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</row>
    <row r="167" spans="1:42" ht="12" thickTop="1" x14ac:dyDescent="0.2">
      <c r="A167" s="243">
        <f t="shared" si="14"/>
        <v>155</v>
      </c>
      <c r="B167" s="243" t="str">
        <f>+B166</f>
        <v>Firm Resale</v>
      </c>
      <c r="C167" s="276" t="s">
        <v>379</v>
      </c>
      <c r="L167" s="554">
        <f>+'Exhibit No.__(BDJ-Rate Spread)'!S30*1000</f>
        <v>61174.029306501478</v>
      </c>
      <c r="M167" s="554">
        <f>+'Exhibit No.__(BDJ-Rate Spread)'!W30*1000</f>
        <v>11435.655325149002</v>
      </c>
      <c r="R167" s="554">
        <f>+'Exhibit No.__(BDJ-Rate Spread)'!T30*1000</f>
        <v>52771.73861781165</v>
      </c>
      <c r="S167" s="554">
        <f>+'Exhibit No.__(BDJ-Rate Spread)'!X30*1000</f>
        <v>28292.78378700668</v>
      </c>
      <c r="X167" s="257"/>
      <c r="Y167" s="257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</row>
    <row r="168" spans="1:42" ht="12" thickBot="1" x14ac:dyDescent="0.25">
      <c r="A168" s="243">
        <f t="shared" si="14"/>
        <v>156</v>
      </c>
      <c r="B168" s="243" t="str">
        <f>+B166</f>
        <v>Firm Resale</v>
      </c>
      <c r="C168" s="275"/>
      <c r="G168" s="394"/>
      <c r="J168" s="280"/>
      <c r="K168" s="280"/>
      <c r="L168" s="554"/>
      <c r="M168" s="553">
        <f>SUM(K166,L166:M166)</f>
        <v>644264.72536719311</v>
      </c>
      <c r="P168" s="280"/>
      <c r="Q168" s="280"/>
      <c r="R168" s="554"/>
      <c r="S168" s="553">
        <f>SUM(Q166,R166:S166)</f>
        <v>653618.90096820297</v>
      </c>
      <c r="V168" s="257"/>
      <c r="W168" s="257"/>
      <c r="X168" s="257"/>
      <c r="Y168" s="265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</row>
    <row r="169" spans="1:42" s="40" customFormat="1" ht="12" thickTop="1" x14ac:dyDescent="0.2">
      <c r="A169" s="428">
        <f t="shared" si="14"/>
        <v>157</v>
      </c>
      <c r="B169" s="428"/>
      <c r="C169" s="496" t="s">
        <v>27</v>
      </c>
      <c r="F169" s="497">
        <f>SUM(F162,F156,F149,F143,F136,F128,F117,F104,F91,F77,F57,F44,F34,F21)</f>
        <v>22478337543.5</v>
      </c>
      <c r="G169" s="498">
        <f>SUM(G166,G158,G151,G144,G139,G131,G122,G111,G98,G84,G64,G51,G35,G22)</f>
        <v>2066626455.452389</v>
      </c>
      <c r="I169" s="497">
        <f>SUM(I162,I156,I149,I143,I136,I128,I117,I104,I91,I77,I57,I44,I34,I21)</f>
        <v>22723058867.5</v>
      </c>
      <c r="J169" s="498">
        <f>SUM(J166,J158,J151,J144,J139,J131,J122,J111,J98,J84,J64,J51,J35,J22)</f>
        <v>2089870690.7498512</v>
      </c>
      <c r="K169" s="498">
        <f>SUM(K166,K158,K151,K144,K139,K131,K122,K111,K98,K84,K64,K51,K35,K22)</f>
        <v>2048840292.611299</v>
      </c>
      <c r="L169" s="559">
        <f>SUM(L166,L158,L151,L144,L139,L131,L122,L111,L98,L84,L64,L51,L35,L22)</f>
        <v>231008909.6157105</v>
      </c>
      <c r="M169" s="560">
        <f>SUM(M166,M158,M151,M144,M139,M131,M122,M111,M98,M84,M64,M51,M35,M22)</f>
        <v>43185398.517527878</v>
      </c>
      <c r="O169" s="497">
        <f>SUM(O162,O156,O149,O143,O136,O128,O117,O104,O91,O77,O57,O44,O34,O21)</f>
        <v>22914362847.5</v>
      </c>
      <c r="P169" s="498">
        <f>SUM(P166,P158,P151,P144,P139,P131,P122,P111,P98,P84,P64,P51,P35,P22)</f>
        <v>2109099190.8023832</v>
      </c>
      <c r="Q169" s="498">
        <f>SUM(Q166,Q158,Q151,Q144,Q139,Q131,Q122,Q111,Q98,Q84,Q64,Q51,Q35,Q22)</f>
        <v>2067701159.6924372</v>
      </c>
      <c r="R169" s="559">
        <f>SUM(R166,R158,R151,R144,R139,R131,R122,R111,R98,R84,R64,R51,R35,R22)</f>
        <v>199285976.94998685</v>
      </c>
      <c r="S169" s="560">
        <f>SUM(S166,S158,S151,S144,S139,S131,S122,S111,S98,S84,S64,S51,S35,S22)</f>
        <v>106801449.91896266</v>
      </c>
      <c r="U169" s="497"/>
      <c r="V169" s="498"/>
      <c r="W169" s="498"/>
      <c r="X169" s="498"/>
      <c r="Y169" s="498"/>
      <c r="Z169" s="499"/>
      <c r="AA169" s="499"/>
      <c r="AB169" s="499"/>
      <c r="AC169" s="499"/>
      <c r="AD169" s="499"/>
      <c r="AE169" s="499"/>
      <c r="AF169" s="499"/>
      <c r="AG169" s="499"/>
      <c r="AH169" s="499"/>
      <c r="AI169" s="499"/>
      <c r="AJ169" s="499"/>
      <c r="AK169" s="499"/>
      <c r="AL169" s="499"/>
      <c r="AM169" s="499"/>
      <c r="AN169" s="499"/>
      <c r="AO169" s="499"/>
      <c r="AP169" s="499"/>
    </row>
    <row r="170" spans="1:42" x14ac:dyDescent="0.2">
      <c r="A170" s="36">
        <f t="shared" si="14"/>
        <v>158</v>
      </c>
      <c r="L170" s="280"/>
      <c r="M170" s="280"/>
      <c r="R170" s="280"/>
      <c r="S170" s="280"/>
      <c r="X170" s="257"/>
      <c r="Y170" s="257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</row>
    <row r="171" spans="1:42" x14ac:dyDescent="0.2">
      <c r="A171" s="36">
        <f t="shared" si="14"/>
        <v>159</v>
      </c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</row>
    <row r="172" spans="1:42" x14ac:dyDescent="0.2">
      <c r="A172" s="36">
        <f t="shared" si="14"/>
        <v>160</v>
      </c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3"/>
      <c r="AP172" s="303"/>
    </row>
    <row r="173" spans="1:42" x14ac:dyDescent="0.2">
      <c r="A173" s="36">
        <f t="shared" si="14"/>
        <v>161</v>
      </c>
      <c r="B173" s="243" t="str">
        <f>+B153</f>
        <v>449, 459</v>
      </c>
      <c r="C173" s="241" t="s">
        <v>554</v>
      </c>
      <c r="I173" s="280">
        <v>3382738.4131644368</v>
      </c>
    </row>
    <row r="174" spans="1:42" x14ac:dyDescent="0.2">
      <c r="A174" s="36">
        <f t="shared" si="14"/>
        <v>162</v>
      </c>
      <c r="B174" s="243" t="str">
        <f>+B160</f>
        <v>SC</v>
      </c>
      <c r="C174" s="241" t="s">
        <v>554</v>
      </c>
      <c r="I174" s="280">
        <v>15192676.854323793</v>
      </c>
    </row>
    <row r="175" spans="1:42" x14ac:dyDescent="0.2">
      <c r="A175" s="36">
        <f t="shared" si="14"/>
        <v>163</v>
      </c>
      <c r="B175" s="243" t="s">
        <v>27</v>
      </c>
      <c r="C175" s="241" t="s">
        <v>554</v>
      </c>
      <c r="I175" s="280">
        <f>SUM(I173:I174)</f>
        <v>18575415.26748823</v>
      </c>
    </row>
    <row r="177" spans="2:19" x14ac:dyDescent="0.2">
      <c r="I177" s="280"/>
    </row>
    <row r="178" spans="2:19" x14ac:dyDescent="0.2">
      <c r="B178" s="434"/>
    </row>
    <row r="179" spans="2:19" ht="12" thickBot="1" x14ac:dyDescent="0.25"/>
    <row r="180" spans="2:19" x14ac:dyDescent="0.2">
      <c r="D180" s="540"/>
      <c r="E180" s="541" t="s">
        <v>661</v>
      </c>
      <c r="F180" s="542">
        <v>22478337543.5</v>
      </c>
      <c r="G180" s="543">
        <v>2066626455.452389</v>
      </c>
      <c r="H180" s="544"/>
      <c r="I180" s="542">
        <v>22723058867.5</v>
      </c>
      <c r="J180" s="543">
        <v>2089870690.7498512</v>
      </c>
      <c r="K180" s="543">
        <v>2048840292.611299</v>
      </c>
      <c r="L180" s="545">
        <v>182500477.38140401</v>
      </c>
      <c r="M180" s="543">
        <v>91725421.523977831</v>
      </c>
      <c r="N180" s="544"/>
      <c r="O180" s="542">
        <v>22914362847.5</v>
      </c>
      <c r="P180" s="543">
        <v>2109099190.8023832</v>
      </c>
      <c r="Q180" s="543">
        <v>2067701159.6924372</v>
      </c>
      <c r="R180" s="545">
        <v>108425919.83869138</v>
      </c>
      <c r="S180" s="546">
        <v>197703305.31056648</v>
      </c>
    </row>
    <row r="181" spans="2:19" ht="12" thickBot="1" x14ac:dyDescent="0.25">
      <c r="D181" s="547"/>
      <c r="E181" s="548" t="s">
        <v>29</v>
      </c>
      <c r="F181" s="548">
        <f>F169-F180</f>
        <v>0</v>
      </c>
      <c r="G181" s="548">
        <f t="shared" ref="G181:S181" si="15">G169-G180</f>
        <v>0</v>
      </c>
      <c r="H181" s="548">
        <f t="shared" si="15"/>
        <v>0</v>
      </c>
      <c r="I181" s="548">
        <f t="shared" si="15"/>
        <v>0</v>
      </c>
      <c r="J181" s="548">
        <f t="shared" si="15"/>
        <v>0</v>
      </c>
      <c r="K181" s="548">
        <f t="shared" si="15"/>
        <v>0</v>
      </c>
      <c r="L181" s="548">
        <f t="shared" si="15"/>
        <v>48508432.234306484</v>
      </c>
      <c r="M181" s="548">
        <f t="shared" si="15"/>
        <v>-48540023.006449953</v>
      </c>
      <c r="N181" s="548">
        <f t="shared" si="15"/>
        <v>0</v>
      </c>
      <c r="O181" s="548">
        <f t="shared" si="15"/>
        <v>0</v>
      </c>
      <c r="P181" s="548">
        <f t="shared" si="15"/>
        <v>0</v>
      </c>
      <c r="Q181" s="548">
        <f t="shared" si="15"/>
        <v>0</v>
      </c>
      <c r="R181" s="548">
        <f t="shared" si="15"/>
        <v>90860057.111295462</v>
      </c>
      <c r="S181" s="549">
        <f t="shared" si="15"/>
        <v>-90901855.391603827</v>
      </c>
    </row>
  </sheetData>
  <mergeCells count="4">
    <mergeCell ref="O10:S10"/>
    <mergeCell ref="U10:Y10"/>
    <mergeCell ref="F10:G10"/>
    <mergeCell ref="I10:M10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53" max="24" man="1"/>
    <brk id="87" max="24" man="1"/>
    <brk id="141" max="24" man="1"/>
  </rowBreaks>
  <colBreaks count="1" manualBreakCount="1">
    <brk id="13" min="1" max="174" man="1"/>
  </col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</sheetPr>
  <dimension ref="A1:V73"/>
  <sheetViews>
    <sheetView zoomScaleNormal="100" workbookViewId="0">
      <pane xSplit="3" ySplit="6" topLeftCell="D7" activePane="bottomRight" state="frozen"/>
      <selection activeCell="E29" sqref="E29"/>
      <selection pane="topRight" activeCell="E29" sqref="E29"/>
      <selection pane="bottomLeft" activeCell="E29" sqref="E29"/>
      <selection pane="bottomRight" activeCell="H1" sqref="H1"/>
    </sheetView>
  </sheetViews>
  <sheetFormatPr defaultColWidth="8" defaultRowHeight="11.25" x14ac:dyDescent="0.2"/>
  <cols>
    <col min="1" max="1" width="6.125" style="77" customWidth="1"/>
    <col min="2" max="2" width="59.75" style="71" bestFit="1" customWidth="1"/>
    <col min="3" max="3" width="8.5" style="71" bestFit="1" customWidth="1"/>
    <col min="4" max="4" width="11.25" style="44" bestFit="1" customWidth="1"/>
    <col min="5" max="5" width="7.5" style="71" bestFit="1" customWidth="1"/>
    <col min="6" max="6" width="9.375" style="44" bestFit="1" customWidth="1"/>
    <col min="7" max="8" width="15.75" style="71" customWidth="1"/>
    <col min="9" max="10" width="9.875" style="71" bestFit="1" customWidth="1"/>
    <col min="11" max="11" width="11.75" style="71" bestFit="1" customWidth="1"/>
    <col min="12" max="12" width="8.75" style="71" bestFit="1" customWidth="1"/>
    <col min="13" max="13" width="1.5" style="71" customWidth="1"/>
    <col min="14" max="14" width="10.25" style="71" bestFit="1" customWidth="1"/>
    <col min="15" max="15" width="11.75" style="71" bestFit="1" customWidth="1"/>
    <col min="16" max="16" width="8.75" style="71" bestFit="1" customWidth="1"/>
    <col min="17" max="17" width="9.625" style="71" bestFit="1" customWidth="1"/>
    <col min="18" max="18" width="1.5" style="71" customWidth="1"/>
    <col min="19" max="19" width="10.25" style="71" bestFit="1" customWidth="1"/>
    <col min="20" max="20" width="11.375" style="71" bestFit="1" customWidth="1"/>
    <col min="21" max="21" width="8.5" style="71" bestFit="1" customWidth="1"/>
    <col min="22" max="22" width="9.625" style="71" bestFit="1" customWidth="1"/>
    <col min="23" max="16384" width="8" style="71"/>
  </cols>
  <sheetData>
    <row r="1" spans="1:22" s="51" customFormat="1" x14ac:dyDescent="0.2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Q1" s="71"/>
    </row>
    <row r="2" spans="1:22" s="51" customFormat="1" ht="15.75" x14ac:dyDescent="0.25">
      <c r="A2" s="52" t="s">
        <v>453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N2" s="631" t="s">
        <v>659</v>
      </c>
      <c r="O2" s="632"/>
      <c r="P2" s="632"/>
      <c r="Q2" s="632"/>
      <c r="R2" s="632"/>
      <c r="S2" s="632"/>
      <c r="T2" s="632"/>
      <c r="U2" s="633"/>
      <c r="V2" s="633"/>
    </row>
    <row r="3" spans="1:22" s="51" customFormat="1" ht="12" thickBot="1" x14ac:dyDescent="0.25">
      <c r="A3" s="52" t="s">
        <v>654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  <c r="Q3" s="71"/>
    </row>
    <row r="4" spans="1:22" s="51" customFormat="1" ht="12.75" customHeight="1" thickBot="1" x14ac:dyDescent="0.25">
      <c r="A4" s="55"/>
      <c r="B4" s="53"/>
      <c r="C4" s="53"/>
      <c r="D4" s="56"/>
      <c r="E4" s="53"/>
      <c r="F4" s="56"/>
      <c r="G4" s="53"/>
      <c r="H4" s="53"/>
      <c r="I4" s="625">
        <v>2023</v>
      </c>
      <c r="J4" s="626"/>
      <c r="K4" s="626"/>
      <c r="L4" s="627"/>
      <c r="N4" s="625">
        <v>2024</v>
      </c>
      <c r="O4" s="626"/>
      <c r="P4" s="626"/>
      <c r="Q4" s="627"/>
      <c r="S4" s="628">
        <v>2025</v>
      </c>
      <c r="T4" s="629"/>
      <c r="U4" s="629"/>
      <c r="V4" s="630"/>
    </row>
    <row r="5" spans="1:22" s="61" customFormat="1" ht="109.5" customHeight="1" thickBot="1" x14ac:dyDescent="0.25">
      <c r="A5" s="57" t="s">
        <v>152</v>
      </c>
      <c r="B5" s="58" t="s">
        <v>454</v>
      </c>
      <c r="C5" s="58" t="s">
        <v>455</v>
      </c>
      <c r="D5" s="59" t="s">
        <v>456</v>
      </c>
      <c r="E5" s="59" t="str">
        <f>CONCATENATE(ROUND(E47*100,2),"% 
2022 GRC Energy (Docket No. UE-22xxxx)")</f>
        <v>20% 
2022 GRC Energy (Docket No. UE-22xxxx)</v>
      </c>
      <c r="F5" s="59" t="s">
        <v>457</v>
      </c>
      <c r="G5" s="59" t="str">
        <f>CONCATENATE(ROUND(G47*100,2),"% 
2022 GRC Demand (Docket No. UE-22xxxx)")</f>
        <v>80% 
2022 GRC Demand (Docket No. UE-22xxxx)</v>
      </c>
      <c r="H5" s="60" t="s">
        <v>458</v>
      </c>
      <c r="I5" s="415" t="s">
        <v>459</v>
      </c>
      <c r="J5" s="416" t="s">
        <v>460</v>
      </c>
      <c r="K5" s="416" t="s">
        <v>612</v>
      </c>
      <c r="L5" s="417" t="s">
        <v>613</v>
      </c>
      <c r="N5" s="415" t="s">
        <v>488</v>
      </c>
      <c r="O5" s="416" t="s">
        <v>620</v>
      </c>
      <c r="P5" s="416" t="s">
        <v>621</v>
      </c>
      <c r="Q5" s="417" t="s">
        <v>492</v>
      </c>
      <c r="S5" s="415" t="s">
        <v>491</v>
      </c>
      <c r="T5" s="416" t="s">
        <v>489</v>
      </c>
      <c r="U5" s="416" t="s">
        <v>490</v>
      </c>
      <c r="V5" s="417" t="s">
        <v>493</v>
      </c>
    </row>
    <row r="6" spans="1:22" s="69" customFormat="1" ht="39" customHeight="1" x14ac:dyDescent="0.2">
      <c r="A6" s="62"/>
      <c r="B6" s="63"/>
      <c r="C6" s="63"/>
      <c r="D6" s="64" t="s">
        <v>357</v>
      </c>
      <c r="E6" s="65" t="s">
        <v>529</v>
      </c>
      <c r="F6" s="64" t="s">
        <v>369</v>
      </c>
      <c r="G6" s="65" t="s">
        <v>530</v>
      </c>
      <c r="H6" s="66" t="s">
        <v>461</v>
      </c>
      <c r="I6" s="406" t="s">
        <v>362</v>
      </c>
      <c r="J6" s="67" t="s">
        <v>462</v>
      </c>
      <c r="K6" s="66" t="s">
        <v>364</v>
      </c>
      <c r="L6" s="68" t="s">
        <v>463</v>
      </c>
      <c r="N6" s="70" t="s">
        <v>373</v>
      </c>
      <c r="O6" s="66" t="s">
        <v>416</v>
      </c>
      <c r="P6" s="67" t="s">
        <v>417</v>
      </c>
      <c r="Q6" s="68" t="s">
        <v>418</v>
      </c>
      <c r="R6" s="71"/>
      <c r="S6" s="72" t="s">
        <v>419</v>
      </c>
      <c r="T6" s="73" t="s">
        <v>420</v>
      </c>
      <c r="U6" s="74" t="s">
        <v>421</v>
      </c>
      <c r="V6" s="75" t="s">
        <v>422</v>
      </c>
    </row>
    <row r="7" spans="1:22" x14ac:dyDescent="0.2">
      <c r="A7" s="76">
        <v>1</v>
      </c>
      <c r="B7" s="71" t="s">
        <v>608</v>
      </c>
      <c r="C7" s="77">
        <v>7</v>
      </c>
      <c r="D7" s="44">
        <v>11289690774.498602</v>
      </c>
      <c r="E7" s="78">
        <f>+D7/D$47*0.2</f>
        <v>0.10977174165570475</v>
      </c>
      <c r="F7" s="44">
        <v>2085925.9513142572</v>
      </c>
      <c r="G7" s="78">
        <f>+F7/F$47*0.8</f>
        <v>0.47242859385465685</v>
      </c>
      <c r="H7" s="78">
        <f>+G7+E7</f>
        <v>0.58220033551036154</v>
      </c>
      <c r="I7" s="407"/>
      <c r="J7" s="28">
        <f>+H7*($I$47)</f>
        <v>29261388.938281883</v>
      </c>
      <c r="K7" s="44">
        <f>'Exhibit No.__(BDJ-MYRP-SUM)'!$K$14*1000</f>
        <v>10963050375.5</v>
      </c>
      <c r="L7" s="79">
        <f>(+J7/K7)</f>
        <v>2.6690918983346672E-3</v>
      </c>
      <c r="N7" s="80">
        <f>+H7*($N$63)</f>
        <v>31457051.598986581</v>
      </c>
      <c r="O7" s="44">
        <f>'Exhibit No.__(BDJ-MYRP-SUM)'!$Q$14*1000</f>
        <v>11064440869.5</v>
      </c>
      <c r="P7" s="81">
        <f>(+N7/O7)</f>
        <v>2.8430764798698877E-3</v>
      </c>
      <c r="Q7" s="82">
        <f>(+P7-L7)*O7</f>
        <v>1925042.1146011481</v>
      </c>
      <c r="S7" s="290"/>
      <c r="T7" s="291"/>
      <c r="U7" s="292"/>
      <c r="V7" s="293"/>
    </row>
    <row r="8" spans="1:22" x14ac:dyDescent="0.2">
      <c r="A8" s="76">
        <f t="shared" ref="A8:A53" si="0">+A7+1</f>
        <v>2</v>
      </c>
      <c r="C8" s="84"/>
      <c r="E8" s="78"/>
      <c r="G8" s="78"/>
      <c r="H8" s="78"/>
      <c r="I8" s="407"/>
      <c r="J8" s="28"/>
      <c r="K8" s="44"/>
      <c r="L8" s="85"/>
      <c r="N8" s="80"/>
      <c r="O8" s="44"/>
      <c r="P8" s="86"/>
      <c r="Q8" s="82"/>
      <c r="S8" s="80"/>
      <c r="T8" s="44"/>
      <c r="U8" s="86"/>
      <c r="V8" s="82"/>
    </row>
    <row r="9" spans="1:22" x14ac:dyDescent="0.2">
      <c r="A9" s="76">
        <f t="shared" si="0"/>
        <v>3</v>
      </c>
      <c r="B9" s="88" t="s">
        <v>609</v>
      </c>
      <c r="C9" s="87" t="s">
        <v>464</v>
      </c>
      <c r="D9" s="44">
        <v>2650509853.8373485</v>
      </c>
      <c r="E9" s="78">
        <f>+D9/D$47*0.2</f>
        <v>2.5771395226212902E-2</v>
      </c>
      <c r="F9" s="44">
        <v>442083.12923040631</v>
      </c>
      <c r="G9" s="78">
        <f>+F9/F$47*0.8</f>
        <v>0.10012470048498022</v>
      </c>
      <c r="H9" s="78">
        <f>+G9+E9</f>
        <v>0.12589609571119312</v>
      </c>
      <c r="I9" s="407"/>
      <c r="J9" s="28">
        <f>+H9*($I$47)</f>
        <v>6327537.786777555</v>
      </c>
      <c r="K9" s="44">
        <f>'Exhibit No.__(BDJ-MYRP-SUM)'!K15*1000</f>
        <v>2697633000</v>
      </c>
      <c r="L9" s="79">
        <f t="shared" ref="L9" si="1">(+J9/K9)</f>
        <v>2.3455888131475094E-3</v>
      </c>
      <c r="N9" s="80">
        <f>+H9*($N$63)</f>
        <v>6802332.0107266968</v>
      </c>
      <c r="O9" s="44">
        <f>'Exhibit No.__(BDJ-MYRP-SUM)'!Q15*1000</f>
        <v>2730372000</v>
      </c>
      <c r="P9" s="81">
        <f t="shared" ref="P9" si="2">(+N9/O9)</f>
        <v>2.4913572255819707E-3</v>
      </c>
      <c r="Q9" s="82">
        <f t="shared" ref="Q9" si="3">(+P9-L9)*O9</f>
        <v>398001.99179550487</v>
      </c>
      <c r="S9" s="290"/>
      <c r="T9" s="44"/>
      <c r="U9" s="292"/>
      <c r="V9" s="293"/>
    </row>
    <row r="10" spans="1:22" x14ac:dyDescent="0.2">
      <c r="A10" s="76">
        <f t="shared" si="0"/>
        <v>4</v>
      </c>
      <c r="B10" s="88"/>
      <c r="C10" s="87"/>
      <c r="E10" s="78"/>
      <c r="G10" s="78"/>
      <c r="H10" s="78"/>
      <c r="I10" s="407"/>
      <c r="J10" s="28"/>
      <c r="K10" s="44"/>
      <c r="L10" s="79"/>
      <c r="N10" s="83"/>
      <c r="O10" s="44"/>
      <c r="P10" s="81"/>
      <c r="Q10" s="82"/>
      <c r="S10" s="83"/>
      <c r="T10" s="44"/>
      <c r="U10" s="81"/>
      <c r="V10" s="82"/>
    </row>
    <row r="11" spans="1:22" x14ac:dyDescent="0.2">
      <c r="A11" s="76">
        <f t="shared" si="0"/>
        <v>5</v>
      </c>
      <c r="B11" s="71" t="s">
        <v>611</v>
      </c>
      <c r="C11" s="87" t="s">
        <v>465</v>
      </c>
      <c r="E11" s="78"/>
      <c r="G11" s="78"/>
      <c r="H11" s="78"/>
      <c r="I11" s="407"/>
      <c r="J11" s="28">
        <f>J13*0.2</f>
        <v>1359950.0253676772</v>
      </c>
      <c r="K11" s="44">
        <f>'Exhibit No.__(BDJ-MYRP-SUM)'!K16*1000</f>
        <v>2911699000.0000005</v>
      </c>
      <c r="L11" s="79">
        <f t="shared" ref="L11:L12" si="4">(+J11/K11)</f>
        <v>4.6706408367337319E-4</v>
      </c>
      <c r="N11" s="80">
        <f>N13*0.2</f>
        <v>1461995.4715842691</v>
      </c>
      <c r="O11" s="44">
        <f>'Exhibit No.__(BDJ-MYRP-SUM)'!Q16*1000</f>
        <v>2948172000</v>
      </c>
      <c r="P11" s="81">
        <f>(+N11/O11)</f>
        <v>4.9589897454567413E-4</v>
      </c>
      <c r="Q11" s="82">
        <f>(+P11-L11)*O11</f>
        <v>85010.217892773202</v>
      </c>
      <c r="S11" s="290"/>
      <c r="T11" s="44"/>
      <c r="U11" s="292"/>
      <c r="V11" s="293"/>
    </row>
    <row r="12" spans="1:22" x14ac:dyDescent="0.2">
      <c r="A12" s="76">
        <f t="shared" si="0"/>
        <v>6</v>
      </c>
      <c r="B12" s="71" t="s">
        <v>638</v>
      </c>
      <c r="C12" s="87" t="s">
        <v>465</v>
      </c>
      <c r="E12" s="78"/>
      <c r="G12" s="78"/>
      <c r="H12" s="78"/>
      <c r="I12" s="407"/>
      <c r="J12" s="198">
        <f>J13*0.8</f>
        <v>5439800.1014707088</v>
      </c>
      <c r="K12" s="44">
        <f>'Exhibit No.__(BDJ-MYRP)'!I48</f>
        <v>4517476.3347322866</v>
      </c>
      <c r="L12" s="500">
        <f t="shared" si="4"/>
        <v>1.2041679243889345</v>
      </c>
      <c r="N12" s="405">
        <f>N13*0.8</f>
        <v>5847981.8863370763</v>
      </c>
      <c r="O12" s="44">
        <f>'Exhibit No.__(BDJ-MYRP)'!O48</f>
        <v>4573600.5929537248</v>
      </c>
      <c r="P12" s="501">
        <f>(+N12/O12)</f>
        <v>1.2786385184895059</v>
      </c>
      <c r="Q12" s="82">
        <f>(+P12-L12)*O12</f>
        <v>340598.75333598972</v>
      </c>
      <c r="S12" s="294"/>
      <c r="T12" s="291"/>
      <c r="U12" s="295"/>
      <c r="V12" s="293"/>
    </row>
    <row r="13" spans="1:22" x14ac:dyDescent="0.2">
      <c r="A13" s="76">
        <f t="shared" si="0"/>
        <v>7</v>
      </c>
      <c r="B13" s="71" t="s">
        <v>610</v>
      </c>
      <c r="C13" s="87" t="s">
        <v>465</v>
      </c>
      <c r="D13" s="44">
        <v>2848339505.8642573</v>
      </c>
      <c r="E13" s="78">
        <f>+D13/D$47*0.2</f>
        <v>2.7694929350211114E-2</v>
      </c>
      <c r="F13" s="44">
        <v>475073.8072564879</v>
      </c>
      <c r="G13" s="78">
        <f>+F13/F$47*0.8</f>
        <v>0.10759655710594679</v>
      </c>
      <c r="H13" s="78">
        <f>+G13+E13</f>
        <v>0.13529148645615791</v>
      </c>
      <c r="I13" s="407"/>
      <c r="J13" s="404">
        <f>+H13*($I$47)</f>
        <v>6799750.1268383861</v>
      </c>
      <c r="K13" s="44"/>
      <c r="L13" s="79"/>
      <c r="N13" s="80">
        <f>+H13*($N$63)</f>
        <v>7309977.3579213452</v>
      </c>
      <c r="O13" s="44"/>
      <c r="Q13" s="89"/>
      <c r="S13" s="296"/>
      <c r="T13" s="44"/>
      <c r="V13" s="89"/>
    </row>
    <row r="14" spans="1:22" x14ac:dyDescent="0.2">
      <c r="A14" s="76">
        <f t="shared" si="0"/>
        <v>8</v>
      </c>
      <c r="C14" s="87"/>
      <c r="E14" s="78"/>
      <c r="G14" s="78"/>
      <c r="H14" s="78"/>
      <c r="I14" s="407"/>
      <c r="J14" s="28"/>
      <c r="K14" s="44"/>
      <c r="L14" s="79"/>
      <c r="N14" s="83"/>
      <c r="O14" s="44"/>
      <c r="P14" s="81"/>
      <c r="Q14" s="82"/>
      <c r="S14" s="83"/>
      <c r="T14" s="44"/>
      <c r="U14" s="81"/>
      <c r="V14" s="82"/>
    </row>
    <row r="15" spans="1:22" x14ac:dyDescent="0.2">
      <c r="A15" s="76">
        <f t="shared" si="0"/>
        <v>9</v>
      </c>
      <c r="B15" s="71" t="s">
        <v>615</v>
      </c>
      <c r="C15" s="87" t="s">
        <v>466</v>
      </c>
      <c r="E15" s="78"/>
      <c r="G15" s="78"/>
      <c r="H15" s="78"/>
      <c r="I15" s="407"/>
      <c r="J15" s="28">
        <f>J17*0.2</f>
        <v>785423.8005608269</v>
      </c>
      <c r="K15" s="44">
        <f>'Exhibit No.__(BDJ-MYRP-SUM)'!K17*1000</f>
        <v>1831289000</v>
      </c>
      <c r="L15" s="79">
        <f>(+J15/K15)</f>
        <v>4.2889123484104742E-4</v>
      </c>
      <c r="N15" s="80">
        <f>N17*0.2</f>
        <v>844358.99722416885</v>
      </c>
      <c r="O15" s="44">
        <f>'Exhibit No.__(BDJ-MYRP-SUM)'!Q17*1000</f>
        <v>1853862000</v>
      </c>
      <c r="P15" s="81">
        <f>(+N15/O15)</f>
        <v>4.5545946635950724E-4</v>
      </c>
      <c r="Q15" s="82">
        <f>(+P15-L15)*O15</f>
        <v>49253.834819274962</v>
      </c>
      <c r="S15" s="290"/>
      <c r="T15" s="44"/>
      <c r="U15" s="292"/>
      <c r="V15" s="293"/>
    </row>
    <row r="16" spans="1:22" x14ac:dyDescent="0.2">
      <c r="A16" s="76">
        <f t="shared" si="0"/>
        <v>10</v>
      </c>
      <c r="B16" s="71" t="s">
        <v>618</v>
      </c>
      <c r="C16" s="87" t="s">
        <v>466</v>
      </c>
      <c r="E16" s="78"/>
      <c r="G16" s="78"/>
      <c r="H16" s="78"/>
      <c r="I16" s="407"/>
      <c r="J16" s="198">
        <f>J17*0.8</f>
        <v>3141695.2022433076</v>
      </c>
      <c r="K16" s="44">
        <f>'Exhibit No.__(BDJ-MYRP)'!I61</f>
        <v>4426846.4048776105</v>
      </c>
      <c r="L16" s="500">
        <f>(+J16/K16)</f>
        <v>0.7096914857451817</v>
      </c>
      <c r="N16" s="405">
        <f>N17*0.8</f>
        <v>3377435.9888966754</v>
      </c>
      <c r="O16" s="44">
        <f>'Exhibit No.__(BDJ-MYRP)'!O61</f>
        <v>4435559.87969926</v>
      </c>
      <c r="P16" s="501">
        <f>(+N16/O16)</f>
        <v>0.76144524716137352</v>
      </c>
      <c r="Q16" s="82">
        <f>(+P16-L16)*O16</f>
        <v>229556.90776118796</v>
      </c>
      <c r="S16" s="294"/>
      <c r="T16" s="291"/>
      <c r="U16" s="295"/>
      <c r="V16" s="293"/>
    </row>
    <row r="17" spans="1:22" x14ac:dyDescent="0.2">
      <c r="A17" s="76">
        <f t="shared" si="0"/>
        <v>11</v>
      </c>
      <c r="B17" s="71" t="s">
        <v>614</v>
      </c>
      <c r="C17" s="87" t="s">
        <v>466</v>
      </c>
      <c r="D17" s="44">
        <v>1761654196.4658761</v>
      </c>
      <c r="E17" s="78">
        <f>+D17/D$47*0.2</f>
        <v>1.7128888045184625E-2</v>
      </c>
      <c r="F17" s="44">
        <v>269366.56769329851</v>
      </c>
      <c r="G17" s="78">
        <f>+F17/F$47*0.8</f>
        <v>6.100718423231713E-2</v>
      </c>
      <c r="H17" s="78">
        <f>+G17+E17</f>
        <v>7.8136072277501759E-2</v>
      </c>
      <c r="I17" s="407"/>
      <c r="J17" s="28">
        <f>+H17*($I$47)</f>
        <v>3927119.0028041345</v>
      </c>
      <c r="K17" s="44"/>
      <c r="L17" s="79"/>
      <c r="N17" s="80">
        <f>+H17*($N$63)</f>
        <v>4221794.9861208443</v>
      </c>
      <c r="O17" s="44"/>
      <c r="Q17" s="89"/>
      <c r="S17" s="296"/>
      <c r="T17" s="44"/>
      <c r="V17" s="89"/>
    </row>
    <row r="18" spans="1:22" x14ac:dyDescent="0.2">
      <c r="A18" s="76">
        <f t="shared" si="0"/>
        <v>12</v>
      </c>
      <c r="C18" s="87"/>
      <c r="E18" s="78"/>
      <c r="G18" s="78"/>
      <c r="H18" s="78"/>
      <c r="I18" s="407"/>
      <c r="J18" s="28"/>
      <c r="L18" s="89"/>
      <c r="N18" s="83"/>
      <c r="P18" s="81"/>
      <c r="Q18" s="82"/>
      <c r="S18" s="83"/>
      <c r="T18" s="44"/>
      <c r="U18" s="81"/>
      <c r="V18" s="82"/>
    </row>
    <row r="19" spans="1:22" x14ac:dyDescent="0.2">
      <c r="A19" s="76">
        <f t="shared" si="0"/>
        <v>13</v>
      </c>
      <c r="B19" s="71" t="s">
        <v>617</v>
      </c>
      <c r="C19" s="87">
        <v>29</v>
      </c>
      <c r="E19" s="78"/>
      <c r="G19" s="78"/>
      <c r="H19" s="78"/>
      <c r="I19" s="407"/>
      <c r="J19" s="28">
        <f>J21*0.2</f>
        <v>7296.2737798566613</v>
      </c>
      <c r="K19" s="44">
        <f>'Exhibit No.__(BDJ-MYRP-SUM)'!K18*1000</f>
        <v>15100966.499999998</v>
      </c>
      <c r="L19" s="79">
        <f>(+J19/K19)</f>
        <v>4.8316601323873291E-4</v>
      </c>
      <c r="N19" s="80">
        <f>N21*0.2</f>
        <v>7843.7582459734176</v>
      </c>
      <c r="O19" s="44">
        <f>'Exhibit No.__(BDJ-MYRP-SUM)'!Q18*1000</f>
        <v>15233452.5</v>
      </c>
      <c r="P19" s="81">
        <f>(+N19/O19)</f>
        <v>5.1490351553421117E-4</v>
      </c>
      <c r="Q19" s="82">
        <f>(+P19-L19)*O19</f>
        <v>483.47173368680916</v>
      </c>
      <c r="S19" s="290"/>
      <c r="T19" s="291"/>
      <c r="U19" s="292"/>
      <c r="V19" s="293"/>
    </row>
    <row r="20" spans="1:22" x14ac:dyDescent="0.2">
      <c r="A20" s="76">
        <f t="shared" si="0"/>
        <v>14</v>
      </c>
      <c r="B20" s="71" t="s">
        <v>619</v>
      </c>
      <c r="C20" s="87">
        <v>29</v>
      </c>
      <c r="E20" s="78"/>
      <c r="G20" s="78"/>
      <c r="H20" s="78"/>
      <c r="I20" s="407"/>
      <c r="J20" s="198">
        <f>J21*0.8</f>
        <v>29185.095119426645</v>
      </c>
      <c r="K20" s="44">
        <f>'Exhibit No.__(BDJ-MYRP)'!I81</f>
        <v>6253.5</v>
      </c>
      <c r="L20" s="500">
        <f>(+J20/K20)</f>
        <v>4.6670016981572955</v>
      </c>
      <c r="N20" s="405">
        <f>N21*0.8</f>
        <v>31375.03298389367</v>
      </c>
      <c r="O20" s="44">
        <f>'Exhibit No.__(BDJ-MYRP)'!O81</f>
        <v>6321</v>
      </c>
      <c r="P20" s="501">
        <f>(+N20/O20)</f>
        <v>4.9636185704625326</v>
      </c>
      <c r="Q20" s="82">
        <f>(+P20-L20)*O20</f>
        <v>1874.9152498414039</v>
      </c>
      <c r="S20" s="294"/>
      <c r="T20" s="291"/>
      <c r="U20" s="295"/>
      <c r="V20" s="293"/>
    </row>
    <row r="21" spans="1:22" x14ac:dyDescent="0.2">
      <c r="A21" s="76">
        <f t="shared" si="0"/>
        <v>15</v>
      </c>
      <c r="B21" s="71" t="s">
        <v>616</v>
      </c>
      <c r="C21" s="87">
        <v>29</v>
      </c>
      <c r="D21" s="44">
        <v>15210528.869569011</v>
      </c>
      <c r="E21" s="78">
        <f>+D21/D$47*0.2</f>
        <v>1.478947722189603E-4</v>
      </c>
      <c r="F21" s="44">
        <v>2551.8733588958303</v>
      </c>
      <c r="G21" s="78">
        <f>+F21/F$47*0.8</f>
        <v>5.7795816859113882E-4</v>
      </c>
      <c r="H21" s="78">
        <f>+G21+E21</f>
        <v>7.2585294081009913E-4</v>
      </c>
      <c r="I21" s="407"/>
      <c r="J21" s="28">
        <f>+H21*($I$47)</f>
        <v>36481.368899283305</v>
      </c>
      <c r="K21" s="44"/>
      <c r="L21" s="79"/>
      <c r="N21" s="80">
        <f>+H21*($N$63)</f>
        <v>39218.791229867085</v>
      </c>
      <c r="O21" s="44"/>
      <c r="Q21" s="89"/>
      <c r="S21" s="296"/>
      <c r="T21" s="44"/>
      <c r="V21" s="89"/>
    </row>
    <row r="22" spans="1:22" x14ac:dyDescent="0.2">
      <c r="A22" s="76">
        <f t="shared" si="0"/>
        <v>16</v>
      </c>
      <c r="C22" s="87"/>
      <c r="E22" s="78"/>
      <c r="G22" s="78"/>
      <c r="H22" s="78"/>
      <c r="I22" s="407"/>
      <c r="J22" s="28"/>
      <c r="K22" s="44"/>
      <c r="L22" s="85"/>
      <c r="N22" s="80"/>
      <c r="O22" s="44"/>
      <c r="P22" s="86"/>
      <c r="Q22" s="82"/>
      <c r="S22" s="80"/>
      <c r="T22" s="44"/>
      <c r="U22" s="86"/>
      <c r="V22" s="82"/>
    </row>
    <row r="23" spans="1:22" x14ac:dyDescent="0.2">
      <c r="A23" s="76">
        <f t="shared" si="0"/>
        <v>17</v>
      </c>
      <c r="B23" s="71" t="s">
        <v>623</v>
      </c>
      <c r="C23" s="87" t="s">
        <v>467</v>
      </c>
      <c r="E23" s="78"/>
      <c r="G23" s="78"/>
      <c r="H23" s="78"/>
      <c r="I23" s="407"/>
      <c r="J23" s="28">
        <f>J25*0.2</f>
        <v>548490.00165933324</v>
      </c>
      <c r="K23" s="44">
        <f>'Exhibit No.__(BDJ-MYRP-SUM)'!K19*1000</f>
        <v>1332008000</v>
      </c>
      <c r="L23" s="79">
        <f>(+J23/K23)</f>
        <v>4.1177680739104663E-4</v>
      </c>
      <c r="N23" s="80">
        <f>N25*0.2</f>
        <v>589646.5926521041</v>
      </c>
      <c r="O23" s="44">
        <f>'Exhibit No.__(BDJ-MYRP-SUM)'!Q19*1000</f>
        <v>1335448000</v>
      </c>
      <c r="P23" s="81">
        <f>(+N23/O23)</f>
        <v>4.4153467050166243E-4</v>
      </c>
      <c r="Q23" s="82">
        <f>(+P23-L23)*O23</f>
        <v>39740.078775345639</v>
      </c>
      <c r="S23" s="290"/>
      <c r="T23" s="44"/>
      <c r="U23" s="292"/>
      <c r="V23" s="293"/>
    </row>
    <row r="24" spans="1:22" x14ac:dyDescent="0.2">
      <c r="A24" s="76">
        <f t="shared" si="0"/>
        <v>18</v>
      </c>
      <c r="B24" s="71" t="s">
        <v>624</v>
      </c>
      <c r="C24" s="87" t="s">
        <v>467</v>
      </c>
      <c r="E24" s="78"/>
      <c r="G24" s="78"/>
      <c r="H24" s="78"/>
      <c r="I24" s="407"/>
      <c r="J24" s="198">
        <f>J25*0.8</f>
        <v>2193960.006637333</v>
      </c>
      <c r="K24" s="44">
        <f>'Exhibit No.__(BDJ-MYRP)'!I95</f>
        <v>3292032.2143539358</v>
      </c>
      <c r="L24" s="500">
        <f>(+J24/K24)</f>
        <v>0.66644548527539227</v>
      </c>
      <c r="N24" s="405">
        <f>N25*0.8</f>
        <v>2358586.3706084164</v>
      </c>
      <c r="O24" s="44">
        <f>'Exhibit No.__(BDJ-MYRP)'!O95</f>
        <v>3273574.4614315722</v>
      </c>
      <c r="P24" s="501">
        <f>(+N24/O24)</f>
        <v>0.72049265975058319</v>
      </c>
      <c r="Q24" s="82">
        <f>(+P24-L24)*O24</f>
        <v>176927.45007452133</v>
      </c>
      <c r="S24" s="294"/>
      <c r="T24" s="291"/>
      <c r="U24" s="295"/>
      <c r="V24" s="293"/>
    </row>
    <row r="25" spans="1:22" x14ac:dyDescent="0.2">
      <c r="A25" s="76">
        <f t="shared" si="0"/>
        <v>19</v>
      </c>
      <c r="B25" s="71" t="s">
        <v>622</v>
      </c>
      <c r="C25" s="87" t="s">
        <v>467</v>
      </c>
      <c r="D25" s="44">
        <v>1244960837.6746433</v>
      </c>
      <c r="E25" s="78">
        <f>+D25/D$47*0.2</f>
        <v>1.2104983402502458E-2</v>
      </c>
      <c r="F25" s="44">
        <v>187475.93901391898</v>
      </c>
      <c r="G25" s="78">
        <f>+F25/F$47*0.8</f>
        <v>4.2460277266373442E-2</v>
      </c>
      <c r="H25" s="78">
        <f>+G25+E25</f>
        <v>5.4565260668875903E-2</v>
      </c>
      <c r="I25" s="407"/>
      <c r="J25" s="28">
        <f>+H25*($I$47)</f>
        <v>2742450.0082966662</v>
      </c>
      <c r="K25" s="44"/>
      <c r="L25" s="79"/>
      <c r="N25" s="80">
        <f>+H25*($N$63)</f>
        <v>2948232.9632605202</v>
      </c>
      <c r="O25" s="44"/>
      <c r="Q25" s="89"/>
      <c r="S25" s="296"/>
      <c r="T25" s="44"/>
      <c r="V25" s="89"/>
    </row>
    <row r="26" spans="1:22" x14ac:dyDescent="0.2">
      <c r="A26" s="76">
        <f t="shared" si="0"/>
        <v>20</v>
      </c>
      <c r="C26" s="87"/>
      <c r="E26" s="78"/>
      <c r="G26" s="78"/>
      <c r="H26" s="78"/>
      <c r="I26" s="407"/>
      <c r="J26" s="28"/>
      <c r="K26" s="44"/>
      <c r="L26" s="79"/>
      <c r="N26" s="83"/>
      <c r="O26" s="44"/>
      <c r="P26" s="81"/>
      <c r="Q26" s="82"/>
      <c r="S26" s="83"/>
      <c r="T26" s="44"/>
      <c r="U26" s="81"/>
      <c r="V26" s="82"/>
    </row>
    <row r="27" spans="1:22" x14ac:dyDescent="0.2">
      <c r="A27" s="76">
        <f t="shared" si="0"/>
        <v>21</v>
      </c>
      <c r="B27" s="71" t="s">
        <v>626</v>
      </c>
      <c r="C27" s="87">
        <v>35</v>
      </c>
      <c r="E27" s="78"/>
      <c r="G27" s="78"/>
      <c r="H27" s="78"/>
      <c r="I27" s="407"/>
      <c r="J27" s="28">
        <f>J29*0.2</f>
        <v>1320.8657882717703</v>
      </c>
      <c r="K27" s="44">
        <f>'Exhibit No.__(BDJ-MYRP-SUM)'!K20*1000</f>
        <v>4663000</v>
      </c>
      <c r="L27" s="79">
        <f>(+J27/K27)</f>
        <v>2.832652344567382E-4</v>
      </c>
      <c r="N27" s="80">
        <f>N29*0.2</f>
        <v>1419.9785028878691</v>
      </c>
      <c r="O27" s="44">
        <f>'Exhibit No.__(BDJ-MYRP-SUM)'!Q20*1000</f>
        <v>4695000</v>
      </c>
      <c r="P27" s="81">
        <f>(+N27/O27)</f>
        <v>3.0244483554587204E-4</v>
      </c>
      <c r="Q27" s="82">
        <f>(+P27-L27)*O27</f>
        <v>90.048227113483392</v>
      </c>
      <c r="S27" s="290"/>
      <c r="T27" s="44"/>
      <c r="U27" s="292"/>
      <c r="V27" s="293"/>
    </row>
    <row r="28" spans="1:22" x14ac:dyDescent="0.2">
      <c r="A28" s="76">
        <f t="shared" si="0"/>
        <v>22</v>
      </c>
      <c r="B28" s="71" t="s">
        <v>627</v>
      </c>
      <c r="C28" s="87">
        <v>35</v>
      </c>
      <c r="E28" s="78"/>
      <c r="G28" s="78"/>
      <c r="H28" s="78"/>
      <c r="I28" s="407"/>
      <c r="J28" s="198">
        <f>J29*0.8</f>
        <v>5283.4631530870811</v>
      </c>
      <c r="K28" s="44">
        <f>'Exhibit No.__(BDJ-MYRP)'!I108</f>
        <v>8496.3697717667001</v>
      </c>
      <c r="L28" s="500">
        <f>(+J28/K28)</f>
        <v>0.62184948336923185</v>
      </c>
      <c r="N28" s="405">
        <f>N29*0.8</f>
        <v>5679.9140115514765</v>
      </c>
      <c r="O28" s="44">
        <f>'Exhibit No.__(BDJ-MYRP)'!O108</f>
        <v>8591.077422783088</v>
      </c>
      <c r="P28" s="501">
        <f>(+N28/O28)</f>
        <v>0.66114105740551721</v>
      </c>
      <c r="Q28" s="82">
        <f>(+P28-L28)*O28</f>
        <v>337.55695460874131</v>
      </c>
      <c r="S28" s="294"/>
      <c r="T28" s="291"/>
      <c r="U28" s="295"/>
      <c r="V28" s="293"/>
    </row>
    <row r="29" spans="1:22" x14ac:dyDescent="0.2">
      <c r="A29" s="76">
        <f t="shared" si="0"/>
        <v>23</v>
      </c>
      <c r="B29" s="71" t="s">
        <v>625</v>
      </c>
      <c r="C29" s="87">
        <v>35</v>
      </c>
      <c r="D29" s="44">
        <v>4166514.0850937385</v>
      </c>
      <c r="E29" s="78">
        <f>+D29/D$47*0.2</f>
        <v>4.0511783439354425E-5</v>
      </c>
      <c r="F29" s="44">
        <v>401.31553606995664</v>
      </c>
      <c r="G29" s="78">
        <f>+F29/F$47*0.8</f>
        <v>9.0891497983474736E-5</v>
      </c>
      <c r="H29" s="78">
        <f>+G29+E29</f>
        <v>1.3140328142282915E-4</v>
      </c>
      <c r="I29" s="407"/>
      <c r="J29" s="28">
        <f>+H29*($I$47)</f>
        <v>6604.3289413588509</v>
      </c>
      <c r="K29" s="44"/>
      <c r="L29" s="79"/>
      <c r="N29" s="80">
        <f>+H29*($N$63)</f>
        <v>7099.8925144393452</v>
      </c>
      <c r="O29" s="44"/>
      <c r="Q29" s="89"/>
      <c r="S29" s="296"/>
      <c r="T29" s="44"/>
      <c r="V29" s="89"/>
    </row>
    <row r="30" spans="1:22" x14ac:dyDescent="0.2">
      <c r="A30" s="76">
        <f t="shared" si="0"/>
        <v>24</v>
      </c>
      <c r="C30" s="87"/>
      <c r="E30" s="78"/>
      <c r="G30" s="78"/>
      <c r="H30" s="78"/>
      <c r="I30" s="407"/>
      <c r="J30" s="28"/>
      <c r="K30" s="44"/>
      <c r="L30" s="79"/>
      <c r="N30" s="83"/>
      <c r="O30" s="44"/>
      <c r="P30" s="81"/>
      <c r="Q30" s="82"/>
      <c r="S30" s="83"/>
      <c r="T30" s="44"/>
      <c r="U30" s="81"/>
      <c r="V30" s="82"/>
    </row>
    <row r="31" spans="1:22" x14ac:dyDescent="0.2">
      <c r="A31" s="76">
        <f t="shared" si="0"/>
        <v>25</v>
      </c>
      <c r="B31" s="71" t="s">
        <v>629</v>
      </c>
      <c r="C31" s="87">
        <v>43</v>
      </c>
      <c r="E31" s="78"/>
      <c r="G31" s="78"/>
      <c r="H31" s="78"/>
      <c r="I31" s="407"/>
      <c r="J31" s="28">
        <f>J33*0.2</f>
        <v>10414.272753154297</v>
      </c>
      <c r="K31" s="44">
        <f>'Exhibit No.__(BDJ-MYRP-SUM)'!K21*1000</f>
        <v>118190000</v>
      </c>
      <c r="L31" s="79">
        <f>(+J31/K31)</f>
        <v>8.8114669203437663E-5</v>
      </c>
      <c r="N31" s="80">
        <f>N33*0.2</f>
        <v>11195.719931575139</v>
      </c>
      <c r="O31" s="44">
        <f>'Exhibit No.__(BDJ-MYRP-SUM)'!Q21*1000</f>
        <v>119782000</v>
      </c>
      <c r="P31" s="81">
        <f>(+N31/O31)</f>
        <v>9.3467465325133478E-5</v>
      </c>
      <c r="Q31" s="82">
        <f>(+P31-L31)*O31</f>
        <v>641.16862504896812</v>
      </c>
      <c r="S31" s="290"/>
      <c r="T31" s="44"/>
      <c r="U31" s="292"/>
      <c r="V31" s="293"/>
    </row>
    <row r="32" spans="1:22" x14ac:dyDescent="0.2">
      <c r="A32" s="76">
        <f t="shared" si="0"/>
        <v>26</v>
      </c>
      <c r="B32" s="71" t="s">
        <v>630</v>
      </c>
      <c r="C32" s="87">
        <v>43</v>
      </c>
      <c r="E32" s="78"/>
      <c r="G32" s="78"/>
      <c r="H32" s="78"/>
      <c r="I32" s="407"/>
      <c r="J32" s="198">
        <f>J33*0.8</f>
        <v>41657.091012617188</v>
      </c>
      <c r="K32" s="44">
        <f>'Exhibit No.__(BDJ-MYRP)'!I119</f>
        <v>593190.97908409662</v>
      </c>
      <c r="L32" s="500">
        <f>(+J32/K32)</f>
        <v>7.0225429046370358E-2</v>
      </c>
      <c r="N32" s="405">
        <f>N33*0.8</f>
        <v>44782.879726300554</v>
      </c>
      <c r="O32" s="44">
        <f>'Exhibit No.__(BDJ-MYRP)'!O119</f>
        <v>600868.62342584261</v>
      </c>
      <c r="P32" s="501">
        <f>(+N32/O32)</f>
        <v>7.4530235030366043E-2</v>
      </c>
      <c r="Q32" s="82">
        <f>(+P32-L32)*O32</f>
        <v>2586.6228457188172</v>
      </c>
      <c r="S32" s="294"/>
      <c r="T32" s="291"/>
      <c r="U32" s="295"/>
      <c r="V32" s="293"/>
    </row>
    <row r="33" spans="1:22" x14ac:dyDescent="0.2">
      <c r="A33" s="76">
        <f t="shared" si="0"/>
        <v>27</v>
      </c>
      <c r="B33" s="71" t="s">
        <v>628</v>
      </c>
      <c r="C33" s="87">
        <v>43</v>
      </c>
      <c r="D33" s="44">
        <v>106553558.62246363</v>
      </c>
      <c r="E33" s="78">
        <f>+D33/D$47*0.2</f>
        <v>1.0360398653275369E-3</v>
      </c>
      <c r="F33" s="44">
        <v>0</v>
      </c>
      <c r="G33" s="78">
        <f>+F33/F$47*0.8</f>
        <v>0</v>
      </c>
      <c r="H33" s="78">
        <f>+G33+E33</f>
        <v>1.0360398653275369E-3</v>
      </c>
      <c r="I33" s="407"/>
      <c r="J33" s="28">
        <f>+H33*($I$47)</f>
        <v>52071.363765771479</v>
      </c>
      <c r="K33" s="44"/>
      <c r="L33" s="79"/>
      <c r="N33" s="80">
        <f>+H33*($N$63)</f>
        <v>55978.599657875689</v>
      </c>
      <c r="O33" s="44"/>
      <c r="Q33" s="89"/>
      <c r="S33" s="296"/>
      <c r="T33" s="44"/>
      <c r="V33" s="89"/>
    </row>
    <row r="34" spans="1:22" x14ac:dyDescent="0.2">
      <c r="A34" s="76">
        <f t="shared" si="0"/>
        <v>28</v>
      </c>
      <c r="C34" s="87"/>
      <c r="E34" s="78"/>
      <c r="G34" s="78"/>
      <c r="H34" s="78"/>
      <c r="I34" s="407"/>
      <c r="J34" s="28"/>
      <c r="K34" s="44"/>
      <c r="L34" s="85"/>
      <c r="N34" s="80"/>
      <c r="O34" s="44"/>
      <c r="P34" s="86"/>
      <c r="Q34" s="82"/>
      <c r="S34" s="80"/>
      <c r="T34" s="44"/>
      <c r="U34" s="86"/>
      <c r="V34" s="82"/>
    </row>
    <row r="35" spans="1:22" x14ac:dyDescent="0.2">
      <c r="A35" s="76">
        <f t="shared" si="0"/>
        <v>29</v>
      </c>
      <c r="B35" s="88" t="s">
        <v>632</v>
      </c>
      <c r="C35" s="87">
        <v>46</v>
      </c>
      <c r="E35" s="78"/>
      <c r="G35" s="78"/>
      <c r="H35" s="78"/>
      <c r="I35" s="407"/>
      <c r="J35" s="28">
        <f>J37*0.2</f>
        <v>9168.8621376990232</v>
      </c>
      <c r="K35" s="44">
        <f>'Exhibit No.__(BDJ-MYRP-SUM)'!K22*1000</f>
        <v>89530525.500000015</v>
      </c>
      <c r="L35" s="79">
        <f>(+J35/K35)</f>
        <v>1.0241045818165137E-4</v>
      </c>
      <c r="N35" s="80">
        <f>N37*0.2</f>
        <v>9856.858468951672</v>
      </c>
      <c r="O35" s="44">
        <f>'Exhibit No.__(BDJ-MYRP-SUM)'!Q22*1000</f>
        <v>89210525.500000015</v>
      </c>
      <c r="P35" s="81">
        <f>(+N35/O35)</f>
        <v>1.1048985995438028E-4</v>
      </c>
      <c r="Q35" s="82">
        <f>(+P35-L35)*O35</f>
        <v>720.7676778707779</v>
      </c>
      <c r="S35" s="290"/>
      <c r="T35" s="291"/>
      <c r="U35" s="292"/>
      <c r="V35" s="293"/>
    </row>
    <row r="36" spans="1:22" x14ac:dyDescent="0.2">
      <c r="A36" s="76">
        <f t="shared" si="0"/>
        <v>30</v>
      </c>
      <c r="B36" s="88" t="s">
        <v>635</v>
      </c>
      <c r="C36" s="87">
        <v>46</v>
      </c>
      <c r="E36" s="78"/>
      <c r="G36" s="78"/>
      <c r="H36" s="78"/>
      <c r="I36" s="407"/>
      <c r="J36" s="198">
        <f>J37*0.8</f>
        <v>36675.448550796093</v>
      </c>
      <c r="K36" s="44">
        <f>'Exhibit No.__(BDJ-MYRP)'!I130</f>
        <v>373997.99999999994</v>
      </c>
      <c r="L36" s="500">
        <f>(+J36/K36)</f>
        <v>9.806322106213429E-2</v>
      </c>
      <c r="N36" s="405">
        <f>N37*0.8</f>
        <v>39427.433875806688</v>
      </c>
      <c r="O36" s="44">
        <f>'Exhibit No.__(BDJ-MYRP)'!O130</f>
        <v>372083.5</v>
      </c>
      <c r="P36" s="501">
        <f>(+N36/O36)</f>
        <v>0.10596394055583408</v>
      </c>
      <c r="Q36" s="82">
        <f>(+P36-L36)*O36</f>
        <v>2939.7273617340456</v>
      </c>
      <c r="S36" s="294"/>
      <c r="T36" s="291"/>
      <c r="U36" s="295"/>
      <c r="V36" s="293"/>
    </row>
    <row r="37" spans="1:22" x14ac:dyDescent="0.2">
      <c r="A37" s="76">
        <f t="shared" si="0"/>
        <v>31</v>
      </c>
      <c r="B37" s="88" t="s">
        <v>631</v>
      </c>
      <c r="C37" s="87">
        <v>46</v>
      </c>
      <c r="D37" s="44">
        <v>93811148.646427751</v>
      </c>
      <c r="E37" s="78">
        <f>+D37/D$47*0.2</f>
        <v>9.1214306745243234E-4</v>
      </c>
      <c r="F37" s="44">
        <v>0</v>
      </c>
      <c r="G37" s="78">
        <f>+F37/F$47*0.8</f>
        <v>0</v>
      </c>
      <c r="H37" s="78">
        <f>+G37+E37</f>
        <v>9.1214306745243234E-4</v>
      </c>
      <c r="I37" s="407"/>
      <c r="J37" s="28">
        <f>+H37*($I$47)</f>
        <v>45844.310688495112</v>
      </c>
      <c r="K37" s="44"/>
      <c r="L37" s="79"/>
      <c r="N37" s="80">
        <f>+H37*($N$63)</f>
        <v>49284.29234475836</v>
      </c>
      <c r="O37" s="44"/>
      <c r="Q37" s="89"/>
      <c r="S37" s="296"/>
      <c r="T37" s="44"/>
      <c r="V37" s="89"/>
    </row>
    <row r="38" spans="1:22" x14ac:dyDescent="0.2">
      <c r="A38" s="76">
        <f t="shared" si="0"/>
        <v>32</v>
      </c>
      <c r="B38" s="88"/>
      <c r="C38" s="87"/>
      <c r="E38" s="78"/>
      <c r="G38" s="78"/>
      <c r="H38" s="78"/>
      <c r="I38" s="407"/>
      <c r="J38" s="28"/>
      <c r="K38" s="44"/>
      <c r="L38" s="79"/>
      <c r="N38" s="83"/>
      <c r="O38" s="44"/>
      <c r="P38" s="81"/>
      <c r="Q38" s="82"/>
      <c r="S38" s="83"/>
      <c r="T38" s="44"/>
      <c r="U38" s="81"/>
      <c r="V38" s="82"/>
    </row>
    <row r="39" spans="1:22" x14ac:dyDescent="0.2">
      <c r="A39" s="76">
        <f t="shared" si="0"/>
        <v>33</v>
      </c>
      <c r="B39" s="88" t="s">
        <v>634</v>
      </c>
      <c r="C39" s="87">
        <v>49</v>
      </c>
      <c r="E39" s="78"/>
      <c r="G39" s="78"/>
      <c r="H39" s="78"/>
      <c r="I39" s="407"/>
      <c r="J39" s="28">
        <f>J41*0.2</f>
        <v>193951.42072211314</v>
      </c>
      <c r="K39" s="44">
        <f>'Exhibit No.__(BDJ-MYRP-SUM)'!K23*1000</f>
        <v>504715000</v>
      </c>
      <c r="L39" s="79">
        <f>(+J39/K39)</f>
        <v>3.8427908962902459E-4</v>
      </c>
      <c r="N39" s="80">
        <f>N41*0.2</f>
        <v>208504.79320106067</v>
      </c>
      <c r="O39" s="44">
        <f>'Exhibit No.__(BDJ-MYRP-SUM)'!Q23*1000</f>
        <v>499683000</v>
      </c>
      <c r="P39" s="81">
        <f>(+N39/O39)</f>
        <v>4.1727413820574381E-4</v>
      </c>
      <c r="Q39" s="82">
        <f>(+P39-L39)*O39</f>
        <v>16487.064857960788</v>
      </c>
      <c r="S39" s="290"/>
      <c r="T39" s="44"/>
      <c r="U39" s="292"/>
      <c r="V39" s="293"/>
    </row>
    <row r="40" spans="1:22" x14ac:dyDescent="0.2">
      <c r="A40" s="76">
        <f t="shared" si="0"/>
        <v>34</v>
      </c>
      <c r="B40" s="88" t="s">
        <v>636</v>
      </c>
      <c r="C40" s="87">
        <v>49</v>
      </c>
      <c r="E40" s="78"/>
      <c r="G40" s="78"/>
      <c r="H40" s="78"/>
      <c r="I40" s="407"/>
      <c r="J40" s="198">
        <f>J41*0.8</f>
        <v>775805.68288845255</v>
      </c>
      <c r="K40" s="44">
        <f>'Exhibit No.__(BDJ-MYRP)'!I138</f>
        <v>1244995.9124206307</v>
      </c>
      <c r="L40" s="500">
        <f>(+J40/K40)</f>
        <v>0.62313914057762876</v>
      </c>
      <c r="N40" s="405">
        <f>N41*0.8</f>
        <v>834019.1728042427</v>
      </c>
      <c r="O40" s="44">
        <f>'Exhibit No.__(BDJ-MYRP)'!O138</f>
        <v>1235914.6702547306</v>
      </c>
      <c r="P40" s="501">
        <f>(+N40/O40)</f>
        <v>0.67481938104379446</v>
      </c>
      <c r="Q40" s="82">
        <f>(+P40-L40)*O40</f>
        <v>63872.367354426373</v>
      </c>
      <c r="S40" s="294"/>
      <c r="T40" s="291"/>
      <c r="U40" s="295"/>
      <c r="V40" s="293"/>
    </row>
    <row r="41" spans="1:22" x14ac:dyDescent="0.2">
      <c r="A41" s="76">
        <f t="shared" si="0"/>
        <v>35</v>
      </c>
      <c r="B41" s="88" t="s">
        <v>633</v>
      </c>
      <c r="C41" s="87">
        <v>49</v>
      </c>
      <c r="D41" s="44">
        <v>477634882.60558343</v>
      </c>
      <c r="E41" s="78">
        <f>+D41/D$47*0.2</f>
        <v>4.6441318886753583E-3</v>
      </c>
      <c r="F41" s="44">
        <v>64687.506260655966</v>
      </c>
      <c r="G41" s="78">
        <f>+F41/F$47*0.8</f>
        <v>1.4650677126592749E-2</v>
      </c>
      <c r="H41" s="78">
        <f>+G41+E41</f>
        <v>1.9294809015268109E-2</v>
      </c>
      <c r="I41" s="407"/>
      <c r="J41" s="28">
        <f>+H41*($I$47)</f>
        <v>969757.10361056565</v>
      </c>
      <c r="K41" s="44"/>
      <c r="L41" s="79"/>
      <c r="N41" s="80">
        <f>+H41*($N$63)</f>
        <v>1042523.9660053033</v>
      </c>
      <c r="O41" s="44"/>
      <c r="Q41" s="89"/>
      <c r="S41" s="296"/>
      <c r="T41" s="44"/>
      <c r="V41" s="89"/>
    </row>
    <row r="42" spans="1:22" x14ac:dyDescent="0.2">
      <c r="A42" s="76">
        <f t="shared" si="0"/>
        <v>36</v>
      </c>
      <c r="B42" s="88"/>
      <c r="C42" s="87"/>
      <c r="E42" s="78"/>
      <c r="G42" s="78"/>
      <c r="H42" s="78"/>
      <c r="I42" s="407"/>
      <c r="J42" s="28"/>
      <c r="K42" s="44"/>
      <c r="L42" s="85"/>
      <c r="N42" s="80"/>
      <c r="O42" s="44"/>
      <c r="P42" s="86"/>
      <c r="Q42" s="82"/>
      <c r="S42" s="80"/>
      <c r="T42" s="44"/>
      <c r="U42" s="86"/>
      <c r="V42" s="82"/>
    </row>
    <row r="43" spans="1:22" x14ac:dyDescent="0.2">
      <c r="A43" s="76">
        <f t="shared" si="0"/>
        <v>37</v>
      </c>
      <c r="B43" s="71" t="s">
        <v>468</v>
      </c>
      <c r="C43" s="87" t="s">
        <v>65</v>
      </c>
      <c r="D43" s="44">
        <v>69921349.876824558</v>
      </c>
      <c r="E43" s="78">
        <f>+D43/D$47*0.2</f>
        <v>6.798581562777841E-4</v>
      </c>
      <c r="F43" s="44">
        <v>3735.6122611509818</v>
      </c>
      <c r="G43" s="78">
        <f>+F43/F$47*0.8</f>
        <v>8.4605594297814757E-4</v>
      </c>
      <c r="H43" s="78">
        <f>+G43+E43</f>
        <v>1.5259140992559318E-3</v>
      </c>
      <c r="I43" s="407"/>
      <c r="J43" s="28">
        <f>+H43*($I$47)</f>
        <v>76692.442826565893</v>
      </c>
      <c r="K43" s="44">
        <f>'Exhibit No.__(BDJ-MYRP-SUM)'!K24*1000</f>
        <v>62703000</v>
      </c>
      <c r="L43" s="79">
        <f>(+J43/K43)</f>
        <v>1.2231064355224773E-3</v>
      </c>
      <c r="N43" s="80">
        <f>+H43*($N$63)</f>
        <v>82447.150281761889</v>
      </c>
      <c r="O43" s="44">
        <f>'Exhibit No.__(BDJ-MYRP-SUM)'!Q24*1000</f>
        <v>61382000</v>
      </c>
      <c r="P43" s="81">
        <f>(+N43/O43)</f>
        <v>1.343181230356813E-3</v>
      </c>
      <c r="Q43" s="82">
        <f t="shared" ref="Q43:Q45" si="5">(+P43-L43)*O43</f>
        <v>7370.4310565211927</v>
      </c>
      <c r="S43" s="290"/>
      <c r="T43" s="44"/>
      <c r="U43" s="292"/>
      <c r="V43" s="293"/>
    </row>
    <row r="44" spans="1:22" x14ac:dyDescent="0.2">
      <c r="A44" s="76">
        <f t="shared" si="0"/>
        <v>38</v>
      </c>
      <c r="C44" s="87"/>
      <c r="E44" s="78"/>
      <c r="G44" s="78"/>
      <c r="H44" s="78"/>
      <c r="I44" s="407"/>
      <c r="J44" s="28"/>
      <c r="K44" s="44"/>
      <c r="L44" s="79"/>
      <c r="N44" s="80"/>
      <c r="O44" s="44"/>
      <c r="P44" s="81"/>
      <c r="Q44" s="82"/>
      <c r="S44" s="83"/>
      <c r="T44" s="44"/>
      <c r="U44" s="81"/>
      <c r="V44" s="82"/>
    </row>
    <row r="45" spans="1:22" x14ac:dyDescent="0.2">
      <c r="A45" s="76">
        <f>+A44+1</f>
        <v>39</v>
      </c>
      <c r="B45" s="88" t="s">
        <v>640</v>
      </c>
      <c r="C45" s="87">
        <v>5</v>
      </c>
      <c r="D45" s="44">
        <v>6940399.9973075157</v>
      </c>
      <c r="E45" s="78">
        <f>+D45/D$47*0.2</f>
        <v>6.7482786792761397E-5</v>
      </c>
      <c r="F45" s="44">
        <v>958.58620804307577</v>
      </c>
      <c r="G45" s="78">
        <f>+F45/F$47*0.8</f>
        <v>2.1710431957995774E-4</v>
      </c>
      <c r="H45" s="78">
        <f>+G45+E45</f>
        <v>2.8458710637271911E-4</v>
      </c>
      <c r="I45" s="407"/>
      <c r="J45" s="28">
        <f>+H45*($I$47)</f>
        <v>14303.348003213452</v>
      </c>
      <c r="K45" s="44">
        <f>'Exhibit No.__(BDJ-MYRP-SUM)'!K27*1000</f>
        <v>7521000</v>
      </c>
      <c r="L45" s="79">
        <f>(+J45/K45)</f>
        <v>1.9017880605256552E-3</v>
      </c>
      <c r="N45" s="80">
        <f>+H45*($N$63)</f>
        <v>15376.616507314915</v>
      </c>
      <c r="O45" s="44">
        <f>'Exhibit No.__(BDJ-MYRP-SUM)'!Q27*1000</f>
        <v>7552000</v>
      </c>
      <c r="P45" s="81">
        <f>(+N45/O45)</f>
        <v>2.0360985841253862E-3</v>
      </c>
      <c r="Q45" s="82">
        <f t="shared" si="5"/>
        <v>1014.3130742251682</v>
      </c>
      <c r="S45" s="296"/>
      <c r="T45" s="44"/>
      <c r="U45" s="292"/>
      <c r="V45" s="293"/>
    </row>
    <row r="46" spans="1:22" x14ac:dyDescent="0.2">
      <c r="A46" s="76">
        <f>+A45+1</f>
        <v>40</v>
      </c>
      <c r="C46" s="87"/>
      <c r="E46" s="78"/>
      <c r="I46" s="92"/>
      <c r="J46" s="28"/>
      <c r="L46" s="85"/>
      <c r="N46" s="80"/>
      <c r="P46" s="86"/>
      <c r="Q46" s="82"/>
      <c r="S46" s="80"/>
      <c r="U46" s="86"/>
      <c r="V46" s="82"/>
    </row>
    <row r="47" spans="1:22" x14ac:dyDescent="0.2">
      <c r="A47" s="76">
        <f t="shared" si="0"/>
        <v>41</v>
      </c>
      <c r="B47" s="71" t="s">
        <v>26</v>
      </c>
      <c r="C47" s="87"/>
      <c r="D47" s="44">
        <f>SUM(D7:D45)</f>
        <v>20569393551.043995</v>
      </c>
      <c r="E47" s="78">
        <f>SUM(E7:E45)</f>
        <v>0.20000000000000004</v>
      </c>
      <c r="F47" s="44">
        <f>SUM(F7:F45)</f>
        <v>3532260.2881331854</v>
      </c>
      <c r="G47" s="78">
        <f>SUM(G7:G45)</f>
        <v>0.8</v>
      </c>
      <c r="H47" s="78">
        <f>SUM(H7:H45)</f>
        <v>0.99999999999999989</v>
      </c>
      <c r="I47" s="80">
        <f>I63</f>
        <v>50260000.129733883</v>
      </c>
      <c r="J47" s="28">
        <f>SUM(J7,J9,J13,J17,J21,J25,J29,J33,J37,J41,J43,J45)</f>
        <v>50260000.12973389</v>
      </c>
      <c r="K47" s="44"/>
      <c r="L47" s="79"/>
      <c r="N47" s="80">
        <f>SUM(N7,N9,N13,N17,N21,N25,N29,N33,N37,N41,N43,N45)</f>
        <v>54031318.225557312</v>
      </c>
      <c r="O47" s="44"/>
      <c r="P47" s="86"/>
      <c r="Q47" s="90">
        <f>SUM(Q7:Q44)</f>
        <v>3341535.4910002765</v>
      </c>
      <c r="S47" s="290"/>
      <c r="T47" s="44"/>
      <c r="U47" s="86"/>
      <c r="V47" s="297"/>
    </row>
    <row r="48" spans="1:22" x14ac:dyDescent="0.2">
      <c r="A48" s="76">
        <f t="shared" si="0"/>
        <v>42</v>
      </c>
      <c r="C48" s="87"/>
      <c r="E48" s="78"/>
      <c r="G48" s="78"/>
      <c r="H48" s="78"/>
      <c r="I48" s="80"/>
      <c r="J48" s="28"/>
      <c r="K48" s="44"/>
      <c r="L48" s="79"/>
      <c r="N48" s="80"/>
      <c r="O48" s="44"/>
      <c r="P48" s="81"/>
      <c r="Q48" s="82"/>
      <c r="S48" s="80"/>
      <c r="T48" s="44"/>
      <c r="U48" s="81"/>
      <c r="V48" s="82"/>
    </row>
    <row r="49" spans="1:22" x14ac:dyDescent="0.2">
      <c r="A49" s="76">
        <f t="shared" si="0"/>
        <v>43</v>
      </c>
      <c r="B49" s="71" t="s">
        <v>646</v>
      </c>
      <c r="C49" s="87" t="s">
        <v>298</v>
      </c>
      <c r="E49" s="78"/>
      <c r="G49" s="78"/>
      <c r="H49" s="78"/>
      <c r="I49" s="80">
        <f>+I61</f>
        <v>0</v>
      </c>
      <c r="J49" s="28">
        <f>+I49</f>
        <v>0</v>
      </c>
      <c r="K49" s="44">
        <f>'Exhibit No.__(BDJ-MYRP-SUM)'!K26*1000</f>
        <v>289426000</v>
      </c>
      <c r="L49" s="79">
        <f>(+J49/K49)</f>
        <v>0</v>
      </c>
      <c r="N49" s="80">
        <f>+N61</f>
        <v>0</v>
      </c>
      <c r="O49" s="44">
        <f>'Exhibit No.__(BDJ-MYRP-SUM)'!Q26*1000</f>
        <v>289426000</v>
      </c>
      <c r="P49" s="81">
        <f>(+N49/O49)</f>
        <v>0</v>
      </c>
      <c r="Q49" s="82">
        <f>(+P49-L49)*O49</f>
        <v>0</v>
      </c>
      <c r="S49" s="80"/>
      <c r="T49" s="44"/>
      <c r="U49" s="81"/>
      <c r="V49" s="82"/>
    </row>
    <row r="50" spans="1:22" x14ac:dyDescent="0.2">
      <c r="A50" s="76">
        <f t="shared" si="0"/>
        <v>44</v>
      </c>
      <c r="C50" s="87"/>
      <c r="I50" s="92"/>
      <c r="J50" s="28"/>
      <c r="L50" s="91"/>
      <c r="N50" s="80"/>
      <c r="P50" s="77"/>
      <c r="Q50" s="82"/>
      <c r="S50" s="80"/>
      <c r="U50" s="77"/>
      <c r="V50" s="82"/>
    </row>
    <row r="51" spans="1:22" x14ac:dyDescent="0.2">
      <c r="A51" s="76">
        <f t="shared" si="0"/>
        <v>45</v>
      </c>
      <c r="B51" s="71" t="s">
        <v>469</v>
      </c>
      <c r="C51" s="87" t="s">
        <v>470</v>
      </c>
      <c r="H51" s="44"/>
      <c r="I51" s="408"/>
      <c r="J51" s="28">
        <v>0</v>
      </c>
      <c r="K51" s="44">
        <f>'Exhibit No.__(BDJ-MYRP-SUM)'!K25*1000</f>
        <v>1895530000</v>
      </c>
      <c r="L51" s="79">
        <f>(+J51/K51)</f>
        <v>0</v>
      </c>
      <c r="N51" s="80">
        <v>0</v>
      </c>
      <c r="O51" s="44">
        <f>'Exhibit No.__(BDJ-MYRP-SUM)'!Q25*1000</f>
        <v>1895104000</v>
      </c>
      <c r="P51" s="81">
        <f>(+N51/O51)</f>
        <v>0</v>
      </c>
      <c r="Q51" s="82"/>
      <c r="S51" s="80"/>
      <c r="T51" s="44"/>
      <c r="U51" s="81"/>
      <c r="V51" s="82"/>
    </row>
    <row r="52" spans="1:22" x14ac:dyDescent="0.2">
      <c r="A52" s="76">
        <f t="shared" si="0"/>
        <v>46</v>
      </c>
      <c r="I52" s="92"/>
      <c r="L52" s="89"/>
      <c r="N52" s="92"/>
      <c r="Q52" s="90"/>
      <c r="S52" s="92"/>
      <c r="V52" s="90"/>
    </row>
    <row r="53" spans="1:22" x14ac:dyDescent="0.2">
      <c r="A53" s="76">
        <f t="shared" si="0"/>
        <v>47</v>
      </c>
      <c r="B53" s="71" t="s">
        <v>27</v>
      </c>
      <c r="I53" s="80">
        <f>SUM(I47:I51)</f>
        <v>50260000.129733883</v>
      </c>
      <c r="J53" s="28">
        <f>SUM(J47,J49)</f>
        <v>50260000.12973389</v>
      </c>
      <c r="L53" s="85"/>
      <c r="N53" s="80">
        <f>SUM(N47,N49)</f>
        <v>54031318.225557312</v>
      </c>
      <c r="P53" s="86"/>
      <c r="Q53" s="90">
        <f>SUM(Q47:Q51)</f>
        <v>3341535.4910002765</v>
      </c>
      <c r="S53" s="290"/>
      <c r="T53" s="44"/>
      <c r="U53" s="86"/>
      <c r="V53" s="297"/>
    </row>
    <row r="54" spans="1:22" x14ac:dyDescent="0.2">
      <c r="A54" s="76"/>
      <c r="I54" s="92"/>
      <c r="J54" s="28"/>
      <c r="K54" s="44"/>
      <c r="L54" s="89"/>
      <c r="N54" s="80"/>
      <c r="O54" s="44"/>
      <c r="Q54" s="90"/>
      <c r="S54" s="80"/>
      <c r="T54" s="44"/>
      <c r="V54" s="90"/>
    </row>
    <row r="55" spans="1:22" ht="12" thickBot="1" x14ac:dyDescent="0.25">
      <c r="A55" s="93"/>
      <c r="B55" s="94"/>
      <c r="C55" s="94"/>
      <c r="D55" s="95"/>
      <c r="E55" s="94"/>
      <c r="F55" s="95"/>
      <c r="G55" s="94"/>
      <c r="H55" s="94"/>
      <c r="I55" s="97"/>
      <c r="J55" s="94"/>
      <c r="K55" s="94"/>
      <c r="L55" s="96"/>
      <c r="N55" s="97"/>
      <c r="O55" s="94"/>
      <c r="P55" s="94"/>
      <c r="Q55" s="98"/>
      <c r="S55" s="97"/>
      <c r="T55" s="94"/>
      <c r="U55" s="94"/>
      <c r="V55" s="98"/>
    </row>
    <row r="57" spans="1:22" x14ac:dyDescent="0.2">
      <c r="D57" s="42">
        <v>20569393551.043995</v>
      </c>
      <c r="E57" s="43"/>
      <c r="F57" s="44">
        <v>3532260.2881331854</v>
      </c>
      <c r="G57" s="43"/>
      <c r="H57" s="43"/>
      <c r="I57" s="43"/>
      <c r="J57" s="43"/>
      <c r="K57" s="301">
        <f>'Exhibit No.__(BDJ-MYRP-SUM)'!$K$29*1000</f>
        <v>22723058867.5</v>
      </c>
      <c r="O57" s="301">
        <f>'Exhibit No.__(BDJ-MYRP-SUM)'!Q29*1000</f>
        <v>22914362847.5</v>
      </c>
      <c r="T57" s="298"/>
    </row>
    <row r="58" spans="1:22" x14ac:dyDescent="0.2">
      <c r="C58" s="99" t="s">
        <v>639</v>
      </c>
      <c r="D58" s="46">
        <f>+D57-D47</f>
        <v>0</v>
      </c>
      <c r="E58" s="47"/>
      <c r="F58" s="46">
        <f>+F57-F47</f>
        <v>0</v>
      </c>
      <c r="G58" s="47"/>
      <c r="H58" s="47"/>
      <c r="I58" s="43"/>
      <c r="J58" s="43"/>
      <c r="K58" s="45">
        <f>K57-SUM(K7,K9,K11,K15,K19,K23,K27,K31,K35,K39,K43,K45,K49,K51)</f>
        <v>0</v>
      </c>
      <c r="O58" s="45">
        <f>O57-SUM(O7,O9,O11,O15,O19,O23,O27,O31,O35,O39,O43,O45,O49,O51)</f>
        <v>0</v>
      </c>
      <c r="T58" s="299"/>
    </row>
    <row r="60" spans="1:22" x14ac:dyDescent="0.2">
      <c r="B60" s="88" t="s">
        <v>473</v>
      </c>
      <c r="I60" s="28"/>
      <c r="N60" s="28"/>
      <c r="S60" s="28"/>
    </row>
    <row r="61" spans="1:22" x14ac:dyDescent="0.2">
      <c r="B61" s="88" t="s">
        <v>475</v>
      </c>
      <c r="H61" s="429"/>
      <c r="I61" s="28"/>
      <c r="N61" s="28"/>
      <c r="S61" s="28"/>
    </row>
    <row r="62" spans="1:22" x14ac:dyDescent="0.2">
      <c r="B62" s="88" t="s">
        <v>474</v>
      </c>
      <c r="I62" s="28">
        <v>50260000.129733883</v>
      </c>
      <c r="N62" s="28">
        <v>54031318.225557312</v>
      </c>
      <c r="S62" s="300"/>
    </row>
    <row r="63" spans="1:22" x14ac:dyDescent="0.2">
      <c r="B63" s="71" t="s">
        <v>471</v>
      </c>
      <c r="I63" s="28">
        <f>+I62-I61</f>
        <v>50260000.129733883</v>
      </c>
      <c r="N63" s="28">
        <f>+N62-N61</f>
        <v>54031318.225557312</v>
      </c>
      <c r="S63" s="300"/>
    </row>
    <row r="64" spans="1:22" x14ac:dyDescent="0.2">
      <c r="N64" s="28">
        <f>+N62-I62</f>
        <v>3771318.0958234295</v>
      </c>
      <c r="S64" s="300"/>
    </row>
    <row r="65" spans="1:20" x14ac:dyDescent="0.2">
      <c r="B65" s="71" t="s">
        <v>647</v>
      </c>
      <c r="K65" s="45">
        <f>SUM('Exhibit No.__(BDJ-MYRP)'!I48,'Exhibit No.__(BDJ-MYRP)'!I61,'Exhibit No.__(BDJ-MYRP)'!I81,'Exhibit No.__(BDJ-MYRP)'!I95,'Exhibit No.__(BDJ-MYRP)'!I108,'Exhibit No.__(BDJ-MYRP)'!I119,'Exhibit No.__(BDJ-MYRP)'!I130,'Exhibit No.__(BDJ-MYRP)'!I138,'Exhibit No.__(BDJ-MYRP)'!I157,'Exhibit No.__(BDJ-MYRP)'!I163)</f>
        <v>15267345.136832632</v>
      </c>
      <c r="O65" s="45">
        <f>SUM('Exhibit No.__(BDJ-MYRP)'!O48,'Exhibit No.__(BDJ-MYRP)'!O61,'Exhibit No.__(BDJ-MYRP)'!O81,'Exhibit No.__(BDJ-MYRP)'!O95,'Exhibit No.__(BDJ-MYRP)'!O108,'Exhibit No.__(BDJ-MYRP)'!O119,'Exhibit No.__(BDJ-MYRP)'!O130,'Exhibit No.__(BDJ-MYRP)'!O138,'Exhibit No.__(BDJ-MYRP)'!O157,'Exhibit No.__(BDJ-MYRP)'!O163)</f>
        <v>15307830.010058973</v>
      </c>
      <c r="T65" s="301"/>
    </row>
    <row r="66" spans="1:20" x14ac:dyDescent="0.2">
      <c r="K66" s="45">
        <f>K65-SUM(K12,K16,K20,K24,K28,K32,K36,K40,K49)</f>
        <v>-288621944.57840765</v>
      </c>
      <c r="O66" s="45">
        <f>O65-SUM(O12,O16,O20,O24,O28,O32,O36,O40,,O49)</f>
        <v>-288624683.79512894</v>
      </c>
      <c r="T66" s="301"/>
    </row>
    <row r="67" spans="1:20" x14ac:dyDescent="0.2">
      <c r="K67" s="101">
        <f>SUMPRODUCT(K7:K49,L7:L49)</f>
        <v>50260000.129733883</v>
      </c>
      <c r="O67" s="101">
        <f>SUMPRODUCT(O7:O49,P7:P49)</f>
        <v>54031318.225557305</v>
      </c>
      <c r="T67" s="302"/>
    </row>
    <row r="68" spans="1:20" x14ac:dyDescent="0.2">
      <c r="C68" s="99" t="s">
        <v>639</v>
      </c>
      <c r="D68" s="46"/>
      <c r="E68" s="47"/>
      <c r="F68" s="46"/>
      <c r="G68" s="47"/>
      <c r="H68" s="47"/>
      <c r="I68" s="43"/>
      <c r="J68" s="43"/>
      <c r="K68" s="45">
        <f>K67-I62</f>
        <v>0</v>
      </c>
      <c r="O68" s="45">
        <f>O67-N62</f>
        <v>0</v>
      </c>
      <c r="T68" s="299"/>
    </row>
    <row r="71" spans="1:20" ht="12" thickBot="1" x14ac:dyDescent="0.25"/>
    <row r="72" spans="1:20" ht="15.75" x14ac:dyDescent="0.25">
      <c r="G72" s="521"/>
      <c r="H72" s="515" t="s">
        <v>660</v>
      </c>
      <c r="I72" s="517">
        <v>50260000.129733883</v>
      </c>
      <c r="J72" s="517">
        <v>50260000.12973389</v>
      </c>
      <c r="K72" s="518"/>
      <c r="L72" s="519"/>
      <c r="M72" s="518"/>
      <c r="N72" s="517">
        <v>54031318.225557312</v>
      </c>
      <c r="O72" s="518"/>
      <c r="P72" s="519"/>
      <c r="Q72" s="520">
        <v>3341535.4910002765</v>
      </c>
    </row>
    <row r="73" spans="1:20" ht="12" thickBot="1" x14ac:dyDescent="0.25">
      <c r="A73" s="41"/>
      <c r="G73" s="522"/>
      <c r="H73" s="516" t="s">
        <v>29</v>
      </c>
      <c r="I73" s="507">
        <f>I53-I72</f>
        <v>0</v>
      </c>
      <c r="J73" s="507">
        <f>J53-J72</f>
        <v>0</v>
      </c>
      <c r="K73" s="506"/>
      <c r="L73" s="506"/>
      <c r="M73" s="506"/>
      <c r="N73" s="507">
        <f>N53-N72</f>
        <v>0</v>
      </c>
      <c r="O73" s="507">
        <f>O53-O72</f>
        <v>0</v>
      </c>
      <c r="P73" s="506"/>
      <c r="Q73" s="508">
        <f>Q53-Q72</f>
        <v>0</v>
      </c>
    </row>
  </sheetData>
  <mergeCells count="4">
    <mergeCell ref="N4:Q4"/>
    <mergeCell ref="S4:V4"/>
    <mergeCell ref="I4:L4"/>
    <mergeCell ref="N2:V2"/>
  </mergeCells>
  <printOptions horizontalCentered="1"/>
  <pageMargins left="0.7" right="0.7" top="0.75" bottom="0.75" header="0.3" footer="0.3"/>
  <pageSetup scale="59" fitToWidth="0" orientation="landscape" r:id="rId1"/>
  <headerFooter alignWithMargins="0">
    <oddFooter>&amp;L&amp;A&amp;RExhibit No. ___(BDJ-5)
Page &amp;P of &amp;N</oddFooter>
  </headerFooter>
  <colBreaks count="1" manualBreakCount="1">
    <brk id="12" max="31" man="1"/>
  </colBreaks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 codeName="Sheet7">
    <tabColor theme="6" tint="0.79998168889431442"/>
    <pageSetUpPr fitToPage="1"/>
  </sheetPr>
  <dimension ref="A1:N42"/>
  <sheetViews>
    <sheetView zoomScaleNormal="100" zoomScaleSheetLayoutView="80" workbookViewId="0">
      <pane xSplit="2" ySplit="11" topLeftCell="C12" activePane="bottomRight" state="frozen"/>
      <selection activeCell="E29" sqref="E29"/>
      <selection pane="topRight" activeCell="E29" sqref="E29"/>
      <selection pane="bottomLeft" activeCell="E29" sqref="E29"/>
      <selection pane="bottomRight" activeCell="A12" sqref="A12"/>
    </sheetView>
  </sheetViews>
  <sheetFormatPr defaultColWidth="10.25" defaultRowHeight="11.25" x14ac:dyDescent="0.2"/>
  <cols>
    <col min="1" max="1" width="27.5" style="11" bestFit="1" customWidth="1"/>
    <col min="2" max="2" width="1.625" style="11" customWidth="1"/>
    <col min="3" max="3" width="11.25" style="11" bestFit="1" customWidth="1"/>
    <col min="4" max="4" width="8.25" style="11" bestFit="1" customWidth="1"/>
    <col min="5" max="5" width="0.875" style="11" customWidth="1"/>
    <col min="6" max="6" width="11.25" style="11" bestFit="1" customWidth="1"/>
    <col min="7" max="7" width="8.75" style="11" customWidth="1"/>
    <col min="8" max="8" width="0.75" style="11" customWidth="1"/>
    <col min="9" max="9" width="11.25" style="11" bestFit="1" customWidth="1"/>
    <col min="10" max="10" width="32" style="11" customWidth="1"/>
    <col min="11" max="11" width="1.625" style="11" customWidth="1"/>
    <col min="12" max="16384" width="10.25" style="11"/>
  </cols>
  <sheetData>
    <row r="1" spans="1:14" x14ac:dyDescent="0.2">
      <c r="A1" s="614" t="s">
        <v>43</v>
      </c>
      <c r="B1" s="614"/>
      <c r="C1" s="614"/>
      <c r="D1" s="614"/>
      <c r="E1" s="614"/>
      <c r="F1" s="614"/>
      <c r="G1" s="614"/>
      <c r="H1" s="614"/>
      <c r="I1" s="614"/>
      <c r="J1" s="614"/>
      <c r="K1" s="71"/>
    </row>
    <row r="2" spans="1:14" x14ac:dyDescent="0.2">
      <c r="A2" s="614" t="s">
        <v>20</v>
      </c>
      <c r="B2" s="614"/>
      <c r="C2" s="614"/>
      <c r="D2" s="614"/>
      <c r="E2" s="614"/>
      <c r="F2" s="614"/>
      <c r="G2" s="614"/>
      <c r="H2" s="614"/>
      <c r="I2" s="614"/>
      <c r="J2" s="614"/>
      <c r="K2" s="71"/>
    </row>
    <row r="3" spans="1:14" x14ac:dyDescent="0.2">
      <c r="A3" s="638" t="str">
        <f>'Exhibit No.__(BDJ-Prof-Prop)'!$A$6</f>
        <v>12 MONTHS ENDED JUNE 2021</v>
      </c>
      <c r="B3" s="638"/>
      <c r="C3" s="638"/>
      <c r="D3" s="638"/>
      <c r="E3" s="638"/>
      <c r="F3" s="638"/>
      <c r="G3" s="638"/>
      <c r="H3" s="638"/>
      <c r="I3" s="638"/>
      <c r="J3" s="638"/>
      <c r="K3" s="71"/>
    </row>
    <row r="4" spans="1:14" x14ac:dyDescent="0.2">
      <c r="A4" s="639" t="s">
        <v>21</v>
      </c>
      <c r="B4" s="639"/>
      <c r="C4" s="639"/>
      <c r="D4" s="639"/>
      <c r="E4" s="639"/>
      <c r="F4" s="639"/>
      <c r="G4" s="639"/>
      <c r="H4" s="639"/>
      <c r="I4" s="639"/>
      <c r="J4" s="639"/>
      <c r="K4" s="71"/>
    </row>
    <row r="5" spans="1:14" x14ac:dyDescent="0.2">
      <c r="A5" s="639" t="s">
        <v>87</v>
      </c>
      <c r="B5" s="639"/>
      <c r="C5" s="639"/>
      <c r="D5" s="639"/>
      <c r="E5" s="639"/>
      <c r="F5" s="639"/>
      <c r="G5" s="639"/>
      <c r="H5" s="639"/>
      <c r="I5" s="639"/>
      <c r="J5" s="639"/>
      <c r="K5" s="71"/>
    </row>
    <row r="6" spans="1:14" x14ac:dyDescent="0.2">
      <c r="A6" s="102"/>
      <c r="B6" s="103"/>
      <c r="C6" s="103"/>
      <c r="D6" s="104"/>
      <c r="E6" s="104"/>
      <c r="F6" s="103"/>
      <c r="G6" s="104"/>
      <c r="H6" s="103"/>
      <c r="I6" s="103"/>
      <c r="J6" s="103"/>
      <c r="K6" s="71"/>
    </row>
    <row r="7" spans="1:14" x14ac:dyDescent="0.2">
      <c r="A7" s="103"/>
      <c r="B7" s="103"/>
      <c r="C7" s="103"/>
      <c r="D7" s="104"/>
      <c r="E7" s="104"/>
      <c r="F7" s="103"/>
      <c r="G7" s="104"/>
      <c r="H7" s="103"/>
      <c r="I7" s="103"/>
      <c r="J7" s="103"/>
      <c r="K7" s="71"/>
    </row>
    <row r="8" spans="1:14" x14ac:dyDescent="0.2">
      <c r="A8" s="105"/>
      <c r="B8" s="105"/>
      <c r="C8" s="106"/>
      <c r="D8" s="634" t="s">
        <v>3</v>
      </c>
      <c r="E8" s="634"/>
      <c r="F8" s="634"/>
      <c r="G8" s="636" t="s">
        <v>340</v>
      </c>
      <c r="H8" s="636"/>
      <c r="I8" s="636"/>
      <c r="J8" s="107"/>
      <c r="K8" s="71"/>
    </row>
    <row r="9" spans="1:14" x14ac:dyDescent="0.2">
      <c r="A9" s="105"/>
      <c r="B9" s="105"/>
      <c r="C9" s="106" t="s">
        <v>22</v>
      </c>
      <c r="D9" s="635"/>
      <c r="E9" s="635"/>
      <c r="F9" s="635"/>
      <c r="G9" s="637"/>
      <c r="H9" s="637"/>
      <c r="I9" s="637"/>
      <c r="J9" s="107"/>
      <c r="K9" s="71"/>
    </row>
    <row r="10" spans="1:14" x14ac:dyDescent="0.2">
      <c r="A10" s="105"/>
      <c r="B10" s="105"/>
      <c r="C10" s="108" t="s">
        <v>23</v>
      </c>
      <c r="D10" s="109" t="s">
        <v>24</v>
      </c>
      <c r="E10" s="418"/>
      <c r="F10" s="107" t="s">
        <v>25</v>
      </c>
      <c r="G10" s="109" t="s">
        <v>24</v>
      </c>
      <c r="H10" s="109"/>
      <c r="I10" s="109" t="s">
        <v>25</v>
      </c>
      <c r="J10" s="109"/>
      <c r="K10" s="71"/>
    </row>
    <row r="11" spans="1:14" x14ac:dyDescent="0.2">
      <c r="A11" s="110" t="s">
        <v>658</v>
      </c>
      <c r="B11" s="111"/>
      <c r="C11" s="112" t="s">
        <v>357</v>
      </c>
      <c r="D11" s="113" t="s">
        <v>358</v>
      </c>
      <c r="E11" s="112"/>
      <c r="F11" s="114" t="s">
        <v>359</v>
      </c>
      <c r="G11" s="115" t="s">
        <v>360</v>
      </c>
      <c r="H11" s="112"/>
      <c r="I11" s="112" t="s">
        <v>361</v>
      </c>
      <c r="J11" s="112"/>
      <c r="K11" s="77"/>
    </row>
    <row r="12" spans="1:14" x14ac:dyDescent="0.2">
      <c r="A12" s="116" t="s">
        <v>19</v>
      </c>
      <c r="B12" s="111"/>
      <c r="C12" s="111"/>
      <c r="D12" s="117"/>
      <c r="E12" s="111"/>
      <c r="F12" s="111"/>
      <c r="G12" s="117"/>
      <c r="H12" s="111"/>
      <c r="I12" s="111"/>
      <c r="J12" s="111"/>
      <c r="K12" s="118"/>
    </row>
    <row r="13" spans="1:14" x14ac:dyDescent="0.2">
      <c r="A13" s="111" t="s">
        <v>33</v>
      </c>
      <c r="B13" s="111"/>
      <c r="C13" s="119"/>
      <c r="D13" s="117"/>
      <c r="E13" s="111"/>
      <c r="F13" s="111"/>
      <c r="G13" s="117"/>
      <c r="H13" s="111"/>
      <c r="I13" s="111"/>
      <c r="J13" s="111"/>
      <c r="K13" s="71"/>
    </row>
    <row r="14" spans="1:14" x14ac:dyDescent="0.2">
      <c r="A14" s="111" t="s">
        <v>31</v>
      </c>
      <c r="B14" s="111"/>
      <c r="C14" s="119">
        <v>12758626</v>
      </c>
      <c r="D14" s="120">
        <f>'Exhibit No.__(BDJ-Tariff)'!$D$8</f>
        <v>7.49</v>
      </c>
      <c r="E14" s="111"/>
      <c r="F14" s="121">
        <f>ROUND(D14*$C14,0)</f>
        <v>95562109</v>
      </c>
      <c r="G14" s="120">
        <f>D14</f>
        <v>7.49</v>
      </c>
      <c r="H14" s="111"/>
      <c r="I14" s="121">
        <f>ROUND(G14*$C14,0)</f>
        <v>95562109</v>
      </c>
      <c r="J14" s="33" t="s">
        <v>637</v>
      </c>
      <c r="M14" s="33"/>
      <c r="N14" s="31"/>
    </row>
    <row r="15" spans="1:14" ht="15.6" customHeight="1" x14ac:dyDescent="0.2">
      <c r="A15" s="111" t="s">
        <v>32</v>
      </c>
      <c r="B15" s="111"/>
      <c r="C15" s="119">
        <v>3835</v>
      </c>
      <c r="D15" s="120">
        <f>'Exhibit No.__(BDJ-Tariff)'!$D$9</f>
        <v>17.989999999999998</v>
      </c>
      <c r="E15" s="111"/>
      <c r="F15" s="121">
        <f>ROUND(D15*$C15,0)</f>
        <v>68992</v>
      </c>
      <c r="G15" s="120">
        <f>D15</f>
        <v>17.989999999999998</v>
      </c>
      <c r="H15" s="111"/>
      <c r="I15" s="121">
        <f>ROUND(G15*$C15,0)</f>
        <v>68992</v>
      </c>
      <c r="J15" s="33" t="s">
        <v>637</v>
      </c>
      <c r="N15" s="31"/>
    </row>
    <row r="16" spans="1:14" x14ac:dyDescent="0.2">
      <c r="A16" s="122" t="s">
        <v>26</v>
      </c>
      <c r="B16" s="111"/>
      <c r="C16" s="123">
        <f>SUM(C14:C15)</f>
        <v>12762461</v>
      </c>
      <c r="D16" s="124"/>
      <c r="E16" s="111"/>
      <c r="F16" s="125">
        <f>SUM(F14:F15)</f>
        <v>95631101</v>
      </c>
      <c r="G16" s="124"/>
      <c r="H16" s="111"/>
      <c r="I16" s="125">
        <f>SUM(I14:I15)</f>
        <v>95631101</v>
      </c>
      <c r="J16" s="33"/>
    </row>
    <row r="17" spans="1:13" x14ac:dyDescent="0.2">
      <c r="A17" s="111" t="s">
        <v>75</v>
      </c>
      <c r="B17" s="111"/>
      <c r="C17" s="126"/>
      <c r="D17" s="124"/>
      <c r="E17" s="111"/>
      <c r="F17" s="127"/>
      <c r="G17" s="124"/>
      <c r="H17" s="111"/>
      <c r="I17" s="127"/>
      <c r="J17" s="410"/>
    </row>
    <row r="18" spans="1:13" x14ac:dyDescent="0.2">
      <c r="A18" s="128" t="s">
        <v>70</v>
      </c>
      <c r="B18" s="111"/>
      <c r="C18" s="119">
        <v>6379788603</v>
      </c>
      <c r="D18" s="129">
        <f>'Exhibit No.__(BDJ-Tariff)'!$D$11</f>
        <v>9.1343999999999995E-2</v>
      </c>
      <c r="E18" s="111"/>
      <c r="F18" s="121">
        <f>ROUND(D18*$C18,0)</f>
        <v>582755410</v>
      </c>
      <c r="G18" s="129">
        <f>ROUND(D18*(1+$I$38),6)+0</f>
        <v>8.9437000000000003E-2</v>
      </c>
      <c r="H18" s="111"/>
      <c r="I18" s="121">
        <f>ROUND(G18*$C18,0)</f>
        <v>570589153</v>
      </c>
      <c r="J18" s="411" t="s">
        <v>503</v>
      </c>
    </row>
    <row r="19" spans="1:13" ht="15.6" customHeight="1" x14ac:dyDescent="0.2">
      <c r="A19" s="128" t="s">
        <v>184</v>
      </c>
      <c r="B19" s="111"/>
      <c r="C19" s="119">
        <v>4787766669</v>
      </c>
      <c r="D19" s="129">
        <f>'Exhibit No.__(BDJ-Tariff)'!$D$12</f>
        <v>0.111175</v>
      </c>
      <c r="E19" s="111"/>
      <c r="F19" s="121">
        <f>ROUND(D19*$C19,0)</f>
        <v>532279959</v>
      </c>
      <c r="G19" s="129">
        <f>ROUND(D19*(1+$I$38),6)</f>
        <v>0.10885400000000001</v>
      </c>
      <c r="H19" s="111"/>
      <c r="I19" s="121">
        <f>ROUND(G19*$C19,0)</f>
        <v>521167553</v>
      </c>
      <c r="J19" s="411" t="s">
        <v>503</v>
      </c>
    </row>
    <row r="20" spans="1:13" x14ac:dyDescent="0.2">
      <c r="A20" s="122" t="s">
        <v>26</v>
      </c>
      <c r="B20" s="119"/>
      <c r="C20" s="123">
        <f>SUM(C18:C19)</f>
        <v>11167555272</v>
      </c>
      <c r="D20" s="130"/>
      <c r="E20" s="131"/>
      <c r="F20" s="125">
        <f>SUM(F18:F19)</f>
        <v>1115035369</v>
      </c>
      <c r="G20" s="131"/>
      <c r="H20" s="131"/>
      <c r="I20" s="125">
        <f>SUM(I18:I19)</f>
        <v>1091756706</v>
      </c>
      <c r="J20" s="33"/>
    </row>
    <row r="21" spans="1:13" ht="15.6" customHeight="1" x14ac:dyDescent="0.2">
      <c r="A21" s="18" t="s">
        <v>69</v>
      </c>
      <c r="B21" s="111"/>
      <c r="C21" s="119">
        <v>21461011.603521049</v>
      </c>
      <c r="D21" s="129">
        <f>D19</f>
        <v>0.111175</v>
      </c>
      <c r="E21" s="111"/>
      <c r="F21" s="121">
        <f>ROUND(D21*$C21,0)</f>
        <v>2385928</v>
      </c>
      <c r="G21" s="129">
        <f>G19</f>
        <v>0.10885400000000001</v>
      </c>
      <c r="H21" s="111"/>
      <c r="I21" s="121">
        <f>ROUND(G21*$C21,0)</f>
        <v>2336117</v>
      </c>
      <c r="J21" s="132" t="s">
        <v>269</v>
      </c>
    </row>
    <row r="22" spans="1:13" x14ac:dyDescent="0.2">
      <c r="A22" s="18" t="s">
        <v>71</v>
      </c>
      <c r="B22" s="119"/>
      <c r="C22" s="119">
        <v>166338288</v>
      </c>
      <c r="D22" s="129">
        <f>F22/C22</f>
        <v>0.10822994643301848</v>
      </c>
      <c r="E22" s="111"/>
      <c r="F22" s="133">
        <v>18002784</v>
      </c>
      <c r="G22" s="129">
        <f>ROUND(I22/C22,6)</f>
        <v>0.105963</v>
      </c>
      <c r="H22" s="111"/>
      <c r="I22" s="133">
        <f>F22*(1+I38)-1255</f>
        <v>17625749.001869369</v>
      </c>
      <c r="J22" s="411" t="s">
        <v>553</v>
      </c>
    </row>
    <row r="23" spans="1:13" ht="12" thickBot="1" x14ac:dyDescent="0.25">
      <c r="A23" s="122" t="s">
        <v>26</v>
      </c>
      <c r="B23" s="119"/>
      <c r="C23" s="134">
        <f>SUM(C20:C22)</f>
        <v>11355354571.603521</v>
      </c>
      <c r="D23" s="129"/>
      <c r="E23" s="111"/>
      <c r="F23" s="121">
        <f>SUM(F20:F22)</f>
        <v>1135424081</v>
      </c>
      <c r="G23" s="129"/>
      <c r="H23" s="111"/>
      <c r="I23" s="121">
        <f>SUM(I20:I22)</f>
        <v>1111718572.0018694</v>
      </c>
      <c r="J23" s="33"/>
    </row>
    <row r="24" spans="1:13" ht="12.75" thickTop="1" thickBot="1" x14ac:dyDescent="0.25">
      <c r="A24" s="111" t="s">
        <v>27</v>
      </c>
      <c r="B24" s="111"/>
      <c r="D24" s="129"/>
      <c r="E24" s="111"/>
      <c r="F24" s="135">
        <f>SUM(F23,F16)</f>
        <v>1231055182</v>
      </c>
      <c r="G24" s="111"/>
      <c r="H24" s="111"/>
      <c r="I24" s="135">
        <f>SUM(I23,I16)</f>
        <v>1207349673.0018694</v>
      </c>
      <c r="J24" s="33"/>
    </row>
    <row r="25" spans="1:13" ht="12" thickTop="1" x14ac:dyDescent="0.2">
      <c r="A25" s="111"/>
      <c r="B25" s="111"/>
      <c r="C25" s="136"/>
      <c r="D25" s="137"/>
      <c r="E25" s="137"/>
      <c r="F25" s="137"/>
      <c r="G25" s="137"/>
      <c r="H25" s="137"/>
      <c r="I25" s="137"/>
      <c r="J25" s="33"/>
    </row>
    <row r="26" spans="1:13" x14ac:dyDescent="0.2">
      <c r="C26" s="117"/>
      <c r="D26" s="111"/>
      <c r="E26" s="117"/>
      <c r="F26" s="131"/>
      <c r="G26" s="111" t="s">
        <v>0</v>
      </c>
      <c r="H26" s="117"/>
      <c r="I26" s="121"/>
      <c r="J26" s="33"/>
      <c r="M26" s="138"/>
    </row>
    <row r="27" spans="1:13" x14ac:dyDescent="0.2">
      <c r="C27" s="117"/>
      <c r="D27" s="111"/>
      <c r="E27" s="117"/>
      <c r="F27" s="131"/>
      <c r="G27" s="111"/>
      <c r="H27" s="117"/>
      <c r="I27" s="131"/>
      <c r="J27" s="33"/>
      <c r="M27" s="138"/>
    </row>
    <row r="28" spans="1:13" x14ac:dyDescent="0.2">
      <c r="C28" s="117"/>
      <c r="D28" s="111"/>
      <c r="E28" s="117"/>
      <c r="F28" s="131"/>
      <c r="G28" s="111"/>
      <c r="H28" s="117"/>
      <c r="I28" s="131"/>
      <c r="J28" s="33"/>
      <c r="M28" s="138"/>
    </row>
    <row r="29" spans="1:13" ht="12" thickBot="1" x14ac:dyDescent="0.25">
      <c r="C29" s="117"/>
      <c r="D29" s="111"/>
      <c r="E29" s="117"/>
      <c r="F29" s="131"/>
      <c r="G29" s="111"/>
      <c r="H29" s="117"/>
      <c r="I29" s="131"/>
      <c r="J29" s="33"/>
      <c r="M29" s="138"/>
    </row>
    <row r="30" spans="1:13" x14ac:dyDescent="0.2">
      <c r="A30" s="139" t="s">
        <v>28</v>
      </c>
      <c r="B30" s="140"/>
      <c r="C30" s="140"/>
      <c r="D30" s="140"/>
      <c r="E30" s="141"/>
      <c r="F30" s="141"/>
      <c r="G30" s="141"/>
      <c r="H30" s="141"/>
      <c r="I30" s="389">
        <f>'Exhibit No.__(BDJ-Rate Spread)'!K8*1000</f>
        <v>1207354977.6851754</v>
      </c>
      <c r="J30" s="121"/>
      <c r="M30" s="138"/>
    </row>
    <row r="31" spans="1:13" x14ac:dyDescent="0.2">
      <c r="A31" s="142" t="s">
        <v>504</v>
      </c>
      <c r="B31" s="71"/>
      <c r="C31" s="71"/>
      <c r="D31" s="71"/>
      <c r="E31" s="143"/>
      <c r="F31" s="137"/>
      <c r="G31" s="143" t="s">
        <v>0</v>
      </c>
      <c r="H31" s="143"/>
      <c r="I31" s="90">
        <f>I30-F24</f>
        <v>-23700204.314824581</v>
      </c>
      <c r="J31" s="121"/>
      <c r="M31" s="138"/>
    </row>
    <row r="32" spans="1:13" x14ac:dyDescent="0.2">
      <c r="A32" s="142" t="s">
        <v>505</v>
      </c>
      <c r="B32" s="71"/>
      <c r="C32" s="71"/>
      <c r="D32" s="71"/>
      <c r="E32" s="143"/>
      <c r="F32" s="137"/>
      <c r="G32" s="143"/>
      <c r="H32" s="143"/>
      <c r="I32" s="385">
        <f>I31/F24</f>
        <v>-1.9251943098375732E-2</v>
      </c>
      <c r="J32" s="121"/>
      <c r="M32" s="138"/>
    </row>
    <row r="33" spans="1:11" x14ac:dyDescent="0.2">
      <c r="A33" s="92" t="s">
        <v>29</v>
      </c>
      <c r="B33" s="71"/>
      <c r="C33" s="71"/>
      <c r="D33" s="71"/>
      <c r="E33" s="71"/>
      <c r="F33" s="137"/>
      <c r="G33" s="71"/>
      <c r="H33" s="71"/>
      <c r="I33" s="90">
        <f>I30-I24</f>
        <v>5304.683305978775</v>
      </c>
      <c r="J33" s="121"/>
    </row>
    <row r="34" spans="1:11" x14ac:dyDescent="0.2">
      <c r="A34" s="144"/>
      <c r="B34" s="71"/>
      <c r="C34" s="71"/>
      <c r="D34" s="71"/>
      <c r="E34" s="136"/>
      <c r="F34" s="137"/>
      <c r="G34" s="143" t="s">
        <v>0</v>
      </c>
      <c r="H34" s="136"/>
      <c r="I34" s="145"/>
      <c r="J34" s="121"/>
    </row>
    <row r="35" spans="1:11" x14ac:dyDescent="0.2">
      <c r="A35" s="146" t="s">
        <v>276</v>
      </c>
      <c r="B35" s="71"/>
      <c r="C35" s="71"/>
      <c r="D35" s="71"/>
      <c r="E35" s="71"/>
      <c r="F35" s="137"/>
      <c r="G35" s="71"/>
      <c r="H35" s="71"/>
      <c r="I35" s="90">
        <f>I14-F14</f>
        <v>0</v>
      </c>
      <c r="J35" s="121"/>
    </row>
    <row r="36" spans="1:11" x14ac:dyDescent="0.2">
      <c r="A36" s="146" t="s">
        <v>506</v>
      </c>
      <c r="B36" s="71"/>
      <c r="C36" s="71"/>
      <c r="D36" s="71"/>
      <c r="E36" s="71"/>
      <c r="F36" s="137"/>
      <c r="G36" s="71"/>
      <c r="H36" s="71"/>
      <c r="I36" s="90">
        <f>I31-I35</f>
        <v>-23700204.314824581</v>
      </c>
      <c r="J36" s="121"/>
    </row>
    <row r="37" spans="1:11" ht="12" thickBot="1" x14ac:dyDescent="0.25">
      <c r="A37" s="146" t="s">
        <v>486</v>
      </c>
      <c r="B37" s="71"/>
      <c r="C37" s="71"/>
      <c r="D37" s="71"/>
      <c r="E37" s="71"/>
      <c r="F37" s="137"/>
      <c r="G37" s="71"/>
      <c r="H37" s="71"/>
      <c r="I37" s="90">
        <f>F23</f>
        <v>1135424081</v>
      </c>
      <c r="J37" s="121"/>
    </row>
    <row r="38" spans="1:11" x14ac:dyDescent="0.2">
      <c r="A38" s="146" t="s">
        <v>507</v>
      </c>
      <c r="B38" s="71"/>
      <c r="C38" s="71"/>
      <c r="D38" s="71"/>
      <c r="E38" s="71"/>
      <c r="F38" s="137"/>
      <c r="G38" s="71"/>
      <c r="H38" s="71"/>
      <c r="I38" s="390">
        <f>I36/I37</f>
        <v>-2.0873438137714275E-2</v>
      </c>
      <c r="J38" s="121"/>
    </row>
    <row r="39" spans="1:11" ht="12" thickBot="1" x14ac:dyDescent="0.25">
      <c r="A39" s="97"/>
      <c r="B39" s="94"/>
      <c r="C39" s="94"/>
      <c r="D39" s="94"/>
      <c r="E39" s="94"/>
      <c r="F39" s="147"/>
      <c r="G39" s="94"/>
      <c r="H39" s="94"/>
      <c r="I39" s="391" t="s">
        <v>155</v>
      </c>
      <c r="J39" s="121"/>
    </row>
    <row r="40" spans="1:11" x14ac:dyDescent="0.2">
      <c r="G40" s="27"/>
      <c r="I40" s="137"/>
      <c r="J40" s="137"/>
      <c r="K40" s="137"/>
    </row>
    <row r="41" spans="1:11" x14ac:dyDescent="0.2">
      <c r="G41" s="27"/>
      <c r="I41" s="137"/>
      <c r="J41" s="137"/>
      <c r="K41" s="137"/>
    </row>
    <row r="42" spans="1:11" x14ac:dyDescent="0.2">
      <c r="A42" s="41"/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91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 codeName="Sheet8">
    <tabColor theme="6" tint="0.79998168889431442"/>
  </sheetPr>
  <dimension ref="A1:R180"/>
  <sheetViews>
    <sheetView zoomScaleNormal="100" zoomScaleSheetLayoutView="80" workbookViewId="0">
      <pane xSplit="6" ySplit="10" topLeftCell="G11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ColWidth="10.25" defaultRowHeight="11.25" x14ac:dyDescent="0.2"/>
  <cols>
    <col min="1" max="1" width="27.75" style="11" customWidth="1"/>
    <col min="2" max="2" width="1.25" style="11" customWidth="1"/>
    <col min="3" max="3" width="10.5" style="11" bestFit="1" customWidth="1"/>
    <col min="4" max="4" width="8.75" style="11" bestFit="1" customWidth="1"/>
    <col min="5" max="5" width="1.25" style="11" customWidth="1"/>
    <col min="6" max="6" width="10.125" style="11" bestFit="1" customWidth="1"/>
    <col min="7" max="7" width="9.875" style="11" customWidth="1"/>
    <col min="8" max="8" width="1.25" style="11" customWidth="1"/>
    <col min="9" max="9" width="10.625" style="11" bestFit="1" customWidth="1"/>
    <col min="10" max="10" width="1.25" style="11" customWidth="1"/>
    <col min="11" max="11" width="25.125" style="11" bestFit="1" customWidth="1"/>
    <col min="12" max="16384" width="10.25" style="11"/>
  </cols>
  <sheetData>
    <row r="1" spans="1:18" x14ac:dyDescent="0.2">
      <c r="A1" s="640" t="s">
        <v>43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</row>
    <row r="2" spans="1:18" x14ac:dyDescent="0.2">
      <c r="A2" s="640" t="s">
        <v>20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</row>
    <row r="3" spans="1:18" x14ac:dyDescent="0.2">
      <c r="A3" s="640" t="str">
        <f>'Exhibit No.__(BDJ-Prof-Prop)'!$A$6</f>
        <v>12 MONTHS ENDED JUNE 2021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</row>
    <row r="4" spans="1:18" x14ac:dyDescent="0.2">
      <c r="A4" s="640" t="s">
        <v>21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</row>
    <row r="5" spans="1:18" x14ac:dyDescent="0.2">
      <c r="A5" s="640" t="s">
        <v>88</v>
      </c>
      <c r="B5" s="640"/>
      <c r="C5" s="640"/>
      <c r="D5" s="640"/>
      <c r="E5" s="640"/>
      <c r="F5" s="640"/>
      <c r="G5" s="640"/>
      <c r="H5" s="640"/>
      <c r="I5" s="640"/>
      <c r="J5" s="640"/>
      <c r="K5" s="640"/>
    </row>
    <row r="6" spans="1:18" x14ac:dyDescent="0.2">
      <c r="A6" s="420"/>
      <c r="B6" s="107"/>
      <c r="C6" s="107"/>
      <c r="D6" s="106"/>
      <c r="E6" s="106"/>
      <c r="F6" s="107"/>
      <c r="G6" s="106"/>
      <c r="H6" s="107"/>
      <c r="I6" s="107"/>
      <c r="J6" s="107"/>
    </row>
    <row r="7" spans="1:18" x14ac:dyDescent="0.2">
      <c r="A7" s="107"/>
      <c r="B7" s="107"/>
      <c r="C7" s="107"/>
      <c r="D7" s="106"/>
      <c r="E7" s="106"/>
      <c r="F7" s="107"/>
      <c r="G7" s="106"/>
      <c r="H7" s="107"/>
      <c r="I7" s="107"/>
      <c r="J7" s="107"/>
    </row>
    <row r="8" spans="1:18" x14ac:dyDescent="0.2">
      <c r="A8" s="105"/>
      <c r="B8" s="105"/>
      <c r="C8" s="106"/>
      <c r="D8" s="105"/>
      <c r="E8" s="105"/>
      <c r="G8" s="105"/>
      <c r="H8" s="107"/>
      <c r="I8" s="107"/>
      <c r="J8" s="107"/>
      <c r="K8" s="71"/>
    </row>
    <row r="9" spans="1:18" x14ac:dyDescent="0.2">
      <c r="A9" s="105"/>
      <c r="B9" s="105"/>
      <c r="C9" s="106" t="s">
        <v>22</v>
      </c>
      <c r="D9" s="424" t="s">
        <v>3</v>
      </c>
      <c r="E9" s="425"/>
      <c r="F9" s="426"/>
      <c r="G9" s="427" t="str">
        <f>'Exhibit No.__(BDJ-Res RD)'!$G$8</f>
        <v>Proposed Effective 
January 2023</v>
      </c>
      <c r="H9" s="425"/>
      <c r="I9" s="426"/>
      <c r="J9" s="107"/>
      <c r="K9" s="71"/>
    </row>
    <row r="10" spans="1:18" x14ac:dyDescent="0.2">
      <c r="A10" s="105"/>
      <c r="B10" s="105"/>
      <c r="C10" s="108" t="s">
        <v>23</v>
      </c>
      <c r="D10" s="109" t="s">
        <v>24</v>
      </c>
      <c r="E10" s="418"/>
      <c r="F10" s="107" t="s">
        <v>25</v>
      </c>
      <c r="G10" s="109" t="s">
        <v>24</v>
      </c>
      <c r="H10" s="109"/>
      <c r="I10" s="109" t="s">
        <v>25</v>
      </c>
      <c r="J10" s="109"/>
      <c r="K10" s="71"/>
    </row>
    <row r="11" spans="1:18" x14ac:dyDescent="0.2">
      <c r="A11" s="111"/>
      <c r="B11" s="148"/>
      <c r="C11" s="117"/>
      <c r="D11" s="111" t="s">
        <v>0</v>
      </c>
      <c r="E11" s="111"/>
      <c r="G11" s="111" t="s">
        <v>0</v>
      </c>
      <c r="H11" s="111"/>
      <c r="I11" s="131" t="s">
        <v>0</v>
      </c>
      <c r="J11" s="131"/>
      <c r="K11" s="71"/>
    </row>
    <row r="12" spans="1:18" x14ac:dyDescent="0.2">
      <c r="A12" s="110" t="s">
        <v>96</v>
      </c>
      <c r="B12" s="111"/>
      <c r="C12" s="111" t="s">
        <v>0</v>
      </c>
      <c r="D12" s="131"/>
      <c r="E12" s="111"/>
      <c r="F12" s="111"/>
      <c r="G12" s="131"/>
      <c r="H12" s="111"/>
      <c r="I12" s="111"/>
      <c r="J12" s="111"/>
      <c r="K12" s="71"/>
    </row>
    <row r="13" spans="1:18" x14ac:dyDescent="0.2">
      <c r="A13" s="116" t="s">
        <v>78</v>
      </c>
      <c r="B13" s="111"/>
      <c r="C13" s="111"/>
      <c r="D13" s="131"/>
      <c r="E13" s="111"/>
      <c r="F13" s="131"/>
      <c r="G13" s="131"/>
      <c r="H13" s="111"/>
      <c r="I13" s="111"/>
      <c r="J13" s="111"/>
      <c r="K13" s="71"/>
    </row>
    <row r="14" spans="1:18" x14ac:dyDescent="0.2">
      <c r="A14" s="111" t="s">
        <v>33</v>
      </c>
      <c r="B14" s="111"/>
      <c r="C14" s="117"/>
      <c r="D14" s="131"/>
      <c r="E14" s="111"/>
      <c r="F14" s="111"/>
      <c r="G14" s="131"/>
      <c r="H14" s="111"/>
      <c r="I14" s="111"/>
      <c r="J14" s="111"/>
      <c r="L14" s="71"/>
      <c r="M14" s="71"/>
      <c r="N14" s="71"/>
      <c r="O14" s="71"/>
      <c r="P14" s="71"/>
      <c r="R14" s="138"/>
    </row>
    <row r="15" spans="1:18" x14ac:dyDescent="0.2">
      <c r="A15" s="111" t="s">
        <v>31</v>
      </c>
      <c r="B15" s="111"/>
      <c r="C15" s="117">
        <v>1122471</v>
      </c>
      <c r="D15" s="120">
        <f>'Exhibit No.__(BDJ-Tariff)'!D15</f>
        <v>10.210000000000001</v>
      </c>
      <c r="E15" s="111"/>
      <c r="F15" s="121">
        <f>ROUND(D15*$C15,0)</f>
        <v>11460429</v>
      </c>
      <c r="G15" s="120">
        <f>D15</f>
        <v>10.210000000000001</v>
      </c>
      <c r="H15" s="111"/>
      <c r="I15" s="121">
        <f>ROUND(G15*$C15,0)</f>
        <v>11460429</v>
      </c>
      <c r="J15" s="137"/>
      <c r="K15" s="33" t="s">
        <v>528</v>
      </c>
      <c r="L15" s="71"/>
      <c r="M15" s="71"/>
      <c r="N15" s="71"/>
      <c r="O15" s="71"/>
      <c r="P15" s="71"/>
      <c r="R15" s="138"/>
    </row>
    <row r="16" spans="1:18" x14ac:dyDescent="0.2">
      <c r="A16" s="111" t="s">
        <v>32</v>
      </c>
      <c r="B16" s="111"/>
      <c r="C16" s="117">
        <v>473768</v>
      </c>
      <c r="D16" s="120">
        <f>'Exhibit No.__(BDJ-Tariff)'!D16</f>
        <v>25.95</v>
      </c>
      <c r="E16" s="149"/>
      <c r="F16" s="121">
        <f>ROUND(D16*$C16,0)</f>
        <v>12294280</v>
      </c>
      <c r="G16" s="120">
        <f>D16</f>
        <v>25.95</v>
      </c>
      <c r="H16" s="149"/>
      <c r="I16" s="121">
        <f>ROUND(G16*$C16,0)</f>
        <v>12294280</v>
      </c>
      <c r="J16" s="137"/>
      <c r="K16" s="33" t="s">
        <v>528</v>
      </c>
    </row>
    <row r="17" spans="1:11" x14ac:dyDescent="0.2">
      <c r="A17" s="122" t="s">
        <v>26</v>
      </c>
      <c r="B17" s="111"/>
      <c r="C17" s="150">
        <f>SUM(C15:C16)</f>
        <v>1596239</v>
      </c>
      <c r="D17" s="124"/>
      <c r="E17" s="111"/>
      <c r="F17" s="125">
        <f>SUM(F15:F16)</f>
        <v>23754709</v>
      </c>
      <c r="G17" s="124"/>
      <c r="H17" s="111"/>
      <c r="I17" s="125">
        <f>SUM(I15:I16)</f>
        <v>23754709</v>
      </c>
      <c r="J17" s="137"/>
      <c r="K17" s="410"/>
    </row>
    <row r="18" spans="1:11" x14ac:dyDescent="0.2">
      <c r="A18" s="111" t="s">
        <v>75</v>
      </c>
      <c r="B18" s="111"/>
      <c r="C18" s="117"/>
      <c r="D18" s="124"/>
      <c r="E18" s="111"/>
      <c r="F18" s="127"/>
      <c r="G18" s="124"/>
      <c r="H18" s="111"/>
      <c r="I18" s="127"/>
      <c r="J18" s="137"/>
      <c r="K18" s="410"/>
    </row>
    <row r="19" spans="1:11" ht="15.75" customHeight="1" x14ac:dyDescent="0.2">
      <c r="A19" s="128" t="s">
        <v>73</v>
      </c>
      <c r="B19" s="111"/>
      <c r="C19" s="117">
        <v>1306150806</v>
      </c>
      <c r="D19" s="129">
        <f>'Exhibit No.__(BDJ-Tariff)'!D18</f>
        <v>9.4531000000000004E-2</v>
      </c>
      <c r="E19" s="111"/>
      <c r="F19" s="121">
        <f t="shared" ref="F19:F20" si="0">ROUND(D19*$C19,0)</f>
        <v>123471742</v>
      </c>
      <c r="G19" s="129">
        <f>ROUND(D19*(1+$I$34),6)</f>
        <v>9.2536999999999994E-2</v>
      </c>
      <c r="H19" s="111"/>
      <c r="I19" s="121">
        <f t="shared" ref="I19:I20" si="1">ROUND(G19*$C19,0)</f>
        <v>120867277</v>
      </c>
      <c r="J19" s="137"/>
      <c r="K19" s="151" t="s">
        <v>533</v>
      </c>
    </row>
    <row r="20" spans="1:11" x14ac:dyDescent="0.2">
      <c r="A20" s="18" t="s">
        <v>74</v>
      </c>
      <c r="B20" s="111"/>
      <c r="C20" s="117">
        <v>1288344238</v>
      </c>
      <c r="D20" s="129">
        <f>'Exhibit No.__(BDJ-Tariff)'!D19</f>
        <v>9.1261999999999996E-2</v>
      </c>
      <c r="E20" s="111"/>
      <c r="F20" s="121">
        <f t="shared" si="0"/>
        <v>117576872</v>
      </c>
      <c r="G20" s="129">
        <f>ROUND(D20*(1+$I$34),6)</f>
        <v>8.9337E-2</v>
      </c>
      <c r="H20" s="111"/>
      <c r="I20" s="121">
        <f t="shared" si="1"/>
        <v>115096809</v>
      </c>
      <c r="J20" s="137"/>
      <c r="K20" s="151" t="s">
        <v>533</v>
      </c>
    </row>
    <row r="21" spans="1:11" x14ac:dyDescent="0.2">
      <c r="A21" s="122" t="s">
        <v>26</v>
      </c>
      <c r="B21" s="152"/>
      <c r="C21" s="150">
        <f>SUM(C19:C20)</f>
        <v>2594495044</v>
      </c>
      <c r="D21" s="153"/>
      <c r="E21" s="111"/>
      <c r="F21" s="125">
        <f>SUM(F19:F20)</f>
        <v>241048614</v>
      </c>
      <c r="G21" s="153"/>
      <c r="H21" s="111"/>
      <c r="I21" s="125">
        <f>SUM(I19:I20)</f>
        <v>235964086</v>
      </c>
      <c r="J21" s="137"/>
      <c r="K21" s="410"/>
    </row>
    <row r="22" spans="1:11" x14ac:dyDescent="0.2">
      <c r="A22" s="128" t="s">
        <v>76</v>
      </c>
      <c r="B22" s="152"/>
      <c r="C22" s="117">
        <v>10671125.019713968</v>
      </c>
      <c r="D22" s="129">
        <f>D19</f>
        <v>9.4531000000000004E-2</v>
      </c>
      <c r="E22" s="111"/>
      <c r="F22" s="121">
        <f t="shared" ref="F22:F23" si="2">ROUND(D22*$C22,0)</f>
        <v>1008752</v>
      </c>
      <c r="G22" s="129">
        <f>G19</f>
        <v>9.2536999999999994E-2</v>
      </c>
      <c r="H22" s="111"/>
      <c r="I22" s="121">
        <f t="shared" ref="I22:I23" si="3">ROUND(G22*$C22,0)</f>
        <v>987474</v>
      </c>
      <c r="J22" s="137"/>
      <c r="K22" s="151" t="s">
        <v>534</v>
      </c>
    </row>
    <row r="23" spans="1:11" x14ac:dyDescent="0.2">
      <c r="A23" s="128" t="s">
        <v>77</v>
      </c>
      <c r="B23" s="152"/>
      <c r="C23" s="117">
        <v>-14686014.995333586</v>
      </c>
      <c r="D23" s="129">
        <f>D20</f>
        <v>9.1261999999999996E-2</v>
      </c>
      <c r="E23" s="129"/>
      <c r="F23" s="121">
        <f t="shared" si="2"/>
        <v>-1340275</v>
      </c>
      <c r="G23" s="129">
        <f>G20</f>
        <v>8.9337E-2</v>
      </c>
      <c r="H23" s="111"/>
      <c r="I23" s="121">
        <f t="shared" si="3"/>
        <v>-1312005</v>
      </c>
      <c r="J23" s="137"/>
      <c r="K23" s="151" t="s">
        <v>535</v>
      </c>
    </row>
    <row r="24" spans="1:11" ht="22.5" x14ac:dyDescent="0.2">
      <c r="A24" s="18" t="s">
        <v>71</v>
      </c>
      <c r="B24" s="121"/>
      <c r="C24" s="154">
        <v>68352949</v>
      </c>
      <c r="D24" s="129">
        <f>ROUND(F24/C24,6)</f>
        <v>0.102955</v>
      </c>
      <c r="E24" s="111"/>
      <c r="F24" s="121">
        <v>7037260</v>
      </c>
      <c r="G24" s="129">
        <f>ROUND(D24*(1+$I$34),6)</f>
        <v>0.100783</v>
      </c>
      <c r="H24" s="111"/>
      <c r="I24" s="121">
        <f>ROUND(G24*$C24,0)-204</f>
        <v>6888611</v>
      </c>
      <c r="J24" s="137"/>
      <c r="K24" s="151" t="s">
        <v>549</v>
      </c>
    </row>
    <row r="25" spans="1:11" x14ac:dyDescent="0.2">
      <c r="A25" s="122" t="s">
        <v>26</v>
      </c>
      <c r="B25" s="121"/>
      <c r="C25" s="123">
        <f>SUM(C21:C24)</f>
        <v>2658833103.0243802</v>
      </c>
      <c r="D25" s="111"/>
      <c r="E25" s="111"/>
      <c r="F25" s="125">
        <f>SUM(F21:F24)</f>
        <v>247754351</v>
      </c>
      <c r="G25" s="129"/>
      <c r="H25" s="111"/>
      <c r="I25" s="125">
        <f>SUM(I21:I24)</f>
        <v>242528166</v>
      </c>
      <c r="J25" s="137"/>
      <c r="K25" s="132"/>
    </row>
    <row r="26" spans="1:11" ht="12" thickBot="1" x14ac:dyDescent="0.25">
      <c r="A26" s="111" t="s">
        <v>30</v>
      </c>
      <c r="B26" s="111"/>
      <c r="C26" s="111"/>
      <c r="D26" s="126"/>
      <c r="E26" s="143"/>
      <c r="F26" s="135">
        <f>SUM(F25,F17)</f>
        <v>271509060</v>
      </c>
      <c r="G26" s="126"/>
      <c r="H26" s="143"/>
      <c r="I26" s="135">
        <f>SUM(I25,I17)</f>
        <v>266282875</v>
      </c>
      <c r="J26" s="155"/>
    </row>
    <row r="27" spans="1:11" ht="12" thickTop="1" x14ac:dyDescent="0.2">
      <c r="A27" s="111"/>
      <c r="B27" s="111"/>
      <c r="C27" s="136"/>
      <c r="D27" s="126"/>
      <c r="E27" s="143"/>
      <c r="F27" s="137"/>
      <c r="G27" s="126"/>
      <c r="H27" s="143"/>
      <c r="I27" s="137"/>
      <c r="J27" s="137"/>
    </row>
    <row r="28" spans="1:11" x14ac:dyDescent="0.2">
      <c r="A28" s="111"/>
      <c r="B28" s="111"/>
      <c r="C28" s="117"/>
      <c r="D28" s="156">
        <f>ROUND(SUM(F25)/SUM(C25),6)</f>
        <v>9.3182000000000001E-2</v>
      </c>
      <c r="E28" s="111"/>
      <c r="F28" s="131"/>
      <c r="G28" s="156">
        <f>ROUND(SUM(I25)/SUM(C25),6)</f>
        <v>9.1216000000000005E-2</v>
      </c>
      <c r="H28" s="111"/>
      <c r="I28" s="131" t="s">
        <v>0</v>
      </c>
      <c r="J28" s="131"/>
      <c r="K28" s="157"/>
    </row>
    <row r="29" spans="1:11" ht="12" thickBot="1" x14ac:dyDescent="0.25">
      <c r="A29" s="111"/>
      <c r="B29" s="111"/>
      <c r="C29" s="117"/>
      <c r="D29" s="156"/>
      <c r="E29" s="111"/>
      <c r="F29" s="131"/>
      <c r="G29" s="156"/>
      <c r="H29" s="111"/>
      <c r="I29" s="131"/>
      <c r="J29" s="131"/>
      <c r="K29" s="157"/>
    </row>
    <row r="30" spans="1:11" x14ac:dyDescent="0.2">
      <c r="A30" s="139" t="s">
        <v>34</v>
      </c>
      <c r="B30" s="158"/>
      <c r="C30" s="159"/>
      <c r="D30" s="160"/>
      <c r="E30" s="158"/>
      <c r="F30" s="141"/>
      <c r="G30" s="160"/>
      <c r="H30" s="158"/>
      <c r="I30" s="383">
        <f>'Exhibit No.__(BDJ-Rate Spread)'!K11*1000</f>
        <v>266281983.02618647</v>
      </c>
      <c r="K30" s="157"/>
    </row>
    <row r="31" spans="1:11" x14ac:dyDescent="0.2">
      <c r="A31" s="161" t="s">
        <v>496</v>
      </c>
      <c r="B31" s="143"/>
      <c r="C31" s="136"/>
      <c r="D31" s="162"/>
      <c r="E31" s="143"/>
      <c r="F31" s="137"/>
      <c r="G31" s="162"/>
      <c r="H31" s="143"/>
      <c r="I31" s="384">
        <f>I30-F26</f>
        <v>-5227076.9738135338</v>
      </c>
      <c r="J31" s="137"/>
      <c r="K31" s="157"/>
    </row>
    <row r="32" spans="1:11" x14ac:dyDescent="0.2">
      <c r="A32" s="142" t="s">
        <v>487</v>
      </c>
      <c r="B32" s="143"/>
      <c r="C32" s="136"/>
      <c r="D32" s="162"/>
      <c r="E32" s="143"/>
      <c r="F32" s="137"/>
      <c r="G32" s="162"/>
      <c r="H32" s="143"/>
      <c r="I32" s="385">
        <f>I30/F26-1</f>
        <v>-1.9251943098375968E-2</v>
      </c>
      <c r="J32" s="163"/>
      <c r="K32" s="157"/>
    </row>
    <row r="33" spans="1:11" x14ac:dyDescent="0.2">
      <c r="A33" s="142" t="s">
        <v>531</v>
      </c>
      <c r="B33" s="143"/>
      <c r="C33" s="136"/>
      <c r="D33" s="162"/>
      <c r="E33" s="143"/>
      <c r="F33" s="137"/>
      <c r="G33" s="162"/>
      <c r="H33" s="143"/>
      <c r="I33" s="90">
        <f>F25</f>
        <v>247754351</v>
      </c>
      <c r="J33" s="163"/>
      <c r="K33" s="157"/>
    </row>
    <row r="34" spans="1:11" x14ac:dyDescent="0.2">
      <c r="A34" s="142" t="s">
        <v>533</v>
      </c>
      <c r="B34" s="143"/>
      <c r="C34" s="136"/>
      <c r="D34" s="162"/>
      <c r="E34" s="143"/>
      <c r="F34" s="137"/>
      <c r="G34" s="162"/>
      <c r="H34" s="143"/>
      <c r="I34" s="385">
        <f>I31/I33</f>
        <v>-2.1097821098663708E-2</v>
      </c>
      <c r="J34" s="163"/>
      <c r="K34" s="157"/>
    </row>
    <row r="35" spans="1:11" x14ac:dyDescent="0.2">
      <c r="A35" s="142" t="s">
        <v>346</v>
      </c>
      <c r="B35" s="143"/>
      <c r="C35" s="136"/>
      <c r="D35" s="162"/>
      <c r="E35" s="143"/>
      <c r="F35" s="137"/>
      <c r="G35" s="162"/>
      <c r="H35" s="143"/>
      <c r="I35" s="384">
        <f>(I30-I26)</f>
        <v>-891.97381353378296</v>
      </c>
      <c r="J35" s="163"/>
      <c r="K35" s="157"/>
    </row>
    <row r="36" spans="1:11" ht="12" thickBot="1" x14ac:dyDescent="0.25">
      <c r="A36" s="97" t="s">
        <v>345</v>
      </c>
      <c r="B36" s="164"/>
      <c r="C36" s="165"/>
      <c r="D36" s="166"/>
      <c r="E36" s="164"/>
      <c r="F36" s="147"/>
      <c r="G36" s="166"/>
      <c r="H36" s="164"/>
      <c r="I36" s="386">
        <f>(I30-I26)/C25</f>
        <v>-3.3547566882598872E-7</v>
      </c>
      <c r="J36" s="163"/>
      <c r="K36" s="157"/>
    </row>
    <row r="37" spans="1:11" x14ac:dyDescent="0.2">
      <c r="J37" s="131"/>
      <c r="K37" s="157"/>
    </row>
    <row r="38" spans="1:11" x14ac:dyDescent="0.2">
      <c r="A38" s="110" t="s">
        <v>98</v>
      </c>
      <c r="B38" s="111"/>
      <c r="C38" s="117"/>
      <c r="D38" s="131"/>
      <c r="E38" s="111"/>
      <c r="F38" s="111"/>
      <c r="G38" s="131"/>
      <c r="H38" s="111"/>
      <c r="I38" s="131" t="s">
        <v>0</v>
      </c>
      <c r="J38" s="131"/>
      <c r="K38" s="71"/>
    </row>
    <row r="39" spans="1:11" x14ac:dyDescent="0.2">
      <c r="A39" s="116" t="s">
        <v>80</v>
      </c>
      <c r="B39" s="111"/>
      <c r="C39" s="111" t="s">
        <v>0</v>
      </c>
      <c r="D39" s="131"/>
      <c r="E39" s="111"/>
      <c r="F39" s="111"/>
      <c r="G39" s="131"/>
      <c r="H39" s="111"/>
      <c r="I39" s="111"/>
      <c r="J39" s="111"/>
      <c r="K39" s="71"/>
    </row>
    <row r="40" spans="1:11" x14ac:dyDescent="0.2">
      <c r="A40" s="111"/>
      <c r="B40" s="111"/>
      <c r="C40" s="111"/>
      <c r="D40" s="131"/>
      <c r="E40" s="111"/>
      <c r="F40" s="111"/>
      <c r="G40" s="131"/>
      <c r="H40" s="111"/>
      <c r="I40" s="111"/>
      <c r="J40" s="111"/>
      <c r="K40" s="71"/>
    </row>
    <row r="41" spans="1:11" x14ac:dyDescent="0.2">
      <c r="A41" s="111" t="s">
        <v>33</v>
      </c>
      <c r="B41" s="121"/>
      <c r="C41" s="119">
        <v>97294</v>
      </c>
      <c r="D41" s="120">
        <f>'Exhibit No.__(BDJ-Tariff)'!D22</f>
        <v>53.95</v>
      </c>
      <c r="E41" s="111"/>
      <c r="F41" s="131">
        <f>ROUND(D41*$C41,0)</f>
        <v>5249011</v>
      </c>
      <c r="G41" s="120">
        <f>D41</f>
        <v>53.95</v>
      </c>
      <c r="H41" s="111"/>
      <c r="I41" s="131">
        <f>ROUND(G41*$C41,0)</f>
        <v>5249011</v>
      </c>
      <c r="J41" s="131"/>
      <c r="K41" s="33" t="s">
        <v>528</v>
      </c>
    </row>
    <row r="42" spans="1:11" x14ac:dyDescent="0.2">
      <c r="A42" s="111" t="s">
        <v>36</v>
      </c>
      <c r="B42" s="30"/>
      <c r="C42" s="119"/>
      <c r="D42" s="167"/>
      <c r="E42" s="131"/>
      <c r="F42" s="131"/>
      <c r="G42" s="120"/>
      <c r="H42" s="131"/>
      <c r="I42" s="131"/>
      <c r="J42" s="131"/>
      <c r="K42" s="71"/>
    </row>
    <row r="43" spans="1:11" x14ac:dyDescent="0.2">
      <c r="A43" s="128" t="s">
        <v>82</v>
      </c>
      <c r="B43" s="121"/>
      <c r="C43" s="119">
        <v>763328132</v>
      </c>
      <c r="D43" s="129">
        <f>'Exhibit No.__(BDJ-Tariff)'!D24</f>
        <v>9.2719999999999997E-2</v>
      </c>
      <c r="E43" s="131"/>
      <c r="F43" s="131">
        <f>ROUND($C43*D43,0)</f>
        <v>70775784</v>
      </c>
      <c r="G43" s="129">
        <f>ROUND((1+$I$67)*(D43),6)</f>
        <v>9.0594999999999995E-2</v>
      </c>
      <c r="H43" s="131"/>
      <c r="I43" s="131">
        <f>ROUND($C43*G43,0)</f>
        <v>69153712</v>
      </c>
      <c r="J43" s="131"/>
      <c r="K43" s="411" t="s">
        <v>533</v>
      </c>
    </row>
    <row r="44" spans="1:11" x14ac:dyDescent="0.2">
      <c r="A44" s="128" t="s">
        <v>81</v>
      </c>
      <c r="B44" s="121"/>
      <c r="C44" s="119">
        <v>718862613</v>
      </c>
      <c r="D44" s="129">
        <f>'Exhibit No.__(BDJ-Tariff)'!D25</f>
        <v>8.3563999999999999E-2</v>
      </c>
      <c r="E44" s="131"/>
      <c r="F44" s="131">
        <f t="shared" ref="F44:F47" si="4">ROUND($C44*D44,0)</f>
        <v>60071035</v>
      </c>
      <c r="G44" s="129">
        <f t="shared" ref="G44:G45" si="5">ROUND((1+$I$67)*(D44),6)</f>
        <v>8.1648999999999999E-2</v>
      </c>
      <c r="H44" s="131"/>
      <c r="I44" s="131">
        <f t="shared" ref="I44:I47" si="6">ROUND($C44*G44,0)</f>
        <v>58694413</v>
      </c>
      <c r="J44" s="131"/>
      <c r="K44" s="411" t="s">
        <v>533</v>
      </c>
    </row>
    <row r="45" spans="1:11" x14ac:dyDescent="0.2">
      <c r="A45" s="128" t="s">
        <v>83</v>
      </c>
      <c r="B45" s="121"/>
      <c r="C45" s="119">
        <v>1302141069</v>
      </c>
      <c r="D45" s="129">
        <f>'Exhibit No.__(BDJ-Tariff)'!D26</f>
        <v>6.6092999999999999E-2</v>
      </c>
      <c r="E45" s="131"/>
      <c r="F45" s="131">
        <f t="shared" si="4"/>
        <v>86062410</v>
      </c>
      <c r="G45" s="129">
        <f t="shared" si="5"/>
        <v>6.4577999999999997E-2</v>
      </c>
      <c r="H45" s="131"/>
      <c r="I45" s="131">
        <f t="shared" si="6"/>
        <v>84089666</v>
      </c>
      <c r="J45" s="131"/>
      <c r="K45" s="411" t="s">
        <v>533</v>
      </c>
    </row>
    <row r="46" spans="1:11" x14ac:dyDescent="0.2">
      <c r="A46" s="122" t="s">
        <v>26</v>
      </c>
      <c r="B46" s="30"/>
      <c r="C46" s="123">
        <f>SUM(C43:C45)</f>
        <v>2784331814</v>
      </c>
      <c r="D46" s="153"/>
      <c r="E46" s="111"/>
      <c r="F46" s="168">
        <f>SUM(F43:F45)</f>
        <v>216909229</v>
      </c>
      <c r="G46" s="153"/>
      <c r="H46" s="111"/>
      <c r="I46" s="168">
        <f>SUM(I43:I45)</f>
        <v>211937791</v>
      </c>
      <c r="J46" s="131"/>
      <c r="K46" s="71"/>
    </row>
    <row r="47" spans="1:11" x14ac:dyDescent="0.2">
      <c r="A47" s="128" t="s">
        <v>69</v>
      </c>
      <c r="B47" s="121"/>
      <c r="C47" s="119">
        <v>-6814774.4155422319</v>
      </c>
      <c r="D47" s="129">
        <f>D45</f>
        <v>6.6092999999999999E-2</v>
      </c>
      <c r="E47" s="111"/>
      <c r="F47" s="131">
        <f t="shared" si="4"/>
        <v>-450409</v>
      </c>
      <c r="G47" s="129">
        <f>G45</f>
        <v>6.4577999999999997E-2</v>
      </c>
      <c r="H47" s="111"/>
      <c r="I47" s="131">
        <f t="shared" si="6"/>
        <v>-440085</v>
      </c>
      <c r="J47" s="131"/>
      <c r="K47" s="33" t="s">
        <v>536</v>
      </c>
    </row>
    <row r="48" spans="1:11" ht="22.5" x14ac:dyDescent="0.2">
      <c r="A48" s="18" t="s">
        <v>71</v>
      </c>
      <c r="B48" s="121"/>
      <c r="C48" s="119">
        <v>78528793</v>
      </c>
      <c r="D48" s="129">
        <f>ROUND(F48/C48,6)</f>
        <v>9.2434000000000002E-2</v>
      </c>
      <c r="E48" s="111"/>
      <c r="F48" s="121">
        <v>7258722</v>
      </c>
      <c r="G48" s="129">
        <f t="shared" ref="G48" si="7">ROUND((1+$I$67)*(D48),6)</f>
        <v>9.0315999999999994E-2</v>
      </c>
      <c r="H48" s="111"/>
      <c r="I48" s="131">
        <f>ROUND($C48*G48,0)-268</f>
        <v>7092138</v>
      </c>
      <c r="J48" s="137"/>
      <c r="K48" s="151" t="s">
        <v>550</v>
      </c>
    </row>
    <row r="49" spans="1:11" x14ac:dyDescent="0.2">
      <c r="A49" s="122" t="s">
        <v>26</v>
      </c>
      <c r="B49" s="121"/>
      <c r="C49" s="123">
        <f>SUM(C46:C48)</f>
        <v>2856045832.5844579</v>
      </c>
      <c r="D49" s="111"/>
      <c r="E49" s="111"/>
      <c r="F49" s="168">
        <f>SUM(F46:F48)</f>
        <v>223717542</v>
      </c>
      <c r="G49" s="111"/>
      <c r="H49" s="111"/>
      <c r="I49" s="168">
        <f>SUM(I46:I48)</f>
        <v>218589844</v>
      </c>
      <c r="J49" s="137"/>
      <c r="K49" s="100"/>
    </row>
    <row r="50" spans="1:11" x14ac:dyDescent="0.2">
      <c r="A50" s="111" t="s">
        <v>35</v>
      </c>
      <c r="B50" s="121"/>
      <c r="C50" s="119"/>
      <c r="D50" s="124"/>
      <c r="E50" s="111"/>
      <c r="F50" s="131"/>
      <c r="G50" s="124"/>
      <c r="H50" s="111"/>
      <c r="I50" s="131"/>
      <c r="J50" s="131"/>
      <c r="K50" s="71"/>
    </row>
    <row r="51" spans="1:11" x14ac:dyDescent="0.2">
      <c r="A51" s="128" t="s">
        <v>84</v>
      </c>
      <c r="B51" s="121"/>
      <c r="C51" s="119">
        <v>2180812</v>
      </c>
      <c r="D51" s="120">
        <f>'Exhibit No.__(BDJ-Tariff)'!D29</f>
        <v>10.119999999999999</v>
      </c>
      <c r="E51" s="111"/>
      <c r="F51" s="131">
        <f>ROUND(D51*$C51,0)</f>
        <v>22069817</v>
      </c>
      <c r="G51" s="120">
        <f>D51</f>
        <v>10.119999999999999</v>
      </c>
      <c r="H51" s="111"/>
      <c r="I51" s="131">
        <f>ROUND(G51*$C51,0)</f>
        <v>22069817</v>
      </c>
      <c r="J51" s="131"/>
    </row>
    <row r="52" spans="1:11" x14ac:dyDescent="0.2">
      <c r="A52" s="128" t="s">
        <v>85</v>
      </c>
      <c r="B52" s="121"/>
      <c r="C52" s="119">
        <v>1992939</v>
      </c>
      <c r="D52" s="120">
        <f>'Exhibit No.__(BDJ-Tariff)'!D30</f>
        <v>6.75</v>
      </c>
      <c r="E52" s="111"/>
      <c r="F52" s="131">
        <f>ROUND(D52*$C52,0)</f>
        <v>13452338</v>
      </c>
      <c r="G52" s="120">
        <f>D52</f>
        <v>6.75</v>
      </c>
      <c r="H52" s="111"/>
      <c r="I52" s="131">
        <f>ROUND(G52*$C52,0)</f>
        <v>13452338</v>
      </c>
      <c r="J52" s="131"/>
      <c r="K52" s="33" t="s">
        <v>528</v>
      </c>
    </row>
    <row r="53" spans="1:11" x14ac:dyDescent="0.2">
      <c r="A53" s="122" t="s">
        <v>26</v>
      </c>
      <c r="C53" s="123">
        <f>SUM(C51:C52)</f>
        <v>4173751</v>
      </c>
      <c r="D53" s="124"/>
      <c r="E53" s="111"/>
      <c r="F53" s="168">
        <f>SUM(F51:F52)</f>
        <v>35522155</v>
      </c>
      <c r="G53" s="124"/>
      <c r="H53" s="111"/>
      <c r="I53" s="168">
        <f>SUM(I51:I52)</f>
        <v>35522155</v>
      </c>
      <c r="J53" s="131"/>
      <c r="K53" s="71"/>
    </row>
    <row r="54" spans="1:11" x14ac:dyDescent="0.2">
      <c r="A54" s="111"/>
      <c r="B54" s="111"/>
      <c r="C54" s="126"/>
      <c r="D54" s="136"/>
      <c r="E54" s="111"/>
      <c r="F54" s="137"/>
      <c r="G54" s="136"/>
      <c r="H54" s="111"/>
      <c r="I54" s="137"/>
      <c r="J54" s="137"/>
      <c r="K54" s="100"/>
    </row>
    <row r="55" spans="1:11" x14ac:dyDescent="0.2">
      <c r="A55" s="111" t="s">
        <v>86</v>
      </c>
      <c r="B55" s="121"/>
      <c r="C55" s="119">
        <v>563802746</v>
      </c>
      <c r="D55" s="169">
        <f>'Exhibit No.__(BDJ-Tariff)'!D32</f>
        <v>3.1800000000000001E-3</v>
      </c>
      <c r="E55" s="111"/>
      <c r="F55" s="131">
        <f>ROUND(D55*$C55,0)</f>
        <v>1792893</v>
      </c>
      <c r="G55" s="169">
        <f>D55</f>
        <v>3.1800000000000001E-3</v>
      </c>
      <c r="H55" s="111"/>
      <c r="I55" s="131">
        <f>ROUND(G55*$C55,0)</f>
        <v>1792893</v>
      </c>
      <c r="J55" s="137"/>
      <c r="K55" s="33" t="s">
        <v>528</v>
      </c>
    </row>
    <row r="56" spans="1:11" x14ac:dyDescent="0.2">
      <c r="A56" s="111"/>
      <c r="B56" s="111"/>
      <c r="C56" s="136"/>
      <c r="D56" s="136"/>
      <c r="E56" s="111"/>
      <c r="F56" s="137"/>
      <c r="G56" s="136"/>
      <c r="H56" s="111"/>
      <c r="I56" s="137"/>
      <c r="J56" s="137"/>
    </row>
    <row r="57" spans="1:11" ht="12" thickBot="1" x14ac:dyDescent="0.25">
      <c r="A57" s="111" t="s">
        <v>30</v>
      </c>
      <c r="B57" s="111"/>
      <c r="C57" s="136"/>
      <c r="D57" s="136"/>
      <c r="E57" s="111"/>
      <c r="F57" s="155">
        <f>SUM(F41,F49,F53,F55)</f>
        <v>266281601</v>
      </c>
      <c r="G57" s="136"/>
      <c r="H57" s="111"/>
      <c r="I57" s="155">
        <f>SUM(I41,I49,I53,I55)</f>
        <v>261153903</v>
      </c>
      <c r="J57" s="137"/>
      <c r="K57" s="138"/>
    </row>
    <row r="58" spans="1:11" ht="12" thickTop="1" x14ac:dyDescent="0.2">
      <c r="A58" s="111"/>
      <c r="B58" s="170"/>
      <c r="C58" s="136"/>
      <c r="D58" s="136"/>
      <c r="E58" s="111"/>
      <c r="F58" s="131"/>
      <c r="G58" s="136"/>
      <c r="H58" s="111"/>
      <c r="I58" s="131"/>
      <c r="J58" s="131"/>
    </row>
    <row r="59" spans="1:11" x14ac:dyDescent="0.2">
      <c r="A59" s="171" t="s">
        <v>103</v>
      </c>
      <c r="B59" s="172"/>
      <c r="C59" s="173"/>
      <c r="D59" s="173"/>
      <c r="E59" s="174"/>
      <c r="F59" s="175"/>
      <c r="G59" s="173"/>
      <c r="H59" s="174"/>
      <c r="I59" s="216">
        <f>'Exhibit No.__(BDJ-Rate Spread)'!K12*1000</f>
        <v>262461530.9501732</v>
      </c>
      <c r="J59" s="131"/>
      <c r="K59" s="71"/>
    </row>
    <row r="60" spans="1:11" x14ac:dyDescent="0.2">
      <c r="A60" s="176" t="s">
        <v>29</v>
      </c>
      <c r="B60" s="177"/>
      <c r="C60" s="136"/>
      <c r="D60" s="136"/>
      <c r="E60" s="143"/>
      <c r="F60" s="137"/>
      <c r="G60" s="136"/>
      <c r="H60" s="143"/>
      <c r="I60" s="218">
        <f>I59-I166-I57</f>
        <v>1257.9501731991768</v>
      </c>
      <c r="J60" s="131"/>
      <c r="K60" s="71"/>
    </row>
    <row r="61" spans="1:11" x14ac:dyDescent="0.2">
      <c r="A61" s="178" t="s">
        <v>487</v>
      </c>
      <c r="B61" s="179"/>
      <c r="C61" s="154"/>
      <c r="D61" s="154"/>
      <c r="E61" s="180"/>
      <c r="F61" s="181"/>
      <c r="G61" s="154"/>
      <c r="H61" s="180"/>
      <c r="I61" s="381">
        <f>I59/SUM(F166,F57)-1</f>
        <v>-1.9251943098375968E-2</v>
      </c>
      <c r="J61" s="131"/>
      <c r="K61" s="71"/>
    </row>
    <row r="62" spans="1:11" x14ac:dyDescent="0.2">
      <c r="A62" s="111"/>
      <c r="B62" s="170"/>
      <c r="C62" s="136"/>
      <c r="D62" s="136"/>
      <c r="E62" s="111"/>
      <c r="F62" s="131"/>
      <c r="G62" s="136"/>
      <c r="H62" s="111"/>
      <c r="I62" s="131"/>
      <c r="J62" s="131"/>
      <c r="K62" s="71"/>
    </row>
    <row r="63" spans="1:11" x14ac:dyDescent="0.2">
      <c r="A63" s="182" t="s">
        <v>497</v>
      </c>
      <c r="B63" s="172"/>
      <c r="C63" s="173"/>
      <c r="D63" s="173"/>
      <c r="E63" s="174"/>
      <c r="F63" s="175"/>
      <c r="G63" s="173"/>
      <c r="H63" s="174"/>
      <c r="I63" s="387">
        <f>'Exhibit No.__(BDJ-Rate Spread)'!M12</f>
        <v>-5152082.0498267785</v>
      </c>
      <c r="J63" s="183"/>
      <c r="K63" s="71"/>
    </row>
    <row r="64" spans="1:11" x14ac:dyDescent="0.2">
      <c r="A64" s="422" t="s">
        <v>498</v>
      </c>
      <c r="B64" s="177"/>
      <c r="C64" s="136"/>
      <c r="D64" s="136"/>
      <c r="E64" s="143"/>
      <c r="F64" s="137"/>
      <c r="G64" s="136"/>
      <c r="H64" s="143"/>
      <c r="I64" s="184">
        <f>I169</f>
        <v>-25643.819230353969</v>
      </c>
      <c r="J64" s="183"/>
      <c r="K64" s="71"/>
    </row>
    <row r="65" spans="1:11" x14ac:dyDescent="0.2">
      <c r="A65" s="422" t="s">
        <v>499</v>
      </c>
      <c r="B65" s="177"/>
      <c r="C65" s="136"/>
      <c r="D65" s="136"/>
      <c r="E65" s="143"/>
      <c r="F65" s="137"/>
      <c r="G65" s="136"/>
      <c r="H65" s="143"/>
      <c r="I65" s="184">
        <f>+I63-I64</f>
        <v>-5126438.2305964241</v>
      </c>
      <c r="J65" s="183"/>
      <c r="K65" s="71"/>
    </row>
    <row r="66" spans="1:11" x14ac:dyDescent="0.2">
      <c r="A66" s="422" t="s">
        <v>537</v>
      </c>
      <c r="B66" s="177"/>
      <c r="C66" s="136"/>
      <c r="D66" s="136"/>
      <c r="E66" s="143"/>
      <c r="F66" s="137"/>
      <c r="G66" s="136"/>
      <c r="H66" s="143"/>
      <c r="I66" s="184">
        <f>F57-F55-F53-F41</f>
        <v>223717542</v>
      </c>
      <c r="J66" s="183"/>
      <c r="K66" s="71"/>
    </row>
    <row r="67" spans="1:11" x14ac:dyDescent="0.2">
      <c r="A67" s="422" t="s">
        <v>538</v>
      </c>
      <c r="B67" s="177"/>
      <c r="C67" s="136"/>
      <c r="D67" s="136"/>
      <c r="E67" s="143"/>
      <c r="F67" s="137"/>
      <c r="G67" s="136"/>
      <c r="H67" s="143"/>
      <c r="I67" s="212">
        <f>I65/I66</f>
        <v>-2.2914779881661778E-2</v>
      </c>
      <c r="J67" s="183"/>
      <c r="K67" s="71"/>
    </row>
    <row r="68" spans="1:11" x14ac:dyDescent="0.2">
      <c r="A68" s="422" t="s">
        <v>248</v>
      </c>
      <c r="B68" s="177"/>
      <c r="C68" s="136"/>
      <c r="D68" s="136"/>
      <c r="E68" s="143"/>
      <c r="F68" s="137"/>
      <c r="G68" s="136"/>
      <c r="H68" s="143"/>
      <c r="I68" s="218">
        <f>I57-F57-I65</f>
        <v>-1259.7694035759196</v>
      </c>
      <c r="J68" s="183"/>
      <c r="K68" s="71"/>
    </row>
    <row r="69" spans="1:11" x14ac:dyDescent="0.2">
      <c r="A69" s="185" t="s">
        <v>280</v>
      </c>
      <c r="B69" s="186"/>
      <c r="C69" s="186"/>
      <c r="D69" s="187"/>
      <c r="E69" s="186"/>
      <c r="F69" s="186"/>
      <c r="G69" s="188"/>
      <c r="H69" s="186"/>
      <c r="I69" s="233">
        <f>I68/C49</f>
        <v>-4.4108865103048595E-7</v>
      </c>
      <c r="J69" s="183"/>
      <c r="K69" s="71"/>
    </row>
    <row r="70" spans="1:11" x14ac:dyDescent="0.2">
      <c r="A70" s="411"/>
      <c r="B70" s="170"/>
      <c r="C70" s="136"/>
      <c r="D70" s="136"/>
      <c r="E70" s="111"/>
      <c r="F70" s="131"/>
      <c r="G70" s="136"/>
      <c r="H70" s="111"/>
      <c r="I70" s="131"/>
      <c r="J70" s="131"/>
      <c r="K70" s="71"/>
    </row>
    <row r="71" spans="1:11" x14ac:dyDescent="0.2">
      <c r="A71" s="189" t="s">
        <v>343</v>
      </c>
      <c r="B71" s="190"/>
      <c r="C71" s="190"/>
      <c r="D71" s="173"/>
      <c r="E71" s="174"/>
      <c r="F71" s="175"/>
      <c r="G71" s="191"/>
      <c r="H71" s="191"/>
      <c r="I71" s="192"/>
      <c r="J71" s="131"/>
    </row>
    <row r="72" spans="1:11" x14ac:dyDescent="0.2">
      <c r="A72" s="193" t="s">
        <v>273</v>
      </c>
      <c r="B72" s="71"/>
      <c r="C72" s="71"/>
      <c r="D72" s="194">
        <f>D43-D45</f>
        <v>2.6626999999999998E-2</v>
      </c>
      <c r="E72" s="71"/>
      <c r="F72" s="194"/>
      <c r="G72" s="194"/>
      <c r="H72" s="71"/>
      <c r="I72" s="195"/>
    </row>
    <row r="73" spans="1:11" x14ac:dyDescent="0.2">
      <c r="A73" s="193" t="s">
        <v>274</v>
      </c>
      <c r="B73" s="71"/>
      <c r="C73" s="71"/>
      <c r="D73" s="194">
        <f>D44-D45</f>
        <v>1.7471E-2</v>
      </c>
      <c r="E73" s="71"/>
      <c r="F73" s="194"/>
      <c r="G73" s="194"/>
      <c r="H73" s="71"/>
      <c r="I73" s="195"/>
    </row>
    <row r="74" spans="1:11" x14ac:dyDescent="0.2">
      <c r="A74" s="193" t="s">
        <v>271</v>
      </c>
      <c r="B74" s="71"/>
      <c r="C74" s="196">
        <f>C43</f>
        <v>763328132</v>
      </c>
      <c r="D74" s="194"/>
      <c r="E74" s="71"/>
      <c r="F74" s="71"/>
      <c r="G74" s="196"/>
      <c r="H74" s="71"/>
      <c r="I74" s="195"/>
    </row>
    <row r="75" spans="1:11" x14ac:dyDescent="0.2">
      <c r="A75" s="193" t="s">
        <v>272</v>
      </c>
      <c r="B75" s="71"/>
      <c r="C75" s="196">
        <f>C44</f>
        <v>718862613</v>
      </c>
      <c r="D75" s="194"/>
      <c r="E75" s="71"/>
      <c r="F75" s="71"/>
      <c r="G75" s="196"/>
      <c r="H75" s="71"/>
      <c r="I75" s="195"/>
    </row>
    <row r="76" spans="1:11" x14ac:dyDescent="0.2">
      <c r="A76" s="193" t="s">
        <v>270</v>
      </c>
      <c r="B76" s="71"/>
      <c r="C76" s="71"/>
      <c r="D76" s="196"/>
      <c r="E76" s="71"/>
      <c r="F76" s="28">
        <f>C74*D72+D73*C75</f>
        <v>32884386.882486999</v>
      </c>
      <c r="G76" s="71"/>
      <c r="H76" s="71"/>
      <c r="I76" s="184"/>
    </row>
    <row r="77" spans="1:11" x14ac:dyDescent="0.2">
      <c r="A77" s="193" t="s">
        <v>278</v>
      </c>
      <c r="B77" s="71"/>
      <c r="C77" s="71"/>
      <c r="D77" s="28"/>
      <c r="E77" s="71"/>
      <c r="F77" s="28">
        <f>SUM(F53,F55)</f>
        <v>37315048</v>
      </c>
      <c r="G77" s="71"/>
      <c r="H77" s="71"/>
      <c r="I77" s="184"/>
    </row>
    <row r="78" spans="1:11" x14ac:dyDescent="0.2">
      <c r="A78" s="193" t="s">
        <v>279</v>
      </c>
      <c r="B78" s="71"/>
      <c r="C78" s="71"/>
      <c r="D78" s="71"/>
      <c r="E78" s="71"/>
      <c r="F78" s="28">
        <f>SUM(F76:F77)</f>
        <v>70199434.882486999</v>
      </c>
      <c r="G78" s="71"/>
      <c r="H78" s="71"/>
      <c r="I78" s="184"/>
    </row>
    <row r="79" spans="1:11" x14ac:dyDescent="0.2">
      <c r="A79" s="176"/>
      <c r="B79" s="71"/>
      <c r="C79" s="71"/>
      <c r="D79" s="71"/>
      <c r="E79" s="71"/>
      <c r="F79" s="71"/>
      <c r="G79" s="28"/>
      <c r="H79" s="71"/>
      <c r="I79" s="195"/>
    </row>
    <row r="80" spans="1:11" x14ac:dyDescent="0.2">
      <c r="A80" s="193" t="s">
        <v>284</v>
      </c>
      <c r="B80" s="71"/>
      <c r="C80" s="28"/>
      <c r="D80" s="194">
        <f>ROUND(SUM(F43:F44)/SUM($C$43:$C$44),6)</f>
        <v>8.8278999999999996E-2</v>
      </c>
      <c r="E80" s="71"/>
      <c r="F80" s="71"/>
      <c r="G80" s="194">
        <f>ROUND(SUM(I43:I44)/SUM($C$43:$C$44),6)</f>
        <v>8.6255999999999999E-2</v>
      </c>
      <c r="H80" s="71"/>
      <c r="I80" s="195"/>
    </row>
    <row r="81" spans="1:11" x14ac:dyDescent="0.2">
      <c r="A81" s="197" t="s">
        <v>283</v>
      </c>
      <c r="B81" s="186"/>
      <c r="C81" s="198"/>
      <c r="D81" s="187">
        <f>ROUND(SUM(F53)/SUM($C$53),2)</f>
        <v>8.51</v>
      </c>
      <c r="E81" s="186"/>
      <c r="F81" s="186"/>
      <c r="G81" s="187">
        <f>ROUND(SUM(I53)/SUM($C$53),2)</f>
        <v>8.51</v>
      </c>
      <c r="H81" s="186"/>
      <c r="I81" s="199"/>
      <c r="K81" s="411"/>
    </row>
    <row r="82" spans="1:11" x14ac:dyDescent="0.2">
      <c r="D82" s="71"/>
    </row>
    <row r="83" spans="1:11" x14ac:dyDescent="0.2">
      <c r="A83" s="110" t="s">
        <v>97</v>
      </c>
      <c r="B83" s="111"/>
      <c r="C83" s="117"/>
      <c r="D83" s="131"/>
      <c r="E83" s="111"/>
      <c r="F83" s="111"/>
      <c r="G83" s="131"/>
      <c r="H83" s="111"/>
      <c r="I83" s="131" t="s">
        <v>0</v>
      </c>
      <c r="J83" s="131"/>
    </row>
    <row r="84" spans="1:11" x14ac:dyDescent="0.2">
      <c r="A84" s="116" t="s">
        <v>89</v>
      </c>
      <c r="B84" s="111"/>
      <c r="C84" s="111" t="s">
        <v>0</v>
      </c>
      <c r="D84" s="131"/>
      <c r="E84" s="111"/>
      <c r="F84" s="111"/>
      <c r="G84" s="131"/>
      <c r="H84" s="111"/>
      <c r="I84" s="111"/>
      <c r="J84" s="111"/>
    </row>
    <row r="85" spans="1:11" x14ac:dyDescent="0.2">
      <c r="A85" s="111"/>
      <c r="B85" s="111"/>
      <c r="C85" s="111"/>
      <c r="D85" s="131"/>
      <c r="E85" s="111"/>
      <c r="F85" s="111"/>
      <c r="G85" s="131"/>
      <c r="H85" s="111"/>
      <c r="I85" s="111"/>
      <c r="J85" s="111"/>
      <c r="K85" s="71"/>
    </row>
    <row r="86" spans="1:11" x14ac:dyDescent="0.2">
      <c r="A86" s="111" t="s">
        <v>33</v>
      </c>
      <c r="B86" s="121"/>
      <c r="C86" s="117">
        <v>10079</v>
      </c>
      <c r="D86" s="120">
        <f>'Exhibit No.__(BDJ-Tariff)'!D35</f>
        <v>109.08</v>
      </c>
      <c r="E86" s="111"/>
      <c r="F86" s="131">
        <f>ROUND(D86*$C86,0)</f>
        <v>1099417</v>
      </c>
      <c r="G86" s="120">
        <f>D86</f>
        <v>109.08</v>
      </c>
      <c r="H86" s="111"/>
      <c r="I86" s="131">
        <f>ROUND(G86*$C86,0)</f>
        <v>1099417</v>
      </c>
      <c r="J86" s="131"/>
      <c r="K86" s="33" t="s">
        <v>528</v>
      </c>
    </row>
    <row r="87" spans="1:11" x14ac:dyDescent="0.2">
      <c r="A87" s="111" t="s">
        <v>36</v>
      </c>
      <c r="B87" s="30"/>
      <c r="C87" s="117"/>
      <c r="D87" s="167"/>
      <c r="E87" s="131"/>
      <c r="F87" s="131"/>
      <c r="G87" s="167"/>
      <c r="H87" s="131"/>
      <c r="I87" s="131"/>
      <c r="J87" s="131"/>
      <c r="K87" s="71"/>
    </row>
    <row r="88" spans="1:11" x14ac:dyDescent="0.2">
      <c r="A88" s="128" t="s">
        <v>41</v>
      </c>
      <c r="B88" s="121"/>
      <c r="C88" s="117">
        <v>1725734026</v>
      </c>
      <c r="D88" s="129">
        <f>'Exhibit No.__(BDJ-Tariff)'!D37</f>
        <v>5.9096000000000003E-2</v>
      </c>
      <c r="E88" s="131"/>
      <c r="F88" s="131">
        <f t="shared" ref="F88" si="8">ROUND($C88*D88,0)</f>
        <v>101983978</v>
      </c>
      <c r="G88" s="129">
        <f>ROUND(D88*(1+$I$107),6)</f>
        <v>5.7457000000000001E-2</v>
      </c>
      <c r="H88" s="131"/>
      <c r="I88" s="131">
        <f t="shared" ref="I88" si="9">ROUND($C88*G88,0)</f>
        <v>99155500</v>
      </c>
      <c r="J88" s="131"/>
      <c r="K88" s="411" t="s">
        <v>542</v>
      </c>
    </row>
    <row r="89" spans="1:11" x14ac:dyDescent="0.2">
      <c r="A89" s="122" t="s">
        <v>26</v>
      </c>
      <c r="B89" s="30"/>
      <c r="C89" s="150">
        <f>SUM(C88:C88)</f>
        <v>1725734026</v>
      </c>
      <c r="D89" s="153"/>
      <c r="E89" s="111"/>
      <c r="F89" s="168">
        <f>SUM(F88:F88)</f>
        <v>101983978</v>
      </c>
      <c r="G89" s="153"/>
      <c r="H89" s="111"/>
      <c r="I89" s="168">
        <f>SUM(I88:I88)</f>
        <v>99155500</v>
      </c>
      <c r="J89" s="131"/>
      <c r="K89" s="71"/>
    </row>
    <row r="90" spans="1:11" x14ac:dyDescent="0.2">
      <c r="A90" s="128" t="s">
        <v>69</v>
      </c>
      <c r="B90" s="30"/>
      <c r="C90" s="117">
        <v>-8381430.2384570576</v>
      </c>
      <c r="D90" s="129">
        <f>D88</f>
        <v>5.9096000000000003E-2</v>
      </c>
      <c r="E90" s="111"/>
      <c r="F90" s="131">
        <f t="shared" ref="F90" si="10">ROUND($C90*D90,0)</f>
        <v>-495309</v>
      </c>
      <c r="G90" s="129">
        <f>G88</f>
        <v>5.7457000000000001E-2</v>
      </c>
      <c r="H90" s="111"/>
      <c r="I90" s="131">
        <f t="shared" ref="I90" si="11">ROUND($C90*G90,0)</f>
        <v>-481572</v>
      </c>
      <c r="J90" s="131"/>
      <c r="K90" s="411"/>
    </row>
    <row r="91" spans="1:11" ht="22.5" x14ac:dyDescent="0.2">
      <c r="A91" s="18" t="s">
        <v>71</v>
      </c>
      <c r="B91" s="30"/>
      <c r="C91" s="117">
        <v>34440852</v>
      </c>
      <c r="D91" s="129">
        <f>ROUND(F91/C7:C91,6)</f>
        <v>8.5965E-2</v>
      </c>
      <c r="E91" s="111"/>
      <c r="F91" s="121">
        <v>2960719</v>
      </c>
      <c r="G91" s="129">
        <f>ROUND(D91*(1+$I$107),6)</f>
        <v>8.3581000000000003E-2</v>
      </c>
      <c r="H91" s="111"/>
      <c r="I91" s="131">
        <f>ROUND($C91*G91,0)-763</f>
        <v>2877838</v>
      </c>
      <c r="J91" s="137"/>
      <c r="K91" s="151" t="s">
        <v>551</v>
      </c>
    </row>
    <row r="92" spans="1:11" x14ac:dyDescent="0.2">
      <c r="A92" s="122" t="s">
        <v>26</v>
      </c>
      <c r="B92" s="121"/>
      <c r="C92" s="150">
        <f>SUM(C89:C91)</f>
        <v>1751793447.761543</v>
      </c>
      <c r="D92" s="111"/>
      <c r="E92" s="111"/>
      <c r="F92" s="168">
        <f>SUM(F89:F91)</f>
        <v>104449388</v>
      </c>
      <c r="G92" s="111"/>
      <c r="H92" s="111"/>
      <c r="I92" s="168">
        <f>SUM(I89:I91)</f>
        <v>101551766</v>
      </c>
      <c r="J92" s="137"/>
      <c r="K92" s="411"/>
    </row>
    <row r="93" spans="1:11" x14ac:dyDescent="0.2">
      <c r="A93" s="111" t="s">
        <v>35</v>
      </c>
      <c r="B93" s="121"/>
      <c r="C93" s="117"/>
      <c r="D93" s="124"/>
      <c r="E93" s="111"/>
      <c r="F93" s="131"/>
      <c r="G93" s="124"/>
      <c r="H93" s="111"/>
      <c r="I93" s="131"/>
      <c r="J93" s="131"/>
      <c r="K93" s="411"/>
    </row>
    <row r="94" spans="1:11" x14ac:dyDescent="0.2">
      <c r="A94" s="128" t="s">
        <v>90</v>
      </c>
      <c r="B94" s="121"/>
      <c r="C94" s="117">
        <v>2158263</v>
      </c>
      <c r="D94" s="120">
        <f>'Exhibit No.__(BDJ-Tariff)'!D39</f>
        <v>12.23</v>
      </c>
      <c r="E94" s="111"/>
      <c r="F94" s="131">
        <f>ROUND(D94*$C94,0)</f>
        <v>26395556</v>
      </c>
      <c r="G94" s="120">
        <f>D94</f>
        <v>12.23</v>
      </c>
      <c r="H94" s="111"/>
      <c r="I94" s="131">
        <f>ROUND(G94*$C94,0)</f>
        <v>26395556</v>
      </c>
      <c r="J94" s="131"/>
      <c r="K94" s="33" t="s">
        <v>528</v>
      </c>
    </row>
    <row r="95" spans="1:11" x14ac:dyDescent="0.2">
      <c r="A95" s="128" t="s">
        <v>91</v>
      </c>
      <c r="B95" s="121"/>
      <c r="C95" s="117">
        <v>2157451</v>
      </c>
      <c r="D95" s="120">
        <f>'Exhibit No.__(BDJ-Tariff)'!D42</f>
        <v>8.15</v>
      </c>
      <c r="E95" s="111"/>
      <c r="F95" s="131">
        <f>ROUND(D95*$C95,0)</f>
        <v>17583226</v>
      </c>
      <c r="G95" s="120">
        <f>D95</f>
        <v>8.15</v>
      </c>
      <c r="H95" s="111"/>
      <c r="I95" s="131">
        <f>ROUND(G95*$C95,0)</f>
        <v>17583226</v>
      </c>
      <c r="J95" s="131"/>
      <c r="K95" s="33" t="s">
        <v>528</v>
      </c>
    </row>
    <row r="96" spans="1:11" x14ac:dyDescent="0.2">
      <c r="A96" s="122" t="s">
        <v>26</v>
      </c>
      <c r="B96" s="30"/>
      <c r="C96" s="150">
        <f>SUM(C94:C95)</f>
        <v>4315714</v>
      </c>
      <c r="D96" s="124"/>
      <c r="E96" s="111"/>
      <c r="F96" s="168">
        <f>SUM(F94:F95)</f>
        <v>43978782</v>
      </c>
      <c r="G96" s="124"/>
      <c r="H96" s="111"/>
      <c r="I96" s="168">
        <f>SUM(I94:I95)</f>
        <v>43978782</v>
      </c>
      <c r="J96" s="131"/>
      <c r="K96" s="411"/>
    </row>
    <row r="97" spans="1:11" x14ac:dyDescent="0.2">
      <c r="A97" s="111"/>
      <c r="B97" s="121"/>
      <c r="C97" s="136"/>
      <c r="D97" s="136"/>
      <c r="E97" s="111"/>
      <c r="F97" s="137"/>
      <c r="G97" s="136"/>
      <c r="H97" s="111"/>
      <c r="I97" s="137"/>
      <c r="J97" s="137"/>
      <c r="K97" s="411"/>
    </row>
    <row r="98" spans="1:11" x14ac:dyDescent="0.2">
      <c r="A98" s="111" t="s">
        <v>86</v>
      </c>
      <c r="B98" s="121"/>
      <c r="C98" s="117">
        <v>731937743</v>
      </c>
      <c r="D98" s="169">
        <f>'Exhibit No.__(BDJ-Tariff)'!D46</f>
        <v>1.2999999999999999E-3</v>
      </c>
      <c r="E98" s="111"/>
      <c r="F98" s="131">
        <f>ROUND(D98*$C98,0)</f>
        <v>951519</v>
      </c>
      <c r="G98" s="169">
        <f>D98</f>
        <v>1.2999999999999999E-3</v>
      </c>
      <c r="H98" s="111"/>
      <c r="I98" s="131">
        <f>ROUND(G98*$C98,0)</f>
        <v>951519</v>
      </c>
      <c r="J98" s="137"/>
      <c r="K98" s="33" t="s">
        <v>528</v>
      </c>
    </row>
    <row r="99" spans="1:11" x14ac:dyDescent="0.2">
      <c r="A99" s="111"/>
      <c r="B99" s="111"/>
      <c r="C99" s="136"/>
      <c r="D99" s="136"/>
      <c r="E99" s="111"/>
      <c r="F99" s="137"/>
      <c r="G99" s="136"/>
      <c r="H99" s="111"/>
      <c r="I99" s="137"/>
      <c r="J99" s="137"/>
      <c r="K99" s="100"/>
    </row>
    <row r="100" spans="1:11" ht="12" thickBot="1" x14ac:dyDescent="0.25">
      <c r="A100" s="111" t="s">
        <v>30</v>
      </c>
      <c r="B100" s="111"/>
      <c r="C100" s="136"/>
      <c r="D100" s="136"/>
      <c r="E100" s="111"/>
      <c r="F100" s="155">
        <f>SUM(F86,F92,F96,F98)</f>
        <v>150479106</v>
      </c>
      <c r="G100" s="136"/>
      <c r="H100" s="111"/>
      <c r="I100" s="155">
        <f>SUM(I86,I92,I96,I98)</f>
        <v>147581484</v>
      </c>
      <c r="J100" s="137"/>
    </row>
    <row r="101" spans="1:11" ht="12" thickTop="1" x14ac:dyDescent="0.2">
      <c r="A101" s="111"/>
      <c r="B101" s="170"/>
      <c r="C101" s="136"/>
      <c r="D101" s="136"/>
      <c r="E101" s="111"/>
      <c r="F101" s="131"/>
      <c r="G101" s="136"/>
      <c r="H101" s="111"/>
      <c r="I101" s="131"/>
      <c r="J101" s="131"/>
      <c r="K101" s="100"/>
    </row>
    <row r="102" spans="1:11" x14ac:dyDescent="0.2">
      <c r="A102" s="183" t="str">
        <f>A81</f>
        <v>Avg Demand</v>
      </c>
      <c r="D102" s="201">
        <f>ROUND(SUM(F96)/SUM($C$96),2)</f>
        <v>10.19</v>
      </c>
      <c r="G102" s="201">
        <f>ROUND(SUM(I96)/SUM($C$96),2)</f>
        <v>10.19</v>
      </c>
    </row>
    <row r="103" spans="1:11" x14ac:dyDescent="0.2">
      <c r="A103" s="183"/>
      <c r="D103" s="201"/>
      <c r="G103" s="201"/>
    </row>
    <row r="104" spans="1:11" x14ac:dyDescent="0.2">
      <c r="A104" s="171" t="s">
        <v>104</v>
      </c>
      <c r="B104" s="191"/>
      <c r="C104" s="191"/>
      <c r="D104" s="202"/>
      <c r="E104" s="191"/>
      <c r="F104" s="191"/>
      <c r="G104" s="202"/>
      <c r="H104" s="191"/>
      <c r="I104" s="216">
        <f>'Exhibit No.__(BDJ-Rate Spread)'!K13*1000</f>
        <v>148407621.76021767</v>
      </c>
    </row>
    <row r="105" spans="1:11" x14ac:dyDescent="0.2">
      <c r="A105" s="176" t="s">
        <v>29</v>
      </c>
      <c r="B105" s="71"/>
      <c r="C105" s="71"/>
      <c r="D105" s="71"/>
      <c r="E105" s="71"/>
      <c r="F105" s="71"/>
      <c r="G105" s="71"/>
      <c r="H105" s="71"/>
      <c r="I105" s="218">
        <f>I104-F132-F100</f>
        <v>-2913220.2397823334</v>
      </c>
      <c r="K105" s="380">
        <f>I100-F100+I132-F132-I105</f>
        <v>-579.76021766662598</v>
      </c>
    </row>
    <row r="106" spans="1:11" x14ac:dyDescent="0.2">
      <c r="A106" s="422" t="s">
        <v>500</v>
      </c>
      <c r="B106" s="71"/>
      <c r="C106" s="71"/>
      <c r="D106" s="201"/>
      <c r="E106" s="71"/>
      <c r="F106" s="71"/>
      <c r="G106" s="201"/>
      <c r="H106" s="71"/>
      <c r="I106" s="212">
        <f>I104/SUM(F132,F100)-1</f>
        <v>-1.9251943098375968E-2</v>
      </c>
    </row>
    <row r="107" spans="1:11" x14ac:dyDescent="0.2">
      <c r="A107" s="422" t="s">
        <v>541</v>
      </c>
      <c r="B107" s="71"/>
      <c r="C107" s="71"/>
      <c r="D107" s="201"/>
      <c r="E107" s="71"/>
      <c r="F107" s="71"/>
      <c r="G107" s="201"/>
      <c r="H107" s="71"/>
      <c r="I107" s="212">
        <f>I105/SUM(F121,F92)</f>
        <v>-2.7736314670496101E-2</v>
      </c>
    </row>
    <row r="108" spans="1:11" x14ac:dyDescent="0.2">
      <c r="A108" s="185" t="s">
        <v>280</v>
      </c>
      <c r="B108" s="186"/>
      <c r="C108" s="186"/>
      <c r="D108" s="187"/>
      <c r="E108" s="186"/>
      <c r="F108" s="186"/>
      <c r="G108" s="188"/>
      <c r="H108" s="186"/>
      <c r="I108" s="233">
        <f>(I100-F100+I132-F132-I105)/(C121+C92)</f>
        <v>-3.2905192257191107E-7</v>
      </c>
    </row>
    <row r="109" spans="1:11" x14ac:dyDescent="0.2">
      <c r="B109" s="111"/>
      <c r="C109" s="117"/>
      <c r="D109" s="131"/>
      <c r="E109" s="111"/>
      <c r="F109" s="111"/>
      <c r="G109" s="131"/>
      <c r="H109" s="111"/>
      <c r="I109" s="131" t="s">
        <v>0</v>
      </c>
      <c r="J109" s="131"/>
    </row>
    <row r="110" spans="1:11" x14ac:dyDescent="0.2">
      <c r="A110" s="110" t="s">
        <v>92</v>
      </c>
      <c r="B110" s="111"/>
      <c r="C110" s="111" t="s">
        <v>0</v>
      </c>
      <c r="D110" s="131"/>
      <c r="E110" s="111"/>
      <c r="F110" s="111"/>
      <c r="G110" s="131"/>
      <c r="H110" s="111"/>
      <c r="I110" s="111"/>
      <c r="J110" s="111"/>
    </row>
    <row r="111" spans="1:11" x14ac:dyDescent="0.2">
      <c r="A111" s="116" t="s">
        <v>89</v>
      </c>
      <c r="B111" s="111"/>
      <c r="C111" s="111"/>
      <c r="D111" s="131"/>
      <c r="E111" s="111"/>
      <c r="F111" s="111"/>
      <c r="G111" s="131"/>
      <c r="H111" s="111"/>
      <c r="I111" s="111"/>
      <c r="J111" s="111"/>
      <c r="K111" s="71"/>
    </row>
    <row r="112" spans="1:11" x14ac:dyDescent="0.2">
      <c r="A112" s="111" t="s">
        <v>33</v>
      </c>
      <c r="C112" s="117">
        <v>24</v>
      </c>
      <c r="D112" s="120">
        <f>D86</f>
        <v>109.08</v>
      </c>
      <c r="E112" s="111"/>
      <c r="F112" s="131">
        <f>ROUND(D112*$C112,0)</f>
        <v>2618</v>
      </c>
      <c r="G112" s="120">
        <f>G86</f>
        <v>109.08</v>
      </c>
      <c r="H112" s="111"/>
      <c r="I112" s="131">
        <f>ROUND(G112*$C112,0)</f>
        <v>2618</v>
      </c>
      <c r="J112" s="131"/>
      <c r="K112" s="33" t="s">
        <v>528</v>
      </c>
    </row>
    <row r="113" spans="1:11" x14ac:dyDescent="0.2">
      <c r="A113" s="18" t="s">
        <v>93</v>
      </c>
      <c r="B113" s="111"/>
      <c r="C113" s="117">
        <f>C112</f>
        <v>24</v>
      </c>
      <c r="D113" s="120">
        <f>'Exhibit No.__(BDJ-Tariff)'!D49</f>
        <v>249.03000000000003</v>
      </c>
      <c r="E113" s="111"/>
      <c r="F113" s="131">
        <f t="shared" ref="F113" si="12">ROUND(D113*$C113,0)</f>
        <v>5977</v>
      </c>
      <c r="G113" s="120">
        <f>F135</f>
        <v>249.03000000000003</v>
      </c>
      <c r="H113" s="111"/>
      <c r="I113" s="131">
        <f>ROUND(G113*$C113,0)</f>
        <v>5977</v>
      </c>
      <c r="J113" s="131"/>
      <c r="K113" s="33" t="s">
        <v>528</v>
      </c>
    </row>
    <row r="114" spans="1:11" x14ac:dyDescent="0.2">
      <c r="A114" s="122" t="s">
        <v>26</v>
      </c>
      <c r="B114" s="111"/>
      <c r="C114" s="117"/>
      <c r="D114" s="120"/>
      <c r="E114" s="111"/>
      <c r="F114" s="168">
        <f>SUM(F112:F113)</f>
        <v>8595</v>
      </c>
      <c r="G114" s="120"/>
      <c r="H114" s="111"/>
      <c r="I114" s="168">
        <f>SUM(I112:I113)</f>
        <v>8595</v>
      </c>
      <c r="J114" s="131"/>
      <c r="K114" s="33" t="s">
        <v>113</v>
      </c>
    </row>
    <row r="115" spans="1:11" x14ac:dyDescent="0.2">
      <c r="A115" s="111" t="s">
        <v>36</v>
      </c>
      <c r="C115" s="117"/>
      <c r="D115" s="167"/>
      <c r="E115" s="131"/>
      <c r="F115" s="131"/>
      <c r="G115" s="167"/>
      <c r="H115" s="131"/>
      <c r="I115" s="131"/>
      <c r="J115" s="131"/>
      <c r="K115" s="411"/>
    </row>
    <row r="116" spans="1:11" x14ac:dyDescent="0.2">
      <c r="A116" s="128" t="s">
        <v>41</v>
      </c>
      <c r="C116" s="117">
        <v>10117600</v>
      </c>
      <c r="D116" s="129">
        <f>D88</f>
        <v>5.9096000000000003E-2</v>
      </c>
      <c r="E116" s="131"/>
      <c r="F116" s="131">
        <f t="shared" ref="F116:F117" si="13">ROUND($C116*D116,0)</f>
        <v>597910</v>
      </c>
      <c r="G116" s="129">
        <f>G88</f>
        <v>5.7457000000000001E-2</v>
      </c>
      <c r="H116" s="131"/>
      <c r="I116" s="131">
        <f t="shared" ref="I116:I117" si="14">ROUND($C116*G116,0)</f>
        <v>581327</v>
      </c>
      <c r="J116" s="131"/>
      <c r="K116" s="33" t="s">
        <v>94</v>
      </c>
    </row>
    <row r="117" spans="1:11" x14ac:dyDescent="0.2">
      <c r="A117" s="128" t="s">
        <v>95</v>
      </c>
      <c r="C117" s="117">
        <f>C116</f>
        <v>10117600</v>
      </c>
      <c r="D117" s="129">
        <f>'Exhibit No.__(BDJ-Tariff)'!D55-D116</f>
        <v>-1.4419999999999988E-3</v>
      </c>
      <c r="E117" s="131"/>
      <c r="F117" s="131">
        <f t="shared" si="13"/>
        <v>-14590</v>
      </c>
      <c r="G117" s="129">
        <f>-I137</f>
        <v>-1.402E-3</v>
      </c>
      <c r="H117" s="131"/>
      <c r="I117" s="131">
        <f t="shared" si="14"/>
        <v>-14185</v>
      </c>
      <c r="J117" s="131"/>
      <c r="K117" s="33" t="s">
        <v>114</v>
      </c>
    </row>
    <row r="118" spans="1:11" x14ac:dyDescent="0.2">
      <c r="A118" s="122" t="s">
        <v>26</v>
      </c>
      <c r="B118" s="111"/>
      <c r="C118" s="150">
        <f>SUM(C116:C116)</f>
        <v>10117600</v>
      </c>
      <c r="D118" s="153"/>
      <c r="E118" s="111"/>
      <c r="F118" s="168">
        <f>SUM(F116:F117)</f>
        <v>583320</v>
      </c>
      <c r="G118" s="153"/>
      <c r="H118" s="111"/>
      <c r="I118" s="168">
        <f>SUM(I116:I117)</f>
        <v>567142</v>
      </c>
      <c r="J118" s="131"/>
      <c r="K118" s="380"/>
    </row>
    <row r="119" spans="1:11" x14ac:dyDescent="0.2">
      <c r="A119" s="128" t="s">
        <v>69</v>
      </c>
      <c r="C119" s="117">
        <v>0</v>
      </c>
      <c r="D119" s="129">
        <f>D116</f>
        <v>5.9096000000000003E-2</v>
      </c>
      <c r="E119" s="111"/>
      <c r="F119" s="131">
        <f t="shared" ref="F119:F120" si="15">ROUND($C119*D119,0)</f>
        <v>0</v>
      </c>
      <c r="G119" s="129"/>
      <c r="H119" s="111"/>
      <c r="I119" s="131">
        <f t="shared" ref="I119:I120" si="16">ROUND($C119*G119,0)</f>
        <v>0</v>
      </c>
      <c r="J119" s="131"/>
      <c r="K119" s="411"/>
    </row>
    <row r="120" spans="1:11" x14ac:dyDescent="0.2">
      <c r="A120" s="18" t="s">
        <v>71</v>
      </c>
      <c r="C120" s="136">
        <f>0</f>
        <v>0</v>
      </c>
      <c r="D120" s="129">
        <f>ROUND(SUM(F114,F118,F119,F126,F130)/SUM(C118:C119),6)</f>
        <v>8.3195000000000005E-2</v>
      </c>
      <c r="E120" s="111"/>
      <c r="F120" s="131">
        <f t="shared" si="15"/>
        <v>0</v>
      </c>
      <c r="G120" s="129">
        <f>ROUND(D120*(1+$I$107),6)</f>
        <v>8.0887000000000001E-2</v>
      </c>
      <c r="H120" s="111"/>
      <c r="I120" s="131">
        <f t="shared" si="16"/>
        <v>0</v>
      </c>
      <c r="J120" s="137"/>
      <c r="K120" s="71"/>
    </row>
    <row r="121" spans="1:11" x14ac:dyDescent="0.2">
      <c r="A121" s="122" t="s">
        <v>26</v>
      </c>
      <c r="B121" s="111"/>
      <c r="C121" s="150">
        <f>SUM(C118:C120)</f>
        <v>10117600</v>
      </c>
      <c r="D121" s="111"/>
      <c r="E121" s="111"/>
      <c r="F121" s="168">
        <f>SUM(F118:F120)</f>
        <v>583320</v>
      </c>
      <c r="G121" s="111"/>
      <c r="H121" s="111"/>
      <c r="I121" s="168">
        <f>SUM(I118:I120)</f>
        <v>567142</v>
      </c>
      <c r="J121" s="137"/>
      <c r="K121" s="411"/>
    </row>
    <row r="122" spans="1:11" x14ac:dyDescent="0.2">
      <c r="A122" s="111" t="s">
        <v>35</v>
      </c>
      <c r="B122" s="111"/>
      <c r="C122" s="117"/>
      <c r="D122" s="124"/>
      <c r="E122" s="111"/>
      <c r="F122" s="131"/>
      <c r="G122" s="124"/>
      <c r="H122" s="111"/>
      <c r="I122" s="131"/>
      <c r="J122" s="131"/>
      <c r="K122" s="411"/>
    </row>
    <row r="123" spans="1:11" x14ac:dyDescent="0.2">
      <c r="A123" s="128" t="s">
        <v>90</v>
      </c>
      <c r="B123" s="111"/>
      <c r="C123" s="117">
        <v>12863</v>
      </c>
      <c r="D123" s="120">
        <f>D94</f>
        <v>12.23</v>
      </c>
      <c r="E123" s="111"/>
      <c r="F123" s="131">
        <f>ROUND(D123*$C123,0)</f>
        <v>157314</v>
      </c>
      <c r="G123" s="120">
        <f>G94</f>
        <v>12.23</v>
      </c>
      <c r="H123" s="111"/>
      <c r="I123" s="131">
        <f>ROUND(G123*$C123,0)</f>
        <v>157314</v>
      </c>
      <c r="J123" s="131"/>
      <c r="K123" s="33" t="s">
        <v>94</v>
      </c>
    </row>
    <row r="124" spans="1:11" x14ac:dyDescent="0.2">
      <c r="A124" s="128" t="s">
        <v>91</v>
      </c>
      <c r="B124" s="111"/>
      <c r="C124" s="117">
        <v>11581</v>
      </c>
      <c r="D124" s="120">
        <f>D95</f>
        <v>8.15</v>
      </c>
      <c r="E124" s="111"/>
      <c r="F124" s="131">
        <f>ROUND(D124*$C124,0)</f>
        <v>94385</v>
      </c>
      <c r="G124" s="120">
        <f>G95</f>
        <v>8.15</v>
      </c>
      <c r="H124" s="111"/>
      <c r="I124" s="131">
        <f>ROUND(G124*$C124,0)</f>
        <v>94385</v>
      </c>
      <c r="J124" s="131"/>
      <c r="K124" s="33" t="s">
        <v>94</v>
      </c>
    </row>
    <row r="125" spans="1:11" x14ac:dyDescent="0.2">
      <c r="A125" s="128" t="s">
        <v>95</v>
      </c>
      <c r="C125" s="117">
        <f>C124+C123</f>
        <v>24444</v>
      </c>
      <c r="D125" s="120">
        <f>'Exhibit No.__(BDJ-Tariff)'!D50</f>
        <v>-0.25</v>
      </c>
      <c r="E125" s="111"/>
      <c r="F125" s="131">
        <f>ROUND(D125*$C125,0)</f>
        <v>-6111</v>
      </c>
      <c r="G125" s="120">
        <f>-I136</f>
        <v>-0.25</v>
      </c>
      <c r="H125" s="111"/>
      <c r="I125" s="131">
        <f>ROUND(G125*$C125,0)</f>
        <v>-6111</v>
      </c>
      <c r="J125" s="131"/>
      <c r="K125" s="33" t="s">
        <v>114</v>
      </c>
    </row>
    <row r="126" spans="1:11" x14ac:dyDescent="0.2">
      <c r="A126" s="122" t="s">
        <v>26</v>
      </c>
      <c r="C126" s="150">
        <f>SUM(C123:C124)</f>
        <v>24444</v>
      </c>
      <c r="D126" s="124"/>
      <c r="E126" s="111"/>
      <c r="F126" s="168">
        <f>SUM(F123:F125)</f>
        <v>245588</v>
      </c>
      <c r="G126" s="124"/>
      <c r="H126" s="111"/>
      <c r="I126" s="168">
        <f>SUM(I123:I125)</f>
        <v>245588</v>
      </c>
      <c r="J126" s="131"/>
      <c r="K126" s="411"/>
    </row>
    <row r="127" spans="1:11" x14ac:dyDescent="0.2">
      <c r="A127" s="111"/>
      <c r="C127" s="136"/>
      <c r="D127" s="136"/>
      <c r="E127" s="111"/>
      <c r="F127" s="137"/>
      <c r="G127" s="136"/>
      <c r="H127" s="111"/>
      <c r="I127" s="137"/>
      <c r="J127" s="137"/>
      <c r="K127" s="411"/>
    </row>
    <row r="128" spans="1:11" x14ac:dyDescent="0.2">
      <c r="A128" s="111" t="s">
        <v>86</v>
      </c>
      <c r="B128" s="111"/>
      <c r="C128" s="117">
        <v>3332777</v>
      </c>
      <c r="D128" s="169">
        <f>D98</f>
        <v>1.2999999999999999E-3</v>
      </c>
      <c r="E128" s="111"/>
      <c r="F128" s="131">
        <f>ROUND(D128*$C128,0)</f>
        <v>4333</v>
      </c>
      <c r="G128" s="169">
        <f>G98</f>
        <v>1.2999999999999999E-3</v>
      </c>
      <c r="H128" s="111"/>
      <c r="I128" s="131">
        <f>ROUND(G128*$C128,0)</f>
        <v>4333</v>
      </c>
      <c r="J128" s="137"/>
      <c r="K128" s="33" t="s">
        <v>94</v>
      </c>
    </row>
    <row r="129" spans="1:11" x14ac:dyDescent="0.2">
      <c r="A129" s="128" t="s">
        <v>95</v>
      </c>
      <c r="B129" s="111"/>
      <c r="C129" s="117">
        <f>C128+C127</f>
        <v>3332777</v>
      </c>
      <c r="D129" s="169">
        <f>'Exhibit No.__(BDJ-Tariff)'!D56-'Exhibit No.__(BDJ-SV RD)'!D128</f>
        <v>-3.0000000000000079E-5</v>
      </c>
      <c r="E129" s="111"/>
      <c r="F129" s="131">
        <f>ROUND(D129*$C129,0)</f>
        <v>-100</v>
      </c>
      <c r="G129" s="169">
        <f>-I138</f>
        <v>-3.0000000000000001E-5</v>
      </c>
      <c r="H129" s="111"/>
      <c r="I129" s="131">
        <f>ROUND(G129*$C129,0)</f>
        <v>-100</v>
      </c>
      <c r="J129" s="137"/>
      <c r="K129" s="33" t="s">
        <v>114</v>
      </c>
    </row>
    <row r="130" spans="1:11" x14ac:dyDescent="0.2">
      <c r="A130" s="122" t="s">
        <v>26</v>
      </c>
      <c r="B130" s="111"/>
      <c r="C130" s="117"/>
      <c r="D130" s="169"/>
      <c r="E130" s="111"/>
      <c r="F130" s="168">
        <f>SUM(F127:F129)</f>
        <v>4233</v>
      </c>
      <c r="G130" s="120"/>
      <c r="H130" s="111"/>
      <c r="I130" s="168">
        <f>SUM(I127:I129)</f>
        <v>4233</v>
      </c>
      <c r="J130" s="137"/>
      <c r="K130" s="411"/>
    </row>
    <row r="131" spans="1:11" x14ac:dyDescent="0.2">
      <c r="A131" s="111"/>
      <c r="B131" s="111"/>
      <c r="C131" s="136"/>
      <c r="D131" s="136"/>
      <c r="E131" s="111"/>
      <c r="F131" s="137"/>
      <c r="G131" s="136"/>
      <c r="H131" s="111"/>
      <c r="I131" s="137"/>
      <c r="J131" s="137"/>
      <c r="K131" s="411"/>
    </row>
    <row r="132" spans="1:11" ht="12" thickBot="1" x14ac:dyDescent="0.25">
      <c r="A132" s="111" t="s">
        <v>30</v>
      </c>
      <c r="B132" s="111"/>
      <c r="C132" s="136"/>
      <c r="D132" s="136"/>
      <c r="E132" s="111"/>
      <c r="F132" s="155">
        <f>SUM(F130,F126,F121,F114)</f>
        <v>841736</v>
      </c>
      <c r="G132" s="136"/>
      <c r="H132" s="111"/>
      <c r="I132" s="155">
        <f>SUM(I130,I126,I121,I114)</f>
        <v>825558</v>
      </c>
      <c r="J132" s="137"/>
      <c r="K132" s="411"/>
    </row>
    <row r="133" spans="1:11" ht="12" thickTop="1" x14ac:dyDescent="0.2">
      <c r="A133" s="111"/>
      <c r="B133" s="170"/>
      <c r="C133" s="136"/>
      <c r="D133" s="136"/>
      <c r="E133" s="111"/>
      <c r="F133" s="131"/>
      <c r="G133" s="136"/>
      <c r="H133" s="111"/>
      <c r="I133" s="131"/>
      <c r="J133" s="131"/>
      <c r="K133" s="100"/>
    </row>
    <row r="134" spans="1:11" x14ac:dyDescent="0.2">
      <c r="A134" s="203" t="s">
        <v>105</v>
      </c>
      <c r="B134" s="204"/>
      <c r="C134" s="204"/>
      <c r="D134" s="204"/>
      <c r="E134" s="204"/>
      <c r="F134" s="204"/>
      <c r="G134" s="204"/>
      <c r="H134" s="204"/>
      <c r="I134" s="205"/>
    </row>
    <row r="135" spans="1:11" x14ac:dyDescent="0.2">
      <c r="A135" s="422" t="s">
        <v>106</v>
      </c>
      <c r="B135" s="143"/>
      <c r="C135" s="136"/>
      <c r="D135" s="137"/>
      <c r="E135" s="143"/>
      <c r="F135" s="201">
        <f>'Exhibit No.__(BDJ-PV RD)'!G15-'Exhibit No.__(BDJ-SV RD)'!G86</f>
        <v>249.03000000000003</v>
      </c>
      <c r="G135" s="71"/>
      <c r="H135" s="143"/>
      <c r="I135" s="195"/>
      <c r="J135" s="131"/>
    </row>
    <row r="136" spans="1:11" x14ac:dyDescent="0.2">
      <c r="A136" s="422" t="s">
        <v>107</v>
      </c>
      <c r="B136" s="143"/>
      <c r="C136" s="143" t="s">
        <v>0</v>
      </c>
      <c r="D136" s="137"/>
      <c r="E136" s="143"/>
      <c r="F136" s="206">
        <f>'Exhibit No.__(BDJ-Tariff)'!D51</f>
        <v>2.4400000000000002E-2</v>
      </c>
      <c r="G136" s="71"/>
      <c r="H136" s="143"/>
      <c r="I136" s="207">
        <f>ROUND(+F136*(I96/C96),2)</f>
        <v>0.25</v>
      </c>
      <c r="J136" s="111"/>
      <c r="K136" s="411" t="s">
        <v>528</v>
      </c>
    </row>
    <row r="137" spans="1:11" x14ac:dyDescent="0.2">
      <c r="A137" s="422" t="s">
        <v>108</v>
      </c>
      <c r="B137" s="143"/>
      <c r="C137" s="143"/>
      <c r="D137" s="137"/>
      <c r="E137" s="143"/>
      <c r="F137" s="100">
        <f>+F136</f>
        <v>2.4400000000000002E-2</v>
      </c>
      <c r="G137" s="71"/>
      <c r="H137" s="143"/>
      <c r="I137" s="382">
        <f>ROUND(+F137*G88,6)</f>
        <v>1.402E-3</v>
      </c>
      <c r="J137" s="111"/>
    </row>
    <row r="138" spans="1:11" x14ac:dyDescent="0.2">
      <c r="A138" s="185" t="s">
        <v>115</v>
      </c>
      <c r="B138" s="180"/>
      <c r="C138" s="180"/>
      <c r="D138" s="181"/>
      <c r="E138" s="180"/>
      <c r="F138" s="208">
        <f>+F137</f>
        <v>2.4400000000000002E-2</v>
      </c>
      <c r="G138" s="186"/>
      <c r="H138" s="180"/>
      <c r="I138" s="209">
        <f>ROUND(+F138*G98,5)</f>
        <v>3.0000000000000001E-5</v>
      </c>
      <c r="J138" s="111"/>
      <c r="K138" s="411" t="s">
        <v>528</v>
      </c>
    </row>
    <row r="139" spans="1:11" x14ac:dyDescent="0.2">
      <c r="A139" s="111"/>
      <c r="B139" s="111"/>
      <c r="C139" s="111"/>
      <c r="D139" s="131"/>
      <c r="E139" s="111"/>
      <c r="F139" s="111"/>
      <c r="G139" s="131"/>
      <c r="H139" s="111"/>
      <c r="I139" s="111"/>
      <c r="J139" s="111"/>
      <c r="K139" s="88"/>
    </row>
    <row r="140" spans="1:11" x14ac:dyDescent="0.2">
      <c r="A140" s="111"/>
      <c r="B140" s="111"/>
      <c r="C140" s="111"/>
      <c r="D140" s="131"/>
      <c r="E140" s="111"/>
      <c r="F140" s="111"/>
      <c r="G140" s="131"/>
      <c r="H140" s="111"/>
      <c r="I140" s="111"/>
      <c r="J140" s="111"/>
      <c r="K140" s="88"/>
    </row>
    <row r="141" spans="1:11" x14ac:dyDescent="0.2">
      <c r="A141" s="111"/>
      <c r="B141" s="111"/>
      <c r="C141" s="111"/>
      <c r="D141" s="131"/>
      <c r="E141" s="111"/>
      <c r="F141" s="111"/>
      <c r="G141" s="131"/>
      <c r="H141" s="111"/>
      <c r="I141" s="111"/>
      <c r="J141" s="111"/>
      <c r="K141" s="88"/>
    </row>
    <row r="142" spans="1:11" x14ac:dyDescent="0.2">
      <c r="A142" s="110" t="s">
        <v>99</v>
      </c>
      <c r="B142" s="111"/>
      <c r="C142" s="111"/>
      <c r="D142" s="131"/>
      <c r="E142" s="111"/>
      <c r="F142" s="111"/>
      <c r="G142" s="131"/>
      <c r="H142" s="111"/>
      <c r="I142" s="111"/>
      <c r="J142" s="111"/>
      <c r="K142" s="88"/>
    </row>
    <row r="143" spans="1:11" x14ac:dyDescent="0.2">
      <c r="A143" s="116" t="s">
        <v>100</v>
      </c>
      <c r="B143" s="111"/>
      <c r="C143" s="111"/>
      <c r="D143" s="131"/>
      <c r="E143" s="111"/>
      <c r="F143" s="111"/>
      <c r="G143" s="131"/>
      <c r="H143" s="111"/>
      <c r="I143" s="111"/>
      <c r="J143" s="111"/>
      <c r="K143" s="88"/>
    </row>
    <row r="144" spans="1:11" x14ac:dyDescent="0.2">
      <c r="A144" s="111"/>
      <c r="B144" s="111"/>
      <c r="C144" s="111"/>
      <c r="D144" s="131"/>
      <c r="E144" s="111"/>
      <c r="F144" s="111"/>
      <c r="G144" s="131"/>
      <c r="H144" s="111"/>
      <c r="I144" s="111"/>
      <c r="J144" s="111"/>
      <c r="K144" s="88"/>
    </row>
    <row r="145" spans="1:11" x14ac:dyDescent="0.2">
      <c r="A145" s="111" t="s">
        <v>33</v>
      </c>
      <c r="B145" s="111"/>
      <c r="C145" s="117"/>
      <c r="D145" s="120"/>
      <c r="E145" s="111"/>
      <c r="F145" s="131"/>
      <c r="G145" s="120"/>
      <c r="H145" s="111"/>
      <c r="I145" s="131"/>
      <c r="J145" s="131"/>
      <c r="K145" s="71"/>
    </row>
    <row r="146" spans="1:11" x14ac:dyDescent="0.2">
      <c r="A146" s="111" t="s">
        <v>31</v>
      </c>
      <c r="B146" s="111"/>
      <c r="C146" s="117">
        <v>2385</v>
      </c>
      <c r="D146" s="120">
        <f>'Exhibit No.__(BDJ-Tariff)'!D59</f>
        <v>9.99</v>
      </c>
      <c r="E146" s="111"/>
      <c r="F146" s="131">
        <f t="shared" ref="F146:F147" si="17">ROUND(D146*$C146,0)</f>
        <v>23826</v>
      </c>
      <c r="G146" s="120">
        <f>D146</f>
        <v>9.99</v>
      </c>
      <c r="H146" s="111"/>
      <c r="I146" s="131">
        <f t="shared" ref="I146:I147" si="18">ROUND(G146*$C146,0)</f>
        <v>23826</v>
      </c>
      <c r="J146" s="131"/>
      <c r="K146" s="33" t="s">
        <v>528</v>
      </c>
    </row>
    <row r="147" spans="1:11" x14ac:dyDescent="0.2">
      <c r="A147" s="111" t="s">
        <v>32</v>
      </c>
      <c r="B147" s="111"/>
      <c r="C147" s="117">
        <v>5510</v>
      </c>
      <c r="D147" s="120">
        <f>'Exhibit No.__(BDJ-Tariff)'!D60</f>
        <v>25.36</v>
      </c>
      <c r="E147" s="111"/>
      <c r="F147" s="131">
        <f t="shared" si="17"/>
        <v>139734</v>
      </c>
      <c r="G147" s="120">
        <f>D147</f>
        <v>25.36</v>
      </c>
      <c r="H147" s="111"/>
      <c r="I147" s="131">
        <f t="shared" si="18"/>
        <v>139734</v>
      </c>
      <c r="J147" s="131"/>
      <c r="K147" s="33" t="s">
        <v>528</v>
      </c>
    </row>
    <row r="148" spans="1:11" x14ac:dyDescent="0.2">
      <c r="A148" s="122" t="s">
        <v>26</v>
      </c>
      <c r="B148" s="111"/>
      <c r="C148" s="150">
        <f>SUM(C146:C147)</f>
        <v>7895</v>
      </c>
      <c r="D148" s="120"/>
      <c r="E148" s="111"/>
      <c r="F148" s="168">
        <f>SUM(F146:F147)</f>
        <v>163560</v>
      </c>
      <c r="G148" s="120"/>
      <c r="H148" s="111"/>
      <c r="I148" s="168">
        <f>SUM(I146:I147)</f>
        <v>163560</v>
      </c>
      <c r="J148" s="131"/>
      <c r="K148" s="33"/>
    </row>
    <row r="149" spans="1:11" x14ac:dyDescent="0.2">
      <c r="A149" s="111" t="s">
        <v>36</v>
      </c>
      <c r="B149" s="111"/>
      <c r="C149" s="117"/>
      <c r="D149" s="167"/>
      <c r="E149" s="131"/>
      <c r="F149" s="131"/>
      <c r="G149" s="167"/>
      <c r="H149" s="131"/>
      <c r="I149" s="131"/>
      <c r="J149" s="131"/>
      <c r="K149" s="411"/>
    </row>
    <row r="150" spans="1:11" x14ac:dyDescent="0.2">
      <c r="A150" s="128" t="s">
        <v>82</v>
      </c>
      <c r="B150" s="111"/>
      <c r="C150" s="117">
        <v>2022096</v>
      </c>
      <c r="D150" s="129">
        <f>'Exhibit No.__(BDJ-Tariff)'!D62</f>
        <v>9.3538999999999997E-2</v>
      </c>
      <c r="E150" s="131"/>
      <c r="F150" s="131">
        <f>ROUND($C150*D150,0)</f>
        <v>189145</v>
      </c>
      <c r="G150" s="129">
        <f>ROUND(D150*(1+$I$170),6)</f>
        <v>9.1401999999999997E-2</v>
      </c>
      <c r="H150" s="131"/>
      <c r="I150" s="131">
        <f>ROUND($C150*G150,0)</f>
        <v>184824</v>
      </c>
      <c r="J150" s="131"/>
      <c r="K150" s="410" t="s">
        <v>533</v>
      </c>
    </row>
    <row r="151" spans="1:11" x14ac:dyDescent="0.2">
      <c r="A151" s="128" t="s">
        <v>102</v>
      </c>
      <c r="B151" s="111"/>
      <c r="C151" s="117">
        <v>213792</v>
      </c>
      <c r="D151" s="129">
        <f>'Exhibit No.__(BDJ-Tariff)'!D63</f>
        <v>7.1040000000000006E-2</v>
      </c>
      <c r="E151" s="131"/>
      <c r="F151" s="131">
        <f>ROUND($C151*D151,0)</f>
        <v>15188</v>
      </c>
      <c r="G151" s="129">
        <f t="shared" ref="G151:G153" si="19">ROUND(D151*(1+$I$170),6)</f>
        <v>6.9417000000000006E-2</v>
      </c>
      <c r="H151" s="131"/>
      <c r="I151" s="131">
        <f>ROUND($C151*G151,0)</f>
        <v>14841</v>
      </c>
      <c r="J151" s="131"/>
      <c r="K151" s="410" t="s">
        <v>533</v>
      </c>
    </row>
    <row r="152" spans="1:11" x14ac:dyDescent="0.2">
      <c r="A152" s="128" t="s">
        <v>81</v>
      </c>
      <c r="B152" s="111"/>
      <c r="C152" s="117">
        <v>10475078</v>
      </c>
      <c r="D152" s="129">
        <f>'Exhibit No.__(BDJ-Tariff)'!D64</f>
        <v>6.4817E-2</v>
      </c>
      <c r="E152" s="131"/>
      <c r="F152" s="131">
        <f t="shared" ref="F152:F153" si="20">ROUND($C152*D152,0)</f>
        <v>678963</v>
      </c>
      <c r="G152" s="129">
        <f t="shared" si="19"/>
        <v>6.3336000000000003E-2</v>
      </c>
      <c r="H152" s="131"/>
      <c r="I152" s="131">
        <f t="shared" ref="I152:I153" si="21">ROUND($C152*G152,0)</f>
        <v>663450</v>
      </c>
      <c r="J152" s="131"/>
      <c r="K152" s="410" t="s">
        <v>533</v>
      </c>
    </row>
    <row r="153" spans="1:11" x14ac:dyDescent="0.2">
      <c r="A153" s="128" t="s">
        <v>101</v>
      </c>
      <c r="B153" s="111"/>
      <c r="C153" s="117">
        <v>778943</v>
      </c>
      <c r="D153" s="129">
        <f>'Exhibit No.__(BDJ-Tariff)'!D65</f>
        <v>5.5537000000000003E-2</v>
      </c>
      <c r="E153" s="131"/>
      <c r="F153" s="131">
        <f t="shared" si="20"/>
        <v>43260</v>
      </c>
      <c r="G153" s="129">
        <f t="shared" si="19"/>
        <v>5.4267999999999997E-2</v>
      </c>
      <c r="H153" s="131"/>
      <c r="I153" s="131">
        <f t="shared" si="21"/>
        <v>42272</v>
      </c>
      <c r="J153" s="131"/>
      <c r="K153" s="410" t="s">
        <v>533</v>
      </c>
    </row>
    <row r="154" spans="1:11" x14ac:dyDescent="0.2">
      <c r="A154" s="122" t="s">
        <v>26</v>
      </c>
      <c r="B154" s="111"/>
      <c r="C154" s="150">
        <f>SUM(C150:C153)</f>
        <v>13489909</v>
      </c>
      <c r="D154" s="153"/>
      <c r="E154" s="111"/>
      <c r="F154" s="168">
        <f>SUM(F150:F153)</f>
        <v>926556</v>
      </c>
      <c r="G154" s="153"/>
      <c r="H154" s="111"/>
      <c r="I154" s="168">
        <f>SUM(I150:I153)</f>
        <v>905387</v>
      </c>
      <c r="J154" s="131"/>
      <c r="K154" s="388"/>
    </row>
    <row r="155" spans="1:11" x14ac:dyDescent="0.2">
      <c r="A155" s="128" t="s">
        <v>76</v>
      </c>
      <c r="B155" s="111"/>
      <c r="C155" s="117">
        <v>0</v>
      </c>
      <c r="D155" s="129">
        <f>D151</f>
        <v>7.1040000000000006E-2</v>
      </c>
      <c r="E155" s="111"/>
      <c r="F155" s="131">
        <f t="shared" ref="F155:F156" si="22">ROUND($C155*D155,0)</f>
        <v>0</v>
      </c>
      <c r="G155" s="129">
        <f>G151</f>
        <v>6.9417000000000006E-2</v>
      </c>
      <c r="H155" s="111"/>
      <c r="I155" s="131">
        <f t="shared" ref="I155:I156" si="23">ROUND($C155*G155,0)</f>
        <v>0</v>
      </c>
      <c r="J155" s="131"/>
      <c r="K155" s="411" t="s">
        <v>534</v>
      </c>
    </row>
    <row r="156" spans="1:11" x14ac:dyDescent="0.2">
      <c r="A156" s="128" t="s">
        <v>77</v>
      </c>
      <c r="B156" s="111"/>
      <c r="C156" s="117">
        <v>0</v>
      </c>
      <c r="D156" s="129">
        <f>D153</f>
        <v>5.5537000000000003E-2</v>
      </c>
      <c r="E156" s="111"/>
      <c r="F156" s="131">
        <f t="shared" si="22"/>
        <v>0</v>
      </c>
      <c r="G156" s="129">
        <f>G153</f>
        <v>5.4267999999999997E-2</v>
      </c>
      <c r="H156" s="111"/>
      <c r="I156" s="131">
        <f t="shared" si="23"/>
        <v>0</v>
      </c>
      <c r="J156" s="131"/>
      <c r="K156" s="71" t="s">
        <v>535</v>
      </c>
    </row>
    <row r="157" spans="1:11" ht="22.5" x14ac:dyDescent="0.2">
      <c r="A157" s="18" t="s">
        <v>71</v>
      </c>
      <c r="B157" s="111"/>
      <c r="C157" s="136">
        <v>1803819</v>
      </c>
      <c r="D157" s="129">
        <f>ROUND(F157/C157,6)</f>
        <v>0.108526</v>
      </c>
      <c r="E157" s="111"/>
      <c r="F157" s="131">
        <v>195762</v>
      </c>
      <c r="G157" s="129">
        <f>ROUND(D157*(1+$I$170),6)</f>
        <v>0.106046</v>
      </c>
      <c r="H157" s="111"/>
      <c r="I157" s="131">
        <f>ROUND($C157*G157,0)+1</f>
        <v>191289</v>
      </c>
      <c r="J157" s="137"/>
      <c r="K157" s="210" t="s">
        <v>552</v>
      </c>
    </row>
    <row r="158" spans="1:11" x14ac:dyDescent="0.2">
      <c r="A158" s="122" t="s">
        <v>26</v>
      </c>
      <c r="B158" s="111"/>
      <c r="C158" s="150">
        <f>SUM(C154:C157)</f>
        <v>15293728</v>
      </c>
      <c r="D158" s="111"/>
      <c r="E158" s="111"/>
      <c r="F158" s="168">
        <f>SUM(F154:F157)</f>
        <v>1122318</v>
      </c>
      <c r="G158" s="111"/>
      <c r="H158" s="111"/>
      <c r="I158" s="168">
        <f>SUM(I154:I157)</f>
        <v>1096676</v>
      </c>
      <c r="J158" s="137"/>
      <c r="K158" s="388"/>
    </row>
    <row r="159" spans="1:11" x14ac:dyDescent="0.2">
      <c r="A159" s="111" t="s">
        <v>35</v>
      </c>
      <c r="B159" s="111"/>
      <c r="C159" s="117"/>
      <c r="D159" s="124"/>
      <c r="E159" s="111"/>
      <c r="F159" s="131"/>
      <c r="G159" s="124"/>
      <c r="H159" s="111"/>
      <c r="I159" s="131"/>
      <c r="J159" s="131"/>
      <c r="K159" s="411"/>
    </row>
    <row r="160" spans="1:11" x14ac:dyDescent="0.2">
      <c r="A160" s="128" t="s">
        <v>84</v>
      </c>
      <c r="B160" s="111"/>
      <c r="C160" s="117">
        <v>2736</v>
      </c>
      <c r="D160" s="120">
        <f>'Exhibit No.__(BDJ-Tariff)'!D68</f>
        <v>9.2200000000000006</v>
      </c>
      <c r="E160" s="111"/>
      <c r="F160" s="131">
        <f>ROUND(D160*$C160,0)</f>
        <v>25226</v>
      </c>
      <c r="G160" s="120">
        <f>D160</f>
        <v>9.2200000000000006</v>
      </c>
      <c r="H160" s="111"/>
      <c r="I160" s="131">
        <f>ROUND(G160*$C160,0)</f>
        <v>25226</v>
      </c>
      <c r="J160" s="131"/>
      <c r="K160" s="33" t="s">
        <v>528</v>
      </c>
    </row>
    <row r="161" spans="1:11" x14ac:dyDescent="0.2">
      <c r="A161" s="128" t="s">
        <v>85</v>
      </c>
      <c r="B161" s="111"/>
      <c r="C161" s="117">
        <v>4347</v>
      </c>
      <c r="D161" s="120">
        <f>'Exhibit No.__(BDJ-Tariff)'!D69</f>
        <v>4.54</v>
      </c>
      <c r="E161" s="111"/>
      <c r="F161" s="131">
        <f>ROUND(D161*$C161,0)</f>
        <v>19735</v>
      </c>
      <c r="G161" s="120">
        <f>D161</f>
        <v>4.54</v>
      </c>
      <c r="H161" s="111"/>
      <c r="I161" s="131">
        <f>ROUND(G161*$C161,0)</f>
        <v>19735</v>
      </c>
      <c r="J161" s="131"/>
      <c r="K161" s="33" t="s">
        <v>528</v>
      </c>
    </row>
    <row r="162" spans="1:11" x14ac:dyDescent="0.2">
      <c r="A162" s="122" t="s">
        <v>26</v>
      </c>
      <c r="B162" s="111"/>
      <c r="C162" s="150">
        <f>SUM(C160:C161)</f>
        <v>7083</v>
      </c>
      <c r="D162" s="124"/>
      <c r="E162" s="111"/>
      <c r="F162" s="168">
        <f>SUM(F160:F161)</f>
        <v>44961</v>
      </c>
      <c r="G162" s="124"/>
      <c r="H162" s="111"/>
      <c r="I162" s="168">
        <f>SUM(I160:I161)</f>
        <v>44961</v>
      </c>
      <c r="J162" s="131"/>
      <c r="K162" s="411"/>
    </row>
    <row r="163" spans="1:11" x14ac:dyDescent="0.2">
      <c r="A163" s="111"/>
      <c r="B163" s="111"/>
      <c r="C163" s="136"/>
      <c r="D163" s="136"/>
      <c r="E163" s="111"/>
      <c r="F163" s="137"/>
      <c r="G163" s="136"/>
      <c r="H163" s="111"/>
      <c r="I163" s="137"/>
      <c r="J163" s="137"/>
      <c r="K163" s="411"/>
    </row>
    <row r="164" spans="1:11" x14ac:dyDescent="0.2">
      <c r="A164" s="111" t="s">
        <v>86</v>
      </c>
      <c r="B164" s="111"/>
      <c r="C164" s="117">
        <v>400210</v>
      </c>
      <c r="D164" s="169">
        <f>'Exhibit No.__(BDJ-Tariff)'!D71</f>
        <v>2.9299999999999999E-3</v>
      </c>
      <c r="E164" s="111"/>
      <c r="F164" s="131">
        <f>ROUND(D164*$C164,0)</f>
        <v>1173</v>
      </c>
      <c r="G164" s="169">
        <f>D164</f>
        <v>2.9299999999999999E-3</v>
      </c>
      <c r="H164" s="111"/>
      <c r="I164" s="131">
        <f>ROUND(G164*$C164,0)</f>
        <v>1173</v>
      </c>
      <c r="J164" s="137"/>
      <c r="K164" s="33" t="s">
        <v>528</v>
      </c>
    </row>
    <row r="165" spans="1:11" x14ac:dyDescent="0.2">
      <c r="A165" s="111"/>
      <c r="B165" s="111"/>
      <c r="C165" s="136"/>
      <c r="D165" s="136"/>
      <c r="E165" s="111"/>
      <c r="F165" s="137"/>
      <c r="G165" s="136"/>
      <c r="H165" s="111"/>
      <c r="I165" s="137"/>
      <c r="J165" s="137"/>
      <c r="K165" s="100"/>
    </row>
    <row r="166" spans="1:11" ht="12" thickBot="1" x14ac:dyDescent="0.25">
      <c r="A166" s="111" t="s">
        <v>30</v>
      </c>
      <c r="B166" s="111"/>
      <c r="C166" s="136"/>
      <c r="D166" s="136"/>
      <c r="E166" s="111"/>
      <c r="F166" s="155">
        <f>SUM(F148,F158,F162,F164)</f>
        <v>1332012</v>
      </c>
      <c r="G166" s="136"/>
      <c r="H166" s="111"/>
      <c r="I166" s="155">
        <f>SUM(I148,I158,I162,I164)</f>
        <v>1306370</v>
      </c>
      <c r="J166" s="137"/>
      <c r="K166" s="380"/>
    </row>
    <row r="167" spans="1:11" ht="12" thickTop="1" x14ac:dyDescent="0.2">
      <c r="A167" s="111"/>
      <c r="B167" s="170"/>
      <c r="C167" s="136"/>
      <c r="D167" s="136"/>
      <c r="E167" s="111"/>
      <c r="F167" s="131"/>
      <c r="G167" s="136"/>
      <c r="H167" s="111"/>
      <c r="I167" s="131"/>
      <c r="J167" s="131"/>
      <c r="K167" s="100"/>
    </row>
    <row r="168" spans="1:11" x14ac:dyDescent="0.2">
      <c r="A168" s="11" t="s">
        <v>501</v>
      </c>
      <c r="I168" s="377">
        <f>I61</f>
        <v>-1.9251943098375968E-2</v>
      </c>
      <c r="K168" s="100"/>
    </row>
    <row r="169" spans="1:11" x14ac:dyDescent="0.2">
      <c r="A169" s="11" t="s">
        <v>502</v>
      </c>
      <c r="I169" s="138">
        <f>I168*F166</f>
        <v>-25643.819230353969</v>
      </c>
      <c r="K169" s="367">
        <f>I166-F166-I169</f>
        <v>1.8192303539690329</v>
      </c>
    </row>
    <row r="170" spans="1:11" x14ac:dyDescent="0.2">
      <c r="A170" s="11" t="s">
        <v>539</v>
      </c>
      <c r="I170" s="377">
        <f>I169/F158</f>
        <v>-2.2848977945960029E-2</v>
      </c>
    </row>
    <row r="172" spans="1:11" x14ac:dyDescent="0.2">
      <c r="A172" s="211" t="s">
        <v>284</v>
      </c>
      <c r="C172" s="28"/>
      <c r="D172" s="194">
        <f>ROUND(SUM(F150,F152)/SUM($C$150,$C$152),6)</f>
        <v>6.9463999999999998E-2</v>
      </c>
      <c r="G172" s="194">
        <f>ROUND(SUM(I150,I152)/SUM($C$150,$C$152),6)</f>
        <v>6.7877000000000007E-2</v>
      </c>
    </row>
    <row r="173" spans="1:11" x14ac:dyDescent="0.2">
      <c r="A173" s="211" t="s">
        <v>285</v>
      </c>
      <c r="C173" s="28"/>
      <c r="D173" s="194">
        <f>ROUND(SUM(F151,F153)/SUM($C$151,$C$153),6)</f>
        <v>5.8875999999999998E-2</v>
      </c>
      <c r="G173" s="194">
        <f>ROUND(SUM(I151,I153)/SUM($C$151,$C$153),6)</f>
        <v>5.7530999999999999E-2</v>
      </c>
    </row>
    <row r="174" spans="1:11" x14ac:dyDescent="0.2">
      <c r="A174" s="211" t="s">
        <v>283</v>
      </c>
      <c r="C174" s="28"/>
      <c r="D174" s="201">
        <f>ROUND(SUM(F162)/SUM($C$162),2)</f>
        <v>6.35</v>
      </c>
      <c r="G174" s="201">
        <f>ROUND(SUM(I162)/SUM($C$162),2)</f>
        <v>6.35</v>
      </c>
    </row>
    <row r="177" spans="1:7" x14ac:dyDescent="0.2">
      <c r="A177" s="41"/>
      <c r="D177" s="31"/>
      <c r="G177" s="31"/>
    </row>
    <row r="178" spans="1:7" x14ac:dyDescent="0.2">
      <c r="D178" s="31"/>
      <c r="G178" s="31"/>
    </row>
    <row r="179" spans="1:7" x14ac:dyDescent="0.2">
      <c r="D179" s="31"/>
      <c r="G179" s="31"/>
    </row>
    <row r="180" spans="1:7" x14ac:dyDescent="0.2">
      <c r="D180" s="31"/>
      <c r="G180" s="31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&amp;L&amp;A&amp;RExhibit No. ___(BDJ-5)
Page &amp;P of &amp;N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 codeName="Sheet9">
    <tabColor theme="6" tint="0.79998168889431442"/>
  </sheetPr>
  <dimension ref="A1:Q95"/>
  <sheetViews>
    <sheetView zoomScaleNormal="100" zoomScaleSheetLayoutView="80" workbookViewId="0">
      <pane xSplit="6" ySplit="10" topLeftCell="G11" activePane="bottomRight" state="frozen"/>
      <selection activeCell="E29" sqref="E29"/>
      <selection pane="topRight" activeCell="E29" sqref="E29"/>
      <selection pane="bottomLeft" activeCell="E29" sqref="E29"/>
      <selection pane="bottomRight" activeCell="G30" sqref="G30"/>
    </sheetView>
  </sheetViews>
  <sheetFormatPr defaultColWidth="10.25" defaultRowHeight="11.25" x14ac:dyDescent="0.2"/>
  <cols>
    <col min="1" max="1" width="28.5" style="11" customWidth="1"/>
    <col min="2" max="2" width="1.375" style="11" bestFit="1" customWidth="1"/>
    <col min="3" max="3" width="10" style="11" bestFit="1" customWidth="1"/>
    <col min="4" max="4" width="8.25" style="11" bestFit="1" customWidth="1"/>
    <col min="5" max="5" width="0.875" style="11" customWidth="1"/>
    <col min="6" max="6" width="9.625" style="11" bestFit="1" customWidth="1"/>
    <col min="7" max="7" width="11.75" style="11" customWidth="1"/>
    <col min="8" max="8" width="1.5" style="11" customWidth="1"/>
    <col min="9" max="9" width="11" style="11" customWidth="1"/>
    <col min="10" max="10" width="1.625" style="11" customWidth="1"/>
    <col min="11" max="11" width="27.75" style="11" bestFit="1" customWidth="1"/>
    <col min="12" max="16384" width="10.25" style="11"/>
  </cols>
  <sheetData>
    <row r="1" spans="1:17" x14ac:dyDescent="0.2">
      <c r="A1" s="614" t="s">
        <v>43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71"/>
      <c r="M1" s="71"/>
      <c r="N1" s="71"/>
      <c r="O1" s="71"/>
    </row>
    <row r="2" spans="1:17" x14ac:dyDescent="0.2">
      <c r="A2" s="614" t="s">
        <v>20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71"/>
      <c r="M2" s="71"/>
      <c r="N2" s="71"/>
      <c r="O2" s="71"/>
    </row>
    <row r="3" spans="1:17" x14ac:dyDescent="0.2">
      <c r="A3" s="614" t="str">
        <f>'Exhibit No.__(BDJ-Prof-Prop)'!$A$6</f>
        <v>12 MONTHS ENDED JUNE 2021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71"/>
      <c r="M3" s="71"/>
      <c r="N3" s="71"/>
      <c r="O3" s="71"/>
    </row>
    <row r="4" spans="1:17" x14ac:dyDescent="0.2">
      <c r="A4" s="614" t="s">
        <v>21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71"/>
      <c r="M4" s="71"/>
      <c r="N4" s="71"/>
      <c r="O4" s="71"/>
    </row>
    <row r="5" spans="1:17" x14ac:dyDescent="0.2">
      <c r="A5" s="614" t="s">
        <v>110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71"/>
      <c r="M5" s="71"/>
      <c r="N5" s="71"/>
      <c r="O5" s="71"/>
    </row>
    <row r="6" spans="1:17" x14ac:dyDescent="0.2">
      <c r="A6" s="102"/>
      <c r="B6" s="103"/>
      <c r="C6" s="103"/>
      <c r="D6" s="104"/>
      <c r="E6" s="104"/>
      <c r="F6" s="103"/>
      <c r="G6" s="104"/>
      <c r="H6" s="103"/>
      <c r="I6" s="103"/>
      <c r="J6" s="103"/>
      <c r="K6" s="71"/>
      <c r="L6" s="71"/>
      <c r="M6" s="71"/>
      <c r="N6" s="71"/>
      <c r="O6" s="71"/>
    </row>
    <row r="7" spans="1:17" x14ac:dyDescent="0.2">
      <c r="A7" s="103"/>
      <c r="B7" s="103"/>
      <c r="C7" s="103"/>
      <c r="D7" s="104"/>
      <c r="E7" s="104"/>
      <c r="F7" s="103"/>
      <c r="G7" s="104"/>
      <c r="H7" s="103"/>
      <c r="I7" s="103"/>
      <c r="J7" s="103"/>
      <c r="K7" s="71"/>
      <c r="L7" s="71"/>
      <c r="M7" s="71"/>
      <c r="N7" s="71"/>
      <c r="O7" s="71"/>
    </row>
    <row r="8" spans="1:17" x14ac:dyDescent="0.2">
      <c r="A8" s="105"/>
      <c r="B8" s="105"/>
      <c r="C8" s="106"/>
      <c r="D8" s="105"/>
      <c r="E8" s="105"/>
      <c r="G8" s="105"/>
      <c r="H8" s="107"/>
      <c r="I8" s="107"/>
      <c r="J8" s="107"/>
      <c r="K8" s="71"/>
      <c r="L8" s="71"/>
      <c r="M8" s="71"/>
      <c r="N8" s="71"/>
      <c r="O8" s="71"/>
    </row>
    <row r="9" spans="1:17" x14ac:dyDescent="0.2">
      <c r="A9" s="105"/>
      <c r="B9" s="105"/>
      <c r="C9" s="106" t="s">
        <v>22</v>
      </c>
      <c r="D9" s="644" t="s">
        <v>3</v>
      </c>
      <c r="E9" s="645"/>
      <c r="F9" s="646"/>
      <c r="G9" s="647" t="str">
        <f>'Exhibit No.__(BDJ-Res RD)'!$G$8</f>
        <v>Proposed Effective 
January 2023</v>
      </c>
      <c r="H9" s="645"/>
      <c r="I9" s="646"/>
      <c r="J9" s="107"/>
      <c r="K9" s="71"/>
      <c r="L9" s="71"/>
      <c r="M9" s="71"/>
      <c r="N9" s="71"/>
      <c r="O9" s="71"/>
    </row>
    <row r="10" spans="1:17" x14ac:dyDescent="0.2">
      <c r="A10" s="105"/>
      <c r="B10" s="105"/>
      <c r="C10" s="108" t="s">
        <v>23</v>
      </c>
      <c r="D10" s="109" t="s">
        <v>24</v>
      </c>
      <c r="E10" s="418"/>
      <c r="F10" s="107" t="s">
        <v>25</v>
      </c>
      <c r="G10" s="109" t="s">
        <v>24</v>
      </c>
      <c r="H10" s="109"/>
      <c r="I10" s="109" t="s">
        <v>25</v>
      </c>
      <c r="J10" s="109"/>
      <c r="K10" s="71"/>
      <c r="L10" s="71"/>
      <c r="M10" s="71"/>
      <c r="N10" s="71"/>
      <c r="O10" s="71"/>
    </row>
    <row r="11" spans="1:17" x14ac:dyDescent="0.2">
      <c r="C11" s="117"/>
      <c r="D11" s="111" t="s">
        <v>0</v>
      </c>
      <c r="E11" s="117"/>
      <c r="F11" s="131"/>
      <c r="G11" s="111" t="s">
        <v>0</v>
      </c>
      <c r="H11" s="117"/>
      <c r="I11" s="131" t="s">
        <v>0</v>
      </c>
      <c r="J11" s="131"/>
      <c r="K11" s="71"/>
      <c r="L11" s="71"/>
      <c r="M11" s="71"/>
      <c r="N11" s="71"/>
      <c r="O11" s="71"/>
      <c r="Q11" s="138"/>
    </row>
    <row r="12" spans="1:17" x14ac:dyDescent="0.2">
      <c r="A12" s="110" t="s">
        <v>109</v>
      </c>
      <c r="B12" s="111"/>
      <c r="C12" s="117"/>
      <c r="D12" s="131"/>
      <c r="E12" s="111"/>
      <c r="F12" s="111"/>
      <c r="G12" s="131"/>
      <c r="H12" s="111"/>
      <c r="I12" s="131" t="s">
        <v>0</v>
      </c>
      <c r="J12" s="131"/>
    </row>
    <row r="13" spans="1:17" x14ac:dyDescent="0.2">
      <c r="A13" s="116" t="s">
        <v>111</v>
      </c>
      <c r="B13" s="111"/>
      <c r="C13" s="111" t="s">
        <v>0</v>
      </c>
      <c r="D13" s="131"/>
      <c r="E13" s="111"/>
      <c r="F13" s="111"/>
      <c r="G13" s="131"/>
      <c r="H13" s="111"/>
      <c r="I13" s="111"/>
      <c r="J13" s="111"/>
    </row>
    <row r="14" spans="1:17" x14ac:dyDescent="0.2">
      <c r="A14" s="111"/>
      <c r="B14" s="111"/>
      <c r="C14" s="111"/>
      <c r="D14" s="131"/>
      <c r="E14" s="111"/>
      <c r="F14" s="111"/>
      <c r="G14" s="131"/>
      <c r="H14" s="111"/>
      <c r="I14" s="111"/>
      <c r="J14" s="111"/>
      <c r="K14" s="71"/>
    </row>
    <row r="15" spans="1:17" x14ac:dyDescent="0.2">
      <c r="A15" s="111" t="s">
        <v>33</v>
      </c>
      <c r="B15" s="111"/>
      <c r="C15" s="117">
        <v>5887</v>
      </c>
      <c r="D15" s="120">
        <f>'Exhibit No.__(BDJ-Tariff)'!D74</f>
        <v>358.11</v>
      </c>
      <c r="E15" s="111"/>
      <c r="F15" s="131">
        <f>ROUND(D15*$C15,0)</f>
        <v>2108194</v>
      </c>
      <c r="G15" s="120">
        <f>D15</f>
        <v>358.11</v>
      </c>
      <c r="H15" s="111"/>
      <c r="I15" s="131">
        <f>ROUND(G15*$C15,0)</f>
        <v>2108194</v>
      </c>
      <c r="J15" s="131"/>
      <c r="K15" s="33" t="s">
        <v>528</v>
      </c>
    </row>
    <row r="16" spans="1:17" x14ac:dyDescent="0.2">
      <c r="A16" s="111" t="s">
        <v>36</v>
      </c>
      <c r="B16" s="111"/>
      <c r="C16" s="117"/>
      <c r="D16" s="167"/>
      <c r="E16" s="131"/>
      <c r="F16" s="131"/>
      <c r="G16" s="167"/>
      <c r="H16" s="131"/>
      <c r="I16" s="131"/>
      <c r="J16" s="131"/>
      <c r="K16" s="71"/>
    </row>
    <row r="17" spans="1:11" x14ac:dyDescent="0.2">
      <c r="A17" s="128" t="s">
        <v>41</v>
      </c>
      <c r="B17" s="111"/>
      <c r="C17" s="117">
        <v>1277015421</v>
      </c>
      <c r="D17" s="129">
        <f>'Exhibit No.__(BDJ-Tariff)'!D76</f>
        <v>5.7328999999999998E-2</v>
      </c>
      <c r="E17" s="131"/>
      <c r="F17" s="131">
        <f t="shared" ref="F17" si="0">ROUND($C17*D17,0)</f>
        <v>73210017</v>
      </c>
      <c r="G17" s="129">
        <f>ROUND(D17*(1+$I$36),6)+I39</f>
        <v>5.5718999999999998E-2</v>
      </c>
      <c r="H17" s="131"/>
      <c r="I17" s="131">
        <f t="shared" ref="I17" si="1">ROUND($C17*G17,0)</f>
        <v>71154022</v>
      </c>
      <c r="J17" s="131"/>
      <c r="K17" s="33" t="s">
        <v>533</v>
      </c>
    </row>
    <row r="18" spans="1:11" x14ac:dyDescent="0.2">
      <c r="A18" s="122" t="s">
        <v>26</v>
      </c>
      <c r="B18" s="111"/>
      <c r="C18" s="150">
        <f>SUM(C17:C17)</f>
        <v>1277015421</v>
      </c>
      <c r="D18" s="153"/>
      <c r="E18" s="111"/>
      <c r="F18" s="168">
        <f>SUM(F17:F17)</f>
        <v>73210017</v>
      </c>
      <c r="G18" s="153"/>
      <c r="H18" s="111"/>
      <c r="I18" s="168">
        <f>SUM(I17:I17)</f>
        <v>71154022</v>
      </c>
      <c r="J18" s="131"/>
      <c r="K18" s="71"/>
    </row>
    <row r="19" spans="1:11" x14ac:dyDescent="0.2">
      <c r="A19" s="128" t="s">
        <v>69</v>
      </c>
      <c r="B19" s="111"/>
      <c r="C19" s="117">
        <v>-2157309.8245658646</v>
      </c>
      <c r="D19" s="129">
        <f>D17</f>
        <v>5.7328999999999998E-2</v>
      </c>
      <c r="E19" s="111"/>
      <c r="F19" s="131">
        <f t="shared" ref="F19" si="2">ROUND($C19*D19,0)</f>
        <v>-123676</v>
      </c>
      <c r="G19" s="129">
        <f>G17</f>
        <v>5.5718999999999998E-2</v>
      </c>
      <c r="H19" s="111"/>
      <c r="I19" s="131">
        <f t="shared" ref="I19" si="3">ROUND($C19*G19,0)</f>
        <v>-120203</v>
      </c>
      <c r="J19" s="131"/>
      <c r="K19" s="411"/>
    </row>
    <row r="20" spans="1:11" x14ac:dyDescent="0.2">
      <c r="A20" s="18" t="s">
        <v>71</v>
      </c>
      <c r="B20" s="111"/>
      <c r="C20" s="117">
        <v>32911948</v>
      </c>
      <c r="D20" s="129">
        <f>ROUND(F20/C20,6)</f>
        <v>8.6577000000000001E-2</v>
      </c>
      <c r="E20" s="111"/>
      <c r="F20" s="117">
        <v>2849425</v>
      </c>
      <c r="G20" s="129">
        <f>ROUND(D20*(1+$I$36),6)+I42</f>
        <v>8.4144999999999998E-2</v>
      </c>
      <c r="H20" s="111"/>
      <c r="I20" s="131">
        <f>ROUND($C20*G20,0)+472</f>
        <v>2769848</v>
      </c>
      <c r="J20" s="137"/>
      <c r="K20" s="411" t="s">
        <v>549</v>
      </c>
    </row>
    <row r="21" spans="1:11" x14ac:dyDescent="0.2">
      <c r="A21" s="122" t="s">
        <v>26</v>
      </c>
      <c r="B21" s="111"/>
      <c r="C21" s="150">
        <f>SUM(C18:C20)</f>
        <v>1307770059.1754341</v>
      </c>
      <c r="D21" s="111"/>
      <c r="E21" s="111"/>
      <c r="F21" s="168">
        <f>SUM(F18:F20)</f>
        <v>75935766</v>
      </c>
      <c r="G21" s="111"/>
      <c r="H21" s="111"/>
      <c r="I21" s="168">
        <f>SUM(I18:I20)</f>
        <v>73803667</v>
      </c>
      <c r="J21" s="137"/>
      <c r="K21" s="411"/>
    </row>
    <row r="22" spans="1:11" x14ac:dyDescent="0.2">
      <c r="A22" s="111" t="s">
        <v>35</v>
      </c>
      <c r="B22" s="111"/>
      <c r="C22" s="117"/>
      <c r="D22" s="124"/>
      <c r="E22" s="111"/>
      <c r="F22" s="131"/>
      <c r="G22" s="124"/>
      <c r="H22" s="111"/>
      <c r="I22" s="131"/>
      <c r="J22" s="131"/>
      <c r="K22" s="411"/>
    </row>
    <row r="23" spans="1:11" x14ac:dyDescent="0.2">
      <c r="A23" s="128" t="s">
        <v>90</v>
      </c>
      <c r="B23" s="111"/>
      <c r="C23" s="117">
        <v>1632894</v>
      </c>
      <c r="D23" s="120">
        <f>'Exhibit No.__(BDJ-Tariff)'!D78</f>
        <v>11.94</v>
      </c>
      <c r="E23" s="111"/>
      <c r="F23" s="131">
        <f>ROUND(D23*$C23,0)</f>
        <v>19496754</v>
      </c>
      <c r="G23" s="120">
        <f t="shared" ref="G23:G24" si="4">D23</f>
        <v>11.94</v>
      </c>
      <c r="H23" s="111"/>
      <c r="I23" s="131">
        <f>ROUND(G23*$C23,0)</f>
        <v>19496754</v>
      </c>
      <c r="J23" s="131"/>
      <c r="K23" s="33" t="s">
        <v>528</v>
      </c>
    </row>
    <row r="24" spans="1:11" x14ac:dyDescent="0.2">
      <c r="A24" s="128" t="s">
        <v>91</v>
      </c>
      <c r="B24" s="111"/>
      <c r="C24" s="117">
        <v>1574545</v>
      </c>
      <c r="D24" s="120">
        <f>'Exhibit No.__(BDJ-Tariff)'!D81</f>
        <v>7.96</v>
      </c>
      <c r="E24" s="111"/>
      <c r="F24" s="131">
        <f>ROUND(D24*$C24,0)</f>
        <v>12533378</v>
      </c>
      <c r="G24" s="120">
        <f t="shared" si="4"/>
        <v>7.96</v>
      </c>
      <c r="H24" s="111"/>
      <c r="I24" s="131">
        <f>ROUND(G24*$C24,0)</f>
        <v>12533378</v>
      </c>
      <c r="J24" s="131"/>
      <c r="K24" s="33" t="s">
        <v>528</v>
      </c>
    </row>
    <row r="25" spans="1:11" x14ac:dyDescent="0.2">
      <c r="A25" s="122" t="s">
        <v>26</v>
      </c>
      <c r="B25" s="111"/>
      <c r="C25" s="150">
        <f>SUM(C23:C24)</f>
        <v>3207439</v>
      </c>
      <c r="D25" s="124"/>
      <c r="E25" s="111"/>
      <c r="F25" s="168">
        <f>SUM(F23:F24)</f>
        <v>32030132</v>
      </c>
      <c r="G25" s="124"/>
      <c r="H25" s="111"/>
      <c r="I25" s="168">
        <f>SUM(I23:I24)</f>
        <v>32030132</v>
      </c>
      <c r="J25" s="131"/>
      <c r="K25" s="411"/>
    </row>
    <row r="26" spans="1:11" x14ac:dyDescent="0.2">
      <c r="A26" s="111"/>
      <c r="B26" s="111"/>
      <c r="C26" s="136"/>
      <c r="D26" s="136"/>
      <c r="E26" s="111"/>
      <c r="F26" s="137"/>
      <c r="G26" s="136"/>
      <c r="H26" s="111"/>
      <c r="I26" s="137"/>
      <c r="J26" s="137"/>
      <c r="K26" s="411"/>
    </row>
    <row r="27" spans="1:11" x14ac:dyDescent="0.2">
      <c r="A27" s="111" t="s">
        <v>86</v>
      </c>
      <c r="B27" s="111"/>
      <c r="C27" s="117">
        <v>641723833</v>
      </c>
      <c r="D27" s="169">
        <f>'Exhibit No.__(BDJ-Tariff)'!D85</f>
        <v>1.1199999999999999E-3</v>
      </c>
      <c r="E27" s="111"/>
      <c r="F27" s="131">
        <f>ROUND(D27*$C27,0)</f>
        <v>718731</v>
      </c>
      <c r="G27" s="169">
        <f>D27</f>
        <v>1.1199999999999999E-3</v>
      </c>
      <c r="H27" s="111"/>
      <c r="I27" s="131">
        <f>ROUND(G27*$C27,0)</f>
        <v>718731</v>
      </c>
      <c r="J27" s="137"/>
      <c r="K27" s="33" t="s">
        <v>528</v>
      </c>
    </row>
    <row r="28" spans="1:11" x14ac:dyDescent="0.2">
      <c r="A28" s="111"/>
      <c r="B28" s="111"/>
      <c r="C28" s="136"/>
      <c r="D28" s="136"/>
      <c r="E28" s="111"/>
      <c r="F28" s="137"/>
      <c r="G28" s="136"/>
      <c r="H28" s="111"/>
      <c r="I28" s="137"/>
      <c r="J28" s="137"/>
      <c r="K28" s="100"/>
    </row>
    <row r="29" spans="1:11" ht="12" thickBot="1" x14ac:dyDescent="0.25">
      <c r="A29" s="111" t="s">
        <v>30</v>
      </c>
      <c r="B29" s="111"/>
      <c r="C29" s="136"/>
      <c r="D29" s="136"/>
      <c r="E29" s="111"/>
      <c r="F29" s="155">
        <f>SUM(F15,F21,F25,F27)</f>
        <v>110792823</v>
      </c>
      <c r="G29" s="136"/>
      <c r="H29" s="111"/>
      <c r="I29" s="155">
        <f>SUM(I15,I21,I25,I27)</f>
        <v>108660724</v>
      </c>
      <c r="J29" s="137"/>
      <c r="K29" s="100"/>
    </row>
    <row r="30" spans="1:11" ht="12" thickTop="1" x14ac:dyDescent="0.2">
      <c r="A30" s="111"/>
      <c r="B30" s="170"/>
      <c r="C30" s="136"/>
      <c r="D30" s="136"/>
      <c r="E30" s="111"/>
      <c r="F30" s="131"/>
      <c r="G30" s="136"/>
      <c r="H30" s="111"/>
      <c r="I30" s="131"/>
      <c r="J30" s="131"/>
      <c r="K30" s="100"/>
    </row>
    <row r="31" spans="1:11" x14ac:dyDescent="0.2">
      <c r="A31" s="211" t="s">
        <v>283</v>
      </c>
      <c r="C31" s="28"/>
      <c r="D31" s="201">
        <f>ROUND(SUM(F25)/SUM($C$25),2)</f>
        <v>9.99</v>
      </c>
      <c r="G31" s="201">
        <f>ROUND(SUM(I25)/SUM($C$25),2)</f>
        <v>9.99</v>
      </c>
    </row>
    <row r="32" spans="1:11" x14ac:dyDescent="0.2">
      <c r="B32" s="111"/>
      <c r="C32" s="117"/>
      <c r="D32" s="131"/>
      <c r="E32" s="111"/>
      <c r="F32" s="111"/>
      <c r="G32" s="131"/>
      <c r="H32" s="111"/>
      <c r="I32" s="131" t="s">
        <v>0</v>
      </c>
      <c r="J32" s="131"/>
    </row>
    <row r="33" spans="1:11" x14ac:dyDescent="0.2">
      <c r="A33" s="171" t="s">
        <v>277</v>
      </c>
      <c r="B33" s="191"/>
      <c r="C33" s="191"/>
      <c r="D33" s="191"/>
      <c r="E33" s="191"/>
      <c r="F33" s="191"/>
      <c r="G33" s="191"/>
      <c r="H33" s="191"/>
      <c r="I33" s="216">
        <f>'Exhibit No.__(BDJ-Rate Spread)'!K17*1000</f>
        <v>108659845.87589559</v>
      </c>
    </row>
    <row r="34" spans="1:11" x14ac:dyDescent="0.2">
      <c r="A34" s="176" t="s">
        <v>29</v>
      </c>
      <c r="B34" s="71"/>
      <c r="C34" s="71"/>
      <c r="D34" s="71"/>
      <c r="E34" s="71"/>
      <c r="F34" s="71"/>
      <c r="G34" s="71"/>
      <c r="H34" s="71"/>
      <c r="I34" s="218">
        <f>I33-F29</f>
        <v>-2132977.1241044104</v>
      </c>
      <c r="K34" s="157"/>
    </row>
    <row r="35" spans="1:11" x14ac:dyDescent="0.2">
      <c r="A35" s="176" t="s">
        <v>487</v>
      </c>
      <c r="B35" s="71"/>
      <c r="C35" s="71"/>
      <c r="D35" s="71"/>
      <c r="E35" s="71"/>
      <c r="F35" s="71"/>
      <c r="G35" s="71"/>
      <c r="H35" s="71"/>
      <c r="I35" s="212">
        <f>I33/SUM(F29)-1</f>
        <v>-1.9251943098375746E-2</v>
      </c>
      <c r="K35" s="157"/>
    </row>
    <row r="36" spans="1:11" x14ac:dyDescent="0.2">
      <c r="A36" s="176" t="s">
        <v>540</v>
      </c>
      <c r="B36" s="71"/>
      <c r="C36" s="71"/>
      <c r="D36" s="71"/>
      <c r="E36" s="71"/>
      <c r="F36" s="71"/>
      <c r="G36" s="71"/>
      <c r="H36" s="71"/>
      <c r="I36" s="212">
        <f>I34/F21</f>
        <v>-2.8089229047935205E-2</v>
      </c>
      <c r="K36" s="157"/>
    </row>
    <row r="37" spans="1:11" x14ac:dyDescent="0.2">
      <c r="A37" s="176"/>
      <c r="B37" s="71"/>
      <c r="C37" s="71"/>
      <c r="D37" s="71"/>
      <c r="E37" s="71"/>
      <c r="F37" s="71"/>
      <c r="G37" s="71"/>
      <c r="H37" s="71"/>
      <c r="I37" s="218">
        <f>I29-F29-I34</f>
        <v>878.12410441040993</v>
      </c>
      <c r="K37" s="157"/>
    </row>
    <row r="38" spans="1:11" x14ac:dyDescent="0.2">
      <c r="A38" s="176" t="str">
        <f>A39</f>
        <v>Energy $ / kWh Adj</v>
      </c>
      <c r="B38" s="71"/>
      <c r="C38" s="71"/>
      <c r="D38" s="71"/>
      <c r="E38" s="71"/>
      <c r="F38" s="71"/>
      <c r="G38" s="71"/>
      <c r="H38" s="71"/>
      <c r="I38" s="382">
        <f>I37/C17</f>
        <v>6.8763782329486051E-7</v>
      </c>
      <c r="K38" s="157"/>
    </row>
    <row r="39" spans="1:11" x14ac:dyDescent="0.2">
      <c r="A39" s="213" t="s">
        <v>344</v>
      </c>
      <c r="B39" s="186"/>
      <c r="C39" s="186"/>
      <c r="D39" s="186"/>
      <c r="E39" s="186"/>
      <c r="F39" s="186"/>
      <c r="G39" s="186"/>
      <c r="H39" s="186"/>
      <c r="I39" s="214">
        <v>0</v>
      </c>
      <c r="K39" s="157"/>
    </row>
    <row r="40" spans="1:11" x14ac:dyDescent="0.2">
      <c r="K40" s="157"/>
    </row>
    <row r="41" spans="1:11" x14ac:dyDescent="0.2">
      <c r="A41" s="110" t="s">
        <v>112</v>
      </c>
      <c r="B41" s="111"/>
      <c r="C41" s="117"/>
      <c r="D41" s="131"/>
      <c r="E41" s="111"/>
      <c r="F41" s="111"/>
      <c r="G41" s="131"/>
      <c r="H41" s="111"/>
      <c r="I41" s="131" t="s">
        <v>0</v>
      </c>
      <c r="J41" s="131"/>
    </row>
    <row r="42" spans="1:11" x14ac:dyDescent="0.2">
      <c r="A42" s="116" t="s">
        <v>111</v>
      </c>
      <c r="B42" s="111"/>
      <c r="C42" s="111" t="s">
        <v>0</v>
      </c>
      <c r="D42" s="131"/>
      <c r="E42" s="111"/>
      <c r="F42" s="111"/>
      <c r="G42" s="131"/>
      <c r="H42" s="111"/>
      <c r="I42" s="111"/>
      <c r="J42" s="111"/>
    </row>
    <row r="43" spans="1:11" x14ac:dyDescent="0.2">
      <c r="A43" s="111"/>
      <c r="B43" s="111"/>
      <c r="C43" s="111"/>
      <c r="D43" s="131"/>
      <c r="E43" s="111"/>
      <c r="F43" s="111"/>
      <c r="G43" s="131"/>
      <c r="H43" s="111"/>
      <c r="I43" s="111"/>
      <c r="J43" s="111"/>
      <c r="K43" s="71"/>
    </row>
    <row r="44" spans="1:11" x14ac:dyDescent="0.2">
      <c r="A44" s="111" t="s">
        <v>33</v>
      </c>
      <c r="B44" s="111"/>
      <c r="C44" s="117">
        <v>24</v>
      </c>
      <c r="D44" s="120">
        <f>'Exhibit No.__(BDJ-Tariff)'!D88</f>
        <v>358.11</v>
      </c>
      <c r="E44" s="111"/>
      <c r="F44" s="131">
        <f>ROUND(D44*$C44,0)</f>
        <v>8595</v>
      </c>
      <c r="G44" s="120">
        <f>D44</f>
        <v>358.11</v>
      </c>
      <c r="H44" s="111"/>
      <c r="I44" s="131">
        <f>ROUND(G44*$C44,0)</f>
        <v>8595</v>
      </c>
      <c r="J44" s="131"/>
      <c r="K44" s="410" t="s">
        <v>528</v>
      </c>
    </row>
    <row r="45" spans="1:11" x14ac:dyDescent="0.2">
      <c r="A45" s="111" t="s">
        <v>36</v>
      </c>
      <c r="B45" s="111"/>
      <c r="C45" s="117"/>
      <c r="D45" s="167"/>
      <c r="E45" s="131"/>
      <c r="F45" s="131"/>
      <c r="G45" s="167"/>
      <c r="H45" s="131"/>
      <c r="I45" s="131"/>
      <c r="J45" s="131"/>
      <c r="K45" s="423"/>
    </row>
    <row r="46" spans="1:11" x14ac:dyDescent="0.2">
      <c r="A46" s="128" t="s">
        <v>41</v>
      </c>
      <c r="B46" s="111"/>
      <c r="C46" s="117">
        <v>4425960</v>
      </c>
      <c r="D46" s="129">
        <f>'Exhibit No.__(BDJ-Tariff)'!D90</f>
        <v>5.3178000000000003E-2</v>
      </c>
      <c r="E46" s="131"/>
      <c r="F46" s="131">
        <f t="shared" ref="F46" si="5">ROUND($C46*D46,0)</f>
        <v>235364</v>
      </c>
      <c r="G46" s="129">
        <f>D46</f>
        <v>5.3178000000000003E-2</v>
      </c>
      <c r="H46" s="131"/>
      <c r="I46" s="131">
        <f t="shared" ref="I46" si="6">ROUND($C46*G46,0)</f>
        <v>235364</v>
      </c>
      <c r="J46" s="131"/>
      <c r="K46" s="410" t="s">
        <v>528</v>
      </c>
    </row>
    <row r="47" spans="1:11" x14ac:dyDescent="0.2">
      <c r="A47" s="122" t="s">
        <v>26</v>
      </c>
      <c r="B47" s="111"/>
      <c r="C47" s="150">
        <f>SUM(C46:C46)</f>
        <v>4425960</v>
      </c>
      <c r="D47" s="153"/>
      <c r="E47" s="111"/>
      <c r="F47" s="168">
        <f>SUM(F46:F46)</f>
        <v>235364</v>
      </c>
      <c r="G47" s="153"/>
      <c r="H47" s="111"/>
      <c r="I47" s="168">
        <f>SUM(I46:I46)</f>
        <v>235364</v>
      </c>
      <c r="J47" s="131"/>
      <c r="K47" s="423"/>
    </row>
    <row r="48" spans="1:11" x14ac:dyDescent="0.2">
      <c r="A48" s="128" t="s">
        <v>69</v>
      </c>
      <c r="B48" s="111"/>
      <c r="C48" s="117">
        <v>0</v>
      </c>
      <c r="D48" s="129">
        <f>D46</f>
        <v>5.3178000000000003E-2</v>
      </c>
      <c r="E48" s="111"/>
      <c r="F48" s="131">
        <f t="shared" ref="F48" si="7">ROUND($C48*D48,0)</f>
        <v>0</v>
      </c>
      <c r="G48" s="129">
        <f>G46</f>
        <v>5.3178000000000003E-2</v>
      </c>
      <c r="H48" s="111"/>
      <c r="I48" s="131">
        <f t="shared" ref="I48:I49" si="8">ROUND($C48*G48,0)</f>
        <v>0</v>
      </c>
      <c r="J48" s="131"/>
      <c r="K48" s="200"/>
    </row>
    <row r="49" spans="1:11" x14ac:dyDescent="0.2">
      <c r="A49" s="18" t="s">
        <v>71</v>
      </c>
      <c r="B49" s="111"/>
      <c r="C49" s="136">
        <v>-38316</v>
      </c>
      <c r="D49" s="129">
        <f>ROUND(F49/C49,6)</f>
        <v>2.9387E-2</v>
      </c>
      <c r="E49" s="111"/>
      <c r="F49" s="131">
        <v>-1126</v>
      </c>
      <c r="G49" s="129">
        <f>D49</f>
        <v>2.9387E-2</v>
      </c>
      <c r="H49" s="111"/>
      <c r="I49" s="131">
        <f t="shared" si="8"/>
        <v>-1126</v>
      </c>
      <c r="J49" s="137"/>
      <c r="K49" s="410" t="s">
        <v>528</v>
      </c>
    </row>
    <row r="50" spans="1:11" x14ac:dyDescent="0.2">
      <c r="A50" s="122" t="s">
        <v>26</v>
      </c>
      <c r="B50" s="111"/>
      <c r="C50" s="150">
        <f>SUM(C47:C49)</f>
        <v>4387644</v>
      </c>
      <c r="D50" s="111"/>
      <c r="E50" s="111"/>
      <c r="F50" s="168">
        <f>SUM(F47:F49)</f>
        <v>234238</v>
      </c>
      <c r="G50" s="111"/>
      <c r="H50" s="111"/>
      <c r="I50" s="168">
        <f>SUM(I47:I49)</f>
        <v>234238</v>
      </c>
      <c r="J50" s="137"/>
      <c r="K50" s="200"/>
    </row>
    <row r="51" spans="1:11" x14ac:dyDescent="0.2">
      <c r="A51" s="111" t="s">
        <v>35</v>
      </c>
      <c r="B51" s="111"/>
      <c r="C51" s="117"/>
      <c r="D51" s="124"/>
      <c r="E51" s="111"/>
      <c r="F51" s="131"/>
      <c r="G51" s="124"/>
      <c r="H51" s="111"/>
      <c r="I51" s="131"/>
      <c r="J51" s="131"/>
      <c r="K51" s="200"/>
    </row>
    <row r="52" spans="1:11" x14ac:dyDescent="0.2">
      <c r="A52" s="128" t="s">
        <v>90</v>
      </c>
      <c r="B52" s="111"/>
      <c r="C52" s="117">
        <v>1005</v>
      </c>
      <c r="D52" s="120">
        <f>'Exhibit No.__(BDJ-Tariff)'!D92</f>
        <v>4.92</v>
      </c>
      <c r="E52" s="111"/>
      <c r="F52" s="131">
        <f>ROUND(D52*$C52,0)</f>
        <v>4945</v>
      </c>
      <c r="G52" s="120">
        <f>D52</f>
        <v>4.92</v>
      </c>
      <c r="H52" s="111"/>
      <c r="I52" s="131">
        <f>ROUND(G52*$C52,0)</f>
        <v>4945</v>
      </c>
      <c r="J52" s="131"/>
      <c r="K52" s="410" t="s">
        <v>528</v>
      </c>
    </row>
    <row r="53" spans="1:11" x14ac:dyDescent="0.2">
      <c r="A53" s="128" t="s">
        <v>91</v>
      </c>
      <c r="B53" s="111"/>
      <c r="C53" s="117">
        <v>7601</v>
      </c>
      <c r="D53" s="120">
        <f>'Exhibit No.__(BDJ-Tariff)'!D93</f>
        <v>3.28</v>
      </c>
      <c r="E53" s="111"/>
      <c r="F53" s="131">
        <f>ROUND(D53*$C53,0)</f>
        <v>24931</v>
      </c>
      <c r="G53" s="120">
        <f>D53</f>
        <v>3.28</v>
      </c>
      <c r="H53" s="111"/>
      <c r="I53" s="131">
        <f>ROUND(G53*$C53,0)</f>
        <v>24931</v>
      </c>
      <c r="J53" s="131"/>
      <c r="K53" s="410" t="s">
        <v>528</v>
      </c>
    </row>
    <row r="54" spans="1:11" x14ac:dyDescent="0.2">
      <c r="A54" s="122" t="s">
        <v>26</v>
      </c>
      <c r="B54" s="111"/>
      <c r="C54" s="150">
        <f>SUM(C52:C53)</f>
        <v>8606</v>
      </c>
      <c r="D54" s="124"/>
      <c r="E54" s="111"/>
      <c r="F54" s="168">
        <f>SUM(F52:F53)</f>
        <v>29876</v>
      </c>
      <c r="G54" s="124"/>
      <c r="H54" s="111"/>
      <c r="I54" s="168">
        <f>SUM(I52:I53)</f>
        <v>29876</v>
      </c>
      <c r="J54" s="131"/>
      <c r="K54" s="200"/>
    </row>
    <row r="55" spans="1:11" x14ac:dyDescent="0.2">
      <c r="A55" s="111"/>
      <c r="B55" s="111"/>
      <c r="C55" s="136"/>
      <c r="D55" s="136"/>
      <c r="E55" s="111"/>
      <c r="F55" s="137"/>
      <c r="G55" s="136"/>
      <c r="H55" s="111"/>
      <c r="I55" s="137"/>
      <c r="J55" s="137"/>
      <c r="K55" s="200"/>
    </row>
    <row r="56" spans="1:11" x14ac:dyDescent="0.2">
      <c r="A56" s="111" t="s">
        <v>86</v>
      </c>
      <c r="B56" s="111"/>
      <c r="C56" s="117">
        <v>2410214</v>
      </c>
      <c r="D56" s="169">
        <f>'Exhibit No.__(BDJ-Tariff)'!D95</f>
        <v>1.1800000000000001E-3</v>
      </c>
      <c r="E56" s="111"/>
      <c r="F56" s="131">
        <f>ROUND(D56*$C56,0)</f>
        <v>2844</v>
      </c>
      <c r="G56" s="169">
        <f>D56</f>
        <v>1.1800000000000001E-3</v>
      </c>
      <c r="H56" s="111"/>
      <c r="I56" s="131">
        <f>ROUND(G56*$C56,0)</f>
        <v>2844</v>
      </c>
      <c r="J56" s="137"/>
      <c r="K56" s="410" t="s">
        <v>528</v>
      </c>
    </row>
    <row r="57" spans="1:11" x14ac:dyDescent="0.2">
      <c r="A57" s="111"/>
      <c r="B57" s="111"/>
      <c r="C57" s="136"/>
      <c r="D57" s="136"/>
      <c r="E57" s="111"/>
      <c r="F57" s="137"/>
      <c r="G57" s="136"/>
      <c r="H57" s="111"/>
      <c r="I57" s="137"/>
      <c r="J57" s="137"/>
      <c r="K57" s="100"/>
    </row>
    <row r="58" spans="1:11" ht="12" thickBot="1" x14ac:dyDescent="0.25">
      <c r="A58" s="111" t="s">
        <v>30</v>
      </c>
      <c r="B58" s="111"/>
      <c r="C58" s="136"/>
      <c r="D58" s="136"/>
      <c r="E58" s="111"/>
      <c r="F58" s="155">
        <f>SUM(F44,F50,F54,F56)</f>
        <v>275553</v>
      </c>
      <c r="G58" s="136"/>
      <c r="H58" s="111"/>
      <c r="I58" s="155">
        <f>SUM(I44,I50,I54,I56)</f>
        <v>275553</v>
      </c>
      <c r="J58" s="137"/>
    </row>
    <row r="59" spans="1:11" ht="12" thickTop="1" x14ac:dyDescent="0.2">
      <c r="A59" s="111"/>
      <c r="B59" s="170"/>
      <c r="C59" s="136"/>
      <c r="D59" s="136"/>
      <c r="E59" s="111"/>
      <c r="F59" s="131"/>
      <c r="G59" s="136"/>
      <c r="H59" s="111"/>
      <c r="I59" s="131"/>
      <c r="J59" s="131"/>
    </row>
    <row r="60" spans="1:11" x14ac:dyDescent="0.2">
      <c r="A60" s="215" t="s">
        <v>275</v>
      </c>
      <c r="B60" s="172"/>
      <c r="C60" s="173"/>
      <c r="D60" s="173"/>
      <c r="E60" s="174"/>
      <c r="F60" s="175"/>
      <c r="G60" s="173"/>
      <c r="H60" s="174"/>
      <c r="I60" s="216">
        <f>'Exhibit No.__(BDJ-Rate Spread)'!M18</f>
        <v>0</v>
      </c>
      <c r="J60" s="131"/>
    </row>
    <row r="61" spans="1:11" x14ac:dyDescent="0.2">
      <c r="A61" s="641" t="s">
        <v>495</v>
      </c>
      <c r="B61" s="604"/>
      <c r="C61" s="604"/>
      <c r="D61" s="71"/>
      <c r="E61" s="71"/>
      <c r="F61" s="71"/>
      <c r="G61" s="71"/>
      <c r="H61" s="71"/>
      <c r="I61" s="212">
        <f>I60/F58</f>
        <v>0</v>
      </c>
      <c r="J61" s="131"/>
    </row>
    <row r="62" spans="1:11" x14ac:dyDescent="0.2">
      <c r="A62" s="217" t="s">
        <v>509</v>
      </c>
      <c r="B62" s="177"/>
      <c r="C62" s="136"/>
      <c r="D62" s="136"/>
      <c r="E62" s="143"/>
      <c r="F62" s="137"/>
      <c r="G62" s="136"/>
      <c r="H62" s="143"/>
      <c r="I62" s="218">
        <f>(I44-F44)</f>
        <v>0</v>
      </c>
      <c r="J62" s="131"/>
    </row>
    <row r="63" spans="1:11" x14ac:dyDescent="0.2">
      <c r="A63" s="217" t="s">
        <v>510</v>
      </c>
      <c r="B63" s="177"/>
      <c r="C63" s="136"/>
      <c r="D63" s="136"/>
      <c r="E63" s="143"/>
      <c r="F63" s="137"/>
      <c r="G63" s="136"/>
      <c r="H63" s="143"/>
      <c r="I63" s="218">
        <f>I60-I62</f>
        <v>0</v>
      </c>
      <c r="J63" s="131"/>
    </row>
    <row r="64" spans="1:11" x14ac:dyDescent="0.2">
      <c r="A64" s="422" t="s">
        <v>508</v>
      </c>
      <c r="B64" s="177"/>
      <c r="C64" s="136"/>
      <c r="D64" s="136"/>
      <c r="E64" s="143"/>
      <c r="F64" s="137"/>
      <c r="G64" s="136"/>
      <c r="H64" s="143"/>
      <c r="I64" s="212">
        <f>I63/(F58-F44)</f>
        <v>0</v>
      </c>
      <c r="J64" s="131"/>
    </row>
    <row r="65" spans="1:11" x14ac:dyDescent="0.2">
      <c r="A65" s="219" t="s">
        <v>29</v>
      </c>
      <c r="B65" s="177"/>
      <c r="C65" s="136"/>
      <c r="D65" s="136"/>
      <c r="E65" s="143"/>
      <c r="F65" s="137"/>
      <c r="G65" s="136"/>
      <c r="H65" s="143"/>
      <c r="I65" s="218">
        <f>I60-(I58-F58)</f>
        <v>0</v>
      </c>
      <c r="J65" s="131"/>
      <c r="K65" s="157"/>
    </row>
    <row r="66" spans="1:11" x14ac:dyDescent="0.2">
      <c r="A66" s="219" t="s">
        <v>280</v>
      </c>
      <c r="B66" s="177"/>
      <c r="C66" s="136"/>
      <c r="D66" s="136"/>
      <c r="E66" s="143"/>
      <c r="F66" s="137"/>
      <c r="G66" s="136"/>
      <c r="H66" s="143"/>
      <c r="I66" s="220">
        <v>0</v>
      </c>
      <c r="J66" s="131"/>
      <c r="K66" s="157"/>
    </row>
    <row r="67" spans="1:11" x14ac:dyDescent="0.2">
      <c r="A67" s="213" t="s">
        <v>344</v>
      </c>
      <c r="B67" s="179"/>
      <c r="C67" s="154"/>
      <c r="D67" s="154"/>
      <c r="E67" s="180"/>
      <c r="F67" s="181"/>
      <c r="G67" s="154"/>
      <c r="H67" s="180"/>
      <c r="I67" s="221">
        <f>I65/C50</f>
        <v>0</v>
      </c>
      <c r="J67" s="131"/>
      <c r="K67" s="157"/>
    </row>
    <row r="68" spans="1:11" x14ac:dyDescent="0.2">
      <c r="A68" s="111"/>
      <c r="B68" s="170"/>
      <c r="C68" s="136"/>
      <c r="D68" s="136"/>
      <c r="E68" s="111"/>
      <c r="F68" s="131"/>
      <c r="G68" s="136"/>
      <c r="H68" s="111"/>
      <c r="I68" s="131"/>
      <c r="J68" s="131"/>
      <c r="K68" s="157"/>
    </row>
    <row r="69" spans="1:11" x14ac:dyDescent="0.2">
      <c r="A69" s="110" t="s">
        <v>116</v>
      </c>
      <c r="B69" s="111"/>
      <c r="C69" s="117"/>
      <c r="D69" s="131"/>
      <c r="E69" s="111"/>
      <c r="F69" s="111"/>
      <c r="G69" s="131"/>
      <c r="H69" s="111"/>
      <c r="I69" s="131" t="s">
        <v>0</v>
      </c>
      <c r="J69" s="131"/>
    </row>
    <row r="70" spans="1:11" x14ac:dyDescent="0.2">
      <c r="A70" s="116" t="s">
        <v>117</v>
      </c>
      <c r="B70" s="111"/>
      <c r="C70" s="111" t="s">
        <v>0</v>
      </c>
      <c r="D70" s="131"/>
      <c r="E70" s="111"/>
      <c r="F70" s="111"/>
      <c r="G70" s="131"/>
      <c r="H70" s="111"/>
      <c r="I70" s="111"/>
      <c r="J70" s="111"/>
    </row>
    <row r="71" spans="1:11" x14ac:dyDescent="0.2">
      <c r="A71" s="111"/>
      <c r="B71" s="111"/>
      <c r="C71" s="111"/>
      <c r="D71" s="131"/>
      <c r="E71" s="111"/>
      <c r="F71" s="111"/>
      <c r="G71" s="131"/>
      <c r="H71" s="111"/>
      <c r="I71" s="111"/>
      <c r="J71" s="111"/>
      <c r="K71" s="71"/>
    </row>
    <row r="72" spans="1:11" x14ac:dyDescent="0.2">
      <c r="A72" s="111" t="s">
        <v>33</v>
      </c>
      <c r="B72" s="111"/>
      <c r="C72" s="117">
        <v>1760</v>
      </c>
      <c r="D72" s="120">
        <f>'Exhibit No.__(BDJ-Tariff)'!D98</f>
        <v>358.11</v>
      </c>
      <c r="E72" s="111"/>
      <c r="F72" s="131">
        <f>ROUND(D72*$C72,0)</f>
        <v>630274</v>
      </c>
      <c r="G72" s="120">
        <f>D72</f>
        <v>358.11</v>
      </c>
      <c r="H72" s="111"/>
      <c r="I72" s="131">
        <f>ROUND(G72*$C72,0)</f>
        <v>630274</v>
      </c>
      <c r="J72" s="131"/>
      <c r="K72" s="33" t="s">
        <v>528</v>
      </c>
    </row>
    <row r="73" spans="1:11" x14ac:dyDescent="0.2">
      <c r="A73" s="111" t="s">
        <v>36</v>
      </c>
      <c r="B73" s="111"/>
      <c r="C73" s="117"/>
      <c r="D73" s="167"/>
      <c r="E73" s="131"/>
      <c r="F73" s="131"/>
      <c r="G73" s="167"/>
      <c r="H73" s="131"/>
      <c r="I73" s="131"/>
      <c r="J73" s="131"/>
      <c r="K73" s="71"/>
    </row>
    <row r="74" spans="1:11" x14ac:dyDescent="0.2">
      <c r="A74" s="128" t="s">
        <v>41</v>
      </c>
      <c r="B74" s="111"/>
      <c r="C74" s="117">
        <v>109785076</v>
      </c>
      <c r="D74" s="129">
        <f>'Exhibit No.__(BDJ-Tariff)'!D100</f>
        <v>5.9549999999999999E-2</v>
      </c>
      <c r="E74" s="131"/>
      <c r="F74" s="131">
        <f t="shared" ref="F74" si="9">ROUND($C74*D74,0)</f>
        <v>6537701</v>
      </c>
      <c r="G74" s="129">
        <f>ROUND(D74*(1+$I$92),6)</f>
        <v>5.7393E-2</v>
      </c>
      <c r="H74" s="131"/>
      <c r="I74" s="131">
        <f t="shared" ref="I74" si="10">ROUND($C74*G74,0)</f>
        <v>6300895</v>
      </c>
      <c r="J74" s="131"/>
      <c r="K74" s="33" t="s">
        <v>532</v>
      </c>
    </row>
    <row r="75" spans="1:11" x14ac:dyDescent="0.2">
      <c r="A75" s="122" t="s">
        <v>26</v>
      </c>
      <c r="B75" s="111"/>
      <c r="C75" s="150">
        <f>SUM(C74:C74)</f>
        <v>109785076</v>
      </c>
      <c r="D75" s="153"/>
      <c r="E75" s="111"/>
      <c r="F75" s="168">
        <f>SUM(F74:F74)</f>
        <v>6537701</v>
      </c>
      <c r="G75" s="153"/>
      <c r="H75" s="111"/>
      <c r="I75" s="168">
        <f>SUM(I74:I74)</f>
        <v>6300895</v>
      </c>
      <c r="J75" s="131"/>
    </row>
    <row r="76" spans="1:11" x14ac:dyDescent="0.2">
      <c r="A76" s="128" t="s">
        <v>69</v>
      </c>
      <c r="B76" s="111"/>
      <c r="C76" s="117">
        <v>1937121.2844268391</v>
      </c>
      <c r="D76" s="129">
        <f>D74</f>
        <v>5.9549999999999999E-2</v>
      </c>
      <c r="E76" s="111"/>
      <c r="F76" s="131">
        <f t="shared" ref="F76" si="11">ROUND($C76*D76,0)</f>
        <v>115356</v>
      </c>
      <c r="G76" s="129">
        <f>G74</f>
        <v>5.7393E-2</v>
      </c>
      <c r="H76" s="111"/>
      <c r="I76" s="131">
        <f t="shared" ref="I76" si="12">ROUND($C76*G76,0)</f>
        <v>111177</v>
      </c>
      <c r="J76" s="131"/>
      <c r="K76" s="410"/>
    </row>
    <row r="77" spans="1:11" x14ac:dyDescent="0.2">
      <c r="A77" s="18" t="s">
        <v>71</v>
      </c>
      <c r="B77" s="111"/>
      <c r="C77" s="136">
        <v>2376920</v>
      </c>
      <c r="D77" s="129">
        <f>ROUND(F77/C77,6)</f>
        <v>0.100608</v>
      </c>
      <c r="E77" s="111"/>
      <c r="F77" s="131">
        <v>239137</v>
      </c>
      <c r="G77" s="129">
        <f>ROUND(D77*(1+$I$92),6)</f>
        <v>9.6963999999999995E-2</v>
      </c>
      <c r="H77" s="111"/>
      <c r="I77" s="131">
        <f>ROUND($C77*G77,0)+25</f>
        <v>230501</v>
      </c>
      <c r="J77" s="137"/>
      <c r="K77" s="33" t="s">
        <v>528</v>
      </c>
    </row>
    <row r="78" spans="1:11" x14ac:dyDescent="0.2">
      <c r="A78" s="122" t="s">
        <v>26</v>
      </c>
      <c r="B78" s="111"/>
      <c r="C78" s="150">
        <f>SUM(C75:C77)</f>
        <v>114099117.28442684</v>
      </c>
      <c r="D78" s="111"/>
      <c r="E78" s="111"/>
      <c r="F78" s="168">
        <f>SUM(F75:F77)</f>
        <v>6892194</v>
      </c>
      <c r="G78" s="111"/>
      <c r="H78" s="111"/>
      <c r="I78" s="168">
        <f>SUM(I75:I77)</f>
        <v>6642573</v>
      </c>
      <c r="J78" s="137"/>
      <c r="K78" s="411"/>
    </row>
    <row r="79" spans="1:11" x14ac:dyDescent="0.2">
      <c r="A79" s="111" t="s">
        <v>35</v>
      </c>
      <c r="B79" s="111"/>
      <c r="C79" s="117"/>
      <c r="D79" s="124"/>
      <c r="E79" s="111"/>
      <c r="F79" s="131"/>
      <c r="G79" s="124"/>
      <c r="H79" s="111"/>
      <c r="I79" s="131"/>
      <c r="J79" s="131"/>
      <c r="K79" s="411"/>
    </row>
    <row r="80" spans="1:11" x14ac:dyDescent="0.2">
      <c r="A80" s="128" t="s">
        <v>118</v>
      </c>
      <c r="B80" s="111"/>
      <c r="C80" s="117">
        <v>541880</v>
      </c>
      <c r="D80" s="120">
        <f>'Exhibit No.__(BDJ-Tariff)'!D102</f>
        <v>5.01</v>
      </c>
      <c r="E80" s="111"/>
      <c r="F80" s="131">
        <f>ROUND(D80*$C80,0)</f>
        <v>2714819</v>
      </c>
      <c r="G80" s="120">
        <f>D80</f>
        <v>5.01</v>
      </c>
      <c r="H80" s="111"/>
      <c r="I80" s="131">
        <f>ROUND(G80*$C80,0)</f>
        <v>2714819</v>
      </c>
      <c r="J80" s="131"/>
      <c r="K80" s="33" t="s">
        <v>528</v>
      </c>
    </row>
    <row r="81" spans="1:11" x14ac:dyDescent="0.2">
      <c r="A81" s="122" t="s">
        <v>26</v>
      </c>
      <c r="B81" s="111"/>
      <c r="C81" s="150">
        <f>SUM(C80:C80)</f>
        <v>541880</v>
      </c>
      <c r="D81" s="124"/>
      <c r="E81" s="111"/>
      <c r="F81" s="168">
        <f>SUM(F80:F80)</f>
        <v>2714819</v>
      </c>
      <c r="G81" s="124"/>
      <c r="H81" s="111"/>
      <c r="I81" s="168">
        <f>SUM(I80:I80)</f>
        <v>2714819</v>
      </c>
      <c r="J81" s="131"/>
      <c r="K81" s="411"/>
    </row>
    <row r="82" spans="1:11" x14ac:dyDescent="0.2">
      <c r="A82" s="111"/>
      <c r="B82" s="111"/>
      <c r="C82" s="136"/>
      <c r="D82" s="136"/>
      <c r="E82" s="111"/>
      <c r="F82" s="137"/>
      <c r="G82" s="136"/>
      <c r="H82" s="111"/>
      <c r="I82" s="137"/>
      <c r="J82" s="137"/>
      <c r="K82" s="411"/>
    </row>
    <row r="83" spans="1:11" x14ac:dyDescent="0.2">
      <c r="A83" s="11" t="s">
        <v>246</v>
      </c>
      <c r="B83" s="111"/>
      <c r="C83" s="117"/>
      <c r="D83" s="222">
        <f>ROUND(D23-D80,2)</f>
        <v>6.93</v>
      </c>
      <c r="E83" s="111"/>
      <c r="F83" s="131">
        <f>ROUND(D83*$C83,0)</f>
        <v>0</v>
      </c>
      <c r="G83" s="222">
        <f>ROUND(G23-G80,2)</f>
        <v>6.93</v>
      </c>
      <c r="H83" s="111"/>
      <c r="I83" s="131">
        <f>ROUND(G83*$C83,0)</f>
        <v>0</v>
      </c>
      <c r="J83" s="137"/>
      <c r="K83" s="33" t="s">
        <v>247</v>
      </c>
    </row>
    <row r="84" spans="1:11" x14ac:dyDescent="0.2">
      <c r="A84" s="111"/>
      <c r="B84" s="111"/>
      <c r="C84" s="136"/>
      <c r="D84" s="136"/>
      <c r="E84" s="111"/>
      <c r="F84" s="137"/>
      <c r="G84" s="136"/>
      <c r="H84" s="111"/>
      <c r="I84" s="137"/>
      <c r="J84" s="137"/>
      <c r="K84" s="411"/>
    </row>
    <row r="85" spans="1:11" x14ac:dyDescent="0.2">
      <c r="A85" s="111" t="s">
        <v>86</v>
      </c>
      <c r="B85" s="111"/>
      <c r="C85" s="117">
        <v>42612511</v>
      </c>
      <c r="D85" s="169">
        <f>'Exhibit No.__(BDJ-Tariff)'!D106</f>
        <v>3.1700000000000001E-3</v>
      </c>
      <c r="E85" s="111"/>
      <c r="F85" s="131">
        <f>ROUND(D85*$C85,0)</f>
        <v>135082</v>
      </c>
      <c r="G85" s="169">
        <f>D85</f>
        <v>3.1700000000000001E-3</v>
      </c>
      <c r="H85" s="111"/>
      <c r="I85" s="131">
        <f>ROUND(G85*$C85,0)</f>
        <v>135082</v>
      </c>
      <c r="J85" s="137"/>
      <c r="K85" s="33" t="s">
        <v>495</v>
      </c>
    </row>
    <row r="86" spans="1:11" x14ac:dyDescent="0.2">
      <c r="A86" s="111"/>
      <c r="B86" s="111"/>
      <c r="C86" s="136"/>
      <c r="D86" s="136"/>
      <c r="E86" s="111"/>
      <c r="F86" s="137"/>
      <c r="G86" s="136"/>
      <c r="H86" s="111"/>
      <c r="I86" s="137"/>
      <c r="J86" s="137"/>
      <c r="K86" s="100"/>
    </row>
    <row r="87" spans="1:11" ht="12" thickBot="1" x14ac:dyDescent="0.25">
      <c r="A87" s="111" t="s">
        <v>30</v>
      </c>
      <c r="B87" s="111"/>
      <c r="C87" s="136"/>
      <c r="D87" s="136"/>
      <c r="E87" s="111"/>
      <c r="F87" s="155">
        <f>SUM(F72,F78,F81,F85)</f>
        <v>10372369</v>
      </c>
      <c r="G87" s="136"/>
      <c r="H87" s="111"/>
      <c r="I87" s="155">
        <f>SUM(I72,I78,I81,I85)</f>
        <v>10122748</v>
      </c>
      <c r="J87" s="137"/>
      <c r="K87" s="367">
        <f>I87-F87-I90</f>
        <v>-10.677770804613829</v>
      </c>
    </row>
    <row r="88" spans="1:11" ht="12" thickTop="1" x14ac:dyDescent="0.2">
      <c r="A88" s="111"/>
      <c r="B88" s="170"/>
      <c r="C88" s="136"/>
      <c r="D88" s="136"/>
      <c r="E88" s="111"/>
      <c r="F88" s="131"/>
      <c r="G88" s="136"/>
      <c r="H88" s="111"/>
      <c r="I88" s="131"/>
      <c r="J88" s="131"/>
      <c r="K88" s="100"/>
    </row>
    <row r="89" spans="1:11" x14ac:dyDescent="0.2">
      <c r="A89" s="171" t="s">
        <v>119</v>
      </c>
      <c r="B89" s="191"/>
      <c r="C89" s="191"/>
      <c r="D89" s="191"/>
      <c r="E89" s="191"/>
      <c r="F89" s="191"/>
      <c r="G89" s="191"/>
      <c r="H89" s="191"/>
      <c r="I89" s="216">
        <f>'Exhibit No.__(BDJ-Rate Spread)'!K19*1000</f>
        <v>10122758.677770805</v>
      </c>
    </row>
    <row r="90" spans="1:11" x14ac:dyDescent="0.2">
      <c r="A90" s="176" t="s">
        <v>29</v>
      </c>
      <c r="B90" s="143"/>
      <c r="C90" s="136"/>
      <c r="D90" s="137"/>
      <c r="E90" s="143"/>
      <c r="F90" s="143"/>
      <c r="G90" s="137"/>
      <c r="H90" s="143"/>
      <c r="I90" s="218">
        <f>I89-F87</f>
        <v>-249610.32222919539</v>
      </c>
      <c r="J90" s="131"/>
    </row>
    <row r="91" spans="1:11" x14ac:dyDescent="0.2">
      <c r="A91" s="176" t="s">
        <v>495</v>
      </c>
      <c r="B91" s="143"/>
      <c r="C91" s="136"/>
      <c r="D91" s="137"/>
      <c r="E91" s="143"/>
      <c r="F91" s="143"/>
      <c r="G91" s="137"/>
      <c r="H91" s="143"/>
      <c r="I91" s="212">
        <f>I90/F87</f>
        <v>-2.4064928872969654E-2</v>
      </c>
      <c r="J91" s="131"/>
    </row>
    <row r="92" spans="1:11" x14ac:dyDescent="0.2">
      <c r="A92" s="642" t="s">
        <v>543</v>
      </c>
      <c r="B92" s="643"/>
      <c r="C92" s="643"/>
      <c r="D92" s="186"/>
      <c r="E92" s="186"/>
      <c r="F92" s="186"/>
      <c r="G92" s="186"/>
      <c r="H92" s="186"/>
      <c r="I92" s="381">
        <f>I90/F78</f>
        <v>-3.6216380767749051E-2</v>
      </c>
    </row>
    <row r="95" spans="1:11" x14ac:dyDescent="0.2">
      <c r="A95" s="41"/>
    </row>
  </sheetData>
  <mergeCells count="9">
    <mergeCell ref="A61:C61"/>
    <mergeCell ref="A92:C92"/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1" fitToHeight="5" orientation="landscape" r:id="rId1"/>
  <headerFooter alignWithMargins="0">
    <oddFooter>&amp;L&amp;A&amp;RExhibit No.___(BDJ-5)
Page &amp;P of &amp;N</oddFooter>
  </headerFooter>
  <rowBreaks count="1" manualBreakCount="1">
    <brk id="40" max="10" man="1"/>
  </rowBreaks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79998168889431442"/>
    <pageSetUpPr fitToPage="1"/>
  </sheetPr>
  <dimension ref="A1:H31"/>
  <sheetViews>
    <sheetView zoomScaleNormal="100" workbookViewId="0">
      <pane xSplit="1" ySplit="8" topLeftCell="B9" activePane="bottomRight" state="frozen"/>
      <selection activeCell="E29" sqref="E29"/>
      <selection pane="topRight" activeCell="E29" sqref="E29"/>
      <selection pane="bottomLeft" activeCell="E29" sqref="E29"/>
      <selection pane="bottomRight" activeCell="B5" sqref="B1:E1048576"/>
    </sheetView>
  </sheetViews>
  <sheetFormatPr defaultColWidth="9" defaultRowHeight="11.25" x14ac:dyDescent="0.2"/>
  <cols>
    <col min="1" max="1" width="37" style="8" bestFit="1" customWidth="1"/>
    <col min="2" max="2" width="17.875" style="8" bestFit="1" customWidth="1"/>
    <col min="3" max="3" width="7.25" style="8" bestFit="1" customWidth="1"/>
    <col min="4" max="4" width="6" style="8" bestFit="1" customWidth="1"/>
    <col min="5" max="5" width="5.75" style="8" bestFit="1" customWidth="1"/>
    <col min="6" max="16384" width="9" style="8"/>
  </cols>
  <sheetData>
    <row r="1" spans="1:8" x14ac:dyDescent="0.2">
      <c r="A1" s="614" t="s">
        <v>43</v>
      </c>
      <c r="B1" s="614"/>
      <c r="C1" s="614"/>
      <c r="D1" s="614"/>
      <c r="E1" s="614"/>
    </row>
    <row r="2" spans="1:8" x14ac:dyDescent="0.2">
      <c r="A2" s="614" t="s">
        <v>20</v>
      </c>
      <c r="B2" s="614"/>
      <c r="C2" s="614"/>
      <c r="D2" s="614"/>
      <c r="E2" s="614"/>
    </row>
    <row r="3" spans="1:8" x14ac:dyDescent="0.2">
      <c r="A3" s="638" t="str">
        <f>'Exhibit No.__(BDJ-HV RD)'!A3</f>
        <v>12 MONTHS ENDED JUNE 2021</v>
      </c>
      <c r="B3" s="638"/>
      <c r="C3" s="638"/>
      <c r="D3" s="638"/>
      <c r="E3" s="638"/>
    </row>
    <row r="4" spans="1:8" x14ac:dyDescent="0.2">
      <c r="A4" s="639" t="s">
        <v>434</v>
      </c>
      <c r="B4" s="639"/>
      <c r="C4" s="639"/>
      <c r="D4" s="639"/>
      <c r="E4" s="639"/>
    </row>
    <row r="5" spans="1:8" x14ac:dyDescent="0.2">
      <c r="A5" s="102" t="s">
        <v>435</v>
      </c>
      <c r="B5" s="103"/>
      <c r="C5" s="103"/>
      <c r="D5" s="104"/>
      <c r="E5" s="104"/>
    </row>
    <row r="6" spans="1:8" x14ac:dyDescent="0.2">
      <c r="A6" s="11"/>
      <c r="B6" s="11"/>
      <c r="C6" s="11"/>
      <c r="D6" s="11"/>
      <c r="E6" s="11"/>
    </row>
    <row r="7" spans="1:8" x14ac:dyDescent="0.2">
      <c r="A7" s="11"/>
      <c r="B7" s="11"/>
      <c r="C7" s="648" t="s">
        <v>436</v>
      </c>
      <c r="D7" s="648"/>
      <c r="E7" s="648"/>
    </row>
    <row r="8" spans="1:8" x14ac:dyDescent="0.2">
      <c r="A8" s="11"/>
      <c r="B8" s="411" t="s">
        <v>437</v>
      </c>
      <c r="C8" s="10" t="s">
        <v>438</v>
      </c>
      <c r="D8" s="10" t="s">
        <v>439</v>
      </c>
      <c r="E8" s="10" t="s">
        <v>440</v>
      </c>
    </row>
    <row r="9" spans="1:8" x14ac:dyDescent="0.2">
      <c r="A9" s="110" t="s">
        <v>441</v>
      </c>
      <c r="B9" s="11"/>
      <c r="C9" s="11"/>
      <c r="D9" s="11"/>
      <c r="E9" s="11"/>
    </row>
    <row r="10" spans="1:8" x14ac:dyDescent="0.2">
      <c r="A10" s="223" t="s">
        <v>442</v>
      </c>
      <c r="B10" s="11"/>
      <c r="C10" s="11"/>
      <c r="D10" s="11"/>
      <c r="E10" s="11"/>
      <c r="F10" s="11"/>
    </row>
    <row r="11" spans="1:8" x14ac:dyDescent="0.2">
      <c r="A11" s="224" t="s">
        <v>443</v>
      </c>
      <c r="B11" s="30">
        <v>24278735.305029184</v>
      </c>
      <c r="C11" s="226">
        <f>+B11/$B$14</f>
        <v>0.34794756559563872</v>
      </c>
      <c r="D11" s="11"/>
      <c r="E11" s="11"/>
      <c r="F11" s="30"/>
      <c r="G11" s="22"/>
      <c r="H11" s="22"/>
    </row>
    <row r="12" spans="1:8" x14ac:dyDescent="0.2">
      <c r="A12" s="224" t="s">
        <v>444</v>
      </c>
      <c r="B12" s="30">
        <v>12458279.016185395</v>
      </c>
      <c r="C12" s="226">
        <f>+B12/$B$14</f>
        <v>0.17854421989991406</v>
      </c>
      <c r="D12" s="11"/>
      <c r="E12" s="11"/>
      <c r="F12" s="11"/>
    </row>
    <row r="13" spans="1:8" x14ac:dyDescent="0.2">
      <c r="A13" s="224" t="s">
        <v>445</v>
      </c>
      <c r="B13" s="30">
        <v>33039979.989601489</v>
      </c>
      <c r="C13" s="226">
        <f>+B13/$B$14</f>
        <v>0.47350821450444724</v>
      </c>
      <c r="D13" s="11"/>
      <c r="E13" s="11"/>
      <c r="F13" s="11"/>
    </row>
    <row r="14" spans="1:8" x14ac:dyDescent="0.2">
      <c r="A14" s="225" t="s">
        <v>446</v>
      </c>
      <c r="B14" s="30">
        <f>SUM(B11:B13)</f>
        <v>69776994.310816064</v>
      </c>
      <c r="C14" s="226">
        <f>SUM(C11:C13)</f>
        <v>1</v>
      </c>
      <c r="D14" s="31">
        <f>'Exhibit No.__(BDJ-SV RD)'!G94</f>
        <v>12.23</v>
      </c>
      <c r="E14" s="31">
        <f>'Exhibit No.__(BDJ-SV RD)'!G95</f>
        <v>8.15</v>
      </c>
      <c r="F14" s="11"/>
    </row>
    <row r="15" spans="1:8" x14ac:dyDescent="0.2">
      <c r="A15" s="223"/>
      <c r="B15" s="11"/>
      <c r="C15" s="11"/>
      <c r="D15" s="11"/>
      <c r="E15" s="11"/>
      <c r="F15" s="11"/>
    </row>
    <row r="16" spans="1:8" x14ac:dyDescent="0.2">
      <c r="A16" s="227" t="s">
        <v>447</v>
      </c>
      <c r="B16" s="11"/>
      <c r="C16" s="226">
        <f>+C13</f>
        <v>0.47350821450444724</v>
      </c>
      <c r="D16" s="31">
        <f>ROUND($C16*$D$14,2)</f>
        <v>5.79</v>
      </c>
      <c r="E16" s="31">
        <f>ROUND($C16*$E$14,2)</f>
        <v>3.86</v>
      </c>
      <c r="F16" s="11"/>
    </row>
    <row r="17" spans="1:6" x14ac:dyDescent="0.2">
      <c r="A17" s="227" t="s">
        <v>448</v>
      </c>
      <c r="B17" s="11"/>
      <c r="C17" s="226">
        <f>SUM(C11:C12)</f>
        <v>0.52649178549555276</v>
      </c>
      <c r="D17" s="31">
        <f>ROUND($C17*$D$14,2)</f>
        <v>6.44</v>
      </c>
      <c r="E17" s="31">
        <f>ROUND($C17*$E$14,2)</f>
        <v>4.29</v>
      </c>
      <c r="F17" s="11"/>
    </row>
    <row r="18" spans="1:6" x14ac:dyDescent="0.2">
      <c r="A18" s="11"/>
      <c r="B18" s="11"/>
      <c r="C18" s="11"/>
      <c r="D18" s="11"/>
      <c r="E18" s="11"/>
      <c r="F18" s="11"/>
    </row>
    <row r="19" spans="1:6" x14ac:dyDescent="0.2">
      <c r="A19" s="110" t="s">
        <v>449</v>
      </c>
      <c r="B19" s="11"/>
      <c r="C19" s="11"/>
      <c r="D19" s="11"/>
      <c r="E19" s="11"/>
      <c r="F19" s="11"/>
    </row>
    <row r="20" spans="1:6" x14ac:dyDescent="0.2">
      <c r="A20" s="223" t="s">
        <v>442</v>
      </c>
      <c r="B20" s="11"/>
      <c r="C20" s="11"/>
      <c r="D20" s="11"/>
      <c r="E20" s="11"/>
      <c r="F20" s="11"/>
    </row>
    <row r="21" spans="1:6" x14ac:dyDescent="0.2">
      <c r="A21" s="224" t="s">
        <v>443</v>
      </c>
      <c r="B21" s="30">
        <v>16897712.059661712</v>
      </c>
      <c r="C21" s="226">
        <f>+B21/$B$24</f>
        <v>0.33724889346497355</v>
      </c>
      <c r="D21" s="11"/>
      <c r="E21" s="11"/>
      <c r="F21" s="11"/>
    </row>
    <row r="22" spans="1:6" x14ac:dyDescent="0.2">
      <c r="A22" s="224" t="s">
        <v>444</v>
      </c>
      <c r="B22" s="30">
        <v>8670838.8998465966</v>
      </c>
      <c r="C22" s="226">
        <f>+B22/$B$24</f>
        <v>0.17305483807876271</v>
      </c>
      <c r="D22" s="11"/>
      <c r="E22" s="11"/>
      <c r="F22" s="11"/>
    </row>
    <row r="23" spans="1:6" x14ac:dyDescent="0.2">
      <c r="A23" s="224" t="s">
        <v>445</v>
      </c>
      <c r="B23" s="30">
        <v>24536022.80513978</v>
      </c>
      <c r="C23" s="226">
        <f>+B23/$B$24</f>
        <v>0.48969626845626374</v>
      </c>
      <c r="D23" s="11"/>
      <c r="E23" s="11"/>
      <c r="F23" s="11"/>
    </row>
    <row r="24" spans="1:6" x14ac:dyDescent="0.2">
      <c r="A24" s="225" t="s">
        <v>446</v>
      </c>
      <c r="B24" s="30">
        <f>SUM(B21:B23)</f>
        <v>50104573.764648087</v>
      </c>
      <c r="C24" s="226">
        <f>SUM(C21:C23)</f>
        <v>1</v>
      </c>
      <c r="D24" s="31">
        <f>'Exhibit No.__(BDJ-PV RD)'!G23</f>
        <v>11.94</v>
      </c>
      <c r="E24" s="31">
        <f>'Exhibit No.__(BDJ-PV RD)'!G24</f>
        <v>7.96</v>
      </c>
      <c r="F24" s="11"/>
    </row>
    <row r="25" spans="1:6" x14ac:dyDescent="0.2">
      <c r="A25" s="223"/>
      <c r="B25" s="11"/>
      <c r="C25" s="11"/>
      <c r="D25" s="11"/>
      <c r="E25" s="11"/>
      <c r="F25" s="11"/>
    </row>
    <row r="26" spans="1:6" x14ac:dyDescent="0.2">
      <c r="A26" s="227" t="s">
        <v>447</v>
      </c>
      <c r="B26" s="11"/>
      <c r="C26" s="226">
        <f>+C23</f>
        <v>0.48969626845626374</v>
      </c>
      <c r="D26" s="31">
        <f>ROUND($C26*$D$24,2)</f>
        <v>5.85</v>
      </c>
      <c r="E26" s="31">
        <f>ROUND($C26*$E$24,2)</f>
        <v>3.9</v>
      </c>
      <c r="F26" s="11"/>
    </row>
    <row r="27" spans="1:6" x14ac:dyDescent="0.2">
      <c r="A27" s="227" t="s">
        <v>448</v>
      </c>
      <c r="B27" s="11"/>
      <c r="C27" s="226">
        <f>SUM(C21:C22)</f>
        <v>0.51030373154373621</v>
      </c>
      <c r="D27" s="31">
        <f>ROUND($C27*$D$24,2)</f>
        <v>6.09</v>
      </c>
      <c r="E27" s="31">
        <f>ROUND($C27*$E$24,2)</f>
        <v>4.0599999999999996</v>
      </c>
      <c r="F27" s="11"/>
    </row>
    <row r="28" spans="1:6" x14ac:dyDescent="0.2">
      <c r="B28" s="11"/>
      <c r="C28" s="11"/>
      <c r="D28" s="11"/>
      <c r="E28" s="11"/>
      <c r="F28" s="11"/>
    </row>
    <row r="29" spans="1:6" x14ac:dyDescent="0.2">
      <c r="A29" s="41"/>
      <c r="B29" s="11"/>
      <c r="C29" s="11"/>
      <c r="D29" s="11"/>
      <c r="E29" s="11"/>
      <c r="F29" s="11"/>
    </row>
    <row r="30" spans="1:6" x14ac:dyDescent="0.2">
      <c r="B30" s="11"/>
      <c r="C30" s="11"/>
      <c r="D30" s="11"/>
      <c r="E30" s="11"/>
      <c r="F30" s="11"/>
    </row>
    <row r="31" spans="1:6" x14ac:dyDescent="0.2">
      <c r="B31" s="11"/>
      <c r="C31" s="11"/>
      <c r="D31" s="11"/>
      <c r="E31" s="11"/>
      <c r="F31" s="11"/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 codeName="Sheet11">
    <tabColor theme="6" tint="0.79998168889431442"/>
    <pageSetUpPr fitToPage="1"/>
  </sheetPr>
  <dimension ref="A1:T46"/>
  <sheetViews>
    <sheetView zoomScaleNormal="100" zoomScaleSheetLayoutView="80" workbookViewId="0">
      <pane ySplit="10" topLeftCell="A11" activePane="bottomLeft" state="frozen"/>
      <selection activeCell="E29" sqref="E29"/>
      <selection pane="bottomLeft" activeCell="G25" sqref="G25"/>
    </sheetView>
  </sheetViews>
  <sheetFormatPr defaultColWidth="10.25" defaultRowHeight="11.25" x14ac:dyDescent="0.2"/>
  <cols>
    <col min="1" max="1" width="22.5" style="11" customWidth="1"/>
    <col min="2" max="2" width="1.875" style="11" customWidth="1"/>
    <col min="3" max="3" width="8.875" style="11" bestFit="1" customWidth="1"/>
    <col min="4" max="4" width="8.25" style="11" bestFit="1" customWidth="1"/>
    <col min="5" max="5" width="0.625" style="11" customWidth="1"/>
    <col min="6" max="6" width="8.875" style="11" bestFit="1" customWidth="1"/>
    <col min="7" max="7" width="13.125" style="11" customWidth="1"/>
    <col min="8" max="8" width="1.25" style="11" customWidth="1"/>
    <col min="9" max="9" width="9.375" style="11" bestFit="1" customWidth="1"/>
    <col min="10" max="10" width="1.25" style="11" bestFit="1" customWidth="1"/>
    <col min="11" max="11" width="14.625" style="11" bestFit="1" customWidth="1"/>
    <col min="12" max="16384" width="10.25" style="11"/>
  </cols>
  <sheetData>
    <row r="1" spans="1:20" x14ac:dyDescent="0.2">
      <c r="A1" s="614" t="s">
        <v>43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</row>
    <row r="2" spans="1:20" x14ac:dyDescent="0.2">
      <c r="A2" s="614" t="s">
        <v>20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</row>
    <row r="3" spans="1:20" x14ac:dyDescent="0.2">
      <c r="A3" s="614" t="str">
        <f>'Exhibit No.__(BDJ-Prof-Prop)'!$A$6</f>
        <v>12 MONTHS ENDED JUNE 2021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</row>
    <row r="4" spans="1:20" x14ac:dyDescent="0.2">
      <c r="A4" s="614" t="s">
        <v>21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</row>
    <row r="5" spans="1:20" x14ac:dyDescent="0.2">
      <c r="A5" s="614" t="s">
        <v>123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</row>
    <row r="6" spans="1:20" x14ac:dyDescent="0.2">
      <c r="A6" s="102"/>
      <c r="B6" s="103"/>
      <c r="C6" s="103"/>
      <c r="D6" s="104"/>
      <c r="E6" s="104"/>
      <c r="F6" s="103"/>
      <c r="G6" s="104"/>
      <c r="H6" s="103"/>
      <c r="I6" s="103"/>
      <c r="J6" s="103"/>
      <c r="K6" s="71"/>
    </row>
    <row r="7" spans="1:20" x14ac:dyDescent="0.2">
      <c r="A7" s="103"/>
      <c r="B7" s="103"/>
      <c r="C7" s="103"/>
      <c r="D7" s="104"/>
      <c r="E7" s="104"/>
      <c r="F7" s="103"/>
      <c r="G7" s="104"/>
      <c r="H7" s="103"/>
      <c r="I7" s="103"/>
      <c r="J7" s="103"/>
      <c r="K7" s="71"/>
    </row>
    <row r="8" spans="1:20" x14ac:dyDescent="0.2">
      <c r="A8" s="105"/>
      <c r="B8" s="105"/>
      <c r="C8" s="106"/>
      <c r="D8" s="105"/>
      <c r="E8" s="105"/>
      <c r="G8" s="105"/>
      <c r="H8" s="107"/>
      <c r="I8" s="107"/>
      <c r="J8" s="107"/>
      <c r="K8" s="71"/>
    </row>
    <row r="9" spans="1:20" x14ac:dyDescent="0.2">
      <c r="A9" s="105"/>
      <c r="B9" s="105"/>
      <c r="C9" s="106" t="s">
        <v>22</v>
      </c>
      <c r="D9" s="644" t="s">
        <v>3</v>
      </c>
      <c r="E9" s="645"/>
      <c r="F9" s="646"/>
      <c r="G9" s="647" t="str">
        <f>'Exhibit No.__(BDJ-Res RD)'!$G$8</f>
        <v>Proposed Effective 
January 2023</v>
      </c>
      <c r="H9" s="645"/>
      <c r="I9" s="646"/>
      <c r="J9" s="107"/>
      <c r="K9" s="71"/>
    </row>
    <row r="10" spans="1:20" x14ac:dyDescent="0.2">
      <c r="A10" s="105"/>
      <c r="B10" s="105"/>
      <c r="C10" s="108" t="s">
        <v>23</v>
      </c>
      <c r="D10" s="109" t="s">
        <v>24</v>
      </c>
      <c r="E10" s="418"/>
      <c r="F10" s="107" t="s">
        <v>25</v>
      </c>
      <c r="G10" s="109" t="s">
        <v>24</v>
      </c>
      <c r="H10" s="109"/>
      <c r="I10" s="109" t="s">
        <v>25</v>
      </c>
      <c r="J10" s="109"/>
      <c r="K10" s="71"/>
    </row>
    <row r="11" spans="1:20" x14ac:dyDescent="0.2">
      <c r="C11" s="117"/>
      <c r="D11" s="111" t="s">
        <v>0</v>
      </c>
      <c r="E11" s="117"/>
      <c r="F11" s="131"/>
      <c r="G11" s="111" t="s">
        <v>0</v>
      </c>
      <c r="H11" s="117"/>
      <c r="I11" s="131" t="s">
        <v>0</v>
      </c>
      <c r="J11" s="131"/>
      <c r="K11" s="71"/>
      <c r="M11" s="138"/>
    </row>
    <row r="12" spans="1:20" x14ac:dyDescent="0.2">
      <c r="A12" s="110" t="s">
        <v>124</v>
      </c>
      <c r="B12" s="111"/>
      <c r="C12" s="111" t="s">
        <v>0</v>
      </c>
      <c r="D12" s="131"/>
      <c r="E12" s="111"/>
      <c r="F12" s="111"/>
      <c r="G12" s="131"/>
      <c r="H12" s="111"/>
      <c r="I12" s="111"/>
      <c r="J12" s="111"/>
      <c r="K12" s="71"/>
      <c r="M12" s="138"/>
    </row>
    <row r="13" spans="1:20" x14ac:dyDescent="0.2">
      <c r="A13" s="116" t="s">
        <v>51</v>
      </c>
      <c r="B13" s="111"/>
      <c r="C13" s="111"/>
      <c r="D13" s="131"/>
      <c r="E13" s="111"/>
      <c r="F13" s="111"/>
      <c r="G13" s="131"/>
      <c r="H13" s="111"/>
      <c r="I13" s="111"/>
      <c r="J13" s="111"/>
      <c r="K13" s="71"/>
      <c r="M13" s="138"/>
    </row>
    <row r="14" spans="1:20" x14ac:dyDescent="0.2">
      <c r="A14" s="116" t="s">
        <v>125</v>
      </c>
      <c r="B14" s="111"/>
      <c r="C14" s="117">
        <v>72</v>
      </c>
      <c r="D14" s="129"/>
      <c r="E14" s="111"/>
      <c r="F14" s="131"/>
      <c r="G14" s="129"/>
      <c r="H14" s="111"/>
      <c r="I14" s="131"/>
      <c r="J14" s="111"/>
      <c r="M14" s="71"/>
      <c r="N14" s="71"/>
      <c r="O14" s="71"/>
      <c r="P14" s="71"/>
      <c r="Q14" s="71"/>
      <c r="R14" s="71"/>
      <c r="T14" s="138"/>
    </row>
    <row r="15" spans="1:20" x14ac:dyDescent="0.2">
      <c r="A15" s="111" t="s">
        <v>75</v>
      </c>
      <c r="B15" s="111"/>
      <c r="C15" s="117"/>
      <c r="D15" s="129"/>
      <c r="E15" s="111"/>
      <c r="F15" s="131"/>
      <c r="G15" s="129"/>
      <c r="H15" s="111"/>
      <c r="I15" s="131"/>
      <c r="J15" s="111"/>
      <c r="M15" s="71"/>
      <c r="N15" s="71"/>
      <c r="O15" s="71"/>
      <c r="P15" s="71"/>
      <c r="Q15" s="71"/>
      <c r="R15" s="71"/>
      <c r="T15" s="138"/>
    </row>
    <row r="16" spans="1:20" x14ac:dyDescent="0.2">
      <c r="A16" s="128" t="s">
        <v>41</v>
      </c>
      <c r="B16" s="111"/>
      <c r="C16" s="117">
        <v>99645732</v>
      </c>
      <c r="D16" s="129">
        <f>'Exhibit No.__(BDJ-Tariff)'!D125</f>
        <v>5.2347999999999999E-2</v>
      </c>
      <c r="E16" s="111"/>
      <c r="F16" s="131">
        <f t="shared" ref="F16" si="0">ROUND(D16*$C16,0)</f>
        <v>5216255</v>
      </c>
      <c r="G16" s="129">
        <f>G31</f>
        <v>5.0422000000000002E-2</v>
      </c>
      <c r="H16" s="111"/>
      <c r="I16" s="131">
        <f t="shared" ref="I16" si="1">ROUND(G16*$C16,0)</f>
        <v>5024337</v>
      </c>
      <c r="J16" s="137"/>
      <c r="K16" s="33" t="s">
        <v>130</v>
      </c>
      <c r="M16" s="138"/>
    </row>
    <row r="17" spans="1:13" x14ac:dyDescent="0.2">
      <c r="A17" s="18" t="s">
        <v>71</v>
      </c>
      <c r="B17" s="121"/>
      <c r="C17" s="154">
        <v>1164319</v>
      </c>
      <c r="D17" s="129">
        <f>ROUND(F17/C17,6)</f>
        <v>0.158384</v>
      </c>
      <c r="E17" s="111"/>
      <c r="F17" s="181">
        <v>184410</v>
      </c>
      <c r="G17" s="129">
        <f>ROUND(D17*(1+$I$41),6)</f>
        <v>0.152557</v>
      </c>
      <c r="H17" s="111"/>
      <c r="I17" s="181">
        <f t="shared" ref="I17" si="2">ROUND(G17*$C17,0)</f>
        <v>177625</v>
      </c>
      <c r="J17" s="137"/>
      <c r="K17" s="411" t="s">
        <v>544</v>
      </c>
      <c r="M17" s="138"/>
    </row>
    <row r="18" spans="1:13" x14ac:dyDescent="0.2">
      <c r="A18" s="122" t="s">
        <v>26</v>
      </c>
      <c r="B18" s="121"/>
      <c r="C18" s="136">
        <f>SUM(C16:C17)</f>
        <v>100810051</v>
      </c>
      <c r="D18" s="129"/>
      <c r="E18" s="111"/>
      <c r="F18" s="131">
        <f>SUM(F16:F17)</f>
        <v>5400665</v>
      </c>
      <c r="G18" s="129"/>
      <c r="H18" s="111"/>
      <c r="I18" s="131">
        <f>SUM(I16:I17)</f>
        <v>5201962</v>
      </c>
      <c r="J18" s="137"/>
      <c r="M18" s="138"/>
    </row>
    <row r="19" spans="1:13" x14ac:dyDescent="0.2">
      <c r="A19" s="122"/>
      <c r="B19" s="121"/>
      <c r="C19" s="136"/>
      <c r="D19" s="129"/>
      <c r="E19" s="111"/>
      <c r="F19" s="131"/>
      <c r="G19" s="129"/>
      <c r="H19" s="111"/>
      <c r="I19" s="131"/>
      <c r="J19" s="137"/>
      <c r="M19" s="138"/>
    </row>
    <row r="20" spans="1:13" x14ac:dyDescent="0.2">
      <c r="A20" s="116" t="s">
        <v>126</v>
      </c>
      <c r="B20" s="111"/>
      <c r="C20" s="117">
        <v>410250</v>
      </c>
      <c r="D20" s="120">
        <f>'Exhibit No.__(BDJ-Tariff)'!D127</f>
        <v>3.04</v>
      </c>
      <c r="E20" s="111"/>
      <c r="F20" s="131">
        <f t="shared" ref="F20" si="3">ROUND(D20*$C20,0)</f>
        <v>1247160</v>
      </c>
      <c r="G20" s="120">
        <f>D20</f>
        <v>3.04</v>
      </c>
      <c r="H20" s="111"/>
      <c r="I20" s="131">
        <f t="shared" ref="I20" si="4">ROUND(G20*$C20,0)</f>
        <v>1247160</v>
      </c>
      <c r="J20" s="137"/>
      <c r="K20" s="33" t="s">
        <v>528</v>
      </c>
      <c r="M20" s="138"/>
    </row>
    <row r="21" spans="1:13" x14ac:dyDescent="0.2">
      <c r="A21" s="18"/>
      <c r="B21" s="121"/>
      <c r="C21" s="136"/>
      <c r="D21" s="129"/>
      <c r="E21" s="111"/>
      <c r="F21" s="131"/>
      <c r="G21" s="129"/>
      <c r="H21" s="111"/>
      <c r="I21" s="131"/>
      <c r="J21" s="137"/>
      <c r="M21" s="138"/>
    </row>
    <row r="22" spans="1:13" ht="12" thickBot="1" x14ac:dyDescent="0.25">
      <c r="A22" s="111" t="s">
        <v>30</v>
      </c>
      <c r="B22" s="111"/>
      <c r="C22" s="136"/>
      <c r="D22" s="126"/>
      <c r="E22" s="143"/>
      <c r="F22" s="228">
        <f>SUM(F20,F18)</f>
        <v>6647825</v>
      </c>
      <c r="G22" s="126"/>
      <c r="H22" s="143"/>
      <c r="I22" s="228">
        <f>SUM(I20,I18)</f>
        <v>6449122</v>
      </c>
      <c r="J22" s="155"/>
      <c r="K22" s="33"/>
      <c r="M22" s="138"/>
    </row>
    <row r="23" spans="1:13" ht="12" thickTop="1" x14ac:dyDescent="0.2">
      <c r="A23" s="111"/>
      <c r="B23" s="111"/>
      <c r="C23" s="136"/>
      <c r="D23" s="126"/>
      <c r="E23" s="143"/>
      <c r="F23" s="137"/>
      <c r="G23" s="126"/>
      <c r="H23" s="143"/>
      <c r="I23" s="137"/>
      <c r="J23" s="137"/>
      <c r="M23" s="138"/>
    </row>
    <row r="24" spans="1:13" x14ac:dyDescent="0.2">
      <c r="A24" s="116" t="s">
        <v>127</v>
      </c>
      <c r="C24" s="226">
        <v>0.9</v>
      </c>
      <c r="D24" s="129">
        <f>+D16*C24</f>
        <v>4.7113200000000001E-2</v>
      </c>
      <c r="E24" s="27">
        <f>+E12*C24</f>
        <v>0</v>
      </c>
      <c r="F24" s="137"/>
      <c r="G24" s="129">
        <f>ROUND(+G16*C24,6)</f>
        <v>4.5379999999999997E-2</v>
      </c>
      <c r="H24" s="143"/>
      <c r="I24" s="137"/>
      <c r="J24" s="137"/>
      <c r="K24" s="137"/>
      <c r="M24" s="138"/>
    </row>
    <row r="25" spans="1:13" x14ac:dyDescent="0.2">
      <c r="A25" s="116" t="s">
        <v>128</v>
      </c>
      <c r="C25" s="11">
        <v>12</v>
      </c>
      <c r="D25" s="120">
        <f>+C25*D20</f>
        <v>36.480000000000004</v>
      </c>
      <c r="E25" s="31">
        <f>+C25*E14</f>
        <v>0</v>
      </c>
      <c r="F25" s="131"/>
      <c r="G25" s="120">
        <f>ROUND(+C25*G20,2)</f>
        <v>36.479999999999997</v>
      </c>
      <c r="H25" s="111"/>
      <c r="M25" s="138"/>
    </row>
    <row r="26" spans="1:13" x14ac:dyDescent="0.2">
      <c r="A26" s="111"/>
      <c r="B26" s="111"/>
      <c r="C26" s="117"/>
      <c r="D26" s="167" t="s">
        <v>0</v>
      </c>
      <c r="E26" s="111"/>
      <c r="F26" s="131"/>
      <c r="G26" s="167" t="s">
        <v>0</v>
      </c>
      <c r="H26" s="111"/>
      <c r="I26" s="131" t="s">
        <v>0</v>
      </c>
      <c r="J26" s="131" t="s">
        <v>0</v>
      </c>
      <c r="K26" s="131" t="s">
        <v>0</v>
      </c>
    </row>
    <row r="27" spans="1:13" x14ac:dyDescent="0.2">
      <c r="A27" s="110" t="s">
        <v>129</v>
      </c>
      <c r="B27" s="111"/>
      <c r="C27" s="111" t="s">
        <v>0</v>
      </c>
      <c r="D27" s="131"/>
      <c r="E27" s="111"/>
      <c r="F27" s="111"/>
      <c r="G27" s="131"/>
      <c r="H27" s="111"/>
      <c r="I27" s="111"/>
      <c r="J27" s="111"/>
      <c r="K27" s="71"/>
    </row>
    <row r="28" spans="1:13" x14ac:dyDescent="0.2">
      <c r="A28" s="116" t="s">
        <v>52</v>
      </c>
      <c r="B28" s="111"/>
      <c r="C28" s="111"/>
      <c r="D28" s="131"/>
      <c r="E28" s="111"/>
      <c r="F28" s="111"/>
      <c r="G28" s="131"/>
      <c r="H28" s="111"/>
      <c r="I28" s="111"/>
      <c r="J28" s="111"/>
      <c r="K28" s="71"/>
    </row>
    <row r="29" spans="1:13" x14ac:dyDescent="0.2">
      <c r="A29" s="116" t="s">
        <v>125</v>
      </c>
      <c r="B29" s="111"/>
      <c r="C29" s="117">
        <v>214</v>
      </c>
      <c r="D29" s="129"/>
      <c r="E29" s="111"/>
      <c r="F29" s="131"/>
      <c r="G29" s="129"/>
      <c r="H29" s="111"/>
      <c r="I29" s="131"/>
      <c r="J29" s="111"/>
    </row>
    <row r="30" spans="1:13" x14ac:dyDescent="0.2">
      <c r="A30" s="111" t="s">
        <v>75</v>
      </c>
      <c r="B30" s="111"/>
      <c r="C30" s="117"/>
      <c r="D30" s="129"/>
      <c r="E30" s="111"/>
      <c r="F30" s="131"/>
      <c r="G30" s="129"/>
      <c r="H30" s="111"/>
      <c r="I30" s="131"/>
      <c r="J30" s="111"/>
    </row>
    <row r="31" spans="1:13" x14ac:dyDescent="0.2">
      <c r="A31" s="128" t="s">
        <v>41</v>
      </c>
      <c r="B31" s="111"/>
      <c r="C31" s="117">
        <v>525875760</v>
      </c>
      <c r="D31" s="129">
        <f>'Exhibit No.__(BDJ-Tariff)'!D133</f>
        <v>5.2347999999999999E-2</v>
      </c>
      <c r="E31" s="111"/>
      <c r="F31" s="131">
        <f t="shared" ref="F31" si="5">ROUND(D31*$C31,0)</f>
        <v>27528544</v>
      </c>
      <c r="G31" s="129">
        <f>ROUND(D31*(1+$I$41),6)</f>
        <v>5.0422000000000002E-2</v>
      </c>
      <c r="H31" s="111"/>
      <c r="I31" s="131">
        <f t="shared" ref="I31" si="6">ROUND(G31*$C31,0)</f>
        <v>26515708</v>
      </c>
      <c r="J31" s="137"/>
      <c r="K31" s="411" t="s">
        <v>544</v>
      </c>
    </row>
    <row r="32" spans="1:13" x14ac:dyDescent="0.2">
      <c r="A32" s="18" t="s">
        <v>71</v>
      </c>
      <c r="B32" s="121"/>
      <c r="C32" s="154">
        <v>-12582023</v>
      </c>
      <c r="D32" s="129">
        <f>ROUND(F32/C32,6)</f>
        <v>6.3047000000000006E-2</v>
      </c>
      <c r="E32" s="111"/>
      <c r="F32" s="181">
        <v>-793258</v>
      </c>
      <c r="G32" s="129">
        <f>ROUND(D32*(1+$I$41),6)</f>
        <v>6.0727000000000003E-2</v>
      </c>
      <c r="H32" s="111"/>
      <c r="I32" s="181">
        <f>ROUND(G32*$C32,0)</f>
        <v>-764069</v>
      </c>
      <c r="J32" s="137"/>
      <c r="K32" s="411" t="s">
        <v>544</v>
      </c>
    </row>
    <row r="33" spans="1:11" x14ac:dyDescent="0.2">
      <c r="A33" s="122" t="s">
        <v>26</v>
      </c>
      <c r="B33" s="121"/>
      <c r="C33" s="136">
        <f>SUM(C31:C32)</f>
        <v>513293737</v>
      </c>
      <c r="D33" s="129"/>
      <c r="E33" s="111"/>
      <c r="F33" s="131">
        <f>SUM(F31:F32)</f>
        <v>26735286</v>
      </c>
      <c r="G33" s="129"/>
      <c r="H33" s="111"/>
      <c r="I33" s="131">
        <f>SUM(I31:I32)</f>
        <v>25751639</v>
      </c>
      <c r="J33" s="137"/>
      <c r="K33" s="33"/>
    </row>
    <row r="34" spans="1:11" x14ac:dyDescent="0.2">
      <c r="A34" s="122"/>
      <c r="B34" s="121"/>
      <c r="C34" s="136"/>
      <c r="D34" s="129"/>
      <c r="E34" s="111"/>
      <c r="F34" s="131"/>
      <c r="G34" s="129"/>
      <c r="H34" s="111"/>
      <c r="I34" s="131"/>
      <c r="J34" s="137"/>
    </row>
    <row r="35" spans="1:11" x14ac:dyDescent="0.2">
      <c r="A35" s="116" t="s">
        <v>126</v>
      </c>
      <c r="B35" s="111"/>
      <c r="C35" s="117">
        <v>1338178</v>
      </c>
      <c r="D35" s="120">
        <f>'Exhibit No.__(BDJ-Tariff)'!D135</f>
        <v>5.65</v>
      </c>
      <c r="E35" s="111"/>
      <c r="F35" s="131">
        <f t="shared" ref="F35" si="7">ROUND(D35*$C35,0)</f>
        <v>7560706</v>
      </c>
      <c r="G35" s="120">
        <f>D35</f>
        <v>5.65</v>
      </c>
      <c r="H35" s="111"/>
      <c r="I35" s="131">
        <f>ROUND(G35*$C35,0)</f>
        <v>7560706</v>
      </c>
      <c r="J35" s="137"/>
      <c r="K35" s="33" t="s">
        <v>528</v>
      </c>
    </row>
    <row r="36" spans="1:11" x14ac:dyDescent="0.2">
      <c r="A36" s="18"/>
      <c r="B36" s="121"/>
      <c r="C36" s="136"/>
      <c r="D36" s="129"/>
      <c r="E36" s="111"/>
      <c r="F36" s="131"/>
      <c r="G36" s="129"/>
      <c r="H36" s="111"/>
      <c r="I36" s="131"/>
      <c r="J36" s="137"/>
    </row>
    <row r="37" spans="1:11" ht="12" thickBot="1" x14ac:dyDescent="0.25">
      <c r="A37" s="111" t="s">
        <v>30</v>
      </c>
      <c r="B37" s="111"/>
      <c r="C37" s="136"/>
      <c r="D37" s="126"/>
      <c r="E37" s="143"/>
      <c r="F37" s="228">
        <f>SUM(F35,F33)</f>
        <v>34295992</v>
      </c>
      <c r="G37" s="126"/>
      <c r="H37" s="143"/>
      <c r="I37" s="228">
        <f>SUM(I35,I33)</f>
        <v>33312345</v>
      </c>
      <c r="J37" s="155"/>
    </row>
    <row r="38" spans="1:11" ht="12" thickTop="1" x14ac:dyDescent="0.2">
      <c r="A38" s="111"/>
      <c r="B38" s="111"/>
      <c r="C38" s="117"/>
      <c r="D38" s="124"/>
      <c r="E38" s="111"/>
      <c r="F38" s="131"/>
      <c r="G38" s="124"/>
      <c r="H38" s="111"/>
      <c r="J38" s="131"/>
    </row>
    <row r="39" spans="1:11" x14ac:dyDescent="0.2">
      <c r="A39" s="215" t="s">
        <v>347</v>
      </c>
      <c r="B39" s="174"/>
      <c r="C39" s="173"/>
      <c r="D39" s="229"/>
      <c r="E39" s="174"/>
      <c r="F39" s="175"/>
      <c r="G39" s="229"/>
      <c r="H39" s="174"/>
      <c r="I39" s="216">
        <f>'Exhibit No.__(BDJ-Rate Spread)'!K22*1000</f>
        <v>39761444.94732853</v>
      </c>
      <c r="J39" s="131"/>
    </row>
    <row r="40" spans="1:11" x14ac:dyDescent="0.2">
      <c r="A40" s="217" t="s">
        <v>495</v>
      </c>
      <c r="B40" s="230"/>
      <c r="C40" s="230"/>
      <c r="D40" s="231"/>
      <c r="E40" s="143"/>
      <c r="F40" s="137"/>
      <c r="G40" s="231"/>
      <c r="H40" s="143"/>
      <c r="I40" s="212">
        <f>I39/SUM(F22,F37)-1</f>
        <v>-2.8877914647563729E-2</v>
      </c>
      <c r="J40" s="131"/>
    </row>
    <row r="41" spans="1:11" x14ac:dyDescent="0.2">
      <c r="A41" s="422" t="s">
        <v>545</v>
      </c>
      <c r="B41" s="143"/>
      <c r="C41" s="136"/>
      <c r="D41" s="231"/>
      <c r="E41" s="143"/>
      <c r="F41" s="137"/>
      <c r="G41" s="231"/>
      <c r="H41" s="143"/>
      <c r="I41" s="212">
        <f>(I39-F37-F22)/(F33+F18)</f>
        <v>-3.6792813527487325E-2</v>
      </c>
      <c r="J41" s="137"/>
      <c r="K41" s="100"/>
    </row>
    <row r="42" spans="1:11" x14ac:dyDescent="0.2">
      <c r="A42" s="219" t="s">
        <v>29</v>
      </c>
      <c r="B42" s="143"/>
      <c r="C42" s="136"/>
      <c r="D42" s="231"/>
      <c r="E42" s="143"/>
      <c r="F42" s="137"/>
      <c r="G42" s="231"/>
      <c r="H42" s="143"/>
      <c r="I42" s="218">
        <f>I37-I39--I22</f>
        <v>22.05267146974802</v>
      </c>
      <c r="J42" s="137"/>
    </row>
    <row r="43" spans="1:11" x14ac:dyDescent="0.2">
      <c r="A43" s="219" t="s">
        <v>280</v>
      </c>
      <c r="B43" s="143"/>
      <c r="C43" s="136"/>
      <c r="D43" s="231"/>
      <c r="E43" s="143"/>
      <c r="F43" s="137"/>
      <c r="G43" s="231"/>
      <c r="H43" s="143"/>
      <c r="I43" s="214">
        <v>0</v>
      </c>
      <c r="J43" s="137"/>
    </row>
    <row r="44" spans="1:11" x14ac:dyDescent="0.2">
      <c r="A44" s="213" t="s">
        <v>344</v>
      </c>
      <c r="B44" s="179"/>
      <c r="C44" s="154"/>
      <c r="D44" s="232"/>
      <c r="E44" s="180"/>
      <c r="F44" s="181"/>
      <c r="G44" s="232"/>
      <c r="H44" s="180"/>
      <c r="I44" s="233">
        <f>I42/(C31+C16)</f>
        <v>3.5254858149219308E-8</v>
      </c>
      <c r="J44" s="131"/>
    </row>
    <row r="46" spans="1:11" x14ac:dyDescent="0.2">
      <c r="A46" s="41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8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 codeName="Sheet12">
    <tabColor theme="6" tint="0.79998168889431442"/>
    <pageSetUpPr fitToPage="1"/>
  </sheetPr>
  <dimension ref="A1:W61"/>
  <sheetViews>
    <sheetView zoomScaleNormal="100" zoomScaleSheetLayoutView="80" workbookViewId="0">
      <pane ySplit="10" topLeftCell="A11" activePane="bottomLeft" state="frozen"/>
      <selection activeCell="E29" sqref="E29"/>
      <selection pane="bottomLeft" activeCell="K28" sqref="K28"/>
    </sheetView>
  </sheetViews>
  <sheetFormatPr defaultColWidth="10.25" defaultRowHeight="11.25" x14ac:dyDescent="0.2"/>
  <cols>
    <col min="1" max="1" width="20.5" style="11" bestFit="1" customWidth="1"/>
    <col min="2" max="2" width="1.375" style="11" bestFit="1" customWidth="1"/>
    <col min="3" max="3" width="10" style="11" bestFit="1" customWidth="1"/>
    <col min="4" max="4" width="8.25" style="11" bestFit="1" customWidth="1"/>
    <col min="5" max="5" width="0.875" style="11" customWidth="1"/>
    <col min="6" max="6" width="8.625" style="11" bestFit="1" customWidth="1"/>
    <col min="7" max="7" width="13.125" style="11" customWidth="1"/>
    <col min="8" max="8" width="1.125" style="11" customWidth="1"/>
    <col min="9" max="9" width="11.75" style="11" customWidth="1"/>
    <col min="10" max="10" width="1.625" style="11" customWidth="1"/>
    <col min="11" max="11" width="16.125" style="11" bestFit="1" customWidth="1"/>
    <col min="12" max="16384" width="10.25" style="11"/>
  </cols>
  <sheetData>
    <row r="1" spans="1:23" x14ac:dyDescent="0.2">
      <c r="A1" s="614" t="s">
        <v>43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71"/>
      <c r="M1" s="71"/>
      <c r="N1" s="71"/>
    </row>
    <row r="2" spans="1:23" x14ac:dyDescent="0.2">
      <c r="A2" s="614" t="s">
        <v>20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71"/>
      <c r="M2" s="71"/>
      <c r="N2" s="71"/>
    </row>
    <row r="3" spans="1:23" x14ac:dyDescent="0.2">
      <c r="A3" s="614" t="str">
        <f>'Exhibit No.__(BDJ-Prof-Prop)'!$A$6</f>
        <v>12 MONTHS ENDED JUNE 2021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71"/>
      <c r="M3" s="71"/>
      <c r="N3" s="71"/>
    </row>
    <row r="4" spans="1:23" x14ac:dyDescent="0.2">
      <c r="A4" s="614" t="s">
        <v>21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71"/>
      <c r="M4" s="71"/>
      <c r="N4" s="71"/>
    </row>
    <row r="5" spans="1:23" x14ac:dyDescent="0.2">
      <c r="A5" s="614" t="s">
        <v>287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71"/>
      <c r="M5" s="71"/>
      <c r="N5" s="71"/>
    </row>
    <row r="6" spans="1:23" x14ac:dyDescent="0.2">
      <c r="A6" s="102"/>
      <c r="B6" s="103"/>
      <c r="C6" s="103"/>
      <c r="D6" s="104"/>
      <c r="E6" s="104"/>
      <c r="F6" s="103"/>
      <c r="G6" s="104"/>
      <c r="H6" s="103"/>
      <c r="I6" s="103"/>
      <c r="J6" s="103"/>
      <c r="K6" s="71"/>
      <c r="L6" s="71"/>
      <c r="M6" s="71"/>
      <c r="N6" s="71"/>
    </row>
    <row r="7" spans="1:23" x14ac:dyDescent="0.2">
      <c r="A7" s="103"/>
      <c r="B7" s="103"/>
      <c r="C7" s="103"/>
      <c r="D7" s="104"/>
      <c r="E7" s="104"/>
      <c r="F7" s="103"/>
      <c r="G7" s="104"/>
      <c r="H7" s="103"/>
      <c r="I7" s="103"/>
      <c r="J7" s="103"/>
      <c r="K7" s="71"/>
      <c r="L7" s="71"/>
      <c r="M7" s="71"/>
      <c r="N7" s="71"/>
    </row>
    <row r="8" spans="1:23" x14ac:dyDescent="0.2">
      <c r="A8" s="105"/>
      <c r="B8" s="105"/>
      <c r="C8" s="106"/>
      <c r="D8" s="105"/>
      <c r="E8" s="105"/>
      <c r="G8" s="105"/>
      <c r="H8" s="107"/>
      <c r="I8" s="107"/>
      <c r="J8" s="107"/>
      <c r="K8" s="71"/>
      <c r="L8" s="71"/>
      <c r="M8" s="71"/>
      <c r="N8" s="71"/>
    </row>
    <row r="9" spans="1:23" x14ac:dyDescent="0.2">
      <c r="A9" s="105"/>
      <c r="B9" s="105"/>
      <c r="C9" s="106" t="s">
        <v>22</v>
      </c>
      <c r="D9" s="644" t="s">
        <v>3</v>
      </c>
      <c r="E9" s="645"/>
      <c r="F9" s="646"/>
      <c r="G9" s="647" t="str">
        <f>'Exhibit No.__(BDJ-Res RD)'!$G$8</f>
        <v>Proposed Effective 
January 2023</v>
      </c>
      <c r="H9" s="645"/>
      <c r="I9" s="646"/>
      <c r="J9" s="107"/>
      <c r="K9" s="71"/>
      <c r="L9" s="71"/>
      <c r="M9" s="71"/>
      <c r="N9" s="71"/>
    </row>
    <row r="10" spans="1:23" x14ac:dyDescent="0.2">
      <c r="A10" s="105"/>
      <c r="B10" s="105"/>
      <c r="C10" s="108" t="s">
        <v>23</v>
      </c>
      <c r="D10" s="109" t="s">
        <v>24</v>
      </c>
      <c r="E10" s="418"/>
      <c r="F10" s="107" t="s">
        <v>25</v>
      </c>
      <c r="G10" s="109" t="s">
        <v>24</v>
      </c>
      <c r="H10" s="109"/>
      <c r="I10" s="109" t="s">
        <v>25</v>
      </c>
      <c r="J10" s="109"/>
      <c r="K10" s="71"/>
      <c r="L10" s="71"/>
      <c r="M10" s="71"/>
      <c r="N10" s="71"/>
    </row>
    <row r="11" spans="1:23" x14ac:dyDescent="0.2">
      <c r="C11" s="117"/>
      <c r="D11" s="111" t="s">
        <v>0</v>
      </c>
      <c r="E11" s="117"/>
      <c r="F11" s="131"/>
      <c r="G11" s="111" t="s">
        <v>0</v>
      </c>
      <c r="H11" s="117"/>
      <c r="I11" s="131" t="s">
        <v>0</v>
      </c>
      <c r="J11" s="131"/>
      <c r="K11" s="71"/>
      <c r="L11" s="71"/>
      <c r="M11" s="71"/>
      <c r="N11" s="71"/>
      <c r="P11" s="138"/>
    </row>
    <row r="12" spans="1:23" x14ac:dyDescent="0.2">
      <c r="A12" s="110" t="s">
        <v>131</v>
      </c>
      <c r="B12" s="111"/>
      <c r="C12" s="111" t="s">
        <v>0</v>
      </c>
      <c r="D12" s="131"/>
      <c r="E12" s="111"/>
      <c r="F12" s="111"/>
      <c r="G12" s="131"/>
      <c r="H12" s="111"/>
      <c r="I12" s="111"/>
      <c r="J12" s="111"/>
      <c r="K12" s="71"/>
      <c r="L12" s="71"/>
      <c r="M12" s="71"/>
      <c r="N12" s="71"/>
      <c r="P12" s="138"/>
    </row>
    <row r="13" spans="1:23" x14ac:dyDescent="0.2">
      <c r="A13" s="116" t="s">
        <v>132</v>
      </c>
      <c r="B13" s="111"/>
      <c r="C13" s="111"/>
      <c r="D13" s="131"/>
      <c r="E13" s="111"/>
      <c r="F13" s="111"/>
      <c r="G13" s="131"/>
      <c r="H13" s="111"/>
      <c r="I13" s="111"/>
      <c r="J13" s="111"/>
      <c r="K13" s="71"/>
      <c r="L13" s="71"/>
      <c r="M13" s="71"/>
      <c r="N13" s="71"/>
      <c r="P13" s="138"/>
    </row>
    <row r="14" spans="1:23" x14ac:dyDescent="0.2">
      <c r="A14" s="116" t="s">
        <v>313</v>
      </c>
      <c r="B14" s="111"/>
      <c r="C14" s="117">
        <v>240</v>
      </c>
      <c r="D14" s="120">
        <f>'Exhibit No.__(BDJ-Tariff)'!$D$138</f>
        <v>2277</v>
      </c>
      <c r="E14" s="111"/>
      <c r="F14" s="131">
        <f t="shared" ref="F14" si="0">ROUND(D14*$C14,0)</f>
        <v>546480</v>
      </c>
      <c r="G14" s="379">
        <v>1791</v>
      </c>
      <c r="H14" s="111"/>
      <c r="I14" s="131">
        <f t="shared" ref="I14" si="1">ROUND(G14*$C14,0)</f>
        <v>429840</v>
      </c>
      <c r="J14" s="137"/>
      <c r="K14" s="411" t="s">
        <v>304</v>
      </c>
      <c r="P14" s="71"/>
      <c r="Q14" s="71"/>
      <c r="R14" s="71"/>
      <c r="S14" s="71"/>
      <c r="T14" s="71"/>
      <c r="U14" s="71"/>
      <c r="W14" s="138"/>
    </row>
    <row r="15" spans="1:23" x14ac:dyDescent="0.2">
      <c r="A15" s="111" t="s">
        <v>75</v>
      </c>
      <c r="B15" s="111"/>
      <c r="C15" s="117"/>
      <c r="D15" s="129"/>
      <c r="E15" s="111"/>
      <c r="F15" s="131"/>
      <c r="G15" s="129"/>
      <c r="H15" s="111"/>
      <c r="I15" s="131"/>
      <c r="J15" s="111"/>
      <c r="K15" s="411"/>
      <c r="P15" s="71"/>
      <c r="Q15" s="71"/>
      <c r="R15" s="71"/>
      <c r="S15" s="71"/>
      <c r="T15" s="71"/>
      <c r="U15" s="71"/>
      <c r="W15" s="138"/>
    </row>
    <row r="16" spans="1:23" x14ac:dyDescent="0.2">
      <c r="A16" s="128" t="s">
        <v>41</v>
      </c>
      <c r="B16" s="111"/>
      <c r="C16" s="117">
        <v>1909711953</v>
      </c>
      <c r="D16" s="129">
        <v>0</v>
      </c>
      <c r="E16" s="111"/>
      <c r="F16" s="131">
        <f t="shared" ref="F16:F17" si="2">ROUND(D16*$C16,0)</f>
        <v>0</v>
      </c>
      <c r="G16" s="129">
        <v>0</v>
      </c>
      <c r="H16" s="111"/>
      <c r="I16" s="131">
        <f t="shared" ref="I16:I17" si="3">ROUND(G16*$C16,0)</f>
        <v>0</v>
      </c>
      <c r="J16" s="137"/>
      <c r="K16" s="71"/>
      <c r="L16" s="71"/>
      <c r="M16" s="71"/>
      <c r="N16" s="71"/>
      <c r="P16" s="138"/>
    </row>
    <row r="17" spans="1:16" x14ac:dyDescent="0.2">
      <c r="A17" s="128" t="s">
        <v>69</v>
      </c>
      <c r="B17" s="152"/>
      <c r="C17" s="117">
        <v>0</v>
      </c>
      <c r="D17" s="129">
        <v>0</v>
      </c>
      <c r="E17" s="129"/>
      <c r="F17" s="131">
        <f t="shared" si="2"/>
        <v>0</v>
      </c>
      <c r="G17" s="129">
        <v>0</v>
      </c>
      <c r="H17" s="111"/>
      <c r="I17" s="131">
        <f t="shared" si="3"/>
        <v>0</v>
      </c>
      <c r="J17" s="137"/>
      <c r="K17" s="71"/>
      <c r="L17" s="71"/>
      <c r="M17" s="71"/>
      <c r="N17" s="71"/>
      <c r="P17" s="138"/>
    </row>
    <row r="18" spans="1:16" x14ac:dyDescent="0.2">
      <c r="A18" s="18" t="s">
        <v>71</v>
      </c>
      <c r="B18" s="121"/>
      <c r="C18" s="154">
        <v>35502214</v>
      </c>
      <c r="D18" s="129">
        <f>ROUND(F18/C18,6)</f>
        <v>5.2820000000000002E-3</v>
      </c>
      <c r="E18" s="111"/>
      <c r="F18" s="181">
        <v>187536</v>
      </c>
      <c r="G18" s="129">
        <f>D18</f>
        <v>5.2820000000000002E-3</v>
      </c>
      <c r="H18" s="111"/>
      <c r="I18" s="181">
        <f>ROUND(G18*$C18,0)</f>
        <v>187523</v>
      </c>
      <c r="J18" s="137"/>
      <c r="K18" s="33"/>
      <c r="L18" s="71"/>
      <c r="M18" s="71"/>
      <c r="N18" s="71"/>
      <c r="P18" s="138"/>
    </row>
    <row r="19" spans="1:16" x14ac:dyDescent="0.2">
      <c r="A19" s="122" t="s">
        <v>26</v>
      </c>
      <c r="B19" s="121"/>
      <c r="C19" s="136">
        <f>SUM(C16:C18)</f>
        <v>1945214167</v>
      </c>
      <c r="D19" s="129"/>
      <c r="E19" s="111"/>
      <c r="F19" s="131">
        <f>SUM(F16:F18)</f>
        <v>187536</v>
      </c>
      <c r="G19" s="129"/>
      <c r="H19" s="111"/>
      <c r="I19" s="131">
        <f>SUM(I16:I18)</f>
        <v>187523</v>
      </c>
      <c r="J19" s="137"/>
      <c r="L19" s="71"/>
      <c r="M19" s="71"/>
      <c r="N19" s="71"/>
      <c r="P19" s="138"/>
    </row>
    <row r="20" spans="1:16" x14ac:dyDescent="0.2">
      <c r="A20" s="122"/>
      <c r="B20" s="121"/>
      <c r="C20" s="136"/>
      <c r="D20" s="129"/>
      <c r="E20" s="111"/>
      <c r="F20" s="131"/>
      <c r="G20" s="129"/>
      <c r="H20" s="111"/>
      <c r="I20" s="131"/>
      <c r="J20" s="137"/>
      <c r="L20" s="71"/>
      <c r="M20" s="71"/>
      <c r="N20" s="71"/>
      <c r="P20" s="138"/>
    </row>
    <row r="21" spans="1:16" x14ac:dyDescent="0.2">
      <c r="A21" s="111" t="s">
        <v>288</v>
      </c>
      <c r="B21" s="111"/>
      <c r="C21" s="136">
        <v>4161766</v>
      </c>
      <c r="D21" s="126"/>
      <c r="E21" s="143"/>
      <c r="F21" s="131"/>
      <c r="G21" s="129"/>
      <c r="H21" s="111"/>
      <c r="I21" s="131"/>
      <c r="J21" s="137"/>
      <c r="L21" s="71"/>
      <c r="M21" s="71"/>
      <c r="N21" s="71"/>
      <c r="P21" s="138"/>
    </row>
    <row r="22" spans="1:16" x14ac:dyDescent="0.2">
      <c r="A22" s="111"/>
      <c r="B22" s="111"/>
      <c r="C22" s="136"/>
      <c r="D22" s="126"/>
      <c r="E22" s="143"/>
      <c r="F22" s="137"/>
      <c r="G22" s="126"/>
      <c r="H22" s="143"/>
      <c r="I22" s="137"/>
      <c r="J22" s="137"/>
      <c r="L22" s="71"/>
      <c r="M22" s="71"/>
      <c r="N22" s="71"/>
      <c r="P22" s="138"/>
    </row>
    <row r="23" spans="1:16" x14ac:dyDescent="0.2">
      <c r="A23" s="116" t="s">
        <v>134</v>
      </c>
      <c r="B23" s="111"/>
      <c r="C23" s="117"/>
      <c r="D23" s="234"/>
      <c r="E23" s="111"/>
      <c r="F23" s="131">
        <v>8794531</v>
      </c>
      <c r="G23" s="129"/>
      <c r="H23" s="111"/>
      <c r="I23" s="131">
        <f>F23</f>
        <v>8794531</v>
      </c>
      <c r="J23" s="137"/>
      <c r="K23" s="411"/>
      <c r="L23" s="71"/>
      <c r="M23" s="71"/>
      <c r="N23" s="71"/>
      <c r="P23" s="138"/>
    </row>
    <row r="24" spans="1:16" x14ac:dyDescent="0.2">
      <c r="A24" s="18"/>
      <c r="B24" s="121"/>
      <c r="C24" s="136"/>
      <c r="D24" s="129"/>
      <c r="E24" s="111"/>
      <c r="F24" s="131"/>
      <c r="G24" s="129"/>
      <c r="H24" s="111"/>
      <c r="I24" s="131"/>
      <c r="J24" s="137"/>
      <c r="K24" s="411"/>
      <c r="L24" s="71"/>
      <c r="M24" s="71"/>
      <c r="N24" s="71"/>
    </row>
    <row r="25" spans="1:16" ht="12" thickBot="1" x14ac:dyDescent="0.25">
      <c r="A25" s="111" t="s">
        <v>30</v>
      </c>
      <c r="B25" s="111"/>
      <c r="C25" s="136"/>
      <c r="D25" s="126"/>
      <c r="E25" s="143"/>
      <c r="F25" s="228">
        <f>SUM(F21,F19,F14,F23)</f>
        <v>9528547</v>
      </c>
      <c r="G25" s="126"/>
      <c r="H25" s="143"/>
      <c r="I25" s="228">
        <f>SUM(I21,I19,I14,I23)</f>
        <v>9411894</v>
      </c>
      <c r="J25" s="155"/>
      <c r="K25" s="380">
        <f>I25-F25</f>
        <v>-116653</v>
      </c>
      <c r="L25" s="71"/>
      <c r="M25" s="71"/>
      <c r="N25" s="71"/>
    </row>
    <row r="26" spans="1:16" ht="12" thickTop="1" x14ac:dyDescent="0.2">
      <c r="A26" s="111"/>
      <c r="B26" s="111"/>
      <c r="C26" s="117"/>
      <c r="D26" s="124"/>
      <c r="E26" s="111"/>
      <c r="F26" s="131"/>
      <c r="G26" s="124"/>
      <c r="H26" s="111"/>
      <c r="I26" s="131"/>
      <c r="J26" s="131"/>
      <c r="K26" s="411"/>
      <c r="L26" s="71"/>
      <c r="M26" s="71"/>
      <c r="N26" s="71"/>
    </row>
    <row r="27" spans="1:16" x14ac:dyDescent="0.2">
      <c r="A27" s="128"/>
      <c r="B27" s="111"/>
      <c r="C27" s="117"/>
      <c r="D27" s="120"/>
      <c r="E27" s="111"/>
      <c r="F27" s="131"/>
      <c r="G27" s="120"/>
      <c r="H27" s="111"/>
      <c r="I27" s="131"/>
      <c r="J27" s="131"/>
      <c r="K27" s="411"/>
      <c r="L27" s="71"/>
      <c r="M27" s="71"/>
      <c r="N27" s="71"/>
    </row>
    <row r="28" spans="1:16" x14ac:dyDescent="0.2">
      <c r="A28" s="128"/>
      <c r="B28" s="111"/>
      <c r="C28" s="117"/>
      <c r="D28" s="120"/>
      <c r="E28" s="111"/>
      <c r="F28" s="131"/>
      <c r="G28" s="120"/>
      <c r="H28" s="111"/>
      <c r="I28" s="131"/>
      <c r="J28" s="131"/>
      <c r="K28" s="411"/>
      <c r="L28" s="71"/>
      <c r="M28" s="71"/>
      <c r="N28" s="71"/>
    </row>
    <row r="29" spans="1:16" x14ac:dyDescent="0.2">
      <c r="A29" s="110" t="s">
        <v>305</v>
      </c>
      <c r="B29" s="111"/>
      <c r="C29" s="117"/>
      <c r="D29" s="120"/>
      <c r="E29" s="111"/>
      <c r="F29" s="131"/>
      <c r="G29" s="120"/>
      <c r="H29" s="111"/>
      <c r="I29" s="131"/>
      <c r="J29" s="131"/>
      <c r="K29" s="71"/>
      <c r="L29" s="71"/>
      <c r="M29" s="71"/>
      <c r="N29" s="71"/>
    </row>
    <row r="30" spans="1:16" x14ac:dyDescent="0.2">
      <c r="A30" s="122" t="s">
        <v>313</v>
      </c>
      <c r="B30" s="111"/>
      <c r="C30" s="117">
        <v>1078</v>
      </c>
      <c r="D30" s="120">
        <f>'Exhibit No.__(BDJ-Tariff)'!$D$109</f>
        <v>236</v>
      </c>
      <c r="E30" s="111"/>
      <c r="F30" s="131">
        <f t="shared" ref="F30" si="4">ROUND(D30*$C30,0)</f>
        <v>254408</v>
      </c>
      <c r="G30" s="379">
        <v>307</v>
      </c>
      <c r="H30" s="111"/>
      <c r="I30" s="131">
        <f>ROUND(G30*$C30,0)</f>
        <v>330946</v>
      </c>
      <c r="J30" s="137"/>
      <c r="K30" s="411" t="s">
        <v>304</v>
      </c>
      <c r="L30" s="71"/>
      <c r="M30" s="71"/>
      <c r="N30" s="71"/>
    </row>
    <row r="31" spans="1:16" x14ac:dyDescent="0.2">
      <c r="A31" s="122"/>
      <c r="B31" s="111"/>
      <c r="C31" s="117"/>
      <c r="D31" s="120"/>
      <c r="E31" s="111"/>
      <c r="F31" s="131"/>
      <c r="G31" s="120"/>
      <c r="H31" s="111"/>
      <c r="I31" s="131"/>
      <c r="J31" s="131"/>
      <c r="K31" s="71"/>
      <c r="L31" s="71"/>
      <c r="M31" s="71"/>
      <c r="N31" s="71"/>
    </row>
    <row r="32" spans="1:16" x14ac:dyDescent="0.2">
      <c r="A32" s="122" t="s">
        <v>291</v>
      </c>
      <c r="B32" s="111"/>
      <c r="C32" s="117"/>
      <c r="D32" s="120"/>
      <c r="E32" s="111"/>
      <c r="F32" s="131"/>
      <c r="G32" s="120"/>
      <c r="H32" s="111"/>
      <c r="I32" s="131"/>
      <c r="J32" s="131"/>
      <c r="K32" s="71"/>
      <c r="L32" s="71"/>
      <c r="M32" s="71"/>
      <c r="N32" s="71"/>
    </row>
    <row r="33" spans="1:14" x14ac:dyDescent="0.2">
      <c r="A33" s="122"/>
      <c r="B33" s="111"/>
      <c r="C33" s="136">
        <v>666175</v>
      </c>
      <c r="D33" s="120"/>
      <c r="E33" s="111"/>
      <c r="F33" s="127">
        <v>3586459.93</v>
      </c>
      <c r="G33" s="120"/>
      <c r="H33" s="111"/>
      <c r="I33" s="131">
        <v>2736434.99</v>
      </c>
      <c r="J33" s="131"/>
      <c r="K33" s="71"/>
      <c r="L33" s="71"/>
      <c r="M33" s="71"/>
      <c r="N33" s="71"/>
    </row>
    <row r="34" spans="1:14" x14ac:dyDescent="0.2">
      <c r="A34" s="122"/>
      <c r="B34" s="111"/>
      <c r="C34" s="117"/>
      <c r="D34" s="120"/>
      <c r="E34" s="111"/>
      <c r="F34" s="131"/>
      <c r="G34" s="120"/>
      <c r="H34" s="111"/>
      <c r="I34" s="131"/>
      <c r="J34" s="131"/>
      <c r="K34" s="71"/>
      <c r="L34" s="71"/>
      <c r="M34" s="71"/>
      <c r="N34" s="71"/>
    </row>
    <row r="35" spans="1:14" x14ac:dyDescent="0.2">
      <c r="A35" s="111" t="s">
        <v>75</v>
      </c>
      <c r="B35" s="111"/>
      <c r="C35" s="117"/>
      <c r="D35" s="129"/>
      <c r="E35" s="111"/>
      <c r="F35" s="131"/>
      <c r="G35" s="129"/>
      <c r="H35" s="111"/>
      <c r="I35" s="131"/>
      <c r="J35" s="131"/>
      <c r="K35" s="71"/>
      <c r="L35" s="71"/>
      <c r="M35" s="71"/>
      <c r="N35" s="71"/>
    </row>
    <row r="36" spans="1:14" x14ac:dyDescent="0.2">
      <c r="A36" s="128" t="s">
        <v>41</v>
      </c>
      <c r="B36" s="111"/>
      <c r="C36" s="136">
        <v>280559355.162</v>
      </c>
      <c r="D36" s="129">
        <v>0</v>
      </c>
      <c r="E36" s="111"/>
      <c r="F36" s="131">
        <f t="shared" ref="F36:F37" si="5">ROUND(D36*$C36,0)</f>
        <v>0</v>
      </c>
      <c r="G36" s="129">
        <v>0</v>
      </c>
      <c r="H36" s="111"/>
      <c r="I36" s="131">
        <f t="shared" ref="I36:I38" si="6">ROUND(G36*$C36,0)</f>
        <v>0</v>
      </c>
      <c r="J36" s="131"/>
      <c r="K36" s="71"/>
      <c r="L36" s="71"/>
      <c r="M36" s="71"/>
      <c r="N36" s="71"/>
    </row>
    <row r="37" spans="1:14" x14ac:dyDescent="0.2">
      <c r="A37" s="128" t="s">
        <v>69</v>
      </c>
      <c r="B37" s="152"/>
      <c r="C37" s="117">
        <v>0</v>
      </c>
      <c r="D37" s="129">
        <v>0</v>
      </c>
      <c r="E37" s="129"/>
      <c r="F37" s="131">
        <f t="shared" si="5"/>
        <v>0</v>
      </c>
      <c r="G37" s="129">
        <v>0</v>
      </c>
      <c r="H37" s="111"/>
      <c r="I37" s="131">
        <f t="shared" si="6"/>
        <v>0</v>
      </c>
      <c r="J37" s="131"/>
      <c r="K37" s="71"/>
      <c r="L37" s="71"/>
      <c r="M37" s="71"/>
      <c r="N37" s="71"/>
    </row>
    <row r="38" spans="1:14" x14ac:dyDescent="0.2">
      <c r="A38" s="18" t="s">
        <v>71</v>
      </c>
      <c r="B38" s="121"/>
      <c r="C38" s="136">
        <v>-2489044</v>
      </c>
      <c r="D38" s="129">
        <f>ROUND(F38/C38,6)</f>
        <v>2.1190000000000001E-2</v>
      </c>
      <c r="E38" s="111"/>
      <c r="F38" s="127">
        <v>-52742</v>
      </c>
      <c r="G38" s="129">
        <f>D38</f>
        <v>2.1190000000000001E-2</v>
      </c>
      <c r="H38" s="111"/>
      <c r="I38" s="181">
        <f t="shared" si="6"/>
        <v>-52743</v>
      </c>
      <c r="J38" s="131"/>
      <c r="K38" s="71"/>
      <c r="L38" s="71"/>
      <c r="M38" s="71"/>
      <c r="N38" s="71"/>
    </row>
    <row r="39" spans="1:14" x14ac:dyDescent="0.2">
      <c r="A39" s="122" t="s">
        <v>26</v>
      </c>
      <c r="B39" s="121"/>
      <c r="C39" s="136">
        <f>SUM(C36:C38)</f>
        <v>278070311.162</v>
      </c>
      <c r="D39" s="129"/>
      <c r="E39" s="111"/>
      <c r="F39" s="131">
        <f>SUM(F36:F38)</f>
        <v>-52742</v>
      </c>
      <c r="G39" s="129"/>
      <c r="H39" s="111"/>
      <c r="I39" s="131">
        <f>SUM(I36:I38)</f>
        <v>-52743</v>
      </c>
      <c r="J39" s="131"/>
      <c r="K39" s="71"/>
      <c r="L39" s="71"/>
      <c r="M39" s="71"/>
      <c r="N39" s="71"/>
    </row>
    <row r="40" spans="1:14" x14ac:dyDescent="0.2">
      <c r="A40" s="122"/>
      <c r="B40" s="111"/>
      <c r="C40" s="117"/>
      <c r="D40" s="120"/>
      <c r="E40" s="111"/>
      <c r="F40" s="131"/>
      <c r="G40" s="120"/>
      <c r="H40" s="111"/>
      <c r="I40" s="131"/>
      <c r="J40" s="131"/>
      <c r="K40" s="71"/>
      <c r="L40" s="71"/>
      <c r="M40" s="71"/>
      <c r="N40" s="71"/>
    </row>
    <row r="41" spans="1:14" ht="12" thickBot="1" x14ac:dyDescent="0.25">
      <c r="A41" s="111" t="s">
        <v>30</v>
      </c>
      <c r="B41" s="111"/>
      <c r="C41" s="136"/>
      <c r="D41" s="126"/>
      <c r="E41" s="143"/>
      <c r="F41" s="228">
        <f>SUM(F39,F33,F30)</f>
        <v>3788125.93</v>
      </c>
      <c r="G41" s="126"/>
      <c r="H41" s="143"/>
      <c r="I41" s="228">
        <f>SUM(I39,I33,I30)</f>
        <v>3014637.99</v>
      </c>
      <c r="J41" s="131"/>
      <c r="K41" s="71"/>
      <c r="L41" s="71"/>
      <c r="M41" s="71"/>
      <c r="N41" s="71"/>
    </row>
    <row r="42" spans="1:14" ht="12" thickTop="1" x14ac:dyDescent="0.2">
      <c r="A42" s="122"/>
      <c r="B42" s="111"/>
      <c r="C42" s="117"/>
      <c r="D42" s="120"/>
      <c r="E42" s="111"/>
      <c r="F42" s="131"/>
      <c r="G42" s="120"/>
      <c r="H42" s="111"/>
      <c r="I42" s="131"/>
      <c r="J42" s="131"/>
      <c r="K42" s="71"/>
      <c r="L42" s="71"/>
      <c r="M42" s="71"/>
      <c r="N42" s="71"/>
    </row>
    <row r="43" spans="1:14" x14ac:dyDescent="0.2">
      <c r="A43" s="116" t="s">
        <v>135</v>
      </c>
      <c r="B43" s="111"/>
      <c r="C43" s="111" t="s">
        <v>0</v>
      </c>
      <c r="D43" s="131"/>
      <c r="E43" s="111"/>
      <c r="F43" s="111"/>
      <c r="G43" s="131"/>
      <c r="H43" s="111"/>
      <c r="I43" s="111"/>
      <c r="J43" s="131"/>
      <c r="K43" s="71"/>
      <c r="L43" s="71"/>
      <c r="M43" s="71"/>
      <c r="N43" s="71"/>
    </row>
    <row r="44" spans="1:14" x14ac:dyDescent="0.2">
      <c r="A44" s="110" t="s">
        <v>67</v>
      </c>
      <c r="B44" s="111"/>
      <c r="C44" s="111"/>
      <c r="D44" s="131"/>
      <c r="E44" s="111"/>
      <c r="F44" s="111"/>
      <c r="G44" s="131"/>
      <c r="H44" s="111"/>
      <c r="I44" s="111"/>
      <c r="J44" s="111"/>
      <c r="K44" s="71"/>
      <c r="L44" s="71"/>
      <c r="M44" s="71"/>
      <c r="N44" s="71"/>
    </row>
    <row r="45" spans="1:14" x14ac:dyDescent="0.2">
      <c r="A45" s="116" t="s">
        <v>125</v>
      </c>
      <c r="B45" s="111"/>
      <c r="C45" s="117">
        <v>96</v>
      </c>
      <c r="D45" s="120"/>
      <c r="E45" s="111"/>
      <c r="F45" s="131"/>
      <c r="G45" s="120"/>
      <c r="H45" s="111"/>
      <c r="I45" s="131"/>
      <c r="J45" s="137"/>
      <c r="K45" s="33"/>
      <c r="L45" s="71"/>
      <c r="M45" s="71"/>
      <c r="N45" s="71"/>
    </row>
    <row r="46" spans="1:14" x14ac:dyDescent="0.2">
      <c r="A46" s="111" t="s">
        <v>75</v>
      </c>
      <c r="B46" s="111"/>
      <c r="C46" s="117"/>
      <c r="D46" s="129"/>
      <c r="E46" s="111"/>
      <c r="F46" s="131"/>
      <c r="G46" s="129"/>
      <c r="H46" s="111"/>
      <c r="I46" s="131"/>
      <c r="J46" s="111"/>
      <c r="L46" s="71"/>
      <c r="M46" s="71"/>
      <c r="N46" s="71"/>
    </row>
    <row r="47" spans="1:14" x14ac:dyDescent="0.2">
      <c r="A47" s="128" t="s">
        <v>41</v>
      </c>
      <c r="B47" s="111"/>
      <c r="C47" s="117">
        <v>7334220</v>
      </c>
      <c r="D47" s="129">
        <v>3.5139999999999998E-2</v>
      </c>
      <c r="E47" s="111"/>
      <c r="F47" s="131">
        <f t="shared" ref="F47:F48" si="7">ROUND(D47*$C47,0)</f>
        <v>257724</v>
      </c>
      <c r="G47" s="129">
        <f>D47</f>
        <v>3.5139999999999998E-2</v>
      </c>
      <c r="H47" s="111"/>
      <c r="I47" s="131">
        <f t="shared" ref="I47:I49" si="8">ROUND(G47*$C47,0)</f>
        <v>257724</v>
      </c>
      <c r="J47" s="137"/>
      <c r="K47" s="33"/>
      <c r="L47" s="71"/>
      <c r="M47" s="71"/>
      <c r="N47" s="71"/>
    </row>
    <row r="48" spans="1:14" x14ac:dyDescent="0.2">
      <c r="A48" s="128" t="s">
        <v>69</v>
      </c>
      <c r="B48" s="152"/>
      <c r="C48" s="117">
        <v>73717.287902210883</v>
      </c>
      <c r="D48" s="129">
        <v>3.5139999999999998E-2</v>
      </c>
      <c r="E48" s="129"/>
      <c r="F48" s="131">
        <f t="shared" si="7"/>
        <v>2590</v>
      </c>
      <c r="G48" s="129">
        <f>D48</f>
        <v>3.5139999999999998E-2</v>
      </c>
      <c r="H48" s="111"/>
      <c r="I48" s="131">
        <f t="shared" si="8"/>
        <v>2590</v>
      </c>
      <c r="J48" s="137"/>
    </row>
    <row r="49" spans="1:11" x14ac:dyDescent="0.2">
      <c r="A49" s="18" t="s">
        <v>71</v>
      </c>
      <c r="B49" s="121"/>
      <c r="C49" s="154">
        <v>-35600</v>
      </c>
      <c r="D49" s="129">
        <f>F49/C49</f>
        <v>4.7321348314606722E-2</v>
      </c>
      <c r="E49" s="111"/>
      <c r="F49" s="181">
        <v>-1684.6399999999994</v>
      </c>
      <c r="G49" s="129">
        <f>D49</f>
        <v>4.7321348314606722E-2</v>
      </c>
      <c r="H49" s="111"/>
      <c r="I49" s="181">
        <f t="shared" si="8"/>
        <v>-1685</v>
      </c>
      <c r="J49" s="137"/>
      <c r="K49" s="33"/>
    </row>
    <row r="50" spans="1:11" x14ac:dyDescent="0.2">
      <c r="A50" s="122" t="s">
        <v>26</v>
      </c>
      <c r="B50" s="121"/>
      <c r="C50" s="136">
        <f>SUM(C47:C49)</f>
        <v>7372337.2879022108</v>
      </c>
      <c r="D50" s="129"/>
      <c r="E50" s="111"/>
      <c r="F50" s="131">
        <f>SUM(F47:F49)</f>
        <v>258629.36</v>
      </c>
      <c r="G50" s="129"/>
      <c r="H50" s="111"/>
      <c r="I50" s="131">
        <f>SUM(I47:I49)</f>
        <v>258629</v>
      </c>
      <c r="J50" s="137"/>
    </row>
    <row r="51" spans="1:11" x14ac:dyDescent="0.2">
      <c r="A51" s="122"/>
      <c r="B51" s="121"/>
      <c r="C51" s="136"/>
      <c r="D51" s="129"/>
      <c r="E51" s="111"/>
      <c r="F51" s="131"/>
      <c r="G51" s="129"/>
      <c r="H51" s="111"/>
      <c r="I51" s="131"/>
      <c r="J51" s="137"/>
    </row>
    <row r="52" spans="1:11" x14ac:dyDescent="0.2">
      <c r="A52" s="111" t="s">
        <v>136</v>
      </c>
      <c r="B52" s="111"/>
      <c r="C52" s="117">
        <v>14507</v>
      </c>
      <c r="D52" s="234">
        <v>5.25</v>
      </c>
      <c r="E52" s="111"/>
      <c r="F52" s="131">
        <f t="shared" ref="F52" si="9">ROUND(D52*$C52,0)</f>
        <v>76162</v>
      </c>
      <c r="G52" s="234">
        <f>D52</f>
        <v>5.25</v>
      </c>
      <c r="H52" s="111"/>
      <c r="I52" s="131">
        <f t="shared" ref="I52" si="10">ROUND(G52*$C52,0)</f>
        <v>76162</v>
      </c>
      <c r="J52" s="137"/>
    </row>
    <row r="53" spans="1:11" x14ac:dyDescent="0.2">
      <c r="A53" s="111"/>
      <c r="B53" s="111"/>
      <c r="C53" s="136"/>
      <c r="D53" s="126"/>
      <c r="E53" s="143"/>
      <c r="F53" s="137"/>
      <c r="G53" s="126"/>
      <c r="H53" s="143"/>
      <c r="I53" s="137"/>
      <c r="J53" s="137"/>
    </row>
    <row r="54" spans="1:11" x14ac:dyDescent="0.2">
      <c r="A54" s="116" t="s">
        <v>122</v>
      </c>
      <c r="B54" s="111"/>
      <c r="C54" s="117">
        <v>1862040</v>
      </c>
      <c r="D54" s="169">
        <v>2.5000000000000001E-4</v>
      </c>
      <c r="E54" s="111"/>
      <c r="F54" s="131">
        <f t="shared" ref="F54" si="11">ROUND(D54*$C54,0)</f>
        <v>466</v>
      </c>
      <c r="G54" s="169">
        <f>D54</f>
        <v>2.5000000000000001E-4</v>
      </c>
      <c r="H54" s="111"/>
      <c r="I54" s="131">
        <f t="shared" ref="I54" si="12">ROUND(G54*$C54,0)</f>
        <v>466</v>
      </c>
      <c r="J54" s="137"/>
      <c r="K54" s="411"/>
    </row>
    <row r="55" spans="1:11" x14ac:dyDescent="0.2">
      <c r="A55" s="116" t="s">
        <v>339</v>
      </c>
      <c r="B55" s="111"/>
      <c r="C55" s="117"/>
      <c r="D55" s="169"/>
      <c r="E55" s="111"/>
      <c r="F55" s="131">
        <v>10288.02</v>
      </c>
      <c r="G55" s="169"/>
      <c r="H55" s="111"/>
      <c r="I55" s="131">
        <f>F55</f>
        <v>10288.02</v>
      </c>
      <c r="J55" s="137"/>
      <c r="K55" s="411"/>
    </row>
    <row r="56" spans="1:11" x14ac:dyDescent="0.2">
      <c r="A56" s="116" t="s">
        <v>137</v>
      </c>
      <c r="B56" s="111"/>
      <c r="C56" s="117"/>
      <c r="D56" s="169"/>
      <c r="E56" s="111"/>
      <c r="F56" s="131"/>
      <c r="G56" s="169"/>
      <c r="H56" s="111"/>
      <c r="I56" s="131">
        <f>'Exhibit No.__(BDJ-Rate Spread)'!J30*1000</f>
        <v>228277.61999999997</v>
      </c>
      <c r="J56" s="137"/>
      <c r="K56" s="33" t="s">
        <v>138</v>
      </c>
    </row>
    <row r="57" spans="1:11" x14ac:dyDescent="0.2">
      <c r="A57" s="18"/>
      <c r="B57" s="121"/>
      <c r="C57" s="136"/>
      <c r="D57" s="129"/>
      <c r="E57" s="111"/>
      <c r="F57" s="131"/>
      <c r="G57" s="129"/>
      <c r="H57" s="111"/>
      <c r="I57" s="131"/>
      <c r="J57" s="137"/>
    </row>
    <row r="58" spans="1:11" ht="12" thickBot="1" x14ac:dyDescent="0.25">
      <c r="A58" s="111" t="s">
        <v>30</v>
      </c>
      <c r="B58" s="111"/>
      <c r="C58" s="136"/>
      <c r="D58" s="126"/>
      <c r="E58" s="143"/>
      <c r="F58" s="228">
        <f>SUM(F52,F50,F45,F54,F55)</f>
        <v>345545.38</v>
      </c>
      <c r="G58" s="126"/>
      <c r="H58" s="143"/>
      <c r="I58" s="228">
        <f>SUM(I52,I50,I45,I54,I56,I55)</f>
        <v>573822.64</v>
      </c>
    </row>
    <row r="59" spans="1:11" ht="12" thickTop="1" x14ac:dyDescent="0.2"/>
    <row r="61" spans="1:11" x14ac:dyDescent="0.2">
      <c r="A61" s="41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68" orientation="landscape" r:id="rId1"/>
  <headerFooter alignWithMargins="0">
    <oddFooter>&amp;L&amp;A&amp;RExhibit No.___(BDJ-5)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79998168889431442"/>
    <pageSetUpPr fitToPage="1"/>
  </sheetPr>
  <dimension ref="A1:J30"/>
  <sheetViews>
    <sheetView zoomScaleNormal="100" workbookViewId="0">
      <pane xSplit="2" ySplit="10" topLeftCell="C11" activePane="bottomRight" state="frozen"/>
      <selection activeCell="E29" sqref="E29"/>
      <selection pane="topRight" activeCell="E29" sqref="E29"/>
      <selection pane="bottomLeft" activeCell="E29" sqref="E29"/>
      <selection pane="bottomRight" activeCell="A6" sqref="A1:J1048576"/>
    </sheetView>
  </sheetViews>
  <sheetFormatPr defaultColWidth="8.75" defaultRowHeight="11.25" x14ac:dyDescent="0.2"/>
  <cols>
    <col min="1" max="1" width="21.75" style="11" bestFit="1" customWidth="1"/>
    <col min="2" max="2" width="2.5" style="11" customWidth="1"/>
    <col min="3" max="3" width="7.375" style="11" bestFit="1" customWidth="1"/>
    <col min="4" max="5" width="8.625" style="11" bestFit="1" customWidth="1"/>
    <col min="6" max="6" width="13.75" style="11" bestFit="1" customWidth="1"/>
    <col min="7" max="7" width="0.875" style="11" customWidth="1"/>
    <col min="8" max="9" width="8.875" style="11" bestFit="1" customWidth="1"/>
    <col min="10" max="10" width="7.75" style="11" bestFit="1" customWidth="1"/>
    <col min="11" max="16384" width="8.75" style="11"/>
  </cols>
  <sheetData>
    <row r="1" spans="1:10" x14ac:dyDescent="0.2">
      <c r="A1" s="614" t="s">
        <v>43</v>
      </c>
      <c r="B1" s="614"/>
      <c r="C1" s="614"/>
      <c r="D1" s="614"/>
      <c r="E1" s="614"/>
      <c r="F1" s="614"/>
      <c r="G1" s="614"/>
      <c r="H1" s="614"/>
      <c r="I1" s="614"/>
      <c r="J1" s="614"/>
    </row>
    <row r="2" spans="1:10" x14ac:dyDescent="0.2">
      <c r="A2" s="614" t="s">
        <v>20</v>
      </c>
      <c r="B2" s="614"/>
      <c r="C2" s="614"/>
      <c r="D2" s="614"/>
      <c r="E2" s="614"/>
      <c r="F2" s="614"/>
      <c r="G2" s="614"/>
      <c r="H2" s="614"/>
      <c r="I2" s="614"/>
      <c r="J2" s="614"/>
    </row>
    <row r="3" spans="1:10" x14ac:dyDescent="0.2">
      <c r="A3" s="614" t="str">
        <f>+'Exhibit No.__(BDJ-Prof-Prop)'!A6</f>
        <v>12 MONTHS ENDED JUNE 2021</v>
      </c>
      <c r="B3" s="614"/>
      <c r="C3" s="614"/>
      <c r="D3" s="614"/>
      <c r="E3" s="614"/>
      <c r="F3" s="614"/>
      <c r="G3" s="614"/>
      <c r="H3" s="614"/>
      <c r="I3" s="614"/>
      <c r="J3" s="614"/>
    </row>
    <row r="4" spans="1:10" x14ac:dyDescent="0.2">
      <c r="A4" s="614" t="s">
        <v>21</v>
      </c>
      <c r="B4" s="614"/>
      <c r="C4" s="614"/>
      <c r="D4" s="614"/>
      <c r="E4" s="614"/>
      <c r="F4" s="614"/>
      <c r="G4" s="614"/>
      <c r="H4" s="614"/>
      <c r="I4" s="614"/>
      <c r="J4" s="614"/>
    </row>
    <row r="5" spans="1:10" x14ac:dyDescent="0.2">
      <c r="A5" s="614" t="s">
        <v>139</v>
      </c>
      <c r="B5" s="614"/>
      <c r="C5" s="614"/>
      <c r="D5" s="614"/>
      <c r="E5" s="614"/>
      <c r="F5" s="614"/>
      <c r="G5" s="614"/>
      <c r="H5" s="614"/>
      <c r="I5" s="614"/>
      <c r="J5" s="614"/>
    </row>
    <row r="6" spans="1:10" x14ac:dyDescent="0.2">
      <c r="A6" s="102"/>
      <c r="B6" s="103"/>
      <c r="C6" s="103"/>
    </row>
    <row r="7" spans="1:10" x14ac:dyDescent="0.2">
      <c r="A7" s="103"/>
      <c r="B7" s="103"/>
      <c r="C7" s="103"/>
    </row>
    <row r="8" spans="1:10" x14ac:dyDescent="0.2">
      <c r="A8" s="105"/>
      <c r="B8" s="105"/>
      <c r="C8" s="106"/>
      <c r="D8" s="235"/>
      <c r="E8" s="235"/>
      <c r="F8" s="235"/>
    </row>
    <row r="9" spans="1:10" x14ac:dyDescent="0.2">
      <c r="A9" s="105"/>
      <c r="B9" s="105"/>
      <c r="C9" s="236" t="s">
        <v>22</v>
      </c>
      <c r="D9" s="647" t="s">
        <v>40</v>
      </c>
      <c r="E9" s="645"/>
      <c r="F9" s="646"/>
      <c r="H9" s="647" t="s">
        <v>281</v>
      </c>
      <c r="I9" s="645"/>
      <c r="J9" s="646"/>
    </row>
    <row r="10" spans="1:10" ht="22.5" x14ac:dyDescent="0.2">
      <c r="A10" s="105"/>
      <c r="B10" s="105"/>
      <c r="C10" s="237" t="s">
        <v>289</v>
      </c>
      <c r="D10" s="235" t="s">
        <v>147</v>
      </c>
      <c r="E10" s="235" t="s">
        <v>148</v>
      </c>
      <c r="F10" s="235" t="s">
        <v>149</v>
      </c>
      <c r="H10" s="235" t="s">
        <v>147</v>
      </c>
      <c r="I10" s="235" t="s">
        <v>148</v>
      </c>
      <c r="J10" s="235" t="s">
        <v>149</v>
      </c>
    </row>
    <row r="11" spans="1:10" x14ac:dyDescent="0.2">
      <c r="A11" s="111"/>
      <c r="B11" s="111"/>
      <c r="C11" s="117"/>
    </row>
    <row r="12" spans="1:10" x14ac:dyDescent="0.2">
      <c r="A12" s="649" t="s">
        <v>145</v>
      </c>
      <c r="B12" s="649"/>
      <c r="C12" s="649"/>
    </row>
    <row r="13" spans="1:10" x14ac:dyDescent="0.2">
      <c r="A13" s="111" t="s">
        <v>140</v>
      </c>
      <c r="B13" s="111"/>
      <c r="C13" s="44">
        <v>132</v>
      </c>
      <c r="D13" s="238">
        <f>SUM(E13:F13)</f>
        <v>60643</v>
      </c>
      <c r="E13" s="238">
        <v>60418</v>
      </c>
      <c r="F13" s="238">
        <v>225</v>
      </c>
      <c r="H13" s="131">
        <f>SUM(I13:J13)</f>
        <v>5814</v>
      </c>
      <c r="I13" s="131">
        <v>5757</v>
      </c>
      <c r="J13" s="131">
        <f>ROUND(F13/($F$22-$F$21)*$J$22,0)</f>
        <v>57</v>
      </c>
    </row>
    <row r="14" spans="1:10" x14ac:dyDescent="0.2">
      <c r="A14" s="111" t="s">
        <v>37</v>
      </c>
      <c r="B14" s="111"/>
      <c r="C14" s="44">
        <v>13216</v>
      </c>
      <c r="D14" s="238">
        <f t="shared" ref="D14:D21" si="0">SUM(E14:F14)</f>
        <v>2725617</v>
      </c>
      <c r="E14" s="238">
        <v>2714227</v>
      </c>
      <c r="F14" s="238">
        <v>11390</v>
      </c>
      <c r="H14" s="131">
        <f t="shared" ref="H14:H21" si="1">SUM(I14:J14)</f>
        <v>936796</v>
      </c>
      <c r="I14" s="131">
        <v>933898</v>
      </c>
      <c r="J14" s="131">
        <f t="shared" ref="J14:J21" si="2">ROUND(F14/($F$22-$F$21)*$J$22,0)</f>
        <v>2898</v>
      </c>
    </row>
    <row r="15" spans="1:10" x14ac:dyDescent="0.2">
      <c r="A15" s="111" t="s">
        <v>141</v>
      </c>
      <c r="B15" s="111"/>
      <c r="C15" s="44">
        <v>27731</v>
      </c>
      <c r="D15" s="238">
        <f t="shared" si="0"/>
        <v>12615929</v>
      </c>
      <c r="E15" s="238">
        <v>12614287</v>
      </c>
      <c r="F15" s="238">
        <v>1642</v>
      </c>
      <c r="H15" s="131">
        <f t="shared" si="1"/>
        <v>1835449</v>
      </c>
      <c r="I15" s="131">
        <v>1835031</v>
      </c>
      <c r="J15" s="131">
        <f t="shared" si="2"/>
        <v>418</v>
      </c>
    </row>
    <row r="16" spans="1:10" x14ac:dyDescent="0.2">
      <c r="A16" s="111" t="s">
        <v>38</v>
      </c>
      <c r="B16" s="111"/>
      <c r="C16" s="44">
        <v>37100</v>
      </c>
      <c r="D16" s="238">
        <f t="shared" si="0"/>
        <v>36752004</v>
      </c>
      <c r="E16" s="238">
        <v>36075891</v>
      </c>
      <c r="F16" s="238">
        <v>676113</v>
      </c>
      <c r="H16" s="131">
        <f t="shared" si="1"/>
        <v>11944435</v>
      </c>
      <c r="I16" s="131">
        <v>11772403</v>
      </c>
      <c r="J16" s="131">
        <f t="shared" si="2"/>
        <v>172032</v>
      </c>
    </row>
    <row r="17" spans="1:10" x14ac:dyDescent="0.2">
      <c r="A17" s="111" t="s">
        <v>39</v>
      </c>
      <c r="B17" s="111"/>
      <c r="C17" s="44">
        <v>575</v>
      </c>
      <c r="D17" s="238">
        <f t="shared" si="0"/>
        <v>6399672</v>
      </c>
      <c r="E17" s="238">
        <v>6228929</v>
      </c>
      <c r="F17" s="238">
        <v>170743</v>
      </c>
      <c r="H17" s="131">
        <f t="shared" si="1"/>
        <v>562280</v>
      </c>
      <c r="I17" s="131">
        <v>518836</v>
      </c>
      <c r="J17" s="131">
        <f t="shared" si="2"/>
        <v>43444</v>
      </c>
    </row>
    <row r="18" spans="1:10" x14ac:dyDescent="0.2">
      <c r="A18" s="111" t="s">
        <v>143</v>
      </c>
      <c r="B18" s="111"/>
      <c r="C18" s="44">
        <v>20135</v>
      </c>
      <c r="D18" s="238">
        <f t="shared" si="0"/>
        <v>3767495</v>
      </c>
      <c r="E18" s="238">
        <v>3767304</v>
      </c>
      <c r="F18" s="238">
        <v>191</v>
      </c>
      <c r="H18" s="131">
        <f t="shared" si="1"/>
        <v>1074221</v>
      </c>
      <c r="I18" s="131">
        <v>1074172</v>
      </c>
      <c r="J18" s="131">
        <f t="shared" si="2"/>
        <v>49</v>
      </c>
    </row>
    <row r="19" spans="1:10" x14ac:dyDescent="0.2">
      <c r="A19" s="111" t="s">
        <v>142</v>
      </c>
      <c r="B19" s="111"/>
      <c r="C19" s="44">
        <v>1253</v>
      </c>
      <c r="D19" s="238">
        <f t="shared" si="0"/>
        <v>5370526</v>
      </c>
      <c r="E19" s="238">
        <v>3656529</v>
      </c>
      <c r="F19" s="238">
        <v>1713997</v>
      </c>
      <c r="H19" s="131">
        <f t="shared" si="1"/>
        <v>906827</v>
      </c>
      <c r="I19" s="131">
        <v>470713</v>
      </c>
      <c r="J19" s="131">
        <f t="shared" si="2"/>
        <v>436114</v>
      </c>
    </row>
    <row r="20" spans="1:10" x14ac:dyDescent="0.2">
      <c r="A20" s="111" t="s">
        <v>144</v>
      </c>
      <c r="B20" s="111"/>
      <c r="C20" s="44">
        <v>4057</v>
      </c>
      <c r="D20" s="238">
        <f t="shared" si="0"/>
        <v>2201001</v>
      </c>
      <c r="E20" s="238">
        <v>2199040</v>
      </c>
      <c r="F20" s="238">
        <v>1961</v>
      </c>
      <c r="H20" s="131">
        <f t="shared" si="1"/>
        <v>405614</v>
      </c>
      <c r="I20" s="131">
        <v>405115</v>
      </c>
      <c r="J20" s="131">
        <f t="shared" si="2"/>
        <v>499</v>
      </c>
    </row>
    <row r="21" spans="1:10" x14ac:dyDescent="0.2">
      <c r="A21" s="111" t="s">
        <v>282</v>
      </c>
      <c r="B21" s="111"/>
      <c r="C21" s="119"/>
      <c r="D21" s="238">
        <f t="shared" si="0"/>
        <v>0</v>
      </c>
      <c r="E21" s="238">
        <v>0</v>
      </c>
      <c r="F21" s="238">
        <v>0</v>
      </c>
      <c r="H21" s="131">
        <f t="shared" si="1"/>
        <v>112327</v>
      </c>
      <c r="I21" s="131">
        <v>112327</v>
      </c>
      <c r="J21" s="131">
        <f t="shared" si="2"/>
        <v>0</v>
      </c>
    </row>
    <row r="22" spans="1:10" ht="12" thickBot="1" x14ac:dyDescent="0.25">
      <c r="A22" s="111" t="s">
        <v>146</v>
      </c>
      <c r="B22" s="111"/>
      <c r="C22" s="134">
        <f>SUM(C13:C21)</f>
        <v>104199</v>
      </c>
      <c r="D22" s="134">
        <f t="shared" ref="D22:F22" si="3">SUM(D13:D21)</f>
        <v>69892887</v>
      </c>
      <c r="E22" s="134">
        <f t="shared" si="3"/>
        <v>67316625</v>
      </c>
      <c r="F22" s="134">
        <f t="shared" si="3"/>
        <v>2576262</v>
      </c>
      <c r="H22" s="228">
        <f>SUM(H13:H21)</f>
        <v>17783763</v>
      </c>
      <c r="I22" s="228">
        <f t="shared" ref="I22" si="4">SUM(I13:I21)</f>
        <v>17128252</v>
      </c>
      <c r="J22" s="239">
        <v>655511</v>
      </c>
    </row>
    <row r="23" spans="1:10" ht="12" thickTop="1" x14ac:dyDescent="0.2">
      <c r="A23" s="111"/>
      <c r="B23" s="111"/>
      <c r="C23" s="113" t="s">
        <v>290</v>
      </c>
      <c r="D23" s="238"/>
      <c r="E23" s="238"/>
      <c r="F23" s="238"/>
      <c r="I23" s="138"/>
      <c r="J23" s="138"/>
    </row>
    <row r="24" spans="1:10" x14ac:dyDescent="0.2">
      <c r="A24" s="111"/>
      <c r="B24" s="111"/>
      <c r="C24" s="117"/>
      <c r="D24" s="238"/>
      <c r="E24" s="238"/>
      <c r="F24" s="238"/>
      <c r="H24" s="377">
        <f>+H25/H26</f>
        <v>-1.9629855968510947E-2</v>
      </c>
      <c r="I24" s="378">
        <f>+'Exhibit No.__(BDJ-Rate Spread)'!I26</f>
        <v>-1.925194309837586E-2</v>
      </c>
      <c r="J24" s="377">
        <f>I24</f>
        <v>-1.925194309837586E-2</v>
      </c>
    </row>
    <row r="25" spans="1:10" x14ac:dyDescent="0.2">
      <c r="A25" s="116" t="s">
        <v>517</v>
      </c>
      <c r="B25" s="111"/>
      <c r="C25" s="117"/>
      <c r="H25" s="138">
        <f>SUM(I25:J25)</f>
        <v>-342371.99335100199</v>
      </c>
      <c r="I25" s="131">
        <f>I24*I22</f>
        <v>-329752.13287864253</v>
      </c>
      <c r="J25" s="131">
        <f>J24*J22</f>
        <v>-12619.860472359458</v>
      </c>
    </row>
    <row r="26" spans="1:10" x14ac:dyDescent="0.2">
      <c r="A26" s="116" t="s">
        <v>511</v>
      </c>
      <c r="B26" s="111"/>
      <c r="C26" s="117"/>
      <c r="H26" s="138">
        <f>SUM(I26:J26)</f>
        <v>17441391.006648999</v>
      </c>
      <c r="I26" s="138">
        <f>I25+I22</f>
        <v>16798499.867121357</v>
      </c>
      <c r="J26" s="138">
        <f>J25+J22</f>
        <v>642891.13952764054</v>
      </c>
    </row>
    <row r="30" spans="1:10" x14ac:dyDescent="0.2">
      <c r="A30" s="41"/>
    </row>
  </sheetData>
  <mergeCells count="8">
    <mergeCell ref="H9:J9"/>
    <mergeCell ref="A12:C12"/>
    <mergeCell ref="D9:F9"/>
    <mergeCell ref="A1:J1"/>
    <mergeCell ref="A2:J2"/>
    <mergeCell ref="A3:J3"/>
    <mergeCell ref="A4:J4"/>
    <mergeCell ref="A5:J5"/>
  </mergeCells>
  <pageMargins left="0.7" right="0.7" top="0.75" bottom="0.75" header="0.3" footer="0.3"/>
  <pageSetup fitToHeight="0"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"/>
  <sheetViews>
    <sheetView workbookViewId="0">
      <selection activeCell="S32" sqref="S32"/>
    </sheetView>
  </sheetViews>
  <sheetFormatPr defaultRowHeight="15.75" x14ac:dyDescent="0.25"/>
  <sheetData/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000"/>
  </sheetPr>
  <dimension ref="A1"/>
  <sheetViews>
    <sheetView workbookViewId="0">
      <selection activeCell="E29" sqref="E29"/>
    </sheetView>
  </sheetViews>
  <sheetFormatPr defaultColWidth="8.75" defaultRowHeight="11.25" x14ac:dyDescent="0.2"/>
  <cols>
    <col min="1" max="16384" width="8.75" style="11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E2D2-3628-4420-960C-A87389E170C6}">
  <sheetPr>
    <tabColor rgb="FF92D050"/>
  </sheetPr>
  <dimension ref="A1:E26"/>
  <sheetViews>
    <sheetView workbookViewId="0">
      <selection activeCell="A3" sqref="A3"/>
    </sheetView>
  </sheetViews>
  <sheetFormatPr defaultRowHeight="15.75" x14ac:dyDescent="0.25"/>
  <cols>
    <col min="1" max="1" width="3.875" customWidth="1"/>
    <col min="2" max="2" width="44.25" bestFit="1" customWidth="1"/>
    <col min="3" max="4" width="10.5" bestFit="1" customWidth="1"/>
    <col min="5" max="5" width="11.875" bestFit="1" customWidth="1"/>
  </cols>
  <sheetData>
    <row r="1" spans="1:5" x14ac:dyDescent="0.25">
      <c r="A1" s="563" t="s">
        <v>680</v>
      </c>
      <c r="B1" s="564"/>
      <c r="C1" s="564"/>
      <c r="D1" s="564"/>
      <c r="E1" s="564"/>
    </row>
    <row r="2" spans="1:5" x14ac:dyDescent="0.25">
      <c r="A2" s="563" t="s">
        <v>679</v>
      </c>
      <c r="B2" s="564"/>
      <c r="C2" s="564"/>
      <c r="D2" s="564"/>
      <c r="E2" s="564"/>
    </row>
    <row r="3" spans="1:5" x14ac:dyDescent="0.25">
      <c r="A3" s="563" t="s">
        <v>678</v>
      </c>
      <c r="B3" s="564"/>
      <c r="C3" s="564"/>
      <c r="D3" s="564"/>
      <c r="E3" s="564"/>
    </row>
    <row r="4" spans="1:5" x14ac:dyDescent="0.25">
      <c r="A4" s="563"/>
      <c r="B4" s="564"/>
      <c r="C4" s="564"/>
      <c r="D4" s="564"/>
      <c r="E4" s="564"/>
    </row>
    <row r="5" spans="1:5" x14ac:dyDescent="0.25">
      <c r="A5" s="565" t="s">
        <v>677</v>
      </c>
      <c r="B5" s="564"/>
      <c r="C5" s="564"/>
      <c r="D5" s="564"/>
      <c r="E5" s="564"/>
    </row>
    <row r="6" spans="1:5" x14ac:dyDescent="0.25">
      <c r="A6" s="564"/>
      <c r="B6" s="564"/>
      <c r="C6" s="564"/>
      <c r="D6" s="564"/>
      <c r="E6" s="564"/>
    </row>
    <row r="7" spans="1:5" x14ac:dyDescent="0.25">
      <c r="A7" s="566" t="s">
        <v>676</v>
      </c>
      <c r="B7" s="566" t="s">
        <v>675</v>
      </c>
      <c r="C7" s="566">
        <v>2022</v>
      </c>
      <c r="D7" s="566">
        <v>2023</v>
      </c>
    </row>
    <row r="8" spans="1:5" x14ac:dyDescent="0.25">
      <c r="A8" s="564"/>
      <c r="B8" s="564"/>
      <c r="C8" s="564"/>
      <c r="D8" s="564"/>
    </row>
    <row r="9" spans="1:5" x14ac:dyDescent="0.25">
      <c r="A9" s="567">
        <v>9</v>
      </c>
      <c r="B9" s="564" t="s">
        <v>674</v>
      </c>
      <c r="C9" s="568">
        <v>2.6200000000000001E-2</v>
      </c>
      <c r="D9" s="568">
        <v>2.5499999999999998E-2</v>
      </c>
    </row>
    <row r="10" spans="1:5" x14ac:dyDescent="0.25">
      <c r="A10" s="567">
        <v>10</v>
      </c>
      <c r="B10" s="564" t="s">
        <v>673</v>
      </c>
      <c r="C10" s="568">
        <v>7.2300000000000003E-2</v>
      </c>
      <c r="D10" s="568">
        <v>7.1599999999999997E-2</v>
      </c>
    </row>
    <row r="11" spans="1:5" x14ac:dyDescent="0.25">
      <c r="A11" s="567">
        <v>11</v>
      </c>
      <c r="B11" s="564" t="s">
        <v>672</v>
      </c>
      <c r="C11" s="568">
        <v>0.21</v>
      </c>
      <c r="D11" s="568">
        <v>0.21</v>
      </c>
    </row>
    <row r="12" spans="1:5" x14ac:dyDescent="0.25">
      <c r="A12" s="567">
        <v>12</v>
      </c>
      <c r="B12" s="564" t="s">
        <v>671</v>
      </c>
      <c r="C12" s="568">
        <v>0.752355</v>
      </c>
      <c r="D12" s="568">
        <v>0.752355</v>
      </c>
    </row>
    <row r="13" spans="1:5" x14ac:dyDescent="0.25">
      <c r="A13" s="567">
        <v>13</v>
      </c>
      <c r="B13" s="564" t="s">
        <v>670</v>
      </c>
      <c r="C13" s="569">
        <v>466843558.72516948</v>
      </c>
      <c r="D13" s="569">
        <v>673825899.6063031</v>
      </c>
    </row>
    <row r="14" spans="1:5" x14ac:dyDescent="0.25">
      <c r="A14" s="567">
        <v>14</v>
      </c>
      <c r="B14" s="564"/>
      <c r="C14" s="569"/>
      <c r="D14" s="569"/>
    </row>
    <row r="15" spans="1:5" x14ac:dyDescent="0.25">
      <c r="A15" s="567">
        <v>15</v>
      </c>
      <c r="B15" s="564" t="s">
        <v>669</v>
      </c>
      <c r="C15" s="569">
        <v>-7056541.818855999</v>
      </c>
      <c r="D15" s="569">
        <v>-29893757.666683979</v>
      </c>
    </row>
    <row r="16" spans="1:5" x14ac:dyDescent="0.25">
      <c r="A16" s="567">
        <v>16</v>
      </c>
      <c r="B16" s="564" t="s">
        <v>668</v>
      </c>
      <c r="C16" s="570">
        <v>1731154.2774910009</v>
      </c>
      <c r="D16" s="570">
        <v>6178674.5094035594</v>
      </c>
    </row>
    <row r="17" spans="1:5" x14ac:dyDescent="0.25">
      <c r="A17" s="567">
        <v>17</v>
      </c>
      <c r="B17" s="564" t="s">
        <v>667</v>
      </c>
      <c r="C17" s="571">
        <f>SUM(C15:C16)</f>
        <v>-5325387.5413649976</v>
      </c>
      <c r="D17" s="571">
        <f t="shared" ref="D17" si="0">SUM(D15:D16)</f>
        <v>-23715083.157280419</v>
      </c>
    </row>
    <row r="18" spans="1:5" x14ac:dyDescent="0.25">
      <c r="A18" s="567">
        <v>18</v>
      </c>
      <c r="B18" s="564" t="s">
        <v>666</v>
      </c>
      <c r="C18" s="570">
        <f>C13*C9*C11</f>
        <v>2568573.2601058823</v>
      </c>
      <c r="D18" s="570">
        <f t="shared" ref="D18" si="1">D13*D9*D11</f>
        <v>3608337.6923917532</v>
      </c>
    </row>
    <row r="19" spans="1:5" x14ac:dyDescent="0.25">
      <c r="A19" s="567">
        <v>19</v>
      </c>
      <c r="B19" s="564" t="s">
        <v>665</v>
      </c>
      <c r="C19" s="571">
        <f>SUM(C17:C18)</f>
        <v>-2756814.2812591153</v>
      </c>
      <c r="D19" s="571">
        <f t="shared" ref="D19" si="2">SUM(D17:D18)</f>
        <v>-20106745.464888666</v>
      </c>
    </row>
    <row r="20" spans="1:5" x14ac:dyDescent="0.25">
      <c r="A20" s="567">
        <v>20</v>
      </c>
      <c r="B20" s="564" t="s">
        <v>664</v>
      </c>
      <c r="C20" s="570">
        <f>C13*C10</f>
        <v>33752789.295829758</v>
      </c>
      <c r="D20" s="570">
        <f t="shared" ref="D20" si="3">D13*D10</f>
        <v>48245934.4118113</v>
      </c>
    </row>
    <row r="21" spans="1:5" x14ac:dyDescent="0.25">
      <c r="A21" s="567">
        <v>21</v>
      </c>
      <c r="B21" s="564" t="s">
        <v>663</v>
      </c>
      <c r="C21" s="572">
        <f>C20-C19</f>
        <v>36509603.57708887</v>
      </c>
      <c r="D21" s="572">
        <f t="shared" ref="D21" si="4">D20-D19</f>
        <v>68352679.876699969</v>
      </c>
    </row>
    <row r="22" spans="1:5" ht="16.5" thickBot="1" x14ac:dyDescent="0.3">
      <c r="A22" s="567">
        <v>22</v>
      </c>
      <c r="B22" s="564" t="s">
        <v>662</v>
      </c>
      <c r="C22" s="573">
        <f>C21/C12</f>
        <v>48527096.353568286</v>
      </c>
      <c r="D22" s="573">
        <f t="shared" ref="D22" si="5">D21/D12</f>
        <v>90851632.376604095</v>
      </c>
    </row>
    <row r="23" spans="1:5" ht="16.5" thickTop="1" x14ac:dyDescent="0.25">
      <c r="A23" s="567">
        <v>23</v>
      </c>
      <c r="B23" s="564" t="s">
        <v>687</v>
      </c>
      <c r="C23" s="578">
        <f>C22</f>
        <v>48527096.353568286</v>
      </c>
      <c r="D23" s="569">
        <f>C22</f>
        <v>48527096.353568286</v>
      </c>
      <c r="E23" s="574"/>
    </row>
    <row r="24" spans="1:5" x14ac:dyDescent="0.25">
      <c r="A24" s="567">
        <v>24</v>
      </c>
      <c r="B24" s="564"/>
      <c r="C24" s="575"/>
      <c r="D24" s="575"/>
    </row>
    <row r="25" spans="1:5" ht="16.5" thickBot="1" x14ac:dyDescent="0.3">
      <c r="A25" s="567">
        <v>25</v>
      </c>
      <c r="B25" s="564" t="s">
        <v>688</v>
      </c>
      <c r="C25" s="576">
        <f>C22-C23</f>
        <v>0</v>
      </c>
      <c r="D25" s="579">
        <f>D22-D23</f>
        <v>42324536.023035809</v>
      </c>
    </row>
    <row r="26" spans="1:5" ht="16.5" thickTop="1" x14ac:dyDescent="0.25">
      <c r="A26" s="567">
        <v>26</v>
      </c>
      <c r="B26" s="564" t="s">
        <v>689</v>
      </c>
      <c r="D26" s="577">
        <v>6.9849193096160889E-9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157"/>
  <sheetViews>
    <sheetView tabSelected="1" zoomScaleNormal="100" workbookViewId="0">
      <pane xSplit="3" ySplit="6" topLeftCell="M7" activePane="bottomRight" state="frozen"/>
      <selection activeCell="E29" sqref="E29"/>
      <selection pane="topRight" activeCell="E29" sqref="E29"/>
      <selection pane="bottomLeft" activeCell="E29" sqref="E29"/>
      <selection pane="bottomRight" activeCell="U12" sqref="U12"/>
    </sheetView>
  </sheetViews>
  <sheetFormatPr defaultColWidth="8.25" defaultRowHeight="11.25" x14ac:dyDescent="0.2"/>
  <cols>
    <col min="1" max="1" width="4.125" style="35" bestFit="1" customWidth="1"/>
    <col min="2" max="2" width="11.25" style="35" bestFit="1" customWidth="1"/>
    <col min="3" max="3" width="44.875" style="35" bestFit="1" customWidth="1"/>
    <col min="4" max="4" width="11.25" style="35" bestFit="1" customWidth="1"/>
    <col min="5" max="5" width="11.75" style="35" bestFit="1" customWidth="1"/>
    <col min="6" max="6" width="9.625" style="35" bestFit="1" customWidth="1"/>
    <col min="7" max="7" width="14" style="35" bestFit="1" customWidth="1"/>
    <col min="8" max="8" width="7.375" style="304" bestFit="1" customWidth="1"/>
    <col min="9" max="9" width="0.75" style="35" customWidth="1"/>
    <col min="10" max="10" width="9.625" style="35" bestFit="1" customWidth="1"/>
    <col min="11" max="11" width="6.375" style="35" bestFit="1" customWidth="1"/>
    <col min="12" max="12" width="12" style="35" bestFit="1" customWidth="1"/>
    <col min="13" max="13" width="0.75" style="35" customWidth="1"/>
    <col min="14" max="16" width="9.625" style="35" bestFit="1" customWidth="1"/>
    <col min="17" max="17" width="7.375" style="35" bestFit="1" customWidth="1"/>
    <col min="18" max="18" width="12" style="36" bestFit="1" customWidth="1"/>
    <col min="19" max="19" width="0.875" style="35" customWidth="1"/>
    <col min="20" max="22" width="9.625" style="35" bestFit="1" customWidth="1"/>
    <col min="23" max="23" width="7.375" style="35" bestFit="1" customWidth="1"/>
    <col min="24" max="24" width="12" style="36" bestFit="1" customWidth="1"/>
    <col min="25" max="25" width="0.875" style="35" customWidth="1"/>
    <col min="26" max="26" width="9.625" style="35" bestFit="1" customWidth="1"/>
    <col min="27" max="27" width="6.375" style="35" bestFit="1" customWidth="1"/>
    <col min="28" max="28" width="12" style="35" bestFit="1" customWidth="1"/>
    <col min="29" max="29" width="11.375" style="35" bestFit="1" customWidth="1"/>
    <col min="30" max="246" width="8.25" style="35"/>
    <col min="247" max="247" width="4" style="35" bestFit="1" customWidth="1"/>
    <col min="248" max="248" width="9.875" style="35" customWidth="1"/>
    <col min="249" max="249" width="56.125" style="35" bestFit="1" customWidth="1"/>
    <col min="250" max="250" width="13" style="35" customWidth="1"/>
    <col min="251" max="251" width="11.25" style="35" bestFit="1" customWidth="1"/>
    <col min="252" max="252" width="11.75" style="35" customWidth="1"/>
    <col min="253" max="253" width="2.875" style="35" customWidth="1"/>
    <col min="254" max="254" width="13" style="35" bestFit="1" customWidth="1"/>
    <col min="255" max="255" width="14.875" style="35" bestFit="1" customWidth="1"/>
    <col min="256" max="256" width="13" style="35" bestFit="1" customWidth="1"/>
    <col min="257" max="502" width="8.25" style="35"/>
    <col min="503" max="503" width="4" style="35" bestFit="1" customWidth="1"/>
    <col min="504" max="504" width="9.875" style="35" customWidth="1"/>
    <col min="505" max="505" width="56.125" style="35" bestFit="1" customWidth="1"/>
    <col min="506" max="506" width="13" style="35" customWidth="1"/>
    <col min="507" max="507" width="11.25" style="35" bestFit="1" customWidth="1"/>
    <col min="508" max="508" width="11.75" style="35" customWidth="1"/>
    <col min="509" max="509" width="2.875" style="35" customWidth="1"/>
    <col min="510" max="510" width="13" style="35" bestFit="1" customWidth="1"/>
    <col min="511" max="511" width="14.875" style="35" bestFit="1" customWidth="1"/>
    <col min="512" max="512" width="13" style="35" bestFit="1" customWidth="1"/>
    <col min="513" max="758" width="8.25" style="35"/>
    <col min="759" max="759" width="4" style="35" bestFit="1" customWidth="1"/>
    <col min="760" max="760" width="9.875" style="35" customWidth="1"/>
    <col min="761" max="761" width="56.125" style="35" bestFit="1" customWidth="1"/>
    <col min="762" max="762" width="13" style="35" customWidth="1"/>
    <col min="763" max="763" width="11.25" style="35" bestFit="1" customWidth="1"/>
    <col min="764" max="764" width="11.75" style="35" customWidth="1"/>
    <col min="765" max="765" width="2.875" style="35" customWidth="1"/>
    <col min="766" max="766" width="13" style="35" bestFit="1" customWidth="1"/>
    <col min="767" max="767" width="14.875" style="35" bestFit="1" customWidth="1"/>
    <col min="768" max="768" width="13" style="35" bestFit="1" customWidth="1"/>
    <col min="769" max="1014" width="8.25" style="35"/>
    <col min="1015" max="1015" width="4" style="35" bestFit="1" customWidth="1"/>
    <col min="1016" max="1016" width="9.875" style="35" customWidth="1"/>
    <col min="1017" max="1017" width="56.125" style="35" bestFit="1" customWidth="1"/>
    <col min="1018" max="1018" width="13" style="35" customWidth="1"/>
    <col min="1019" max="1019" width="11.25" style="35" bestFit="1" customWidth="1"/>
    <col min="1020" max="1020" width="11.75" style="35" customWidth="1"/>
    <col min="1021" max="1021" width="2.875" style="35" customWidth="1"/>
    <col min="1022" max="1022" width="13" style="35" bestFit="1" customWidth="1"/>
    <col min="1023" max="1023" width="14.875" style="35" bestFit="1" customWidth="1"/>
    <col min="1024" max="1024" width="13" style="35" bestFit="1" customWidth="1"/>
    <col min="1025" max="1270" width="8.25" style="35"/>
    <col min="1271" max="1271" width="4" style="35" bestFit="1" customWidth="1"/>
    <col min="1272" max="1272" width="9.875" style="35" customWidth="1"/>
    <col min="1273" max="1273" width="56.125" style="35" bestFit="1" customWidth="1"/>
    <col min="1274" max="1274" width="13" style="35" customWidth="1"/>
    <col min="1275" max="1275" width="11.25" style="35" bestFit="1" customWidth="1"/>
    <col min="1276" max="1276" width="11.75" style="35" customWidth="1"/>
    <col min="1277" max="1277" width="2.875" style="35" customWidth="1"/>
    <col min="1278" max="1278" width="13" style="35" bestFit="1" customWidth="1"/>
    <col min="1279" max="1279" width="14.875" style="35" bestFit="1" customWidth="1"/>
    <col min="1280" max="1280" width="13" style="35" bestFit="1" customWidth="1"/>
    <col min="1281" max="1526" width="8.25" style="35"/>
    <col min="1527" max="1527" width="4" style="35" bestFit="1" customWidth="1"/>
    <col min="1528" max="1528" width="9.875" style="35" customWidth="1"/>
    <col min="1529" max="1529" width="56.125" style="35" bestFit="1" customWidth="1"/>
    <col min="1530" max="1530" width="13" style="35" customWidth="1"/>
    <col min="1531" max="1531" width="11.25" style="35" bestFit="1" customWidth="1"/>
    <col min="1532" max="1532" width="11.75" style="35" customWidth="1"/>
    <col min="1533" max="1533" width="2.875" style="35" customWidth="1"/>
    <col min="1534" max="1534" width="13" style="35" bestFit="1" customWidth="1"/>
    <col min="1535" max="1535" width="14.875" style="35" bestFit="1" customWidth="1"/>
    <col min="1536" max="1536" width="13" style="35" bestFit="1" customWidth="1"/>
    <col min="1537" max="1782" width="8.25" style="35"/>
    <col min="1783" max="1783" width="4" style="35" bestFit="1" customWidth="1"/>
    <col min="1784" max="1784" width="9.875" style="35" customWidth="1"/>
    <col min="1785" max="1785" width="56.125" style="35" bestFit="1" customWidth="1"/>
    <col min="1786" max="1786" width="13" style="35" customWidth="1"/>
    <col min="1787" max="1787" width="11.25" style="35" bestFit="1" customWidth="1"/>
    <col min="1788" max="1788" width="11.75" style="35" customWidth="1"/>
    <col min="1789" max="1789" width="2.875" style="35" customWidth="1"/>
    <col min="1790" max="1790" width="13" style="35" bestFit="1" customWidth="1"/>
    <col min="1791" max="1791" width="14.875" style="35" bestFit="1" customWidth="1"/>
    <col min="1792" max="1792" width="13" style="35" bestFit="1" customWidth="1"/>
    <col min="1793" max="2038" width="8.25" style="35"/>
    <col min="2039" max="2039" width="4" style="35" bestFit="1" customWidth="1"/>
    <col min="2040" max="2040" width="9.875" style="35" customWidth="1"/>
    <col min="2041" max="2041" width="56.125" style="35" bestFit="1" customWidth="1"/>
    <col min="2042" max="2042" width="13" style="35" customWidth="1"/>
    <col min="2043" max="2043" width="11.25" style="35" bestFit="1" customWidth="1"/>
    <col min="2044" max="2044" width="11.75" style="35" customWidth="1"/>
    <col min="2045" max="2045" width="2.875" style="35" customWidth="1"/>
    <col min="2046" max="2046" width="13" style="35" bestFit="1" customWidth="1"/>
    <col min="2047" max="2047" width="14.875" style="35" bestFit="1" customWidth="1"/>
    <col min="2048" max="2048" width="13" style="35" bestFit="1" customWidth="1"/>
    <col min="2049" max="2294" width="8.25" style="35"/>
    <col min="2295" max="2295" width="4" style="35" bestFit="1" customWidth="1"/>
    <col min="2296" max="2296" width="9.875" style="35" customWidth="1"/>
    <col min="2297" max="2297" width="56.125" style="35" bestFit="1" customWidth="1"/>
    <col min="2298" max="2298" width="13" style="35" customWidth="1"/>
    <col min="2299" max="2299" width="11.25" style="35" bestFit="1" customWidth="1"/>
    <col min="2300" max="2300" width="11.75" style="35" customWidth="1"/>
    <col min="2301" max="2301" width="2.875" style="35" customWidth="1"/>
    <col min="2302" max="2302" width="13" style="35" bestFit="1" customWidth="1"/>
    <col min="2303" max="2303" width="14.875" style="35" bestFit="1" customWidth="1"/>
    <col min="2304" max="2304" width="13" style="35" bestFit="1" customWidth="1"/>
    <col min="2305" max="2550" width="8.25" style="35"/>
    <col min="2551" max="2551" width="4" style="35" bestFit="1" customWidth="1"/>
    <col min="2552" max="2552" width="9.875" style="35" customWidth="1"/>
    <col min="2553" max="2553" width="56.125" style="35" bestFit="1" customWidth="1"/>
    <col min="2554" max="2554" width="13" style="35" customWidth="1"/>
    <col min="2555" max="2555" width="11.25" style="35" bestFit="1" customWidth="1"/>
    <col min="2556" max="2556" width="11.75" style="35" customWidth="1"/>
    <col min="2557" max="2557" width="2.875" style="35" customWidth="1"/>
    <col min="2558" max="2558" width="13" style="35" bestFit="1" customWidth="1"/>
    <col min="2559" max="2559" width="14.875" style="35" bestFit="1" customWidth="1"/>
    <col min="2560" max="2560" width="13" style="35" bestFit="1" customWidth="1"/>
    <col min="2561" max="2806" width="8.25" style="35"/>
    <col min="2807" max="2807" width="4" style="35" bestFit="1" customWidth="1"/>
    <col min="2808" max="2808" width="9.875" style="35" customWidth="1"/>
    <col min="2809" max="2809" width="56.125" style="35" bestFit="1" customWidth="1"/>
    <col min="2810" max="2810" width="13" style="35" customWidth="1"/>
    <col min="2811" max="2811" width="11.25" style="35" bestFit="1" customWidth="1"/>
    <col min="2812" max="2812" width="11.75" style="35" customWidth="1"/>
    <col min="2813" max="2813" width="2.875" style="35" customWidth="1"/>
    <col min="2814" max="2814" width="13" style="35" bestFit="1" customWidth="1"/>
    <col min="2815" max="2815" width="14.875" style="35" bestFit="1" customWidth="1"/>
    <col min="2816" max="2816" width="13" style="35" bestFit="1" customWidth="1"/>
    <col min="2817" max="3062" width="8.25" style="35"/>
    <col min="3063" max="3063" width="4" style="35" bestFit="1" customWidth="1"/>
    <col min="3064" max="3064" width="9.875" style="35" customWidth="1"/>
    <col min="3065" max="3065" width="56.125" style="35" bestFit="1" customWidth="1"/>
    <col min="3066" max="3066" width="13" style="35" customWidth="1"/>
    <col min="3067" max="3067" width="11.25" style="35" bestFit="1" customWidth="1"/>
    <col min="3068" max="3068" width="11.75" style="35" customWidth="1"/>
    <col min="3069" max="3069" width="2.875" style="35" customWidth="1"/>
    <col min="3070" max="3070" width="13" style="35" bestFit="1" customWidth="1"/>
    <col min="3071" max="3071" width="14.875" style="35" bestFit="1" customWidth="1"/>
    <col min="3072" max="3072" width="13" style="35" bestFit="1" customWidth="1"/>
    <col min="3073" max="3318" width="8.25" style="35"/>
    <col min="3319" max="3319" width="4" style="35" bestFit="1" customWidth="1"/>
    <col min="3320" max="3320" width="9.875" style="35" customWidth="1"/>
    <col min="3321" max="3321" width="56.125" style="35" bestFit="1" customWidth="1"/>
    <col min="3322" max="3322" width="13" style="35" customWidth="1"/>
    <col min="3323" max="3323" width="11.25" style="35" bestFit="1" customWidth="1"/>
    <col min="3324" max="3324" width="11.75" style="35" customWidth="1"/>
    <col min="3325" max="3325" width="2.875" style="35" customWidth="1"/>
    <col min="3326" max="3326" width="13" style="35" bestFit="1" customWidth="1"/>
    <col min="3327" max="3327" width="14.875" style="35" bestFit="1" customWidth="1"/>
    <col min="3328" max="3328" width="13" style="35" bestFit="1" customWidth="1"/>
    <col min="3329" max="3574" width="8.25" style="35"/>
    <col min="3575" max="3575" width="4" style="35" bestFit="1" customWidth="1"/>
    <col min="3576" max="3576" width="9.875" style="35" customWidth="1"/>
    <col min="3577" max="3577" width="56.125" style="35" bestFit="1" customWidth="1"/>
    <col min="3578" max="3578" width="13" style="35" customWidth="1"/>
    <col min="3579" max="3579" width="11.25" style="35" bestFit="1" customWidth="1"/>
    <col min="3580" max="3580" width="11.75" style="35" customWidth="1"/>
    <col min="3581" max="3581" width="2.875" style="35" customWidth="1"/>
    <col min="3582" max="3582" width="13" style="35" bestFit="1" customWidth="1"/>
    <col min="3583" max="3583" width="14.875" style="35" bestFit="1" customWidth="1"/>
    <col min="3584" max="3584" width="13" style="35" bestFit="1" customWidth="1"/>
    <col min="3585" max="3830" width="8.25" style="35"/>
    <col min="3831" max="3831" width="4" style="35" bestFit="1" customWidth="1"/>
    <col min="3832" max="3832" width="9.875" style="35" customWidth="1"/>
    <col min="3833" max="3833" width="56.125" style="35" bestFit="1" customWidth="1"/>
    <col min="3834" max="3834" width="13" style="35" customWidth="1"/>
    <col min="3835" max="3835" width="11.25" style="35" bestFit="1" customWidth="1"/>
    <col min="3836" max="3836" width="11.75" style="35" customWidth="1"/>
    <col min="3837" max="3837" width="2.875" style="35" customWidth="1"/>
    <col min="3838" max="3838" width="13" style="35" bestFit="1" customWidth="1"/>
    <col min="3839" max="3839" width="14.875" style="35" bestFit="1" customWidth="1"/>
    <col min="3840" max="3840" width="13" style="35" bestFit="1" customWidth="1"/>
    <col min="3841" max="4086" width="8.25" style="35"/>
    <col min="4087" max="4087" width="4" style="35" bestFit="1" customWidth="1"/>
    <col min="4088" max="4088" width="9.875" style="35" customWidth="1"/>
    <col min="4089" max="4089" width="56.125" style="35" bestFit="1" customWidth="1"/>
    <col min="4090" max="4090" width="13" style="35" customWidth="1"/>
    <col min="4091" max="4091" width="11.25" style="35" bestFit="1" customWidth="1"/>
    <col min="4092" max="4092" width="11.75" style="35" customWidth="1"/>
    <col min="4093" max="4093" width="2.875" style="35" customWidth="1"/>
    <col min="4094" max="4094" width="13" style="35" bestFit="1" customWidth="1"/>
    <col min="4095" max="4095" width="14.875" style="35" bestFit="1" customWidth="1"/>
    <col min="4096" max="4096" width="13" style="35" bestFit="1" customWidth="1"/>
    <col min="4097" max="4342" width="8.25" style="35"/>
    <col min="4343" max="4343" width="4" style="35" bestFit="1" customWidth="1"/>
    <col min="4344" max="4344" width="9.875" style="35" customWidth="1"/>
    <col min="4345" max="4345" width="56.125" style="35" bestFit="1" customWidth="1"/>
    <col min="4346" max="4346" width="13" style="35" customWidth="1"/>
    <col min="4347" max="4347" width="11.25" style="35" bestFit="1" customWidth="1"/>
    <col min="4348" max="4348" width="11.75" style="35" customWidth="1"/>
    <col min="4349" max="4349" width="2.875" style="35" customWidth="1"/>
    <col min="4350" max="4350" width="13" style="35" bestFit="1" customWidth="1"/>
    <col min="4351" max="4351" width="14.875" style="35" bestFit="1" customWidth="1"/>
    <col min="4352" max="4352" width="13" style="35" bestFit="1" customWidth="1"/>
    <col min="4353" max="4598" width="8.25" style="35"/>
    <col min="4599" max="4599" width="4" style="35" bestFit="1" customWidth="1"/>
    <col min="4600" max="4600" width="9.875" style="35" customWidth="1"/>
    <col min="4601" max="4601" width="56.125" style="35" bestFit="1" customWidth="1"/>
    <col min="4602" max="4602" width="13" style="35" customWidth="1"/>
    <col min="4603" max="4603" width="11.25" style="35" bestFit="1" customWidth="1"/>
    <col min="4604" max="4604" width="11.75" style="35" customWidth="1"/>
    <col min="4605" max="4605" width="2.875" style="35" customWidth="1"/>
    <col min="4606" max="4606" width="13" style="35" bestFit="1" customWidth="1"/>
    <col min="4607" max="4607" width="14.875" style="35" bestFit="1" customWidth="1"/>
    <col min="4608" max="4608" width="13" style="35" bestFit="1" customWidth="1"/>
    <col min="4609" max="4854" width="8.25" style="35"/>
    <col min="4855" max="4855" width="4" style="35" bestFit="1" customWidth="1"/>
    <col min="4856" max="4856" width="9.875" style="35" customWidth="1"/>
    <col min="4857" max="4857" width="56.125" style="35" bestFit="1" customWidth="1"/>
    <col min="4858" max="4858" width="13" style="35" customWidth="1"/>
    <col min="4859" max="4859" width="11.25" style="35" bestFit="1" customWidth="1"/>
    <col min="4860" max="4860" width="11.75" style="35" customWidth="1"/>
    <col min="4861" max="4861" width="2.875" style="35" customWidth="1"/>
    <col min="4862" max="4862" width="13" style="35" bestFit="1" customWidth="1"/>
    <col min="4863" max="4863" width="14.875" style="35" bestFit="1" customWidth="1"/>
    <col min="4864" max="4864" width="13" style="35" bestFit="1" customWidth="1"/>
    <col min="4865" max="5110" width="8.25" style="35"/>
    <col min="5111" max="5111" width="4" style="35" bestFit="1" customWidth="1"/>
    <col min="5112" max="5112" width="9.875" style="35" customWidth="1"/>
    <col min="5113" max="5113" width="56.125" style="35" bestFit="1" customWidth="1"/>
    <col min="5114" max="5114" width="13" style="35" customWidth="1"/>
    <col min="5115" max="5115" width="11.25" style="35" bestFit="1" customWidth="1"/>
    <col min="5116" max="5116" width="11.75" style="35" customWidth="1"/>
    <col min="5117" max="5117" width="2.875" style="35" customWidth="1"/>
    <col min="5118" max="5118" width="13" style="35" bestFit="1" customWidth="1"/>
    <col min="5119" max="5119" width="14.875" style="35" bestFit="1" customWidth="1"/>
    <col min="5120" max="5120" width="13" style="35" bestFit="1" customWidth="1"/>
    <col min="5121" max="5366" width="8.25" style="35"/>
    <col min="5367" max="5367" width="4" style="35" bestFit="1" customWidth="1"/>
    <col min="5368" max="5368" width="9.875" style="35" customWidth="1"/>
    <col min="5369" max="5369" width="56.125" style="35" bestFit="1" customWidth="1"/>
    <col min="5370" max="5370" width="13" style="35" customWidth="1"/>
    <col min="5371" max="5371" width="11.25" style="35" bestFit="1" customWidth="1"/>
    <col min="5372" max="5372" width="11.75" style="35" customWidth="1"/>
    <col min="5373" max="5373" width="2.875" style="35" customWidth="1"/>
    <col min="5374" max="5374" width="13" style="35" bestFit="1" customWidth="1"/>
    <col min="5375" max="5375" width="14.875" style="35" bestFit="1" customWidth="1"/>
    <col min="5376" max="5376" width="13" style="35" bestFit="1" customWidth="1"/>
    <col min="5377" max="5622" width="8.25" style="35"/>
    <col min="5623" max="5623" width="4" style="35" bestFit="1" customWidth="1"/>
    <col min="5624" max="5624" width="9.875" style="35" customWidth="1"/>
    <col min="5625" max="5625" width="56.125" style="35" bestFit="1" customWidth="1"/>
    <col min="5626" max="5626" width="13" style="35" customWidth="1"/>
    <col min="5627" max="5627" width="11.25" style="35" bestFit="1" customWidth="1"/>
    <col min="5628" max="5628" width="11.75" style="35" customWidth="1"/>
    <col min="5629" max="5629" width="2.875" style="35" customWidth="1"/>
    <col min="5630" max="5630" width="13" style="35" bestFit="1" customWidth="1"/>
    <col min="5631" max="5631" width="14.875" style="35" bestFit="1" customWidth="1"/>
    <col min="5632" max="5632" width="13" style="35" bestFit="1" customWidth="1"/>
    <col min="5633" max="5878" width="8.25" style="35"/>
    <col min="5879" max="5879" width="4" style="35" bestFit="1" customWidth="1"/>
    <col min="5880" max="5880" width="9.875" style="35" customWidth="1"/>
    <col min="5881" max="5881" width="56.125" style="35" bestFit="1" customWidth="1"/>
    <col min="5882" max="5882" width="13" style="35" customWidth="1"/>
    <col min="5883" max="5883" width="11.25" style="35" bestFit="1" customWidth="1"/>
    <col min="5884" max="5884" width="11.75" style="35" customWidth="1"/>
    <col min="5885" max="5885" width="2.875" style="35" customWidth="1"/>
    <col min="5886" max="5886" width="13" style="35" bestFit="1" customWidth="1"/>
    <col min="5887" max="5887" width="14.875" style="35" bestFit="1" customWidth="1"/>
    <col min="5888" max="5888" width="13" style="35" bestFit="1" customWidth="1"/>
    <col min="5889" max="6134" width="8.25" style="35"/>
    <col min="6135" max="6135" width="4" style="35" bestFit="1" customWidth="1"/>
    <col min="6136" max="6136" width="9.875" style="35" customWidth="1"/>
    <col min="6137" max="6137" width="56.125" style="35" bestFit="1" customWidth="1"/>
    <col min="6138" max="6138" width="13" style="35" customWidth="1"/>
    <col min="6139" max="6139" width="11.25" style="35" bestFit="1" customWidth="1"/>
    <col min="6140" max="6140" width="11.75" style="35" customWidth="1"/>
    <col min="6141" max="6141" width="2.875" style="35" customWidth="1"/>
    <col min="6142" max="6142" width="13" style="35" bestFit="1" customWidth="1"/>
    <col min="6143" max="6143" width="14.875" style="35" bestFit="1" customWidth="1"/>
    <col min="6144" max="6144" width="13" style="35" bestFit="1" customWidth="1"/>
    <col min="6145" max="6390" width="8.25" style="35"/>
    <col min="6391" max="6391" width="4" style="35" bestFit="1" customWidth="1"/>
    <col min="6392" max="6392" width="9.875" style="35" customWidth="1"/>
    <col min="6393" max="6393" width="56.125" style="35" bestFit="1" customWidth="1"/>
    <col min="6394" max="6394" width="13" style="35" customWidth="1"/>
    <col min="6395" max="6395" width="11.25" style="35" bestFit="1" customWidth="1"/>
    <col min="6396" max="6396" width="11.75" style="35" customWidth="1"/>
    <col min="6397" max="6397" width="2.875" style="35" customWidth="1"/>
    <col min="6398" max="6398" width="13" style="35" bestFit="1" customWidth="1"/>
    <col min="6399" max="6399" width="14.875" style="35" bestFit="1" customWidth="1"/>
    <col min="6400" max="6400" width="13" style="35" bestFit="1" customWidth="1"/>
    <col min="6401" max="6646" width="8.25" style="35"/>
    <col min="6647" max="6647" width="4" style="35" bestFit="1" customWidth="1"/>
    <col min="6648" max="6648" width="9.875" style="35" customWidth="1"/>
    <col min="6649" max="6649" width="56.125" style="35" bestFit="1" customWidth="1"/>
    <col min="6650" max="6650" width="13" style="35" customWidth="1"/>
    <col min="6651" max="6651" width="11.25" style="35" bestFit="1" customWidth="1"/>
    <col min="6652" max="6652" width="11.75" style="35" customWidth="1"/>
    <col min="6653" max="6653" width="2.875" style="35" customWidth="1"/>
    <col min="6654" max="6654" width="13" style="35" bestFit="1" customWidth="1"/>
    <col min="6655" max="6655" width="14.875" style="35" bestFit="1" customWidth="1"/>
    <col min="6656" max="6656" width="13" style="35" bestFit="1" customWidth="1"/>
    <col min="6657" max="6902" width="8.25" style="35"/>
    <col min="6903" max="6903" width="4" style="35" bestFit="1" customWidth="1"/>
    <col min="6904" max="6904" width="9.875" style="35" customWidth="1"/>
    <col min="6905" max="6905" width="56.125" style="35" bestFit="1" customWidth="1"/>
    <col min="6906" max="6906" width="13" style="35" customWidth="1"/>
    <col min="6907" max="6907" width="11.25" style="35" bestFit="1" customWidth="1"/>
    <col min="6908" max="6908" width="11.75" style="35" customWidth="1"/>
    <col min="6909" max="6909" width="2.875" style="35" customWidth="1"/>
    <col min="6910" max="6910" width="13" style="35" bestFit="1" customWidth="1"/>
    <col min="6911" max="6911" width="14.875" style="35" bestFit="1" customWidth="1"/>
    <col min="6912" max="6912" width="13" style="35" bestFit="1" customWidth="1"/>
    <col min="6913" max="7158" width="8.25" style="35"/>
    <col min="7159" max="7159" width="4" style="35" bestFit="1" customWidth="1"/>
    <col min="7160" max="7160" width="9.875" style="35" customWidth="1"/>
    <col min="7161" max="7161" width="56.125" style="35" bestFit="1" customWidth="1"/>
    <col min="7162" max="7162" width="13" style="35" customWidth="1"/>
    <col min="7163" max="7163" width="11.25" style="35" bestFit="1" customWidth="1"/>
    <col min="7164" max="7164" width="11.75" style="35" customWidth="1"/>
    <col min="7165" max="7165" width="2.875" style="35" customWidth="1"/>
    <col min="7166" max="7166" width="13" style="35" bestFit="1" customWidth="1"/>
    <col min="7167" max="7167" width="14.875" style="35" bestFit="1" customWidth="1"/>
    <col min="7168" max="7168" width="13" style="35" bestFit="1" customWidth="1"/>
    <col min="7169" max="7414" width="8.25" style="35"/>
    <col min="7415" max="7415" width="4" style="35" bestFit="1" customWidth="1"/>
    <col min="7416" max="7416" width="9.875" style="35" customWidth="1"/>
    <col min="7417" max="7417" width="56.125" style="35" bestFit="1" customWidth="1"/>
    <col min="7418" max="7418" width="13" style="35" customWidth="1"/>
    <col min="7419" max="7419" width="11.25" style="35" bestFit="1" customWidth="1"/>
    <col min="7420" max="7420" width="11.75" style="35" customWidth="1"/>
    <col min="7421" max="7421" width="2.875" style="35" customWidth="1"/>
    <col min="7422" max="7422" width="13" style="35" bestFit="1" customWidth="1"/>
    <col min="7423" max="7423" width="14.875" style="35" bestFit="1" customWidth="1"/>
    <col min="7424" max="7424" width="13" style="35" bestFit="1" customWidth="1"/>
    <col min="7425" max="7670" width="8.25" style="35"/>
    <col min="7671" max="7671" width="4" style="35" bestFit="1" customWidth="1"/>
    <col min="7672" max="7672" width="9.875" style="35" customWidth="1"/>
    <col min="7673" max="7673" width="56.125" style="35" bestFit="1" customWidth="1"/>
    <col min="7674" max="7674" width="13" style="35" customWidth="1"/>
    <col min="7675" max="7675" width="11.25" style="35" bestFit="1" customWidth="1"/>
    <col min="7676" max="7676" width="11.75" style="35" customWidth="1"/>
    <col min="7677" max="7677" width="2.875" style="35" customWidth="1"/>
    <col min="7678" max="7678" width="13" style="35" bestFit="1" customWidth="1"/>
    <col min="7679" max="7679" width="14.875" style="35" bestFit="1" customWidth="1"/>
    <col min="7680" max="7680" width="13" style="35" bestFit="1" customWidth="1"/>
    <col min="7681" max="7926" width="8.25" style="35"/>
    <col min="7927" max="7927" width="4" style="35" bestFit="1" customWidth="1"/>
    <col min="7928" max="7928" width="9.875" style="35" customWidth="1"/>
    <col min="7929" max="7929" width="56.125" style="35" bestFit="1" customWidth="1"/>
    <col min="7930" max="7930" width="13" style="35" customWidth="1"/>
    <col min="7931" max="7931" width="11.25" style="35" bestFit="1" customWidth="1"/>
    <col min="7932" max="7932" width="11.75" style="35" customWidth="1"/>
    <col min="7933" max="7933" width="2.875" style="35" customWidth="1"/>
    <col min="7934" max="7934" width="13" style="35" bestFit="1" customWidth="1"/>
    <col min="7935" max="7935" width="14.875" style="35" bestFit="1" customWidth="1"/>
    <col min="7936" max="7936" width="13" style="35" bestFit="1" customWidth="1"/>
    <col min="7937" max="8182" width="8.25" style="35"/>
    <col min="8183" max="8183" width="4" style="35" bestFit="1" customWidth="1"/>
    <col min="8184" max="8184" width="9.875" style="35" customWidth="1"/>
    <col min="8185" max="8185" width="56.125" style="35" bestFit="1" customWidth="1"/>
    <col min="8186" max="8186" width="13" style="35" customWidth="1"/>
    <col min="8187" max="8187" width="11.25" style="35" bestFit="1" customWidth="1"/>
    <col min="8188" max="8188" width="11.75" style="35" customWidth="1"/>
    <col min="8189" max="8189" width="2.875" style="35" customWidth="1"/>
    <col min="8190" max="8190" width="13" style="35" bestFit="1" customWidth="1"/>
    <col min="8191" max="8191" width="14.875" style="35" bestFit="1" customWidth="1"/>
    <col min="8192" max="8192" width="13" style="35" bestFit="1" customWidth="1"/>
    <col min="8193" max="8438" width="8.25" style="35"/>
    <col min="8439" max="8439" width="4" style="35" bestFit="1" customWidth="1"/>
    <col min="8440" max="8440" width="9.875" style="35" customWidth="1"/>
    <col min="8441" max="8441" width="56.125" style="35" bestFit="1" customWidth="1"/>
    <col min="8442" max="8442" width="13" style="35" customWidth="1"/>
    <col min="8443" max="8443" width="11.25" style="35" bestFit="1" customWidth="1"/>
    <col min="8444" max="8444" width="11.75" style="35" customWidth="1"/>
    <col min="8445" max="8445" width="2.875" style="35" customWidth="1"/>
    <col min="8446" max="8446" width="13" style="35" bestFit="1" customWidth="1"/>
    <col min="8447" max="8447" width="14.875" style="35" bestFit="1" customWidth="1"/>
    <col min="8448" max="8448" width="13" style="35" bestFit="1" customWidth="1"/>
    <col min="8449" max="8694" width="8.25" style="35"/>
    <col min="8695" max="8695" width="4" style="35" bestFit="1" customWidth="1"/>
    <col min="8696" max="8696" width="9.875" style="35" customWidth="1"/>
    <col min="8697" max="8697" width="56.125" style="35" bestFit="1" customWidth="1"/>
    <col min="8698" max="8698" width="13" style="35" customWidth="1"/>
    <col min="8699" max="8699" width="11.25" style="35" bestFit="1" customWidth="1"/>
    <col min="8700" max="8700" width="11.75" style="35" customWidth="1"/>
    <col min="8701" max="8701" width="2.875" style="35" customWidth="1"/>
    <col min="8702" max="8702" width="13" style="35" bestFit="1" customWidth="1"/>
    <col min="8703" max="8703" width="14.875" style="35" bestFit="1" customWidth="1"/>
    <col min="8704" max="8704" width="13" style="35" bestFit="1" customWidth="1"/>
    <col min="8705" max="8950" width="8.25" style="35"/>
    <col min="8951" max="8951" width="4" style="35" bestFit="1" customWidth="1"/>
    <col min="8952" max="8952" width="9.875" style="35" customWidth="1"/>
    <col min="8953" max="8953" width="56.125" style="35" bestFit="1" customWidth="1"/>
    <col min="8954" max="8954" width="13" style="35" customWidth="1"/>
    <col min="8955" max="8955" width="11.25" style="35" bestFit="1" customWidth="1"/>
    <col min="8956" max="8956" width="11.75" style="35" customWidth="1"/>
    <col min="8957" max="8957" width="2.875" style="35" customWidth="1"/>
    <col min="8958" max="8958" width="13" style="35" bestFit="1" customWidth="1"/>
    <col min="8959" max="8959" width="14.875" style="35" bestFit="1" customWidth="1"/>
    <col min="8960" max="8960" width="13" style="35" bestFit="1" customWidth="1"/>
    <col min="8961" max="9206" width="8.25" style="35"/>
    <col min="9207" max="9207" width="4" style="35" bestFit="1" customWidth="1"/>
    <col min="9208" max="9208" width="9.875" style="35" customWidth="1"/>
    <col min="9209" max="9209" width="56.125" style="35" bestFit="1" customWidth="1"/>
    <col min="9210" max="9210" width="13" style="35" customWidth="1"/>
    <col min="9211" max="9211" width="11.25" style="35" bestFit="1" customWidth="1"/>
    <col min="9212" max="9212" width="11.75" style="35" customWidth="1"/>
    <col min="9213" max="9213" width="2.875" style="35" customWidth="1"/>
    <col min="9214" max="9214" width="13" style="35" bestFit="1" customWidth="1"/>
    <col min="9215" max="9215" width="14.875" style="35" bestFit="1" customWidth="1"/>
    <col min="9216" max="9216" width="13" style="35" bestFit="1" customWidth="1"/>
    <col min="9217" max="9462" width="8.25" style="35"/>
    <col min="9463" max="9463" width="4" style="35" bestFit="1" customWidth="1"/>
    <col min="9464" max="9464" width="9.875" style="35" customWidth="1"/>
    <col min="9465" max="9465" width="56.125" style="35" bestFit="1" customWidth="1"/>
    <col min="9466" max="9466" width="13" style="35" customWidth="1"/>
    <col min="9467" max="9467" width="11.25" style="35" bestFit="1" customWidth="1"/>
    <col min="9468" max="9468" width="11.75" style="35" customWidth="1"/>
    <col min="9469" max="9469" width="2.875" style="35" customWidth="1"/>
    <col min="9470" max="9470" width="13" style="35" bestFit="1" customWidth="1"/>
    <col min="9471" max="9471" width="14.875" style="35" bestFit="1" customWidth="1"/>
    <col min="9472" max="9472" width="13" style="35" bestFit="1" customWidth="1"/>
    <col min="9473" max="9718" width="8.25" style="35"/>
    <col min="9719" max="9719" width="4" style="35" bestFit="1" customWidth="1"/>
    <col min="9720" max="9720" width="9.875" style="35" customWidth="1"/>
    <col min="9721" max="9721" width="56.125" style="35" bestFit="1" customWidth="1"/>
    <col min="9722" max="9722" width="13" style="35" customWidth="1"/>
    <col min="9723" max="9723" width="11.25" style="35" bestFit="1" customWidth="1"/>
    <col min="9724" max="9724" width="11.75" style="35" customWidth="1"/>
    <col min="9725" max="9725" width="2.875" style="35" customWidth="1"/>
    <col min="9726" max="9726" width="13" style="35" bestFit="1" customWidth="1"/>
    <col min="9727" max="9727" width="14.875" style="35" bestFit="1" customWidth="1"/>
    <col min="9728" max="9728" width="13" style="35" bestFit="1" customWidth="1"/>
    <col min="9729" max="9974" width="8.25" style="35"/>
    <col min="9975" max="9975" width="4" style="35" bestFit="1" customWidth="1"/>
    <col min="9976" max="9976" width="9.875" style="35" customWidth="1"/>
    <col min="9977" max="9977" width="56.125" style="35" bestFit="1" customWidth="1"/>
    <col min="9978" max="9978" width="13" style="35" customWidth="1"/>
    <col min="9979" max="9979" width="11.25" style="35" bestFit="1" customWidth="1"/>
    <col min="9980" max="9980" width="11.75" style="35" customWidth="1"/>
    <col min="9981" max="9981" width="2.875" style="35" customWidth="1"/>
    <col min="9982" max="9982" width="13" style="35" bestFit="1" customWidth="1"/>
    <col min="9983" max="9983" width="14.875" style="35" bestFit="1" customWidth="1"/>
    <col min="9984" max="9984" width="13" style="35" bestFit="1" customWidth="1"/>
    <col min="9985" max="10230" width="8.25" style="35"/>
    <col min="10231" max="10231" width="4" style="35" bestFit="1" customWidth="1"/>
    <col min="10232" max="10232" width="9.875" style="35" customWidth="1"/>
    <col min="10233" max="10233" width="56.125" style="35" bestFit="1" customWidth="1"/>
    <col min="10234" max="10234" width="13" style="35" customWidth="1"/>
    <col min="10235" max="10235" width="11.25" style="35" bestFit="1" customWidth="1"/>
    <col min="10236" max="10236" width="11.75" style="35" customWidth="1"/>
    <col min="10237" max="10237" width="2.875" style="35" customWidth="1"/>
    <col min="10238" max="10238" width="13" style="35" bestFit="1" customWidth="1"/>
    <col min="10239" max="10239" width="14.875" style="35" bestFit="1" customWidth="1"/>
    <col min="10240" max="10240" width="13" style="35" bestFit="1" customWidth="1"/>
    <col min="10241" max="10486" width="8.25" style="35"/>
    <col min="10487" max="10487" width="4" style="35" bestFit="1" customWidth="1"/>
    <col min="10488" max="10488" width="9.875" style="35" customWidth="1"/>
    <col min="10489" max="10489" width="56.125" style="35" bestFit="1" customWidth="1"/>
    <col min="10490" max="10490" width="13" style="35" customWidth="1"/>
    <col min="10491" max="10491" width="11.25" style="35" bestFit="1" customWidth="1"/>
    <col min="10492" max="10492" width="11.75" style="35" customWidth="1"/>
    <col min="10493" max="10493" width="2.875" style="35" customWidth="1"/>
    <col min="10494" max="10494" width="13" style="35" bestFit="1" customWidth="1"/>
    <col min="10495" max="10495" width="14.875" style="35" bestFit="1" customWidth="1"/>
    <col min="10496" max="10496" width="13" style="35" bestFit="1" customWidth="1"/>
    <col min="10497" max="10742" width="8.25" style="35"/>
    <col min="10743" max="10743" width="4" style="35" bestFit="1" customWidth="1"/>
    <col min="10744" max="10744" width="9.875" style="35" customWidth="1"/>
    <col min="10745" max="10745" width="56.125" style="35" bestFit="1" customWidth="1"/>
    <col min="10746" max="10746" width="13" style="35" customWidth="1"/>
    <col min="10747" max="10747" width="11.25" style="35" bestFit="1" customWidth="1"/>
    <col min="10748" max="10748" width="11.75" style="35" customWidth="1"/>
    <col min="10749" max="10749" width="2.875" style="35" customWidth="1"/>
    <col min="10750" max="10750" width="13" style="35" bestFit="1" customWidth="1"/>
    <col min="10751" max="10751" width="14.875" style="35" bestFit="1" customWidth="1"/>
    <col min="10752" max="10752" width="13" style="35" bestFit="1" customWidth="1"/>
    <col min="10753" max="10998" width="8.25" style="35"/>
    <col min="10999" max="10999" width="4" style="35" bestFit="1" customWidth="1"/>
    <col min="11000" max="11000" width="9.875" style="35" customWidth="1"/>
    <col min="11001" max="11001" width="56.125" style="35" bestFit="1" customWidth="1"/>
    <col min="11002" max="11002" width="13" style="35" customWidth="1"/>
    <col min="11003" max="11003" width="11.25" style="35" bestFit="1" customWidth="1"/>
    <col min="11004" max="11004" width="11.75" style="35" customWidth="1"/>
    <col min="11005" max="11005" width="2.875" style="35" customWidth="1"/>
    <col min="11006" max="11006" width="13" style="35" bestFit="1" customWidth="1"/>
    <col min="11007" max="11007" width="14.875" style="35" bestFit="1" customWidth="1"/>
    <col min="11008" max="11008" width="13" style="35" bestFit="1" customWidth="1"/>
    <col min="11009" max="11254" width="8.25" style="35"/>
    <col min="11255" max="11255" width="4" style="35" bestFit="1" customWidth="1"/>
    <col min="11256" max="11256" width="9.875" style="35" customWidth="1"/>
    <col min="11257" max="11257" width="56.125" style="35" bestFit="1" customWidth="1"/>
    <col min="11258" max="11258" width="13" style="35" customWidth="1"/>
    <col min="11259" max="11259" width="11.25" style="35" bestFit="1" customWidth="1"/>
    <col min="11260" max="11260" width="11.75" style="35" customWidth="1"/>
    <col min="11261" max="11261" width="2.875" style="35" customWidth="1"/>
    <col min="11262" max="11262" width="13" style="35" bestFit="1" customWidth="1"/>
    <col min="11263" max="11263" width="14.875" style="35" bestFit="1" customWidth="1"/>
    <col min="11264" max="11264" width="13" style="35" bestFit="1" customWidth="1"/>
    <col min="11265" max="11510" width="8.25" style="35"/>
    <col min="11511" max="11511" width="4" style="35" bestFit="1" customWidth="1"/>
    <col min="11512" max="11512" width="9.875" style="35" customWidth="1"/>
    <col min="11513" max="11513" width="56.125" style="35" bestFit="1" customWidth="1"/>
    <col min="11514" max="11514" width="13" style="35" customWidth="1"/>
    <col min="11515" max="11515" width="11.25" style="35" bestFit="1" customWidth="1"/>
    <col min="11516" max="11516" width="11.75" style="35" customWidth="1"/>
    <col min="11517" max="11517" width="2.875" style="35" customWidth="1"/>
    <col min="11518" max="11518" width="13" style="35" bestFit="1" customWidth="1"/>
    <col min="11519" max="11519" width="14.875" style="35" bestFit="1" customWidth="1"/>
    <col min="11520" max="11520" width="13" style="35" bestFit="1" customWidth="1"/>
    <col min="11521" max="11766" width="8.25" style="35"/>
    <col min="11767" max="11767" width="4" style="35" bestFit="1" customWidth="1"/>
    <col min="11768" max="11768" width="9.875" style="35" customWidth="1"/>
    <col min="11769" max="11769" width="56.125" style="35" bestFit="1" customWidth="1"/>
    <col min="11770" max="11770" width="13" style="35" customWidth="1"/>
    <col min="11771" max="11771" width="11.25" style="35" bestFit="1" customWidth="1"/>
    <col min="11772" max="11772" width="11.75" style="35" customWidth="1"/>
    <col min="11773" max="11773" width="2.875" style="35" customWidth="1"/>
    <col min="11774" max="11774" width="13" style="35" bestFit="1" customWidth="1"/>
    <col min="11775" max="11775" width="14.875" style="35" bestFit="1" customWidth="1"/>
    <col min="11776" max="11776" width="13" style="35" bestFit="1" customWidth="1"/>
    <col min="11777" max="12022" width="8.25" style="35"/>
    <col min="12023" max="12023" width="4" style="35" bestFit="1" customWidth="1"/>
    <col min="12024" max="12024" width="9.875" style="35" customWidth="1"/>
    <col min="12025" max="12025" width="56.125" style="35" bestFit="1" customWidth="1"/>
    <col min="12026" max="12026" width="13" style="35" customWidth="1"/>
    <col min="12027" max="12027" width="11.25" style="35" bestFit="1" customWidth="1"/>
    <col min="12028" max="12028" width="11.75" style="35" customWidth="1"/>
    <col min="12029" max="12029" width="2.875" style="35" customWidth="1"/>
    <col min="12030" max="12030" width="13" style="35" bestFit="1" customWidth="1"/>
    <col min="12031" max="12031" width="14.875" style="35" bestFit="1" customWidth="1"/>
    <col min="12032" max="12032" width="13" style="35" bestFit="1" customWidth="1"/>
    <col min="12033" max="12278" width="8.25" style="35"/>
    <col min="12279" max="12279" width="4" style="35" bestFit="1" customWidth="1"/>
    <col min="12280" max="12280" width="9.875" style="35" customWidth="1"/>
    <col min="12281" max="12281" width="56.125" style="35" bestFit="1" customWidth="1"/>
    <col min="12282" max="12282" width="13" style="35" customWidth="1"/>
    <col min="12283" max="12283" width="11.25" style="35" bestFit="1" customWidth="1"/>
    <col min="12284" max="12284" width="11.75" style="35" customWidth="1"/>
    <col min="12285" max="12285" width="2.875" style="35" customWidth="1"/>
    <col min="12286" max="12286" width="13" style="35" bestFit="1" customWidth="1"/>
    <col min="12287" max="12287" width="14.875" style="35" bestFit="1" customWidth="1"/>
    <col min="12288" max="12288" width="13" style="35" bestFit="1" customWidth="1"/>
    <col min="12289" max="12534" width="8.25" style="35"/>
    <col min="12535" max="12535" width="4" style="35" bestFit="1" customWidth="1"/>
    <col min="12536" max="12536" width="9.875" style="35" customWidth="1"/>
    <col min="12537" max="12537" width="56.125" style="35" bestFit="1" customWidth="1"/>
    <col min="12538" max="12538" width="13" style="35" customWidth="1"/>
    <col min="12539" max="12539" width="11.25" style="35" bestFit="1" customWidth="1"/>
    <col min="12540" max="12540" width="11.75" style="35" customWidth="1"/>
    <col min="12541" max="12541" width="2.875" style="35" customWidth="1"/>
    <col min="12542" max="12542" width="13" style="35" bestFit="1" customWidth="1"/>
    <col min="12543" max="12543" width="14.875" style="35" bestFit="1" customWidth="1"/>
    <col min="12544" max="12544" width="13" style="35" bestFit="1" customWidth="1"/>
    <col min="12545" max="12790" width="8.25" style="35"/>
    <col min="12791" max="12791" width="4" style="35" bestFit="1" customWidth="1"/>
    <col min="12792" max="12792" width="9.875" style="35" customWidth="1"/>
    <col min="12793" max="12793" width="56.125" style="35" bestFit="1" customWidth="1"/>
    <col min="12794" max="12794" width="13" style="35" customWidth="1"/>
    <col min="12795" max="12795" width="11.25" style="35" bestFit="1" customWidth="1"/>
    <col min="12796" max="12796" width="11.75" style="35" customWidth="1"/>
    <col min="12797" max="12797" width="2.875" style="35" customWidth="1"/>
    <col min="12798" max="12798" width="13" style="35" bestFit="1" customWidth="1"/>
    <col min="12799" max="12799" width="14.875" style="35" bestFit="1" customWidth="1"/>
    <col min="12800" max="12800" width="13" style="35" bestFit="1" customWidth="1"/>
    <col min="12801" max="13046" width="8.25" style="35"/>
    <col min="13047" max="13047" width="4" style="35" bestFit="1" customWidth="1"/>
    <col min="13048" max="13048" width="9.875" style="35" customWidth="1"/>
    <col min="13049" max="13049" width="56.125" style="35" bestFit="1" customWidth="1"/>
    <col min="13050" max="13050" width="13" style="35" customWidth="1"/>
    <col min="13051" max="13051" width="11.25" style="35" bestFit="1" customWidth="1"/>
    <col min="13052" max="13052" width="11.75" style="35" customWidth="1"/>
    <col min="13053" max="13053" width="2.875" style="35" customWidth="1"/>
    <col min="13054" max="13054" width="13" style="35" bestFit="1" customWidth="1"/>
    <col min="13055" max="13055" width="14.875" style="35" bestFit="1" customWidth="1"/>
    <col min="13056" max="13056" width="13" style="35" bestFit="1" customWidth="1"/>
    <col min="13057" max="13302" width="8.25" style="35"/>
    <col min="13303" max="13303" width="4" style="35" bestFit="1" customWidth="1"/>
    <col min="13304" max="13304" width="9.875" style="35" customWidth="1"/>
    <col min="13305" max="13305" width="56.125" style="35" bestFit="1" customWidth="1"/>
    <col min="13306" max="13306" width="13" style="35" customWidth="1"/>
    <col min="13307" max="13307" width="11.25" style="35" bestFit="1" customWidth="1"/>
    <col min="13308" max="13308" width="11.75" style="35" customWidth="1"/>
    <col min="13309" max="13309" width="2.875" style="35" customWidth="1"/>
    <col min="13310" max="13310" width="13" style="35" bestFit="1" customWidth="1"/>
    <col min="13311" max="13311" width="14.875" style="35" bestFit="1" customWidth="1"/>
    <col min="13312" max="13312" width="13" style="35" bestFit="1" customWidth="1"/>
    <col min="13313" max="13558" width="8.25" style="35"/>
    <col min="13559" max="13559" width="4" style="35" bestFit="1" customWidth="1"/>
    <col min="13560" max="13560" width="9.875" style="35" customWidth="1"/>
    <col min="13561" max="13561" width="56.125" style="35" bestFit="1" customWidth="1"/>
    <col min="13562" max="13562" width="13" style="35" customWidth="1"/>
    <col min="13563" max="13563" width="11.25" style="35" bestFit="1" customWidth="1"/>
    <col min="13564" max="13564" width="11.75" style="35" customWidth="1"/>
    <col min="13565" max="13565" width="2.875" style="35" customWidth="1"/>
    <col min="13566" max="13566" width="13" style="35" bestFit="1" customWidth="1"/>
    <col min="13567" max="13567" width="14.875" style="35" bestFit="1" customWidth="1"/>
    <col min="13568" max="13568" width="13" style="35" bestFit="1" customWidth="1"/>
    <col min="13569" max="13814" width="8.25" style="35"/>
    <col min="13815" max="13815" width="4" style="35" bestFit="1" customWidth="1"/>
    <col min="13816" max="13816" width="9.875" style="35" customWidth="1"/>
    <col min="13817" max="13817" width="56.125" style="35" bestFit="1" customWidth="1"/>
    <col min="13818" max="13818" width="13" style="35" customWidth="1"/>
    <col min="13819" max="13819" width="11.25" style="35" bestFit="1" customWidth="1"/>
    <col min="13820" max="13820" width="11.75" style="35" customWidth="1"/>
    <col min="13821" max="13821" width="2.875" style="35" customWidth="1"/>
    <col min="13822" max="13822" width="13" style="35" bestFit="1" customWidth="1"/>
    <col min="13823" max="13823" width="14.875" style="35" bestFit="1" customWidth="1"/>
    <col min="13824" max="13824" width="13" style="35" bestFit="1" customWidth="1"/>
    <col min="13825" max="14070" width="8.25" style="35"/>
    <col min="14071" max="14071" width="4" style="35" bestFit="1" customWidth="1"/>
    <col min="14072" max="14072" width="9.875" style="35" customWidth="1"/>
    <col min="14073" max="14073" width="56.125" style="35" bestFit="1" customWidth="1"/>
    <col min="14074" max="14074" width="13" style="35" customWidth="1"/>
    <col min="14075" max="14075" width="11.25" style="35" bestFit="1" customWidth="1"/>
    <col min="14076" max="14076" width="11.75" style="35" customWidth="1"/>
    <col min="14077" max="14077" width="2.875" style="35" customWidth="1"/>
    <col min="14078" max="14078" width="13" style="35" bestFit="1" customWidth="1"/>
    <col min="14079" max="14079" width="14.875" style="35" bestFit="1" customWidth="1"/>
    <col min="14080" max="14080" width="13" style="35" bestFit="1" customWidth="1"/>
    <col min="14081" max="14326" width="8.25" style="35"/>
    <col min="14327" max="14327" width="4" style="35" bestFit="1" customWidth="1"/>
    <col min="14328" max="14328" width="9.875" style="35" customWidth="1"/>
    <col min="14329" max="14329" width="56.125" style="35" bestFit="1" customWidth="1"/>
    <col min="14330" max="14330" width="13" style="35" customWidth="1"/>
    <col min="14331" max="14331" width="11.25" style="35" bestFit="1" customWidth="1"/>
    <col min="14332" max="14332" width="11.75" style="35" customWidth="1"/>
    <col min="14333" max="14333" width="2.875" style="35" customWidth="1"/>
    <col min="14334" max="14334" width="13" style="35" bestFit="1" customWidth="1"/>
    <col min="14335" max="14335" width="14.875" style="35" bestFit="1" customWidth="1"/>
    <col min="14336" max="14336" width="13" style="35" bestFit="1" customWidth="1"/>
    <col min="14337" max="14582" width="8.25" style="35"/>
    <col min="14583" max="14583" width="4" style="35" bestFit="1" customWidth="1"/>
    <col min="14584" max="14584" width="9.875" style="35" customWidth="1"/>
    <col min="14585" max="14585" width="56.125" style="35" bestFit="1" customWidth="1"/>
    <col min="14586" max="14586" width="13" style="35" customWidth="1"/>
    <col min="14587" max="14587" width="11.25" style="35" bestFit="1" customWidth="1"/>
    <col min="14588" max="14588" width="11.75" style="35" customWidth="1"/>
    <col min="14589" max="14589" width="2.875" style="35" customWidth="1"/>
    <col min="14590" max="14590" width="13" style="35" bestFit="1" customWidth="1"/>
    <col min="14591" max="14591" width="14.875" style="35" bestFit="1" customWidth="1"/>
    <col min="14592" max="14592" width="13" style="35" bestFit="1" customWidth="1"/>
    <col min="14593" max="14838" width="8.25" style="35"/>
    <col min="14839" max="14839" width="4" style="35" bestFit="1" customWidth="1"/>
    <col min="14840" max="14840" width="9.875" style="35" customWidth="1"/>
    <col min="14841" max="14841" width="56.125" style="35" bestFit="1" customWidth="1"/>
    <col min="14842" max="14842" width="13" style="35" customWidth="1"/>
    <col min="14843" max="14843" width="11.25" style="35" bestFit="1" customWidth="1"/>
    <col min="14844" max="14844" width="11.75" style="35" customWidth="1"/>
    <col min="14845" max="14845" width="2.875" style="35" customWidth="1"/>
    <col min="14846" max="14846" width="13" style="35" bestFit="1" customWidth="1"/>
    <col min="14847" max="14847" width="14.875" style="35" bestFit="1" customWidth="1"/>
    <col min="14848" max="14848" width="13" style="35" bestFit="1" customWidth="1"/>
    <col min="14849" max="15094" width="8.25" style="35"/>
    <col min="15095" max="15095" width="4" style="35" bestFit="1" customWidth="1"/>
    <col min="15096" max="15096" width="9.875" style="35" customWidth="1"/>
    <col min="15097" max="15097" width="56.125" style="35" bestFit="1" customWidth="1"/>
    <col min="15098" max="15098" width="13" style="35" customWidth="1"/>
    <col min="15099" max="15099" width="11.25" style="35" bestFit="1" customWidth="1"/>
    <col min="15100" max="15100" width="11.75" style="35" customWidth="1"/>
    <col min="15101" max="15101" width="2.875" style="35" customWidth="1"/>
    <col min="15102" max="15102" width="13" style="35" bestFit="1" customWidth="1"/>
    <col min="15103" max="15103" width="14.875" style="35" bestFit="1" customWidth="1"/>
    <col min="15104" max="15104" width="13" style="35" bestFit="1" customWidth="1"/>
    <col min="15105" max="15350" width="8.25" style="35"/>
    <col min="15351" max="15351" width="4" style="35" bestFit="1" customWidth="1"/>
    <col min="15352" max="15352" width="9.875" style="35" customWidth="1"/>
    <col min="15353" max="15353" width="56.125" style="35" bestFit="1" customWidth="1"/>
    <col min="15354" max="15354" width="13" style="35" customWidth="1"/>
    <col min="15355" max="15355" width="11.25" style="35" bestFit="1" customWidth="1"/>
    <col min="15356" max="15356" width="11.75" style="35" customWidth="1"/>
    <col min="15357" max="15357" width="2.875" style="35" customWidth="1"/>
    <col min="15358" max="15358" width="13" style="35" bestFit="1" customWidth="1"/>
    <col min="15359" max="15359" width="14.875" style="35" bestFit="1" customWidth="1"/>
    <col min="15360" max="15360" width="13" style="35" bestFit="1" customWidth="1"/>
    <col min="15361" max="15606" width="8.25" style="35"/>
    <col min="15607" max="15607" width="4" style="35" bestFit="1" customWidth="1"/>
    <col min="15608" max="15608" width="9.875" style="35" customWidth="1"/>
    <col min="15609" max="15609" width="56.125" style="35" bestFit="1" customWidth="1"/>
    <col min="15610" max="15610" width="13" style="35" customWidth="1"/>
    <col min="15611" max="15611" width="11.25" style="35" bestFit="1" customWidth="1"/>
    <col min="15612" max="15612" width="11.75" style="35" customWidth="1"/>
    <col min="15613" max="15613" width="2.875" style="35" customWidth="1"/>
    <col min="15614" max="15614" width="13" style="35" bestFit="1" customWidth="1"/>
    <col min="15615" max="15615" width="14.875" style="35" bestFit="1" customWidth="1"/>
    <col min="15616" max="15616" width="13" style="35" bestFit="1" customWidth="1"/>
    <col min="15617" max="15862" width="8.25" style="35"/>
    <col min="15863" max="15863" width="4" style="35" bestFit="1" customWidth="1"/>
    <col min="15864" max="15864" width="9.875" style="35" customWidth="1"/>
    <col min="15865" max="15865" width="56.125" style="35" bestFit="1" customWidth="1"/>
    <col min="15866" max="15866" width="13" style="35" customWidth="1"/>
    <col min="15867" max="15867" width="11.25" style="35" bestFit="1" customWidth="1"/>
    <col min="15868" max="15868" width="11.75" style="35" customWidth="1"/>
    <col min="15869" max="15869" width="2.875" style="35" customWidth="1"/>
    <col min="15870" max="15870" width="13" style="35" bestFit="1" customWidth="1"/>
    <col min="15871" max="15871" width="14.875" style="35" bestFit="1" customWidth="1"/>
    <col min="15872" max="15872" width="13" style="35" bestFit="1" customWidth="1"/>
    <col min="15873" max="16118" width="8.25" style="35"/>
    <col min="16119" max="16119" width="4" style="35" bestFit="1" customWidth="1"/>
    <col min="16120" max="16120" width="9.875" style="35" customWidth="1"/>
    <col min="16121" max="16121" width="56.125" style="35" bestFit="1" customWidth="1"/>
    <col min="16122" max="16122" width="13" style="35" customWidth="1"/>
    <col min="16123" max="16123" width="11.25" style="35" bestFit="1" customWidth="1"/>
    <col min="16124" max="16124" width="11.75" style="35" customWidth="1"/>
    <col min="16125" max="16125" width="2.875" style="35" customWidth="1"/>
    <col min="16126" max="16126" width="13" style="35" bestFit="1" customWidth="1"/>
    <col min="16127" max="16127" width="14.875" style="35" bestFit="1" customWidth="1"/>
    <col min="16128" max="16128" width="13" style="35" bestFit="1" customWidth="1"/>
    <col min="16129" max="16384" width="8.25" style="35"/>
  </cols>
  <sheetData>
    <row r="1" spans="1:29" s="40" customFormat="1" x14ac:dyDescent="0.2">
      <c r="A1" s="591" t="s">
        <v>72</v>
      </c>
      <c r="B1" s="591"/>
      <c r="C1" s="591"/>
      <c r="D1" s="591"/>
      <c r="E1" s="591"/>
      <c r="H1" s="489"/>
      <c r="R1" s="409"/>
      <c r="X1" s="409"/>
    </row>
    <row r="2" spans="1:29" s="40" customFormat="1" x14ac:dyDescent="0.2">
      <c r="A2" s="591" t="s">
        <v>185</v>
      </c>
      <c r="B2" s="591"/>
      <c r="C2" s="591"/>
      <c r="D2" s="591"/>
      <c r="E2" s="591"/>
      <c r="H2" s="489"/>
      <c r="R2" s="409"/>
      <c r="X2" s="409"/>
    </row>
    <row r="3" spans="1:29" s="40" customFormat="1" ht="15.75" customHeight="1" x14ac:dyDescent="0.2">
      <c r="A3" s="409"/>
      <c r="B3" s="409"/>
      <c r="C3" s="409"/>
      <c r="D3" s="409"/>
      <c r="E3" s="409"/>
      <c r="F3" s="409"/>
      <c r="H3" s="489"/>
      <c r="R3" s="409"/>
      <c r="X3" s="409"/>
    </row>
    <row r="4" spans="1:29" s="40" customFormat="1" x14ac:dyDescent="0.2">
      <c r="A4" s="490"/>
      <c r="B4" s="490"/>
      <c r="C4" s="490"/>
      <c r="D4" s="490"/>
      <c r="E4" s="490"/>
      <c r="F4" s="490"/>
      <c r="H4" s="489"/>
      <c r="J4" s="590" t="s">
        <v>651</v>
      </c>
      <c r="K4" s="590"/>
      <c r="L4" s="590"/>
      <c r="N4" s="590" t="s">
        <v>406</v>
      </c>
      <c r="O4" s="590"/>
      <c r="P4" s="590"/>
      <c r="Q4" s="590"/>
      <c r="R4" s="590"/>
      <c r="T4" s="590" t="s">
        <v>655</v>
      </c>
      <c r="U4" s="590"/>
      <c r="V4" s="590"/>
      <c r="W4" s="590"/>
      <c r="X4" s="590"/>
      <c r="Z4" s="590" t="s">
        <v>599</v>
      </c>
      <c r="AA4" s="590"/>
      <c r="AB4" s="590"/>
    </row>
    <row r="5" spans="1:29" s="493" customFormat="1" ht="56.25" x14ac:dyDescent="0.2">
      <c r="A5" s="491" t="s">
        <v>152</v>
      </c>
      <c r="B5" s="491" t="s">
        <v>186</v>
      </c>
      <c r="C5" s="492" t="s">
        <v>42</v>
      </c>
      <c r="D5" s="491" t="s">
        <v>333</v>
      </c>
      <c r="E5" s="491" t="s">
        <v>350</v>
      </c>
      <c r="F5" s="491" t="s">
        <v>334</v>
      </c>
      <c r="G5" s="491" t="s">
        <v>546</v>
      </c>
      <c r="H5" s="491" t="s">
        <v>316</v>
      </c>
      <c r="J5" s="491" t="s">
        <v>349</v>
      </c>
      <c r="K5" s="491" t="s">
        <v>42</v>
      </c>
      <c r="L5" s="491" t="s">
        <v>652</v>
      </c>
      <c r="N5" s="523" t="s">
        <v>349</v>
      </c>
      <c r="O5" s="523" t="s">
        <v>351</v>
      </c>
      <c r="P5" s="491" t="s">
        <v>352</v>
      </c>
      <c r="Q5" s="491" t="s">
        <v>42</v>
      </c>
      <c r="R5" s="491" t="s">
        <v>514</v>
      </c>
      <c r="S5" s="494"/>
      <c r="T5" s="523" t="s">
        <v>349</v>
      </c>
      <c r="U5" s="523" t="s">
        <v>351</v>
      </c>
      <c r="V5" s="491" t="s">
        <v>352</v>
      </c>
      <c r="W5" s="491" t="s">
        <v>42</v>
      </c>
      <c r="X5" s="491" t="s">
        <v>515</v>
      </c>
      <c r="Z5" s="491" t="s">
        <v>349</v>
      </c>
      <c r="AA5" s="491" t="s">
        <v>42</v>
      </c>
      <c r="AB5" s="491" t="s">
        <v>606</v>
      </c>
    </row>
    <row r="6" spans="1:29" x14ac:dyDescent="0.2">
      <c r="D6" s="37" t="s">
        <v>155</v>
      </c>
      <c r="E6" s="37" t="s">
        <v>156</v>
      </c>
      <c r="F6" s="37" t="s">
        <v>315</v>
      </c>
      <c r="N6" s="524"/>
      <c r="O6" s="524"/>
      <c r="T6" s="524"/>
      <c r="U6" s="524"/>
    </row>
    <row r="7" spans="1:29" x14ac:dyDescent="0.2">
      <c r="A7" s="36">
        <v>1</v>
      </c>
      <c r="B7" s="38" t="s">
        <v>681</v>
      </c>
      <c r="C7" s="35" t="s">
        <v>19</v>
      </c>
      <c r="N7" s="524"/>
      <c r="O7" s="524"/>
      <c r="T7" s="524"/>
      <c r="U7" s="524"/>
    </row>
    <row r="8" spans="1:29" x14ac:dyDescent="0.2">
      <c r="A8" s="36">
        <f t="shared" ref="A8:A39" si="0">+A7+1</f>
        <v>2</v>
      </c>
      <c r="B8" s="36" t="str">
        <f>+B7</f>
        <v>7 (307) (317) (327)</v>
      </c>
      <c r="C8" s="39" t="s">
        <v>187</v>
      </c>
      <c r="D8" s="431">
        <v>7.49</v>
      </c>
      <c r="E8" s="431">
        <f>+'Exhibit No.__(BDJ-Res RD)'!G14</f>
        <v>7.49</v>
      </c>
      <c r="F8" s="431">
        <f>+E8-D8</f>
        <v>0</v>
      </c>
      <c r="G8" s="278" t="s">
        <v>319</v>
      </c>
      <c r="H8" s="278" t="s">
        <v>319</v>
      </c>
      <c r="N8" s="524"/>
      <c r="O8" s="524"/>
      <c r="T8" s="524"/>
      <c r="U8" s="524"/>
    </row>
    <row r="9" spans="1:29" x14ac:dyDescent="0.2">
      <c r="A9" s="36">
        <f t="shared" si="0"/>
        <v>3</v>
      </c>
      <c r="B9" s="36" t="str">
        <f>+B8</f>
        <v>7 (307) (317) (327)</v>
      </c>
      <c r="C9" s="39" t="s">
        <v>188</v>
      </c>
      <c r="D9" s="431">
        <v>17.989999999999998</v>
      </c>
      <c r="E9" s="431">
        <f>+'Exhibit No.__(BDJ-Res RD)'!G15</f>
        <v>17.989999999999998</v>
      </c>
      <c r="F9" s="431">
        <f>+E9-D9</f>
        <v>0</v>
      </c>
      <c r="G9" s="278" t="s">
        <v>319</v>
      </c>
      <c r="H9" s="278" t="s">
        <v>319</v>
      </c>
      <c r="N9" s="524"/>
      <c r="O9" s="524"/>
      <c r="T9" s="524"/>
      <c r="U9" s="524"/>
    </row>
    <row r="10" spans="1:29" x14ac:dyDescent="0.2">
      <c r="A10" s="36">
        <f t="shared" si="0"/>
        <v>4</v>
      </c>
      <c r="B10" s="36" t="str">
        <f>+B9</f>
        <v>7 (307) (317) (327)</v>
      </c>
      <c r="C10" s="39"/>
      <c r="D10" s="431"/>
      <c r="E10" s="431"/>
      <c r="F10" s="431"/>
      <c r="N10" s="524"/>
      <c r="O10" s="524"/>
      <c r="T10" s="524"/>
      <c r="U10" s="524"/>
    </row>
    <row r="11" spans="1:29" x14ac:dyDescent="0.2">
      <c r="A11" s="36">
        <f t="shared" si="0"/>
        <v>5</v>
      </c>
      <c r="B11" s="36" t="str">
        <f>+B10</f>
        <v>7 (307) (317) (327)</v>
      </c>
      <c r="C11" s="39" t="s">
        <v>244</v>
      </c>
      <c r="D11" s="277">
        <v>9.1343999999999995E-2</v>
      </c>
      <c r="E11" s="277">
        <f>+'Exhibit No.__(BDJ-Res RD)'!G18</f>
        <v>8.9437000000000003E-2</v>
      </c>
      <c r="F11" s="277">
        <f>+E11-D11</f>
        <v>-1.906999999999992E-3</v>
      </c>
      <c r="G11" s="278" t="s">
        <v>656</v>
      </c>
      <c r="H11" s="304">
        <v>7</v>
      </c>
      <c r="J11" s="277">
        <f>ROUND(+'Exhibit No.__(BDJ-141C)'!L7,6)</f>
        <v>2.6689999999999999E-3</v>
      </c>
      <c r="K11" s="277" t="s">
        <v>402</v>
      </c>
      <c r="L11" s="278" t="s">
        <v>653</v>
      </c>
      <c r="N11" s="525">
        <f>+'Exhibit No.__(BDJ-MYRP)'!L21</f>
        <v>1.2668E-2</v>
      </c>
      <c r="O11" s="525">
        <f>+'Exhibit No.__(BDJ-MYRP)'!R21</f>
        <v>1.0828000000000001E-2</v>
      </c>
      <c r="P11" s="277"/>
      <c r="Q11" s="277" t="s">
        <v>402</v>
      </c>
      <c r="R11" s="278" t="s">
        <v>594</v>
      </c>
      <c r="T11" s="525">
        <f>+'Exhibit No.__(BDJ-MYRP)'!M21</f>
        <v>2.3679999999999999E-3</v>
      </c>
      <c r="U11" s="525">
        <f>+'Exhibit No.__(BDJ-MYRP)'!S21</f>
        <v>5.8050000000000003E-3</v>
      </c>
      <c r="V11" s="277"/>
      <c r="W11" s="277" t="s">
        <v>402</v>
      </c>
      <c r="X11" s="278" t="s">
        <v>645</v>
      </c>
      <c r="Z11" s="277">
        <f>'Exhibit No.__(BDJ-141A)'!$E$16</f>
        <v>1.828E-3</v>
      </c>
      <c r="AA11" s="277" t="s">
        <v>402</v>
      </c>
      <c r="AB11" s="278" t="s">
        <v>607</v>
      </c>
      <c r="AC11" s="472"/>
    </row>
    <row r="12" spans="1:29" x14ac:dyDescent="0.2">
      <c r="A12" s="36">
        <f t="shared" si="0"/>
        <v>6</v>
      </c>
      <c r="B12" s="36" t="str">
        <f>+B11</f>
        <v>7 (307) (317) (327)</v>
      </c>
      <c r="C12" s="39" t="s">
        <v>245</v>
      </c>
      <c r="D12" s="277">
        <v>0.111175</v>
      </c>
      <c r="E12" s="277">
        <f>+'Exhibit No.__(BDJ-Res RD)'!G19</f>
        <v>0.10885400000000001</v>
      </c>
      <c r="F12" s="277">
        <f>+E12-D12</f>
        <v>-2.3209999999999897E-3</v>
      </c>
      <c r="G12" s="278" t="s">
        <v>656</v>
      </c>
      <c r="H12" s="304">
        <v>7</v>
      </c>
      <c r="J12" s="277"/>
      <c r="K12" s="277"/>
      <c r="L12" s="304"/>
      <c r="N12" s="525"/>
      <c r="O12" s="525"/>
      <c r="P12" s="277"/>
      <c r="Q12" s="277"/>
      <c r="R12" s="304"/>
      <c r="T12" s="525"/>
      <c r="U12" s="525"/>
      <c r="V12" s="277"/>
      <c r="W12" s="277"/>
      <c r="X12" s="304"/>
      <c r="Z12" s="277"/>
      <c r="AA12" s="277"/>
      <c r="AB12" s="304"/>
      <c r="AC12" s="472"/>
    </row>
    <row r="13" spans="1:29" x14ac:dyDescent="0.2">
      <c r="A13" s="36">
        <f t="shared" si="0"/>
        <v>7</v>
      </c>
      <c r="K13" s="277"/>
      <c r="L13" s="304"/>
      <c r="N13" s="525"/>
      <c r="O13" s="525"/>
      <c r="P13" s="277"/>
      <c r="Q13" s="277"/>
      <c r="R13" s="304"/>
      <c r="T13" s="525"/>
      <c r="U13" s="525"/>
      <c r="V13" s="277"/>
      <c r="W13" s="277"/>
      <c r="X13" s="304"/>
      <c r="AA13" s="277"/>
      <c r="AB13" s="304"/>
      <c r="AC13" s="472"/>
    </row>
    <row r="14" spans="1:29" x14ac:dyDescent="0.2">
      <c r="A14" s="36">
        <f t="shared" si="0"/>
        <v>8</v>
      </c>
      <c r="B14" s="36" t="s">
        <v>682</v>
      </c>
      <c r="C14" s="278" t="s">
        <v>189</v>
      </c>
      <c r="D14" s="431"/>
      <c r="E14" s="431"/>
      <c r="F14" s="431"/>
      <c r="K14" s="277"/>
      <c r="L14" s="304"/>
      <c r="N14" s="525"/>
      <c r="O14" s="525"/>
      <c r="P14" s="277"/>
      <c r="Q14" s="277"/>
      <c r="R14" s="304"/>
      <c r="T14" s="525"/>
      <c r="U14" s="525"/>
      <c r="V14" s="277"/>
      <c r="W14" s="277"/>
      <c r="X14" s="304"/>
      <c r="AA14" s="277"/>
      <c r="AB14" s="304"/>
      <c r="AC14" s="472"/>
    </row>
    <row r="15" spans="1:29" x14ac:dyDescent="0.2">
      <c r="A15" s="36">
        <f t="shared" si="0"/>
        <v>9</v>
      </c>
      <c r="B15" s="36" t="str">
        <f>+$B$14</f>
        <v>24 (08) (324)</v>
      </c>
      <c r="C15" s="39" t="s">
        <v>187</v>
      </c>
      <c r="D15" s="431">
        <v>10.210000000000001</v>
      </c>
      <c r="E15" s="431">
        <f>+'Exhibit No.__(BDJ-SV RD)'!G15</f>
        <v>10.210000000000001</v>
      </c>
      <c r="F15" s="431">
        <f>+E15-D15</f>
        <v>0</v>
      </c>
      <c r="G15" s="35" t="s">
        <v>328</v>
      </c>
      <c r="H15" s="304">
        <v>24</v>
      </c>
      <c r="K15" s="277"/>
      <c r="L15" s="304"/>
      <c r="N15" s="525"/>
      <c r="O15" s="525"/>
      <c r="P15" s="277"/>
      <c r="Q15" s="277"/>
      <c r="R15" s="304"/>
      <c r="T15" s="525"/>
      <c r="U15" s="525"/>
      <c r="V15" s="277"/>
      <c r="W15" s="277"/>
      <c r="X15" s="304"/>
      <c r="AA15" s="277"/>
      <c r="AB15" s="304"/>
      <c r="AC15" s="472"/>
    </row>
    <row r="16" spans="1:29" x14ac:dyDescent="0.2">
      <c r="A16" s="36">
        <f t="shared" si="0"/>
        <v>10</v>
      </c>
      <c r="B16" s="36" t="str">
        <f>+$B$14</f>
        <v>24 (08) (324)</v>
      </c>
      <c r="C16" s="39" t="s">
        <v>188</v>
      </c>
      <c r="D16" s="431">
        <v>25.95</v>
      </c>
      <c r="E16" s="431">
        <f>+'Exhibit No.__(BDJ-SV RD)'!G16</f>
        <v>25.95</v>
      </c>
      <c r="F16" s="431">
        <f>+E16-D16</f>
        <v>0</v>
      </c>
      <c r="G16" s="35" t="s">
        <v>328</v>
      </c>
      <c r="H16" s="304">
        <v>24</v>
      </c>
      <c r="K16" s="277"/>
      <c r="L16" s="304"/>
      <c r="N16" s="525"/>
      <c r="O16" s="525"/>
      <c r="P16" s="277"/>
      <c r="Q16" s="277"/>
      <c r="R16" s="304"/>
      <c r="T16" s="525"/>
      <c r="U16" s="525"/>
      <c r="V16" s="277"/>
      <c r="W16" s="277"/>
      <c r="X16" s="304"/>
      <c r="AA16" s="277"/>
      <c r="AB16" s="304"/>
      <c r="AC16" s="472"/>
    </row>
    <row r="17" spans="1:29" x14ac:dyDescent="0.2">
      <c r="A17" s="36">
        <f t="shared" si="0"/>
        <v>11</v>
      </c>
      <c r="B17" s="36" t="str">
        <f>+$B$14</f>
        <v>24 (08) (324)</v>
      </c>
      <c r="C17" s="39"/>
      <c r="D17" s="431"/>
      <c r="E17" s="431"/>
      <c r="F17" s="431"/>
      <c r="K17" s="277"/>
      <c r="L17" s="304"/>
      <c r="N17" s="525"/>
      <c r="O17" s="525"/>
      <c r="P17" s="277"/>
      <c r="Q17" s="277"/>
      <c r="R17" s="304"/>
      <c r="T17" s="525"/>
      <c r="U17" s="525"/>
      <c r="V17" s="277"/>
      <c r="W17" s="277"/>
      <c r="X17" s="304"/>
      <c r="AA17" s="277"/>
      <c r="AB17" s="304"/>
      <c r="AC17" s="472"/>
    </row>
    <row r="18" spans="1:29" x14ac:dyDescent="0.2">
      <c r="A18" s="36">
        <f t="shared" si="0"/>
        <v>12</v>
      </c>
      <c r="B18" s="36" t="str">
        <f>+$B$14</f>
        <v>24 (08) (324)</v>
      </c>
      <c r="C18" s="39" t="s">
        <v>190</v>
      </c>
      <c r="D18" s="277">
        <v>9.4531000000000004E-2</v>
      </c>
      <c r="E18" s="277">
        <f>+'Exhibit No.__(BDJ-SV RD)'!G19</f>
        <v>9.2536999999999994E-2</v>
      </c>
      <c r="F18" s="277">
        <f>+E18-D18</f>
        <v>-1.9940000000000097E-3</v>
      </c>
      <c r="G18" s="35" t="s">
        <v>328</v>
      </c>
      <c r="H18" s="304">
        <v>24</v>
      </c>
      <c r="J18" s="277">
        <f>ROUND(+'Exhibit No.__(BDJ-141C)'!L9,6)</f>
        <v>2.346E-3</v>
      </c>
      <c r="K18" s="277" t="s">
        <v>402</v>
      </c>
      <c r="L18" s="278" t="str">
        <f>+$L$11</f>
        <v>Sheet No. 141COL</v>
      </c>
      <c r="N18" s="525">
        <f>+'Exhibit No.__(BDJ-MYRP)'!L34</f>
        <v>9.8779999999999996E-3</v>
      </c>
      <c r="O18" s="525">
        <f>+'Exhibit No.__(BDJ-MYRP)'!R34</f>
        <v>8.4189999999999994E-3</v>
      </c>
      <c r="P18" s="277"/>
      <c r="Q18" s="277" t="s">
        <v>402</v>
      </c>
      <c r="R18" s="278" t="str">
        <f>+$R$11</f>
        <v>Sheet No. 141N</v>
      </c>
      <c r="T18" s="525">
        <f>+'Exhibit No.__(BDJ-MYRP)'!M34</f>
        <v>1.8469999999999999E-3</v>
      </c>
      <c r="U18" s="525">
        <f>+'Exhibit No.__(BDJ-MYRP)'!S34</f>
        <v>4.5139999999999998E-3</v>
      </c>
      <c r="V18" s="277"/>
      <c r="W18" s="277" t="s">
        <v>402</v>
      </c>
      <c r="X18" s="278" t="str">
        <f>+$X$11</f>
        <v>Sheet No. 141R</v>
      </c>
      <c r="Z18" s="277">
        <f>'Exhibit No.__(BDJ-141A)'!$E$25</f>
        <v>1.748E-3</v>
      </c>
      <c r="AA18" s="277" t="s">
        <v>402</v>
      </c>
      <c r="AB18" s="278" t="s">
        <v>607</v>
      </c>
      <c r="AC18" s="472"/>
    </row>
    <row r="19" spans="1:29" x14ac:dyDescent="0.2">
      <c r="A19" s="36">
        <f t="shared" si="0"/>
        <v>13</v>
      </c>
      <c r="B19" s="36" t="str">
        <f>+$B$14</f>
        <v>24 (08) (324)</v>
      </c>
      <c r="C19" s="39" t="s">
        <v>191</v>
      </c>
      <c r="D19" s="277">
        <v>9.1261999999999996E-2</v>
      </c>
      <c r="E19" s="277">
        <f>+'Exhibit No.__(BDJ-SV RD)'!G20</f>
        <v>8.9337E-2</v>
      </c>
      <c r="F19" s="277">
        <f>+E19-D19</f>
        <v>-1.9249999999999962E-3</v>
      </c>
      <c r="G19" s="35" t="s">
        <v>328</v>
      </c>
      <c r="H19" s="304">
        <v>24</v>
      </c>
      <c r="K19" s="277"/>
      <c r="L19" s="304"/>
      <c r="N19" s="525"/>
      <c r="O19" s="525"/>
      <c r="P19" s="277"/>
      <c r="Q19" s="277"/>
      <c r="R19" s="304"/>
      <c r="T19" s="525"/>
      <c r="U19" s="525"/>
      <c r="V19" s="277"/>
      <c r="W19" s="277"/>
      <c r="X19" s="304"/>
      <c r="AA19" s="277"/>
      <c r="AB19" s="304"/>
      <c r="AC19" s="472"/>
    </row>
    <row r="20" spans="1:29" x14ac:dyDescent="0.2">
      <c r="A20" s="36">
        <f t="shared" si="0"/>
        <v>14</v>
      </c>
      <c r="K20" s="277"/>
      <c r="L20" s="304"/>
      <c r="N20" s="525"/>
      <c r="O20" s="525"/>
      <c r="P20" s="277"/>
      <c r="Q20" s="277"/>
      <c r="R20" s="304"/>
      <c r="T20" s="525"/>
      <c r="U20" s="525"/>
      <c r="V20" s="277"/>
      <c r="W20" s="277"/>
      <c r="X20" s="304"/>
      <c r="AA20" s="277"/>
      <c r="AB20" s="304"/>
      <c r="AC20" s="472"/>
    </row>
    <row r="21" spans="1:29" x14ac:dyDescent="0.2">
      <c r="A21" s="36">
        <f t="shared" si="0"/>
        <v>15</v>
      </c>
      <c r="B21" s="38" t="s">
        <v>192</v>
      </c>
      <c r="C21" s="278" t="s">
        <v>193</v>
      </c>
      <c r="K21" s="277"/>
      <c r="L21" s="304"/>
      <c r="N21" s="525"/>
      <c r="O21" s="525"/>
      <c r="P21" s="277"/>
      <c r="Q21" s="277"/>
      <c r="R21" s="304"/>
      <c r="T21" s="525"/>
      <c r="U21" s="525"/>
      <c r="V21" s="277"/>
      <c r="W21" s="277"/>
      <c r="X21" s="304"/>
      <c r="AA21" s="277"/>
      <c r="AB21" s="304"/>
      <c r="AC21" s="472"/>
    </row>
    <row r="22" spans="1:29" x14ac:dyDescent="0.2">
      <c r="A22" s="36">
        <f t="shared" si="0"/>
        <v>16</v>
      </c>
      <c r="B22" s="38" t="str">
        <f t="shared" ref="B22:B32" si="1">+$B$21</f>
        <v>25 (7A) (11)</v>
      </c>
      <c r="C22" s="39" t="s">
        <v>194</v>
      </c>
      <c r="D22" s="431">
        <v>53.95</v>
      </c>
      <c r="E22" s="431">
        <f>+'Exhibit No.__(BDJ-SV RD)'!G41</f>
        <v>53.95</v>
      </c>
      <c r="F22" s="431">
        <f>+E22-D22</f>
        <v>0</v>
      </c>
      <c r="G22" s="35" t="s">
        <v>327</v>
      </c>
      <c r="H22" s="278" t="s">
        <v>331</v>
      </c>
      <c r="K22" s="277"/>
      <c r="L22" s="304"/>
      <c r="N22" s="525"/>
      <c r="O22" s="525"/>
      <c r="P22" s="277"/>
      <c r="Q22" s="277"/>
      <c r="R22" s="304"/>
      <c r="T22" s="525"/>
      <c r="U22" s="525"/>
      <c r="V22" s="277"/>
      <c r="W22" s="277"/>
      <c r="X22" s="304"/>
      <c r="AA22" s="277"/>
      <c r="AB22" s="304"/>
      <c r="AC22" s="472"/>
    </row>
    <row r="23" spans="1:29" x14ac:dyDescent="0.2">
      <c r="A23" s="36">
        <f t="shared" si="0"/>
        <v>17</v>
      </c>
      <c r="B23" s="38" t="str">
        <f t="shared" si="1"/>
        <v>25 (7A) (11)</v>
      </c>
      <c r="C23" s="39"/>
      <c r="D23" s="431"/>
      <c r="E23" s="431"/>
      <c r="F23" s="431"/>
      <c r="K23" s="277"/>
      <c r="L23" s="304"/>
      <c r="N23" s="525"/>
      <c r="O23" s="525"/>
      <c r="P23" s="277"/>
      <c r="Q23" s="277"/>
      <c r="R23" s="304"/>
      <c r="T23" s="525"/>
      <c r="U23" s="525"/>
      <c r="V23" s="277"/>
      <c r="W23" s="277"/>
      <c r="X23" s="304"/>
      <c r="AA23" s="277"/>
      <c r="AB23" s="304"/>
      <c r="AC23" s="472"/>
    </row>
    <row r="24" spans="1:29" x14ac:dyDescent="0.2">
      <c r="A24" s="36">
        <f t="shared" si="0"/>
        <v>18</v>
      </c>
      <c r="B24" s="38" t="str">
        <f t="shared" si="1"/>
        <v>25 (7A) (11)</v>
      </c>
      <c r="C24" s="39" t="s">
        <v>195</v>
      </c>
      <c r="D24" s="277">
        <v>9.2719999999999997E-2</v>
      </c>
      <c r="E24" s="277">
        <f>+'Exhibit No.__(BDJ-SV RD)'!G43</f>
        <v>9.0594999999999995E-2</v>
      </c>
      <c r="F24" s="277">
        <f>+E24-D24</f>
        <v>-2.1250000000000019E-3</v>
      </c>
      <c r="G24" s="35" t="s">
        <v>327</v>
      </c>
      <c r="H24" s="278" t="s">
        <v>331</v>
      </c>
      <c r="J24" s="277">
        <f>ROUND(+'Exhibit No.__(BDJ-141C)'!L11,6)</f>
        <v>4.6700000000000002E-4</v>
      </c>
      <c r="K24" s="277" t="s">
        <v>402</v>
      </c>
      <c r="L24" s="278" t="str">
        <f>+$L$11</f>
        <v>Sheet No. 141COL</v>
      </c>
      <c r="N24" s="525">
        <f>+'Exhibit No.__(BDJ-MYRP)'!L44</f>
        <v>8.7340000000000004E-3</v>
      </c>
      <c r="O24" s="525">
        <f>+'Exhibit No.__(BDJ-MYRP)'!R44</f>
        <v>7.4409999999999997E-3</v>
      </c>
      <c r="P24" s="277"/>
      <c r="Q24" s="277" t="s">
        <v>402</v>
      </c>
      <c r="R24" s="278" t="str">
        <f>+$R$11</f>
        <v>Sheet No. 141N</v>
      </c>
      <c r="T24" s="525">
        <f>+'Exhibit No.__(BDJ-MYRP)'!M44</f>
        <v>1.6329999999999999E-3</v>
      </c>
      <c r="U24" s="525">
        <f>+'Exhibit No.__(BDJ-MYRP)'!S44</f>
        <v>3.9899999999999996E-3</v>
      </c>
      <c r="V24" s="277"/>
      <c r="W24" s="277" t="s">
        <v>402</v>
      </c>
      <c r="X24" s="278" t="str">
        <f>+$X$11</f>
        <v>Sheet No. 141R</v>
      </c>
      <c r="Z24" s="277">
        <f>'Exhibit No.__(BDJ-141A)'!$E$34</f>
        <v>1.7420000000000001E-3</v>
      </c>
      <c r="AA24" s="277" t="s">
        <v>402</v>
      </c>
      <c r="AB24" s="278" t="s">
        <v>607</v>
      </c>
      <c r="AC24" s="472"/>
    </row>
    <row r="25" spans="1:29" x14ac:dyDescent="0.2">
      <c r="A25" s="36">
        <f t="shared" si="0"/>
        <v>19</v>
      </c>
      <c r="B25" s="38" t="str">
        <f t="shared" si="1"/>
        <v>25 (7A) (11)</v>
      </c>
      <c r="C25" s="39" t="s">
        <v>196</v>
      </c>
      <c r="D25" s="277">
        <v>8.3563999999999999E-2</v>
      </c>
      <c r="E25" s="277">
        <f>+'Exhibit No.__(BDJ-SV RD)'!G44</f>
        <v>8.1648999999999999E-2</v>
      </c>
      <c r="F25" s="277">
        <f>+E25-D25</f>
        <v>-1.915E-3</v>
      </c>
      <c r="G25" s="35" t="s">
        <v>327</v>
      </c>
      <c r="H25" s="278" t="s">
        <v>331</v>
      </c>
      <c r="K25" s="277"/>
      <c r="L25" s="304"/>
      <c r="N25" s="525"/>
      <c r="O25" s="525"/>
      <c r="P25" s="277"/>
      <c r="Q25" s="277"/>
      <c r="R25" s="304"/>
      <c r="T25" s="525"/>
      <c r="U25" s="525"/>
      <c r="V25" s="277"/>
      <c r="W25" s="277"/>
      <c r="X25" s="304"/>
      <c r="AA25" s="277"/>
      <c r="AB25" s="304"/>
      <c r="AC25" s="472"/>
    </row>
    <row r="26" spans="1:29" x14ac:dyDescent="0.2">
      <c r="A26" s="36">
        <f t="shared" si="0"/>
        <v>20</v>
      </c>
      <c r="B26" s="38" t="str">
        <f t="shared" si="1"/>
        <v>25 (7A) (11)</v>
      </c>
      <c r="C26" s="39" t="s">
        <v>197</v>
      </c>
      <c r="D26" s="277">
        <v>6.6092999999999999E-2</v>
      </c>
      <c r="E26" s="277">
        <f>+'Exhibit No.__(BDJ-SV RD)'!G45</f>
        <v>6.4577999999999997E-2</v>
      </c>
      <c r="F26" s="277">
        <f>+E26-D26</f>
        <v>-1.5150000000000025E-3</v>
      </c>
      <c r="G26" s="35" t="s">
        <v>327</v>
      </c>
      <c r="H26" s="278" t="s">
        <v>331</v>
      </c>
      <c r="K26" s="277"/>
      <c r="L26" s="304"/>
      <c r="N26" s="525"/>
      <c r="O26" s="525"/>
      <c r="P26" s="277"/>
      <c r="Q26" s="277"/>
      <c r="R26" s="304"/>
      <c r="T26" s="525"/>
      <c r="U26" s="525"/>
      <c r="V26" s="277"/>
      <c r="W26" s="277"/>
      <c r="X26" s="304"/>
      <c r="AA26" s="277"/>
      <c r="AB26" s="304"/>
      <c r="AC26" s="472"/>
    </row>
    <row r="27" spans="1:29" x14ac:dyDescent="0.2">
      <c r="A27" s="36">
        <f t="shared" si="0"/>
        <v>21</v>
      </c>
      <c r="B27" s="38" t="str">
        <f t="shared" si="1"/>
        <v>25 (7A) (11)</v>
      </c>
      <c r="C27" s="473"/>
      <c r="L27" s="304"/>
      <c r="N27" s="524"/>
      <c r="O27" s="524"/>
      <c r="P27" s="277"/>
      <c r="R27" s="304"/>
      <c r="T27" s="524"/>
      <c r="U27" s="524"/>
      <c r="V27" s="277"/>
      <c r="X27" s="304"/>
      <c r="AB27" s="304"/>
      <c r="AC27" s="472"/>
    </row>
    <row r="28" spans="1:29" x14ac:dyDescent="0.2">
      <c r="A28" s="36">
        <f t="shared" si="0"/>
        <v>22</v>
      </c>
      <c r="B28" s="38" t="str">
        <f t="shared" si="1"/>
        <v>25 (7A) (11)</v>
      </c>
      <c r="C28" s="39" t="s">
        <v>198</v>
      </c>
      <c r="D28" s="431">
        <v>0</v>
      </c>
      <c r="E28" s="431">
        <v>0</v>
      </c>
      <c r="F28" s="431">
        <f>+E28-D28</f>
        <v>0</v>
      </c>
      <c r="G28" s="278" t="s">
        <v>319</v>
      </c>
      <c r="H28" s="278" t="s">
        <v>319</v>
      </c>
      <c r="K28" s="277"/>
      <c r="L28" s="304"/>
      <c r="N28" s="525"/>
      <c r="O28" s="525"/>
      <c r="P28" s="277"/>
      <c r="Q28" s="277"/>
      <c r="R28" s="304"/>
      <c r="T28" s="525"/>
      <c r="U28" s="525"/>
      <c r="V28" s="277"/>
      <c r="W28" s="277"/>
      <c r="X28" s="304"/>
      <c r="AA28" s="277"/>
      <c r="AB28" s="304"/>
      <c r="AC28" s="472"/>
    </row>
    <row r="29" spans="1:29" x14ac:dyDescent="0.2">
      <c r="A29" s="36">
        <f t="shared" si="0"/>
        <v>23</v>
      </c>
      <c r="B29" s="38" t="str">
        <f t="shared" si="1"/>
        <v>25 (7A) (11)</v>
      </c>
      <c r="C29" s="39" t="s">
        <v>199</v>
      </c>
      <c r="D29" s="431">
        <v>10.119999999999999</v>
      </c>
      <c r="E29" s="431">
        <f>+'Exhibit No.__(BDJ-SV RD)'!G51</f>
        <v>10.119999999999999</v>
      </c>
      <c r="F29" s="431">
        <f>+E29-D29</f>
        <v>0</v>
      </c>
      <c r="G29" s="35" t="s">
        <v>327</v>
      </c>
      <c r="H29" s="278" t="s">
        <v>331</v>
      </c>
      <c r="J29" s="431">
        <f>ROUND(+'Exhibit No.__(BDJ-141C)'!L12,2)</f>
        <v>1.2</v>
      </c>
      <c r="K29" s="277" t="s">
        <v>642</v>
      </c>
      <c r="L29" s="278" t="str">
        <f>+$L$11</f>
        <v>Sheet No. 141COL</v>
      </c>
      <c r="N29" s="526">
        <f>+'Exhibit No.__(BDJ-MYRP)'!L48</f>
        <v>0.97</v>
      </c>
      <c r="O29" s="526">
        <f>+'Exhibit No.__(BDJ-MYRP)'!R48</f>
        <v>0.83</v>
      </c>
      <c r="P29" s="277"/>
      <c r="Q29" s="277" t="s">
        <v>642</v>
      </c>
      <c r="R29" s="278" t="str">
        <f>+$R$11</f>
        <v>Sheet No. 141N</v>
      </c>
      <c r="T29" s="526">
        <f>+'Exhibit No.__(BDJ-MYRP)'!M48</f>
        <v>0.18</v>
      </c>
      <c r="U29" s="526">
        <f>+'Exhibit No.__(BDJ-MYRP)'!S48</f>
        <v>0.44</v>
      </c>
      <c r="V29" s="277"/>
      <c r="W29" s="277" t="s">
        <v>642</v>
      </c>
      <c r="X29" s="278" t="str">
        <f>+$X$11</f>
        <v>Sheet No. 141R</v>
      </c>
      <c r="AA29" s="277"/>
      <c r="AB29" s="304"/>
      <c r="AC29" s="472"/>
    </row>
    <row r="30" spans="1:29" x14ac:dyDescent="0.2">
      <c r="A30" s="36">
        <f t="shared" si="0"/>
        <v>24</v>
      </c>
      <c r="B30" s="38" t="str">
        <f t="shared" si="1"/>
        <v>25 (7A) (11)</v>
      </c>
      <c r="C30" s="39" t="s">
        <v>200</v>
      </c>
      <c r="D30" s="431">
        <v>6.75</v>
      </c>
      <c r="E30" s="431">
        <f>+'Exhibit No.__(BDJ-SV RD)'!G52</f>
        <v>6.75</v>
      </c>
      <c r="F30" s="431">
        <f>+E30-D30</f>
        <v>0</v>
      </c>
      <c r="G30" s="35" t="s">
        <v>327</v>
      </c>
      <c r="H30" s="278" t="s">
        <v>331</v>
      </c>
      <c r="J30" s="431">
        <f>J29</f>
        <v>1.2</v>
      </c>
      <c r="K30" s="277" t="s">
        <v>642</v>
      </c>
      <c r="L30" s="278" t="str">
        <f>+$L$11</f>
        <v>Sheet No. 141COL</v>
      </c>
      <c r="N30" s="526">
        <f>N29</f>
        <v>0.97</v>
      </c>
      <c r="O30" s="526">
        <f>O29</f>
        <v>0.83</v>
      </c>
      <c r="P30" s="277"/>
      <c r="Q30" s="277" t="s">
        <v>642</v>
      </c>
      <c r="R30" s="278" t="str">
        <f>+$R$11</f>
        <v>Sheet No. 141N</v>
      </c>
      <c r="T30" s="526">
        <f>T29</f>
        <v>0.18</v>
      </c>
      <c r="U30" s="526">
        <f>U29</f>
        <v>0.44</v>
      </c>
      <c r="V30" s="277"/>
      <c r="W30" s="277" t="s">
        <v>642</v>
      </c>
      <c r="X30" s="278" t="str">
        <f>+$X$11</f>
        <v>Sheet No. 141R</v>
      </c>
      <c r="AA30" s="277"/>
      <c r="AB30" s="304"/>
      <c r="AC30" s="472"/>
    </row>
    <row r="31" spans="1:29" x14ac:dyDescent="0.2">
      <c r="A31" s="36">
        <f t="shared" si="0"/>
        <v>25</v>
      </c>
      <c r="B31" s="38" t="str">
        <f t="shared" si="1"/>
        <v>25 (7A) (11)</v>
      </c>
      <c r="C31" s="39"/>
      <c r="D31" s="431"/>
      <c r="E31" s="431"/>
      <c r="F31" s="431"/>
      <c r="K31" s="277"/>
      <c r="L31" s="304"/>
      <c r="N31" s="525"/>
      <c r="O31" s="525"/>
      <c r="P31" s="277"/>
      <c r="Q31" s="277"/>
      <c r="R31" s="304"/>
      <c r="T31" s="525"/>
      <c r="U31" s="525"/>
      <c r="V31" s="277"/>
      <c r="W31" s="277"/>
      <c r="X31" s="304"/>
      <c r="AA31" s="277"/>
      <c r="AB31" s="304"/>
      <c r="AC31" s="472"/>
    </row>
    <row r="32" spans="1:29" x14ac:dyDescent="0.2">
      <c r="A32" s="36">
        <f t="shared" si="0"/>
        <v>26</v>
      </c>
      <c r="B32" s="38" t="str">
        <f t="shared" si="1"/>
        <v>25 (7A) (11)</v>
      </c>
      <c r="C32" s="39" t="s">
        <v>201</v>
      </c>
      <c r="D32" s="474">
        <v>3.1800000000000001E-3</v>
      </c>
      <c r="E32" s="474">
        <f>+'Exhibit No.__(BDJ-SV RD)'!G55</f>
        <v>3.1800000000000001E-3</v>
      </c>
      <c r="F32" s="474">
        <f>+E32-D32</f>
        <v>0</v>
      </c>
      <c r="G32" s="35" t="s">
        <v>327</v>
      </c>
      <c r="H32" s="278" t="s">
        <v>332</v>
      </c>
      <c r="K32" s="277"/>
      <c r="L32" s="304"/>
      <c r="N32" s="525"/>
      <c r="O32" s="525"/>
      <c r="P32" s="277"/>
      <c r="Q32" s="277"/>
      <c r="R32" s="304"/>
      <c r="T32" s="525"/>
      <c r="U32" s="525"/>
      <c r="V32" s="277"/>
      <c r="W32" s="277"/>
      <c r="X32" s="304"/>
      <c r="AA32" s="277"/>
      <c r="AB32" s="304"/>
      <c r="AC32" s="472"/>
    </row>
    <row r="33" spans="1:29" x14ac:dyDescent="0.2">
      <c r="A33" s="36">
        <f t="shared" si="0"/>
        <v>27</v>
      </c>
      <c r="K33" s="277"/>
      <c r="L33" s="304"/>
      <c r="N33" s="525"/>
      <c r="O33" s="525"/>
      <c r="P33" s="277"/>
      <c r="Q33" s="277"/>
      <c r="R33" s="304"/>
      <c r="T33" s="525"/>
      <c r="U33" s="525"/>
      <c r="V33" s="277"/>
      <c r="W33" s="277"/>
      <c r="X33" s="304"/>
      <c r="AA33" s="277"/>
      <c r="AB33" s="304"/>
      <c r="AC33" s="472"/>
    </row>
    <row r="34" spans="1:29" x14ac:dyDescent="0.2">
      <c r="A34" s="36">
        <f t="shared" si="0"/>
        <v>28</v>
      </c>
      <c r="B34" s="36" t="s">
        <v>202</v>
      </c>
      <c r="C34" s="278" t="s">
        <v>203</v>
      </c>
      <c r="K34" s="277"/>
      <c r="L34" s="304"/>
      <c r="N34" s="525"/>
      <c r="O34" s="525"/>
      <c r="P34" s="277"/>
      <c r="Q34" s="277"/>
      <c r="R34" s="304"/>
      <c r="T34" s="525"/>
      <c r="U34" s="525"/>
      <c r="V34" s="277"/>
      <c r="W34" s="277"/>
      <c r="X34" s="304"/>
      <c r="AA34" s="277"/>
      <c r="AB34" s="304"/>
      <c r="AC34" s="472"/>
    </row>
    <row r="35" spans="1:29" x14ac:dyDescent="0.2">
      <c r="A35" s="36">
        <f t="shared" si="0"/>
        <v>29</v>
      </c>
      <c r="B35" s="36" t="str">
        <f t="shared" ref="B35:B56" si="2">+$B$34</f>
        <v>26 (12)</v>
      </c>
      <c r="C35" s="39" t="s">
        <v>194</v>
      </c>
      <c r="D35" s="431">
        <v>109.08</v>
      </c>
      <c r="E35" s="431">
        <f>+'Exhibit No.__(BDJ-SV RD)'!G86</f>
        <v>109.08</v>
      </c>
      <c r="F35" s="431">
        <f>+E35-D35</f>
        <v>0</v>
      </c>
      <c r="G35" s="35" t="s">
        <v>317</v>
      </c>
      <c r="H35" s="304">
        <v>26</v>
      </c>
      <c r="K35" s="277"/>
      <c r="L35" s="304"/>
      <c r="N35" s="525"/>
      <c r="O35" s="525"/>
      <c r="P35" s="277"/>
      <c r="Q35" s="277"/>
      <c r="R35" s="304"/>
      <c r="T35" s="525"/>
      <c r="U35" s="525"/>
      <c r="V35" s="277"/>
      <c r="W35" s="277"/>
      <c r="X35" s="304"/>
      <c r="AA35" s="277"/>
      <c r="AB35" s="304"/>
      <c r="AC35" s="472"/>
    </row>
    <row r="36" spans="1:29" x14ac:dyDescent="0.2">
      <c r="A36" s="36">
        <f t="shared" si="0"/>
        <v>30</v>
      </c>
      <c r="B36" s="36" t="str">
        <f t="shared" si="2"/>
        <v>26 (12)</v>
      </c>
      <c r="C36" s="39"/>
      <c r="D36" s="431"/>
      <c r="E36" s="431"/>
      <c r="F36" s="431"/>
      <c r="K36" s="277"/>
      <c r="L36" s="304"/>
      <c r="N36" s="525"/>
      <c r="O36" s="525"/>
      <c r="P36" s="277"/>
      <c r="Q36" s="277"/>
      <c r="R36" s="304"/>
      <c r="T36" s="525"/>
      <c r="U36" s="525"/>
      <c r="V36" s="277"/>
      <c r="W36" s="277"/>
      <c r="X36" s="304"/>
      <c r="AA36" s="277"/>
      <c r="AB36" s="304"/>
      <c r="AC36" s="472"/>
    </row>
    <row r="37" spans="1:29" x14ac:dyDescent="0.2">
      <c r="A37" s="36">
        <f t="shared" si="0"/>
        <v>31</v>
      </c>
      <c r="B37" s="36" t="str">
        <f t="shared" si="2"/>
        <v>26 (12)</v>
      </c>
      <c r="C37" s="39" t="s">
        <v>204</v>
      </c>
      <c r="D37" s="277">
        <v>5.9096000000000003E-2</v>
      </c>
      <c r="E37" s="277">
        <f>+'Exhibit No.__(BDJ-SV RD)'!G88</f>
        <v>5.7457000000000001E-2</v>
      </c>
      <c r="F37" s="277">
        <f>+E37-D37</f>
        <v>-1.6390000000000016E-3</v>
      </c>
      <c r="G37" s="35" t="s">
        <v>317</v>
      </c>
      <c r="H37" s="304">
        <v>26</v>
      </c>
      <c r="J37" s="277">
        <f>ROUND(+'Exhibit No.__(BDJ-141C)'!L15,6)</f>
        <v>4.2900000000000002E-4</v>
      </c>
      <c r="K37" s="277" t="s">
        <v>402</v>
      </c>
      <c r="L37" s="278" t="str">
        <f>+$L$11</f>
        <v>Sheet No. 141COL</v>
      </c>
      <c r="N37" s="525">
        <f>+'Exhibit No.__(BDJ-MYRP)'!L57</f>
        <v>6.2940000000000001E-3</v>
      </c>
      <c r="O37" s="525">
        <f>+'Exhibit No.__(BDJ-MYRP)'!R57</f>
        <v>5.3629999999999997E-3</v>
      </c>
      <c r="P37" s="277"/>
      <c r="Q37" s="277" t="s">
        <v>402</v>
      </c>
      <c r="R37" s="278" t="str">
        <f>+$R$11</f>
        <v>Sheet No. 141N</v>
      </c>
      <c r="T37" s="525">
        <f>+'Exhibit No.__(BDJ-MYRP)'!M57</f>
        <v>1.1770000000000001E-3</v>
      </c>
      <c r="U37" s="525">
        <f>+'Exhibit No.__(BDJ-MYRP)'!S57</f>
        <v>2.875E-3</v>
      </c>
      <c r="V37" s="277"/>
      <c r="W37" s="277" t="s">
        <v>402</v>
      </c>
      <c r="X37" s="278" t="str">
        <f>+$X$11</f>
        <v>Sheet No. 141R</v>
      </c>
      <c r="Z37" s="277">
        <f>'Exhibit No.__(BDJ-141A)'!$E$39</f>
        <v>1.72E-3</v>
      </c>
      <c r="AA37" s="277" t="s">
        <v>402</v>
      </c>
      <c r="AB37" s="278" t="s">
        <v>607</v>
      </c>
      <c r="AC37" s="472"/>
    </row>
    <row r="38" spans="1:29" x14ac:dyDescent="0.2">
      <c r="A38" s="36">
        <f t="shared" si="0"/>
        <v>32</v>
      </c>
      <c r="B38" s="36" t="str">
        <f t="shared" si="2"/>
        <v>26 (12)</v>
      </c>
      <c r="C38" s="473"/>
      <c r="K38" s="277"/>
      <c r="L38" s="304"/>
      <c r="N38" s="525"/>
      <c r="O38" s="525"/>
      <c r="P38" s="277"/>
      <c r="Q38" s="277"/>
      <c r="R38" s="304"/>
      <c r="T38" s="525"/>
      <c r="U38" s="525"/>
      <c r="V38" s="277"/>
      <c r="W38" s="277"/>
      <c r="X38" s="304"/>
      <c r="AA38" s="277"/>
      <c r="AB38" s="304"/>
      <c r="AC38" s="472"/>
    </row>
    <row r="39" spans="1:29" x14ac:dyDescent="0.2">
      <c r="A39" s="36">
        <f t="shared" si="0"/>
        <v>33</v>
      </c>
      <c r="B39" s="36" t="str">
        <f t="shared" si="2"/>
        <v>26 (12)</v>
      </c>
      <c r="C39" s="39" t="s">
        <v>205</v>
      </c>
      <c r="D39" s="431">
        <v>12.23</v>
      </c>
      <c r="E39" s="431">
        <f>+'Exhibit No.__(BDJ-SV RD)'!G94</f>
        <v>12.23</v>
      </c>
      <c r="F39" s="431">
        <f t="shared" ref="F39:F44" si="3">+E39-D39</f>
        <v>0</v>
      </c>
      <c r="G39" s="35" t="s">
        <v>317</v>
      </c>
      <c r="H39" s="304">
        <v>26</v>
      </c>
      <c r="J39" s="431">
        <f>ROUND(+'Exhibit No.__(BDJ-141C)'!L16,2)</f>
        <v>0.71</v>
      </c>
      <c r="K39" s="277" t="s">
        <v>642</v>
      </c>
      <c r="L39" s="278" t="str">
        <f>+$L$11</f>
        <v>Sheet No. 141COL</v>
      </c>
      <c r="N39" s="526">
        <f>+'Exhibit No.__(BDJ-MYRP)'!L61</f>
        <v>1.1100000000000001</v>
      </c>
      <c r="O39" s="526">
        <f>+'Exhibit No.__(BDJ-MYRP)'!R61</f>
        <v>0.96</v>
      </c>
      <c r="P39" s="277"/>
      <c r="Q39" s="277" t="s">
        <v>642</v>
      </c>
      <c r="R39" s="278" t="str">
        <f>+$R$11</f>
        <v>Sheet No. 141N</v>
      </c>
      <c r="T39" s="526">
        <f>+'Exhibit No.__(BDJ-MYRP)'!M61</f>
        <v>0.21</v>
      </c>
      <c r="U39" s="526">
        <f>+'Exhibit No.__(BDJ-MYRP)'!S61</f>
        <v>0.51</v>
      </c>
      <c r="V39" s="277"/>
      <c r="W39" s="277" t="s">
        <v>642</v>
      </c>
      <c r="X39" s="278" t="str">
        <f>+$X$11</f>
        <v>Sheet No. 141R</v>
      </c>
      <c r="AA39" s="277"/>
      <c r="AB39" s="304"/>
      <c r="AC39" s="472"/>
    </row>
    <row r="40" spans="1:29" x14ac:dyDescent="0.2">
      <c r="A40" s="36">
        <f t="shared" ref="A40:A71" si="4">+A39+1</f>
        <v>34</v>
      </c>
      <c r="B40" s="36" t="str">
        <f t="shared" si="2"/>
        <v>26 (12)</v>
      </c>
      <c r="C40" s="475" t="s">
        <v>307</v>
      </c>
      <c r="D40" s="431">
        <v>5.12</v>
      </c>
      <c r="E40" s="431">
        <f>'Exhibit No.__(BDJ-CONJ  DEM)'!D16</f>
        <v>5.79</v>
      </c>
      <c r="F40" s="431">
        <f t="shared" si="3"/>
        <v>0.66999999999999993</v>
      </c>
      <c r="G40" s="35" t="s">
        <v>317</v>
      </c>
      <c r="H40" s="304" t="s">
        <v>318</v>
      </c>
      <c r="K40" s="277"/>
      <c r="L40" s="304"/>
      <c r="N40" s="525"/>
      <c r="O40" s="525"/>
      <c r="P40" s="277"/>
      <c r="Q40" s="277"/>
      <c r="R40" s="304"/>
      <c r="T40" s="525"/>
      <c r="U40" s="525"/>
      <c r="V40" s="277"/>
      <c r="W40" s="277"/>
      <c r="X40" s="304"/>
      <c r="AA40" s="277"/>
      <c r="AB40" s="304"/>
      <c r="AC40" s="472"/>
    </row>
    <row r="41" spans="1:29" x14ac:dyDescent="0.2">
      <c r="A41" s="36">
        <f t="shared" si="4"/>
        <v>35</v>
      </c>
      <c r="B41" s="36" t="str">
        <f t="shared" si="2"/>
        <v>26 (12)</v>
      </c>
      <c r="C41" s="475" t="s">
        <v>308</v>
      </c>
      <c r="D41" s="431">
        <v>7.11</v>
      </c>
      <c r="E41" s="431">
        <f>'Exhibit No.__(BDJ-CONJ  DEM)'!D17</f>
        <v>6.44</v>
      </c>
      <c r="F41" s="431">
        <f t="shared" si="3"/>
        <v>-0.66999999999999993</v>
      </c>
      <c r="G41" s="35" t="s">
        <v>317</v>
      </c>
      <c r="H41" s="304" t="s">
        <v>318</v>
      </c>
      <c r="K41" s="277"/>
      <c r="L41" s="304"/>
      <c r="N41" s="525"/>
      <c r="O41" s="525"/>
      <c r="P41" s="277"/>
      <c r="Q41" s="277"/>
      <c r="R41" s="304"/>
      <c r="T41" s="525"/>
      <c r="U41" s="525"/>
      <c r="V41" s="277"/>
      <c r="W41" s="277"/>
      <c r="X41" s="304"/>
      <c r="AA41" s="277"/>
      <c r="AB41" s="304"/>
      <c r="AC41" s="472"/>
    </row>
    <row r="42" spans="1:29" x14ac:dyDescent="0.2">
      <c r="A42" s="36">
        <f t="shared" si="4"/>
        <v>36</v>
      </c>
      <c r="B42" s="36" t="str">
        <f t="shared" si="2"/>
        <v>26 (12)</v>
      </c>
      <c r="C42" s="39" t="s">
        <v>206</v>
      </c>
      <c r="D42" s="431">
        <v>8.15</v>
      </c>
      <c r="E42" s="431">
        <f>+'Exhibit No.__(BDJ-SV RD)'!G95</f>
        <v>8.15</v>
      </c>
      <c r="F42" s="431">
        <f t="shared" si="3"/>
        <v>0</v>
      </c>
      <c r="G42" s="35" t="s">
        <v>317</v>
      </c>
      <c r="H42" s="304">
        <v>26</v>
      </c>
      <c r="J42" s="431">
        <f>J39</f>
        <v>0.71</v>
      </c>
      <c r="K42" s="277" t="s">
        <v>642</v>
      </c>
      <c r="L42" s="278" t="str">
        <f>+$L$11</f>
        <v>Sheet No. 141COL</v>
      </c>
      <c r="N42" s="526">
        <f>N39</f>
        <v>1.1100000000000001</v>
      </c>
      <c r="O42" s="526">
        <f>O39</f>
        <v>0.96</v>
      </c>
      <c r="P42" s="277"/>
      <c r="Q42" s="277" t="s">
        <v>642</v>
      </c>
      <c r="R42" s="278" t="str">
        <f>+$R$11</f>
        <v>Sheet No. 141N</v>
      </c>
      <c r="T42" s="526">
        <f>T39</f>
        <v>0.21</v>
      </c>
      <c r="U42" s="526">
        <f>U39</f>
        <v>0.51</v>
      </c>
      <c r="V42" s="277"/>
      <c r="W42" s="277" t="s">
        <v>642</v>
      </c>
      <c r="X42" s="278" t="str">
        <f>+$X$11</f>
        <v>Sheet No. 141R</v>
      </c>
      <c r="AA42" s="277"/>
      <c r="AB42" s="304"/>
      <c r="AC42" s="472"/>
    </row>
    <row r="43" spans="1:29" x14ac:dyDescent="0.2">
      <c r="A43" s="36">
        <f t="shared" si="4"/>
        <v>37</v>
      </c>
      <c r="B43" s="36" t="str">
        <f t="shared" si="2"/>
        <v>26 (12)</v>
      </c>
      <c r="C43" s="475" t="s">
        <v>307</v>
      </c>
      <c r="D43" s="431">
        <v>3.41</v>
      </c>
      <c r="E43" s="431">
        <f>'Exhibit No.__(BDJ-CONJ  DEM)'!E16</f>
        <v>3.86</v>
      </c>
      <c r="F43" s="431">
        <f t="shared" si="3"/>
        <v>0.44999999999999973</v>
      </c>
      <c r="G43" s="35" t="s">
        <v>317</v>
      </c>
      <c r="H43" s="304" t="s">
        <v>318</v>
      </c>
      <c r="K43" s="277"/>
      <c r="L43" s="304"/>
      <c r="N43" s="525"/>
      <c r="O43" s="525"/>
      <c r="P43" s="277"/>
      <c r="Q43" s="277"/>
      <c r="R43" s="304"/>
      <c r="T43" s="525"/>
      <c r="U43" s="525"/>
      <c r="V43" s="277"/>
      <c r="W43" s="277"/>
      <c r="X43" s="304"/>
      <c r="AA43" s="277"/>
      <c r="AB43" s="304"/>
      <c r="AC43" s="472"/>
    </row>
    <row r="44" spans="1:29" x14ac:dyDescent="0.2">
      <c r="A44" s="36">
        <f t="shared" si="4"/>
        <v>38</v>
      </c>
      <c r="B44" s="36" t="str">
        <f t="shared" si="2"/>
        <v>26 (12)</v>
      </c>
      <c r="C44" s="475" t="s">
        <v>308</v>
      </c>
      <c r="D44" s="431">
        <v>4.74</v>
      </c>
      <c r="E44" s="431">
        <f>'Exhibit No.__(BDJ-CONJ  DEM)'!E17</f>
        <v>4.29</v>
      </c>
      <c r="F44" s="431">
        <f t="shared" si="3"/>
        <v>-0.45000000000000018</v>
      </c>
      <c r="G44" s="35" t="s">
        <v>317</v>
      </c>
      <c r="H44" s="304" t="s">
        <v>318</v>
      </c>
      <c r="K44" s="277"/>
      <c r="L44" s="304"/>
      <c r="N44" s="525"/>
      <c r="O44" s="525"/>
      <c r="P44" s="277"/>
      <c r="Q44" s="277"/>
      <c r="R44" s="304"/>
      <c r="T44" s="525"/>
      <c r="U44" s="525"/>
      <c r="V44" s="277"/>
      <c r="W44" s="277"/>
      <c r="X44" s="304"/>
      <c r="AA44" s="277"/>
      <c r="AB44" s="304"/>
      <c r="AC44" s="472"/>
    </row>
    <row r="45" spans="1:29" x14ac:dyDescent="0.2">
      <c r="A45" s="36">
        <f t="shared" si="4"/>
        <v>39</v>
      </c>
      <c r="B45" s="36" t="str">
        <f t="shared" si="2"/>
        <v>26 (12)</v>
      </c>
      <c r="C45" s="39"/>
      <c r="D45" s="431"/>
      <c r="E45" s="431"/>
      <c r="F45" s="431"/>
      <c r="K45" s="277"/>
      <c r="L45" s="304"/>
      <c r="N45" s="525"/>
      <c r="O45" s="525"/>
      <c r="P45" s="277"/>
      <c r="Q45" s="277"/>
      <c r="R45" s="304"/>
      <c r="T45" s="525"/>
      <c r="U45" s="525"/>
      <c r="V45" s="277"/>
      <c r="W45" s="277"/>
      <c r="X45" s="304"/>
      <c r="AA45" s="277"/>
      <c r="AB45" s="304"/>
      <c r="AC45" s="472"/>
    </row>
    <row r="46" spans="1:29" x14ac:dyDescent="0.2">
      <c r="A46" s="36">
        <f t="shared" si="4"/>
        <v>40</v>
      </c>
      <c r="B46" s="36" t="str">
        <f t="shared" si="2"/>
        <v>26 (12)</v>
      </c>
      <c r="C46" s="39" t="s">
        <v>201</v>
      </c>
      <c r="D46" s="474">
        <v>1.2999999999999999E-3</v>
      </c>
      <c r="E46" s="474">
        <f>+'Exhibit No.__(BDJ-SV RD)'!G98</f>
        <v>1.2999999999999999E-3</v>
      </c>
      <c r="F46" s="474">
        <f>+E46-D46</f>
        <v>0</v>
      </c>
      <c r="G46" s="35" t="s">
        <v>317</v>
      </c>
      <c r="H46" s="304">
        <v>26</v>
      </c>
      <c r="K46" s="277"/>
      <c r="L46" s="304"/>
      <c r="N46" s="525"/>
      <c r="O46" s="525"/>
      <c r="P46" s="277"/>
      <c r="Q46" s="277"/>
      <c r="R46" s="304"/>
      <c r="T46" s="525"/>
      <c r="U46" s="525"/>
      <c r="V46" s="277"/>
      <c r="W46" s="277"/>
      <c r="X46" s="304"/>
      <c r="AA46" s="277"/>
      <c r="AB46" s="304"/>
      <c r="AC46" s="472"/>
    </row>
    <row r="47" spans="1:29" x14ac:dyDescent="0.2">
      <c r="A47" s="36">
        <f t="shared" si="4"/>
        <v>41</v>
      </c>
      <c r="B47" s="36" t="str">
        <f t="shared" si="2"/>
        <v>26 (12)</v>
      </c>
      <c r="C47" s="39"/>
      <c r="D47" s="474"/>
      <c r="E47" s="474"/>
      <c r="F47" s="474"/>
      <c r="K47" s="277"/>
      <c r="L47" s="304"/>
      <c r="N47" s="525"/>
      <c r="O47" s="525"/>
      <c r="P47" s="277"/>
      <c r="Q47" s="277"/>
      <c r="R47" s="304"/>
      <c r="T47" s="525"/>
      <c r="U47" s="525"/>
      <c r="V47" s="277"/>
      <c r="W47" s="277"/>
      <c r="X47" s="304"/>
      <c r="AA47" s="277"/>
      <c r="AB47" s="304"/>
      <c r="AC47" s="472"/>
    </row>
    <row r="48" spans="1:29" x14ac:dyDescent="0.2">
      <c r="A48" s="36">
        <f t="shared" si="4"/>
        <v>42</v>
      </c>
      <c r="B48" s="36" t="str">
        <f t="shared" si="2"/>
        <v>26 (12)</v>
      </c>
      <c r="C48" s="39" t="s">
        <v>207</v>
      </c>
      <c r="D48" s="474"/>
      <c r="E48" s="474"/>
      <c r="F48" s="474"/>
      <c r="K48" s="277"/>
      <c r="L48" s="304"/>
      <c r="N48" s="525"/>
      <c r="O48" s="525"/>
      <c r="P48" s="277"/>
      <c r="Q48" s="277"/>
      <c r="R48" s="304"/>
      <c r="T48" s="525"/>
      <c r="U48" s="525"/>
      <c r="V48" s="277"/>
      <c r="W48" s="277"/>
      <c r="X48" s="304"/>
      <c r="AA48" s="277"/>
      <c r="AB48" s="304"/>
      <c r="AC48" s="472"/>
    </row>
    <row r="49" spans="1:29" x14ac:dyDescent="0.2">
      <c r="A49" s="36">
        <f t="shared" si="4"/>
        <v>43</v>
      </c>
      <c r="B49" s="36" t="str">
        <f t="shared" si="2"/>
        <v>26 (12)</v>
      </c>
      <c r="C49" s="39" t="s">
        <v>208</v>
      </c>
      <c r="D49" s="431">
        <v>249.03000000000003</v>
      </c>
      <c r="E49" s="431">
        <f>+'Exhibit No.__(BDJ-SV RD)'!G113</f>
        <v>249.03000000000003</v>
      </c>
      <c r="F49" s="431">
        <f t="shared" ref="F49:F56" si="5">+E49-D49</f>
        <v>0</v>
      </c>
      <c r="G49" s="35" t="s">
        <v>317</v>
      </c>
      <c r="H49" s="304">
        <v>26</v>
      </c>
      <c r="K49" s="277"/>
      <c r="L49" s="304"/>
      <c r="N49" s="525"/>
      <c r="O49" s="525"/>
      <c r="P49" s="277"/>
      <c r="Q49" s="277"/>
      <c r="R49" s="304"/>
      <c r="T49" s="525"/>
      <c r="U49" s="525"/>
      <c r="V49" s="277"/>
      <c r="W49" s="277"/>
      <c r="X49" s="304"/>
      <c r="AA49" s="277"/>
      <c r="AB49" s="304"/>
      <c r="AC49" s="472"/>
    </row>
    <row r="50" spans="1:29" x14ac:dyDescent="0.2">
      <c r="A50" s="36">
        <f t="shared" si="4"/>
        <v>44</v>
      </c>
      <c r="B50" s="36" t="str">
        <f t="shared" si="2"/>
        <v>26 (12)</v>
      </c>
      <c r="C50" s="39" t="s">
        <v>209</v>
      </c>
      <c r="D50" s="431">
        <v>-0.25</v>
      </c>
      <c r="E50" s="431">
        <f>+'Exhibit No.__(BDJ-SV RD)'!G125</f>
        <v>-0.25</v>
      </c>
      <c r="F50" s="431">
        <f t="shared" si="5"/>
        <v>0</v>
      </c>
      <c r="G50" s="35" t="s">
        <v>317</v>
      </c>
      <c r="H50" s="304">
        <v>26</v>
      </c>
      <c r="K50" s="277"/>
      <c r="L50" s="304"/>
      <c r="N50" s="525"/>
      <c r="O50" s="525"/>
      <c r="P50" s="277"/>
      <c r="Q50" s="277"/>
      <c r="R50" s="304"/>
      <c r="T50" s="525"/>
      <c r="U50" s="525"/>
      <c r="V50" s="277"/>
      <c r="W50" s="277"/>
      <c r="X50" s="304"/>
      <c r="AA50" s="277"/>
      <c r="AB50" s="304"/>
      <c r="AC50" s="472"/>
    </row>
    <row r="51" spans="1:29" x14ac:dyDescent="0.2">
      <c r="A51" s="36">
        <f t="shared" si="4"/>
        <v>45</v>
      </c>
      <c r="B51" s="36" t="str">
        <f t="shared" si="2"/>
        <v>26 (12)</v>
      </c>
      <c r="C51" s="39" t="s">
        <v>210</v>
      </c>
      <c r="D51" s="476">
        <v>2.4400000000000002E-2</v>
      </c>
      <c r="E51" s="476">
        <f>+'Exhibit No.__(BDJ-SV RD)'!F136</f>
        <v>2.4400000000000002E-2</v>
      </c>
      <c r="F51" s="476">
        <f t="shared" si="5"/>
        <v>0</v>
      </c>
      <c r="G51" s="35" t="s">
        <v>317</v>
      </c>
      <c r="H51" s="304">
        <v>26</v>
      </c>
      <c r="K51" s="277"/>
      <c r="L51" s="304"/>
      <c r="N51" s="525"/>
      <c r="O51" s="525"/>
      <c r="P51" s="277"/>
      <c r="Q51" s="277"/>
      <c r="R51" s="304"/>
      <c r="T51" s="525"/>
      <c r="U51" s="525"/>
      <c r="V51" s="277"/>
      <c r="W51" s="277"/>
      <c r="X51" s="304"/>
      <c r="AA51" s="277"/>
      <c r="AB51" s="304"/>
      <c r="AC51" s="472"/>
    </row>
    <row r="52" spans="1:29" x14ac:dyDescent="0.2">
      <c r="A52" s="36">
        <f t="shared" si="4"/>
        <v>46</v>
      </c>
      <c r="B52" s="36" t="str">
        <f t="shared" si="2"/>
        <v>26 (12)</v>
      </c>
      <c r="C52" s="477" t="s">
        <v>211</v>
      </c>
      <c r="D52" s="431">
        <v>358.11</v>
      </c>
      <c r="E52" s="431">
        <f>+E49+E35</f>
        <v>358.11</v>
      </c>
      <c r="F52" s="431">
        <f t="shared" si="5"/>
        <v>0</v>
      </c>
      <c r="G52" s="278" t="s">
        <v>319</v>
      </c>
      <c r="H52" s="278" t="s">
        <v>319</v>
      </c>
      <c r="K52" s="277"/>
      <c r="L52" s="304"/>
      <c r="N52" s="525"/>
      <c r="O52" s="525"/>
      <c r="P52" s="277"/>
      <c r="Q52" s="277"/>
      <c r="R52" s="304"/>
      <c r="T52" s="525"/>
      <c r="U52" s="525"/>
      <c r="V52" s="277"/>
      <c r="W52" s="277"/>
      <c r="X52" s="304"/>
      <c r="AA52" s="277"/>
      <c r="AB52" s="304"/>
      <c r="AC52" s="472"/>
    </row>
    <row r="53" spans="1:29" x14ac:dyDescent="0.2">
      <c r="A53" s="36">
        <f t="shared" si="4"/>
        <v>47</v>
      </c>
      <c r="B53" s="36" t="str">
        <f t="shared" si="2"/>
        <v>26 (12)</v>
      </c>
      <c r="C53" s="39" t="s">
        <v>212</v>
      </c>
      <c r="D53" s="431">
        <v>11.98</v>
      </c>
      <c r="E53" s="431">
        <f>+E50+E39</f>
        <v>11.98</v>
      </c>
      <c r="F53" s="431">
        <f t="shared" si="5"/>
        <v>0</v>
      </c>
      <c r="G53" s="278" t="s">
        <v>319</v>
      </c>
      <c r="H53" s="278" t="s">
        <v>319</v>
      </c>
      <c r="J53" s="431">
        <f>J39</f>
        <v>0.71</v>
      </c>
      <c r="K53" s="277" t="s">
        <v>642</v>
      </c>
      <c r="L53" s="278" t="str">
        <f>+$L$11</f>
        <v>Sheet No. 141COL</v>
      </c>
      <c r="N53" s="526">
        <f>N39</f>
        <v>1.1100000000000001</v>
      </c>
      <c r="O53" s="526">
        <f>O39</f>
        <v>0.96</v>
      </c>
      <c r="P53" s="277"/>
      <c r="Q53" s="277" t="s">
        <v>642</v>
      </c>
      <c r="R53" s="278" t="str">
        <f>+$R$11</f>
        <v>Sheet No. 141N</v>
      </c>
      <c r="T53" s="526">
        <f>T39</f>
        <v>0.21</v>
      </c>
      <c r="U53" s="526">
        <f>U39</f>
        <v>0.51</v>
      </c>
      <c r="V53" s="277"/>
      <c r="W53" s="277"/>
      <c r="X53" s="304"/>
      <c r="AA53" s="277"/>
      <c r="AB53" s="304"/>
      <c r="AC53" s="472"/>
    </row>
    <row r="54" spans="1:29" x14ac:dyDescent="0.2">
      <c r="A54" s="36">
        <f t="shared" si="4"/>
        <v>48</v>
      </c>
      <c r="B54" s="36" t="str">
        <f t="shared" si="2"/>
        <v>26 (12)</v>
      </c>
      <c r="C54" s="39" t="s">
        <v>213</v>
      </c>
      <c r="D54" s="431">
        <v>7.9</v>
      </c>
      <c r="E54" s="431">
        <f>+E50+E42</f>
        <v>7.9</v>
      </c>
      <c r="F54" s="431">
        <f t="shared" si="5"/>
        <v>0</v>
      </c>
      <c r="G54" s="278" t="s">
        <v>319</v>
      </c>
      <c r="H54" s="278" t="s">
        <v>319</v>
      </c>
      <c r="J54" s="431">
        <f>J39</f>
        <v>0.71</v>
      </c>
      <c r="K54" s="277" t="s">
        <v>642</v>
      </c>
      <c r="L54" s="278" t="str">
        <f>+$L$11</f>
        <v>Sheet No. 141COL</v>
      </c>
      <c r="N54" s="526">
        <f>N39</f>
        <v>1.1100000000000001</v>
      </c>
      <c r="O54" s="526">
        <f>O39</f>
        <v>0.96</v>
      </c>
      <c r="P54" s="277"/>
      <c r="Q54" s="277" t="s">
        <v>642</v>
      </c>
      <c r="R54" s="278" t="str">
        <f>+$R$11</f>
        <v>Sheet No. 141N</v>
      </c>
      <c r="T54" s="526">
        <f>T39</f>
        <v>0.21</v>
      </c>
      <c r="U54" s="526">
        <f>U39</f>
        <v>0.51</v>
      </c>
      <c r="V54" s="277"/>
      <c r="W54" s="277"/>
      <c r="X54" s="304"/>
      <c r="AA54" s="277"/>
      <c r="AB54" s="304"/>
      <c r="AC54" s="472"/>
    </row>
    <row r="55" spans="1:29" x14ac:dyDescent="0.2">
      <c r="A55" s="36">
        <f t="shared" si="4"/>
        <v>49</v>
      </c>
      <c r="B55" s="36" t="str">
        <f t="shared" si="2"/>
        <v>26 (12)</v>
      </c>
      <c r="C55" s="477" t="s">
        <v>214</v>
      </c>
      <c r="D55" s="277">
        <v>5.7654000000000004E-2</v>
      </c>
      <c r="E55" s="277">
        <f>+E37-ROUND(E51*E37,6)</f>
        <v>5.6055000000000001E-2</v>
      </c>
      <c r="F55" s="277">
        <f t="shared" si="5"/>
        <v>-1.5990000000000032E-3</v>
      </c>
      <c r="G55" s="278" t="s">
        <v>319</v>
      </c>
      <c r="H55" s="278" t="s">
        <v>319</v>
      </c>
      <c r="J55" s="277">
        <f>+J37</f>
        <v>4.2900000000000002E-4</v>
      </c>
      <c r="K55" s="277" t="s">
        <v>402</v>
      </c>
      <c r="L55" s="278" t="str">
        <f>+$L$11</f>
        <v>Sheet No. 141COL</v>
      </c>
      <c r="N55" s="525">
        <f>+N37</f>
        <v>6.2940000000000001E-3</v>
      </c>
      <c r="O55" s="525">
        <f>+O37</f>
        <v>5.3629999999999997E-3</v>
      </c>
      <c r="P55" s="277"/>
      <c r="Q55" s="277" t="s">
        <v>402</v>
      </c>
      <c r="R55" s="278" t="str">
        <f>+$R$11</f>
        <v>Sheet No. 141N</v>
      </c>
      <c r="T55" s="525">
        <f>+T37</f>
        <v>1.1770000000000001E-3</v>
      </c>
      <c r="U55" s="525">
        <f>+U37</f>
        <v>2.875E-3</v>
      </c>
      <c r="V55" s="277"/>
      <c r="W55" s="277" t="s">
        <v>402</v>
      </c>
      <c r="X55" s="278" t="str">
        <f>+$X$11</f>
        <v>Sheet No. 141R</v>
      </c>
      <c r="Z55" s="277">
        <f>Z37</f>
        <v>1.72E-3</v>
      </c>
      <c r="AA55" s="277" t="s">
        <v>402</v>
      </c>
      <c r="AB55" s="278" t="s">
        <v>607</v>
      </c>
      <c r="AC55" s="472"/>
    </row>
    <row r="56" spans="1:29" x14ac:dyDescent="0.2">
      <c r="A56" s="36">
        <f t="shared" si="4"/>
        <v>50</v>
      </c>
      <c r="B56" s="36" t="str">
        <f t="shared" si="2"/>
        <v>26 (12)</v>
      </c>
      <c r="C56" s="39" t="s">
        <v>215</v>
      </c>
      <c r="D56" s="474">
        <v>1.2699999999999999E-3</v>
      </c>
      <c r="E56" s="474">
        <f>+E46-ROUND(E51*E46,5)</f>
        <v>1.2699999999999999E-3</v>
      </c>
      <c r="F56" s="474">
        <f t="shared" si="5"/>
        <v>0</v>
      </c>
      <c r="G56" s="278" t="s">
        <v>319</v>
      </c>
      <c r="H56" s="278" t="s">
        <v>319</v>
      </c>
      <c r="L56" s="304"/>
      <c r="N56" s="524"/>
      <c r="O56" s="524"/>
      <c r="P56" s="277"/>
      <c r="R56" s="304"/>
      <c r="T56" s="524"/>
      <c r="U56" s="524"/>
      <c r="V56" s="277"/>
      <c r="X56" s="304"/>
      <c r="AB56" s="278"/>
      <c r="AC56" s="472"/>
    </row>
    <row r="57" spans="1:29" x14ac:dyDescent="0.2">
      <c r="A57" s="36">
        <f t="shared" si="4"/>
        <v>51</v>
      </c>
      <c r="L57" s="304"/>
      <c r="N57" s="524"/>
      <c r="O57" s="524"/>
      <c r="P57" s="277"/>
      <c r="R57" s="304"/>
      <c r="T57" s="524"/>
      <c r="U57" s="524"/>
      <c r="V57" s="277"/>
      <c r="X57" s="304"/>
      <c r="AB57" s="304"/>
      <c r="AC57" s="472"/>
    </row>
    <row r="58" spans="1:29" x14ac:dyDescent="0.2">
      <c r="A58" s="36">
        <f t="shared" si="4"/>
        <v>52</v>
      </c>
      <c r="B58" s="36">
        <v>29</v>
      </c>
      <c r="C58" s="278" t="s">
        <v>193</v>
      </c>
      <c r="L58" s="304"/>
      <c r="N58" s="524"/>
      <c r="O58" s="524"/>
      <c r="P58" s="277"/>
      <c r="R58" s="304"/>
      <c r="T58" s="524"/>
      <c r="U58" s="524"/>
      <c r="V58" s="277"/>
      <c r="X58" s="304"/>
      <c r="AB58" s="304"/>
      <c r="AC58" s="472"/>
    </row>
    <row r="59" spans="1:29" x14ac:dyDescent="0.2">
      <c r="A59" s="36">
        <f t="shared" si="4"/>
        <v>53</v>
      </c>
      <c r="B59" s="36">
        <f t="shared" ref="B59:B71" si="6">+$B$58</f>
        <v>29</v>
      </c>
      <c r="C59" s="39" t="s">
        <v>187</v>
      </c>
      <c r="D59" s="431">
        <v>9.99</v>
      </c>
      <c r="E59" s="431">
        <f>+'Exhibit No.__(BDJ-SV RD)'!G146</f>
        <v>9.99</v>
      </c>
      <c r="F59" s="431">
        <f>+E59-D59</f>
        <v>0</v>
      </c>
      <c r="G59" s="35" t="s">
        <v>324</v>
      </c>
      <c r="H59" s="304">
        <v>29</v>
      </c>
      <c r="L59" s="304"/>
      <c r="N59" s="524"/>
      <c r="O59" s="524"/>
      <c r="P59" s="277"/>
      <c r="R59" s="304"/>
      <c r="T59" s="524"/>
      <c r="U59" s="524"/>
      <c r="V59" s="277"/>
      <c r="X59" s="304"/>
      <c r="AB59" s="304"/>
      <c r="AC59" s="472"/>
    </row>
    <row r="60" spans="1:29" x14ac:dyDescent="0.2">
      <c r="A60" s="36">
        <f t="shared" si="4"/>
        <v>54</v>
      </c>
      <c r="B60" s="36">
        <f t="shared" si="6"/>
        <v>29</v>
      </c>
      <c r="C60" s="39" t="s">
        <v>188</v>
      </c>
      <c r="D60" s="431">
        <v>25.36</v>
      </c>
      <c r="E60" s="431">
        <f>+'Exhibit No.__(BDJ-SV RD)'!G147</f>
        <v>25.36</v>
      </c>
      <c r="F60" s="431">
        <f>+E60-D60</f>
        <v>0</v>
      </c>
      <c r="G60" s="35" t="s">
        <v>324</v>
      </c>
      <c r="H60" s="304">
        <v>29</v>
      </c>
      <c r="L60" s="304"/>
      <c r="N60" s="524"/>
      <c r="O60" s="524"/>
      <c r="P60" s="277"/>
      <c r="R60" s="304"/>
      <c r="T60" s="524"/>
      <c r="U60" s="524"/>
      <c r="V60" s="277"/>
      <c r="X60" s="304"/>
      <c r="AB60" s="304"/>
      <c r="AC60" s="472"/>
    </row>
    <row r="61" spans="1:29" x14ac:dyDescent="0.2">
      <c r="A61" s="36">
        <f t="shared" si="4"/>
        <v>55</v>
      </c>
      <c r="B61" s="36">
        <f t="shared" si="6"/>
        <v>29</v>
      </c>
      <c r="C61" s="39"/>
      <c r="D61" s="431"/>
      <c r="E61" s="431"/>
      <c r="F61" s="431"/>
      <c r="L61" s="304"/>
      <c r="N61" s="524"/>
      <c r="O61" s="524"/>
      <c r="P61" s="277"/>
      <c r="R61" s="304"/>
      <c r="T61" s="524"/>
      <c r="U61" s="524"/>
      <c r="V61" s="277"/>
      <c r="X61" s="304"/>
      <c r="AB61" s="304"/>
      <c r="AC61" s="472"/>
    </row>
    <row r="62" spans="1:29" x14ac:dyDescent="0.2">
      <c r="A62" s="36">
        <f t="shared" si="4"/>
        <v>56</v>
      </c>
      <c r="B62" s="36">
        <f t="shared" si="6"/>
        <v>29</v>
      </c>
      <c r="C62" s="39" t="s">
        <v>195</v>
      </c>
      <c r="D62" s="277">
        <v>9.3538999999999997E-2</v>
      </c>
      <c r="E62" s="277">
        <f>+'Exhibit No.__(BDJ-SV RD)'!G150</f>
        <v>9.1401999999999997E-2</v>
      </c>
      <c r="F62" s="277">
        <f>+E62-D62</f>
        <v>-2.137E-3</v>
      </c>
      <c r="G62" s="35" t="s">
        <v>324</v>
      </c>
      <c r="H62" s="304">
        <v>29</v>
      </c>
      <c r="J62" s="277">
        <f>ROUND(+'Exhibit No.__(BDJ-141C)'!L19,6)</f>
        <v>4.8299999999999998E-4</v>
      </c>
      <c r="K62" s="277" t="s">
        <v>402</v>
      </c>
      <c r="L62" s="278" t="str">
        <f>+$L$11</f>
        <v>Sheet No. 141COL</v>
      </c>
      <c r="N62" s="525">
        <f>+'Exhibit No.__(BDJ-MYRP)'!L77</f>
        <v>9.8949999999999993E-3</v>
      </c>
      <c r="O62" s="525">
        <f>+'Exhibit No.__(BDJ-MYRP)'!R77</f>
        <v>8.4309999999999993E-3</v>
      </c>
      <c r="P62" s="277"/>
      <c r="Q62" s="277" t="s">
        <v>402</v>
      </c>
      <c r="R62" s="278" t="str">
        <f>+$R$11</f>
        <v>Sheet No. 141N</v>
      </c>
      <c r="T62" s="525">
        <f>+'Exhibit No.__(BDJ-MYRP)'!M77</f>
        <v>1.8500000000000001E-3</v>
      </c>
      <c r="U62" s="525">
        <f>+'Exhibit No.__(BDJ-MYRP)'!S77</f>
        <v>4.5199999999999997E-3</v>
      </c>
      <c r="V62" s="277"/>
      <c r="W62" s="277" t="s">
        <v>402</v>
      </c>
      <c r="X62" s="278" t="str">
        <f>+$X$11</f>
        <v>Sheet No. 141R</v>
      </c>
      <c r="Z62" s="277">
        <f>'Exhibit No.__(BDJ-141A)'!$E$50</f>
        <v>1.7420000000000001E-3</v>
      </c>
      <c r="AA62" s="277" t="s">
        <v>402</v>
      </c>
      <c r="AB62" s="278" t="s">
        <v>607</v>
      </c>
      <c r="AC62" s="472"/>
    </row>
    <row r="63" spans="1:29" x14ac:dyDescent="0.2">
      <c r="A63" s="36">
        <f t="shared" si="4"/>
        <v>57</v>
      </c>
      <c r="B63" s="36">
        <f t="shared" si="6"/>
        <v>29</v>
      </c>
      <c r="C63" s="39" t="s">
        <v>216</v>
      </c>
      <c r="D63" s="277">
        <v>7.1040000000000006E-2</v>
      </c>
      <c r="E63" s="277">
        <f>+'Exhibit No.__(BDJ-SV RD)'!G151</f>
        <v>6.9417000000000006E-2</v>
      </c>
      <c r="F63" s="277">
        <f>+E63-D63</f>
        <v>-1.6229999999999994E-3</v>
      </c>
      <c r="G63" s="35" t="s">
        <v>324</v>
      </c>
      <c r="H63" s="304">
        <v>29</v>
      </c>
      <c r="K63" s="277"/>
      <c r="L63" s="304"/>
      <c r="N63" s="525"/>
      <c r="O63" s="525"/>
      <c r="P63" s="277"/>
      <c r="Q63" s="277"/>
      <c r="R63" s="304"/>
      <c r="T63" s="525"/>
      <c r="U63" s="525"/>
      <c r="V63" s="277"/>
      <c r="W63" s="277"/>
      <c r="X63" s="304"/>
      <c r="AA63" s="277"/>
      <c r="AB63" s="304"/>
      <c r="AC63" s="472"/>
    </row>
    <row r="64" spans="1:29" x14ac:dyDescent="0.2">
      <c r="A64" s="36">
        <f t="shared" si="4"/>
        <v>58</v>
      </c>
      <c r="B64" s="36">
        <f t="shared" si="6"/>
        <v>29</v>
      </c>
      <c r="C64" s="39" t="s">
        <v>196</v>
      </c>
      <c r="D64" s="277">
        <v>6.4817E-2</v>
      </c>
      <c r="E64" s="277">
        <f>+'Exhibit No.__(BDJ-SV RD)'!G152</f>
        <v>6.3336000000000003E-2</v>
      </c>
      <c r="F64" s="277">
        <f>+E64-D64</f>
        <v>-1.4809999999999962E-3</v>
      </c>
      <c r="G64" s="35" t="s">
        <v>324</v>
      </c>
      <c r="H64" s="304">
        <v>29</v>
      </c>
      <c r="K64" s="277"/>
      <c r="L64" s="304"/>
      <c r="N64" s="525"/>
      <c r="O64" s="525"/>
      <c r="P64" s="277"/>
      <c r="Q64" s="277"/>
      <c r="R64" s="304"/>
      <c r="T64" s="525"/>
      <c r="U64" s="525"/>
      <c r="V64" s="277"/>
      <c r="W64" s="277"/>
      <c r="X64" s="304"/>
      <c r="AA64" s="277"/>
      <c r="AB64" s="304"/>
      <c r="AC64" s="472"/>
    </row>
    <row r="65" spans="1:29" x14ac:dyDescent="0.2">
      <c r="A65" s="36">
        <f t="shared" si="4"/>
        <v>59</v>
      </c>
      <c r="B65" s="36">
        <f t="shared" si="6"/>
        <v>29</v>
      </c>
      <c r="C65" s="39" t="s">
        <v>217</v>
      </c>
      <c r="D65" s="277">
        <v>5.5537000000000003E-2</v>
      </c>
      <c r="E65" s="277">
        <f>+'Exhibit No.__(BDJ-SV RD)'!G153</f>
        <v>5.4267999999999997E-2</v>
      </c>
      <c r="F65" s="277">
        <f>+E65-D65</f>
        <v>-1.2690000000000062E-3</v>
      </c>
      <c r="G65" s="35" t="s">
        <v>324</v>
      </c>
      <c r="H65" s="304">
        <v>29</v>
      </c>
      <c r="K65" s="277"/>
      <c r="L65" s="304"/>
      <c r="N65" s="525"/>
      <c r="O65" s="525"/>
      <c r="P65" s="277"/>
      <c r="Q65" s="277"/>
      <c r="R65" s="304"/>
      <c r="T65" s="525"/>
      <c r="U65" s="525"/>
      <c r="V65" s="277"/>
      <c r="W65" s="277"/>
      <c r="X65" s="304"/>
      <c r="AA65" s="277"/>
      <c r="AB65" s="304"/>
      <c r="AC65" s="472"/>
    </row>
    <row r="66" spans="1:29" x14ac:dyDescent="0.2">
      <c r="A66" s="36">
        <f t="shared" si="4"/>
        <v>60</v>
      </c>
      <c r="B66" s="36">
        <f t="shared" si="6"/>
        <v>29</v>
      </c>
      <c r="C66" s="473"/>
      <c r="K66" s="277"/>
      <c r="L66" s="304"/>
      <c r="N66" s="525"/>
      <c r="O66" s="525"/>
      <c r="P66" s="277"/>
      <c r="Q66" s="277"/>
      <c r="R66" s="304"/>
      <c r="T66" s="525"/>
      <c r="U66" s="525"/>
      <c r="V66" s="277"/>
      <c r="W66" s="277"/>
      <c r="X66" s="304"/>
      <c r="AA66" s="277"/>
      <c r="AB66" s="304"/>
      <c r="AC66" s="472"/>
    </row>
    <row r="67" spans="1:29" x14ac:dyDescent="0.2">
      <c r="A67" s="36">
        <f t="shared" si="4"/>
        <v>61</v>
      </c>
      <c r="B67" s="36">
        <f t="shared" si="6"/>
        <v>29</v>
      </c>
      <c r="C67" s="39" t="s">
        <v>218</v>
      </c>
      <c r="D67" s="431">
        <v>0</v>
      </c>
      <c r="E67" s="431">
        <v>0</v>
      </c>
      <c r="F67" s="431">
        <f>+E67-D67</f>
        <v>0</v>
      </c>
      <c r="G67" s="278" t="s">
        <v>319</v>
      </c>
      <c r="H67" s="278" t="s">
        <v>319</v>
      </c>
      <c r="K67" s="277"/>
      <c r="L67" s="304"/>
      <c r="N67" s="525"/>
      <c r="O67" s="525"/>
      <c r="P67" s="277"/>
      <c r="Q67" s="277"/>
      <c r="R67" s="304"/>
      <c r="T67" s="525"/>
      <c r="U67" s="525"/>
      <c r="V67" s="277"/>
      <c r="W67" s="277"/>
      <c r="X67" s="304"/>
      <c r="AA67" s="277"/>
      <c r="AB67" s="304"/>
      <c r="AC67" s="472"/>
    </row>
    <row r="68" spans="1:29" x14ac:dyDescent="0.2">
      <c r="A68" s="36">
        <f t="shared" si="4"/>
        <v>62</v>
      </c>
      <c r="B68" s="36">
        <f t="shared" si="6"/>
        <v>29</v>
      </c>
      <c r="C68" s="39" t="s">
        <v>199</v>
      </c>
      <c r="D68" s="431">
        <v>9.2200000000000006</v>
      </c>
      <c r="E68" s="431">
        <f>+'Exhibit No.__(BDJ-SV RD)'!G160</f>
        <v>9.2200000000000006</v>
      </c>
      <c r="F68" s="431">
        <f>+E68-D68</f>
        <v>0</v>
      </c>
      <c r="G68" s="35" t="s">
        <v>324</v>
      </c>
      <c r="H68" s="304">
        <v>29</v>
      </c>
      <c r="J68" s="431">
        <f>ROUND(+'Exhibit No.__(BDJ-141C)'!L20,2)</f>
        <v>4.67</v>
      </c>
      <c r="K68" s="277" t="s">
        <v>642</v>
      </c>
      <c r="L68" s="278" t="str">
        <f>+$L$11</f>
        <v>Sheet No. 141COL</v>
      </c>
      <c r="N68" s="526">
        <f>+'Exhibit No.__(BDJ-MYRP)'!L81</f>
        <v>0.84</v>
      </c>
      <c r="O68" s="526">
        <f>+'Exhibit No.__(BDJ-MYRP)'!R81</f>
        <v>0.71</v>
      </c>
      <c r="P68" s="277"/>
      <c r="Q68" s="277" t="s">
        <v>642</v>
      </c>
      <c r="R68" s="278" t="str">
        <f>+$R$11</f>
        <v>Sheet No. 141N</v>
      </c>
      <c r="T68" s="526">
        <f>+'Exhibit No.__(BDJ-MYRP)'!M81</f>
        <v>0.16</v>
      </c>
      <c r="U68" s="526">
        <f>+'Exhibit No.__(BDJ-MYRP)'!S81</f>
        <v>0.38</v>
      </c>
      <c r="V68" s="277"/>
      <c r="W68" s="277" t="s">
        <v>642</v>
      </c>
      <c r="X68" s="278" t="str">
        <f>+$X$11</f>
        <v>Sheet No. 141R</v>
      </c>
      <c r="AA68" s="277"/>
      <c r="AB68" s="304"/>
      <c r="AC68" s="472"/>
    </row>
    <row r="69" spans="1:29" x14ac:dyDescent="0.2">
      <c r="A69" s="36">
        <f t="shared" si="4"/>
        <v>63</v>
      </c>
      <c r="B69" s="36">
        <f t="shared" si="6"/>
        <v>29</v>
      </c>
      <c r="C69" s="39" t="s">
        <v>200</v>
      </c>
      <c r="D69" s="431">
        <v>4.54</v>
      </c>
      <c r="E69" s="431">
        <f>+'Exhibit No.__(BDJ-SV RD)'!G161</f>
        <v>4.54</v>
      </c>
      <c r="F69" s="431">
        <f>+E69-D69</f>
        <v>0</v>
      </c>
      <c r="G69" s="35" t="s">
        <v>324</v>
      </c>
      <c r="H69" s="304">
        <v>29</v>
      </c>
      <c r="J69" s="431">
        <f>J68</f>
        <v>4.67</v>
      </c>
      <c r="K69" s="277" t="s">
        <v>642</v>
      </c>
      <c r="L69" s="278" t="str">
        <f>+$L$11</f>
        <v>Sheet No. 141COL</v>
      </c>
      <c r="N69" s="526">
        <f>N68</f>
        <v>0.84</v>
      </c>
      <c r="O69" s="526">
        <f>O68</f>
        <v>0.71</v>
      </c>
      <c r="P69" s="277"/>
      <c r="Q69" s="277" t="s">
        <v>642</v>
      </c>
      <c r="R69" s="278" t="str">
        <f>+$R$11</f>
        <v>Sheet No. 141N</v>
      </c>
      <c r="T69" s="526">
        <f>T68</f>
        <v>0.16</v>
      </c>
      <c r="U69" s="526">
        <f>U68</f>
        <v>0.38</v>
      </c>
      <c r="V69" s="277"/>
      <c r="W69" s="277" t="s">
        <v>642</v>
      </c>
      <c r="X69" s="278" t="str">
        <f>+$X$11</f>
        <v>Sheet No. 141R</v>
      </c>
      <c r="AA69" s="277"/>
      <c r="AB69" s="304"/>
      <c r="AC69" s="472"/>
    </row>
    <row r="70" spans="1:29" x14ac:dyDescent="0.2">
      <c r="A70" s="36">
        <f t="shared" si="4"/>
        <v>64</v>
      </c>
      <c r="B70" s="36">
        <f t="shared" si="6"/>
        <v>29</v>
      </c>
      <c r="C70" s="39"/>
      <c r="D70" s="431"/>
      <c r="E70" s="431"/>
      <c r="F70" s="431"/>
      <c r="K70" s="277"/>
      <c r="L70" s="304"/>
      <c r="N70" s="525"/>
      <c r="O70" s="525"/>
      <c r="P70" s="277"/>
      <c r="Q70" s="277"/>
      <c r="R70" s="304"/>
      <c r="T70" s="525"/>
      <c r="U70" s="525"/>
      <c r="V70" s="277"/>
      <c r="W70" s="277"/>
      <c r="X70" s="304"/>
      <c r="AA70" s="277"/>
      <c r="AB70" s="304"/>
      <c r="AC70" s="472"/>
    </row>
    <row r="71" spans="1:29" x14ac:dyDescent="0.2">
      <c r="A71" s="36">
        <f t="shared" si="4"/>
        <v>65</v>
      </c>
      <c r="B71" s="36">
        <f t="shared" si="6"/>
        <v>29</v>
      </c>
      <c r="C71" s="39" t="s">
        <v>201</v>
      </c>
      <c r="D71" s="474">
        <v>2.9299999999999999E-3</v>
      </c>
      <c r="E71" s="474">
        <f>+'Exhibit No.__(BDJ-SV RD)'!G164</f>
        <v>2.9299999999999999E-3</v>
      </c>
      <c r="F71" s="474">
        <f>+E71-D71</f>
        <v>0</v>
      </c>
      <c r="G71" s="35" t="s">
        <v>324</v>
      </c>
      <c r="H71" s="304">
        <v>29</v>
      </c>
      <c r="K71" s="277"/>
      <c r="L71" s="304"/>
      <c r="N71" s="525"/>
      <c r="O71" s="525"/>
      <c r="P71" s="277"/>
      <c r="Q71" s="277"/>
      <c r="R71" s="304"/>
      <c r="T71" s="525"/>
      <c r="U71" s="525"/>
      <c r="V71" s="277"/>
      <c r="W71" s="277"/>
      <c r="X71" s="304"/>
      <c r="AA71" s="277"/>
      <c r="AB71" s="304"/>
      <c r="AC71" s="472"/>
    </row>
    <row r="72" spans="1:29" x14ac:dyDescent="0.2">
      <c r="A72" s="36">
        <f t="shared" ref="A72:A103" si="7">+A71+1</f>
        <v>66</v>
      </c>
      <c r="K72" s="277"/>
      <c r="L72" s="304"/>
      <c r="N72" s="525"/>
      <c r="O72" s="525"/>
      <c r="P72" s="277"/>
      <c r="Q72" s="277"/>
      <c r="R72" s="304"/>
      <c r="T72" s="525"/>
      <c r="U72" s="525"/>
      <c r="V72" s="277"/>
      <c r="W72" s="277"/>
      <c r="X72" s="304"/>
      <c r="AA72" s="277"/>
      <c r="AB72" s="304"/>
      <c r="AC72" s="472"/>
    </row>
    <row r="73" spans="1:29" x14ac:dyDescent="0.2">
      <c r="A73" s="36">
        <f t="shared" si="7"/>
        <v>67</v>
      </c>
      <c r="B73" s="36" t="s">
        <v>219</v>
      </c>
      <c r="C73" s="278" t="s">
        <v>220</v>
      </c>
      <c r="K73" s="277"/>
      <c r="L73" s="304"/>
      <c r="N73" s="525"/>
      <c r="O73" s="525"/>
      <c r="P73" s="277"/>
      <c r="Q73" s="277"/>
      <c r="R73" s="304"/>
      <c r="T73" s="525"/>
      <c r="U73" s="525"/>
      <c r="V73" s="277"/>
      <c r="W73" s="277"/>
      <c r="X73" s="304"/>
      <c r="AA73" s="277"/>
      <c r="AB73" s="304"/>
      <c r="AC73" s="472"/>
    </row>
    <row r="74" spans="1:29" x14ac:dyDescent="0.2">
      <c r="A74" s="36">
        <f t="shared" si="7"/>
        <v>68</v>
      </c>
      <c r="B74" s="36" t="str">
        <f t="shared" ref="B74:B85" si="8">+$B$73</f>
        <v>31 (10)</v>
      </c>
      <c r="C74" s="39" t="s">
        <v>194</v>
      </c>
      <c r="D74" s="431">
        <v>358.11</v>
      </c>
      <c r="E74" s="431">
        <f>+'Exhibit No.__(BDJ-PV RD)'!G15</f>
        <v>358.11</v>
      </c>
      <c r="F74" s="431">
        <f>+E74-D74</f>
        <v>0</v>
      </c>
      <c r="G74" s="35" t="s">
        <v>320</v>
      </c>
      <c r="H74" s="304">
        <v>31</v>
      </c>
      <c r="K74" s="277"/>
      <c r="L74" s="304"/>
      <c r="N74" s="525"/>
      <c r="O74" s="525"/>
      <c r="P74" s="277"/>
      <c r="Q74" s="277"/>
      <c r="R74" s="304"/>
      <c r="T74" s="525"/>
      <c r="U74" s="525"/>
      <c r="V74" s="277"/>
      <c r="W74" s="277"/>
      <c r="X74" s="304"/>
      <c r="AA74" s="277"/>
      <c r="AB74" s="304"/>
      <c r="AC74" s="472"/>
    </row>
    <row r="75" spans="1:29" x14ac:dyDescent="0.2">
      <c r="A75" s="36">
        <f t="shared" si="7"/>
        <v>69</v>
      </c>
      <c r="B75" s="36" t="str">
        <f t="shared" si="8"/>
        <v>31 (10)</v>
      </c>
      <c r="C75" s="39"/>
      <c r="D75" s="431"/>
      <c r="E75" s="431"/>
      <c r="F75" s="431"/>
      <c r="L75" s="304"/>
      <c r="N75" s="524"/>
      <c r="O75" s="524"/>
      <c r="P75" s="277"/>
      <c r="R75" s="304"/>
      <c r="T75" s="524"/>
      <c r="U75" s="524"/>
      <c r="V75" s="277"/>
      <c r="X75" s="304"/>
      <c r="AB75" s="304"/>
      <c r="AC75" s="472"/>
    </row>
    <row r="76" spans="1:29" x14ac:dyDescent="0.2">
      <c r="A76" s="36">
        <f t="shared" si="7"/>
        <v>70</v>
      </c>
      <c r="B76" s="36" t="str">
        <f t="shared" si="8"/>
        <v>31 (10)</v>
      </c>
      <c r="C76" s="39" t="s">
        <v>221</v>
      </c>
      <c r="D76" s="277">
        <v>5.7328999999999998E-2</v>
      </c>
      <c r="E76" s="277">
        <f>+'Exhibit No.__(BDJ-PV RD)'!G17</f>
        <v>5.5718999999999998E-2</v>
      </c>
      <c r="F76" s="277">
        <f>+E76-D76</f>
        <v>-1.6100000000000003E-3</v>
      </c>
      <c r="G76" s="35" t="s">
        <v>320</v>
      </c>
      <c r="H76" s="304">
        <v>31</v>
      </c>
      <c r="J76" s="277">
        <f>ROUND(+'Exhibit No.__(BDJ-141C)'!L23,6)</f>
        <v>4.1199999999999999E-4</v>
      </c>
      <c r="K76" s="277" t="s">
        <v>402</v>
      </c>
      <c r="L76" s="278" t="str">
        <f>+$L$11</f>
        <v>Sheet No. 141COL</v>
      </c>
      <c r="N76" s="525">
        <f>+'Exhibit No.__(BDJ-MYRP)'!L91</f>
        <v>6.0460000000000002E-3</v>
      </c>
      <c r="O76" s="525">
        <f>+'Exhibit No.__(BDJ-MYRP)'!R91</f>
        <v>5.202E-3</v>
      </c>
      <c r="P76" s="277"/>
      <c r="Q76" s="277" t="s">
        <v>402</v>
      </c>
      <c r="R76" s="278" t="str">
        <f>+$R$11</f>
        <v>Sheet No. 141N</v>
      </c>
      <c r="T76" s="525">
        <f>+'Exhibit No.__(BDJ-MYRP)'!M91</f>
        <v>1.1299999999999999E-3</v>
      </c>
      <c r="U76" s="525">
        <f>+'Exhibit No.__(BDJ-MYRP)'!S91</f>
        <v>2.7889999999999998E-3</v>
      </c>
      <c r="V76" s="277"/>
      <c r="W76" s="277" t="s">
        <v>402</v>
      </c>
      <c r="X76" s="278" t="str">
        <f>+$X$11</f>
        <v>Sheet No. 141R</v>
      </c>
      <c r="Z76" s="277">
        <f>'Exhibit No.__(BDJ-141A)'!$E$56</f>
        <v>1.6620000000000001E-3</v>
      </c>
      <c r="AA76" s="277" t="s">
        <v>402</v>
      </c>
      <c r="AB76" s="278" t="s">
        <v>607</v>
      </c>
      <c r="AC76" s="472"/>
    </row>
    <row r="77" spans="1:29" x14ac:dyDescent="0.2">
      <c r="A77" s="36">
        <f t="shared" si="7"/>
        <v>71</v>
      </c>
      <c r="B77" s="36" t="str">
        <f t="shared" si="8"/>
        <v>31 (10)</v>
      </c>
      <c r="C77" s="473"/>
      <c r="K77" s="277"/>
      <c r="L77" s="304"/>
      <c r="N77" s="525"/>
      <c r="O77" s="525"/>
      <c r="P77" s="277"/>
      <c r="Q77" s="277"/>
      <c r="R77" s="304"/>
      <c r="T77" s="525"/>
      <c r="U77" s="525"/>
      <c r="V77" s="277"/>
      <c r="W77" s="277"/>
      <c r="X77" s="304"/>
      <c r="AA77" s="277"/>
      <c r="AB77" s="304"/>
      <c r="AC77" s="472"/>
    </row>
    <row r="78" spans="1:29" x14ac:dyDescent="0.2">
      <c r="A78" s="36">
        <f t="shared" si="7"/>
        <v>72</v>
      </c>
      <c r="B78" s="36" t="str">
        <f t="shared" si="8"/>
        <v>31 (10)</v>
      </c>
      <c r="C78" s="39" t="s">
        <v>205</v>
      </c>
      <c r="D78" s="431">
        <v>11.94</v>
      </c>
      <c r="E78" s="431">
        <f>+'Exhibit No.__(BDJ-PV RD)'!G23</f>
        <v>11.94</v>
      </c>
      <c r="F78" s="431">
        <f t="shared" ref="F78:F83" si="9">+E78-D78</f>
        <v>0</v>
      </c>
      <c r="G78" s="35" t="s">
        <v>320</v>
      </c>
      <c r="H78" s="304">
        <v>31</v>
      </c>
      <c r="J78" s="431">
        <f>ROUND(+'Exhibit No.__(BDJ-141C)'!L24,2)</f>
        <v>0.67</v>
      </c>
      <c r="K78" s="277" t="s">
        <v>642</v>
      </c>
      <c r="L78" s="278" t="str">
        <f>+$L$11</f>
        <v>Sheet No. 141COL</v>
      </c>
      <c r="N78" s="526">
        <f>+'Exhibit No.__(BDJ-MYRP)'!L95</f>
        <v>1.08</v>
      </c>
      <c r="O78" s="526">
        <f>+'Exhibit No.__(BDJ-MYRP)'!R95</f>
        <v>0.93</v>
      </c>
      <c r="P78" s="277"/>
      <c r="Q78" s="277" t="s">
        <v>642</v>
      </c>
      <c r="R78" s="278" t="str">
        <f>+$R$11</f>
        <v>Sheet No. 141N</v>
      </c>
      <c r="T78" s="526">
        <f>+'Exhibit No.__(BDJ-MYRP)'!M95</f>
        <v>0.2</v>
      </c>
      <c r="U78" s="526">
        <f>+'Exhibit No.__(BDJ-MYRP)'!S95</f>
        <v>0.5</v>
      </c>
      <c r="V78" s="277"/>
      <c r="W78" s="277" t="s">
        <v>642</v>
      </c>
      <c r="X78" s="278" t="str">
        <f>+$X$11</f>
        <v>Sheet No. 141R</v>
      </c>
      <c r="AA78" s="277"/>
      <c r="AB78" s="304"/>
      <c r="AC78" s="472"/>
    </row>
    <row r="79" spans="1:29" x14ac:dyDescent="0.2">
      <c r="A79" s="36">
        <f t="shared" si="7"/>
        <v>73</v>
      </c>
      <c r="B79" s="36" t="str">
        <f t="shared" si="8"/>
        <v>31 (10)</v>
      </c>
      <c r="C79" s="475" t="s">
        <v>307</v>
      </c>
      <c r="D79" s="431">
        <v>5.31</v>
      </c>
      <c r="E79" s="431">
        <f>'Exhibit No.__(BDJ-CONJ  DEM)'!D26</f>
        <v>5.85</v>
      </c>
      <c r="F79" s="431">
        <f t="shared" si="9"/>
        <v>0.54</v>
      </c>
      <c r="G79" s="35" t="s">
        <v>320</v>
      </c>
      <c r="H79" s="304" t="s">
        <v>321</v>
      </c>
      <c r="K79" s="277"/>
      <c r="L79" s="304"/>
      <c r="N79" s="525"/>
      <c r="O79" s="525"/>
      <c r="P79" s="277"/>
      <c r="Q79" s="277"/>
      <c r="R79" s="304"/>
      <c r="T79" s="525"/>
      <c r="U79" s="525"/>
      <c r="V79" s="277"/>
      <c r="W79" s="277"/>
      <c r="X79" s="304"/>
      <c r="AA79" s="277"/>
      <c r="AB79" s="304"/>
      <c r="AC79" s="472"/>
    </row>
    <row r="80" spans="1:29" x14ac:dyDescent="0.2">
      <c r="A80" s="36">
        <f t="shared" si="7"/>
        <v>74</v>
      </c>
      <c r="B80" s="36" t="str">
        <f t="shared" si="8"/>
        <v>31 (10)</v>
      </c>
      <c r="C80" s="475" t="s">
        <v>308</v>
      </c>
      <c r="D80" s="431">
        <v>6.63</v>
      </c>
      <c r="E80" s="431">
        <f>'Exhibit No.__(BDJ-CONJ  DEM)'!D27</f>
        <v>6.09</v>
      </c>
      <c r="F80" s="431">
        <f t="shared" si="9"/>
        <v>-0.54</v>
      </c>
      <c r="G80" s="35" t="s">
        <v>320</v>
      </c>
      <c r="H80" s="304" t="s">
        <v>321</v>
      </c>
      <c r="K80" s="277"/>
      <c r="L80" s="304"/>
      <c r="N80" s="525"/>
      <c r="O80" s="525"/>
      <c r="P80" s="277"/>
      <c r="Q80" s="277"/>
      <c r="R80" s="304"/>
      <c r="T80" s="525"/>
      <c r="U80" s="525"/>
      <c r="V80" s="277"/>
      <c r="W80" s="277"/>
      <c r="X80" s="304"/>
      <c r="AA80" s="277"/>
      <c r="AB80" s="304"/>
      <c r="AC80" s="472"/>
    </row>
    <row r="81" spans="1:29" x14ac:dyDescent="0.2">
      <c r="A81" s="36">
        <f t="shared" si="7"/>
        <v>75</v>
      </c>
      <c r="B81" s="36" t="str">
        <f t="shared" si="8"/>
        <v>31 (10)</v>
      </c>
      <c r="C81" s="39" t="s">
        <v>206</v>
      </c>
      <c r="D81" s="431">
        <v>7.96</v>
      </c>
      <c r="E81" s="431">
        <f>+'Exhibit No.__(BDJ-PV RD)'!G24</f>
        <v>7.96</v>
      </c>
      <c r="F81" s="431">
        <f t="shared" si="9"/>
        <v>0</v>
      </c>
      <c r="G81" s="35" t="s">
        <v>320</v>
      </c>
      <c r="H81" s="304">
        <v>31</v>
      </c>
      <c r="J81" s="431">
        <f>J78</f>
        <v>0.67</v>
      </c>
      <c r="K81" s="277" t="s">
        <v>642</v>
      </c>
      <c r="L81" s="278" t="str">
        <f>+$L$11</f>
        <v>Sheet No. 141COL</v>
      </c>
      <c r="N81" s="526">
        <f>N78</f>
        <v>1.08</v>
      </c>
      <c r="O81" s="526">
        <f>O78</f>
        <v>0.93</v>
      </c>
      <c r="P81" s="277"/>
      <c r="Q81" s="277" t="s">
        <v>642</v>
      </c>
      <c r="R81" s="278" t="str">
        <f>+$R$11</f>
        <v>Sheet No. 141N</v>
      </c>
      <c r="T81" s="526">
        <f>T78</f>
        <v>0.2</v>
      </c>
      <c r="U81" s="526">
        <f>U78</f>
        <v>0.5</v>
      </c>
      <c r="V81" s="277"/>
      <c r="W81" s="277" t="s">
        <v>642</v>
      </c>
      <c r="X81" s="278" t="str">
        <f>+$X$11</f>
        <v>Sheet No. 141R</v>
      </c>
      <c r="AA81" s="277"/>
      <c r="AB81" s="304"/>
      <c r="AC81" s="472"/>
    </row>
    <row r="82" spans="1:29" x14ac:dyDescent="0.2">
      <c r="A82" s="36">
        <f t="shared" si="7"/>
        <v>76</v>
      </c>
      <c r="B82" s="36" t="str">
        <f t="shared" si="8"/>
        <v>31 (10)</v>
      </c>
      <c r="C82" s="475" t="s">
        <v>307</v>
      </c>
      <c r="D82" s="431">
        <v>3.54</v>
      </c>
      <c r="E82" s="431">
        <f>'Exhibit No.__(BDJ-CONJ  DEM)'!E26</f>
        <v>3.9</v>
      </c>
      <c r="F82" s="431">
        <f t="shared" si="9"/>
        <v>0.35999999999999988</v>
      </c>
      <c r="G82" s="35" t="s">
        <v>320</v>
      </c>
      <c r="H82" s="304" t="s">
        <v>321</v>
      </c>
      <c r="K82" s="277"/>
      <c r="L82" s="304"/>
      <c r="N82" s="525"/>
      <c r="O82" s="525"/>
      <c r="P82" s="277"/>
      <c r="Q82" s="277"/>
      <c r="R82" s="304"/>
      <c r="T82" s="525"/>
      <c r="U82" s="525"/>
      <c r="V82" s="277"/>
      <c r="W82" s="277"/>
      <c r="X82" s="304"/>
      <c r="AA82" s="277"/>
      <c r="AB82" s="304"/>
      <c r="AC82" s="472"/>
    </row>
    <row r="83" spans="1:29" x14ac:dyDescent="0.2">
      <c r="A83" s="36">
        <f t="shared" si="7"/>
        <v>77</v>
      </c>
      <c r="B83" s="36" t="str">
        <f t="shared" si="8"/>
        <v>31 (10)</v>
      </c>
      <c r="C83" s="475" t="s">
        <v>308</v>
      </c>
      <c r="D83" s="431">
        <v>4.42</v>
      </c>
      <c r="E83" s="431">
        <f>'Exhibit No.__(BDJ-CONJ  DEM)'!E27</f>
        <v>4.0599999999999996</v>
      </c>
      <c r="F83" s="431">
        <f t="shared" si="9"/>
        <v>-0.36000000000000032</v>
      </c>
      <c r="G83" s="35" t="s">
        <v>320</v>
      </c>
      <c r="H83" s="304" t="s">
        <v>321</v>
      </c>
      <c r="K83" s="277"/>
      <c r="L83" s="304"/>
      <c r="N83" s="525"/>
      <c r="O83" s="525"/>
      <c r="P83" s="277"/>
      <c r="Q83" s="277"/>
      <c r="R83" s="304"/>
      <c r="T83" s="525"/>
      <c r="U83" s="525"/>
      <c r="V83" s="277"/>
      <c r="W83" s="277"/>
      <c r="X83" s="304"/>
      <c r="AA83" s="277"/>
      <c r="AB83" s="304"/>
      <c r="AC83" s="472"/>
    </row>
    <row r="84" spans="1:29" x14ac:dyDescent="0.2">
      <c r="A84" s="36">
        <f t="shared" si="7"/>
        <v>78</v>
      </c>
      <c r="B84" s="36" t="str">
        <f t="shared" si="8"/>
        <v>31 (10)</v>
      </c>
      <c r="C84" s="39"/>
      <c r="D84" s="431"/>
      <c r="E84" s="431"/>
      <c r="F84" s="431"/>
      <c r="K84" s="277"/>
      <c r="L84" s="304"/>
      <c r="N84" s="525"/>
      <c r="O84" s="525"/>
      <c r="P84" s="277"/>
      <c r="Q84" s="277"/>
      <c r="R84" s="304"/>
      <c r="T84" s="525"/>
      <c r="U84" s="525"/>
      <c r="V84" s="277"/>
      <c r="W84" s="277"/>
      <c r="X84" s="304"/>
      <c r="AA84" s="277"/>
      <c r="AB84" s="304"/>
      <c r="AC84" s="472"/>
    </row>
    <row r="85" spans="1:29" x14ac:dyDescent="0.2">
      <c r="A85" s="36">
        <f t="shared" si="7"/>
        <v>79</v>
      </c>
      <c r="B85" s="36" t="str">
        <f t="shared" si="8"/>
        <v>31 (10)</v>
      </c>
      <c r="C85" s="39" t="s">
        <v>201</v>
      </c>
      <c r="D85" s="474">
        <v>1.1199999999999999E-3</v>
      </c>
      <c r="E85" s="474">
        <f>+'Exhibit No.__(BDJ-PV RD)'!G27</f>
        <v>1.1199999999999999E-3</v>
      </c>
      <c r="F85" s="474">
        <f>+E85-D85</f>
        <v>0</v>
      </c>
      <c r="G85" s="35" t="s">
        <v>320</v>
      </c>
      <c r="H85" s="304">
        <v>31</v>
      </c>
      <c r="K85" s="277"/>
      <c r="L85" s="304"/>
      <c r="N85" s="525"/>
      <c r="O85" s="525"/>
      <c r="P85" s="277"/>
      <c r="Q85" s="277"/>
      <c r="R85" s="304"/>
      <c r="T85" s="525"/>
      <c r="U85" s="525"/>
      <c r="V85" s="277"/>
      <c r="W85" s="277"/>
      <c r="X85" s="304"/>
      <c r="AA85" s="277"/>
      <c r="AB85" s="304"/>
      <c r="AC85" s="472"/>
    </row>
    <row r="86" spans="1:29" x14ac:dyDescent="0.2">
      <c r="A86" s="36">
        <f t="shared" si="7"/>
        <v>80</v>
      </c>
      <c r="K86" s="277"/>
      <c r="L86" s="304"/>
      <c r="N86" s="525"/>
      <c r="O86" s="525"/>
      <c r="P86" s="277"/>
      <c r="Q86" s="277"/>
      <c r="R86" s="304"/>
      <c r="T86" s="525"/>
      <c r="U86" s="525"/>
      <c r="V86" s="277"/>
      <c r="W86" s="277"/>
      <c r="X86" s="304"/>
      <c r="AA86" s="277"/>
      <c r="AB86" s="304"/>
      <c r="AC86" s="472"/>
    </row>
    <row r="87" spans="1:29" x14ac:dyDescent="0.2">
      <c r="A87" s="36">
        <f t="shared" si="7"/>
        <v>81</v>
      </c>
      <c r="B87" s="36">
        <v>35</v>
      </c>
      <c r="C87" s="278" t="s">
        <v>222</v>
      </c>
      <c r="K87" s="277"/>
      <c r="L87" s="304"/>
      <c r="N87" s="525"/>
      <c r="O87" s="525"/>
      <c r="P87" s="277"/>
      <c r="Q87" s="277"/>
      <c r="R87" s="304"/>
      <c r="T87" s="525"/>
      <c r="U87" s="525"/>
      <c r="V87" s="277"/>
      <c r="W87" s="277"/>
      <c r="X87" s="304"/>
      <c r="AA87" s="277"/>
      <c r="AB87" s="304"/>
      <c r="AC87" s="472"/>
    </row>
    <row r="88" spans="1:29" x14ac:dyDescent="0.2">
      <c r="A88" s="36">
        <f t="shared" si="7"/>
        <v>82</v>
      </c>
      <c r="B88" s="36">
        <f t="shared" ref="B88:B95" si="10">+$B$87</f>
        <v>35</v>
      </c>
      <c r="C88" s="39" t="s">
        <v>194</v>
      </c>
      <c r="D88" s="431">
        <v>358.11</v>
      </c>
      <c r="E88" s="431">
        <f>+'Exhibit No.__(BDJ-PV RD)'!G44</f>
        <v>358.11</v>
      </c>
      <c r="F88" s="431">
        <f>+E88-D88</f>
        <v>0</v>
      </c>
      <c r="G88" s="35" t="s">
        <v>322</v>
      </c>
      <c r="H88" s="304">
        <v>35</v>
      </c>
      <c r="L88" s="304"/>
      <c r="N88" s="524"/>
      <c r="O88" s="524"/>
      <c r="P88" s="277"/>
      <c r="R88" s="304"/>
      <c r="T88" s="524"/>
      <c r="U88" s="524"/>
      <c r="V88" s="277"/>
      <c r="X88" s="304"/>
      <c r="AB88" s="304"/>
      <c r="AC88" s="472"/>
    </row>
    <row r="89" spans="1:29" x14ac:dyDescent="0.2">
      <c r="A89" s="36">
        <f t="shared" si="7"/>
        <v>83</v>
      </c>
      <c r="B89" s="36">
        <f t="shared" si="10"/>
        <v>35</v>
      </c>
      <c r="C89" s="39"/>
      <c r="D89" s="431"/>
      <c r="E89" s="431"/>
      <c r="F89" s="431"/>
      <c r="L89" s="304"/>
      <c r="N89" s="524"/>
      <c r="O89" s="524"/>
      <c r="P89" s="277"/>
      <c r="R89" s="304"/>
      <c r="T89" s="524"/>
      <c r="U89" s="524"/>
      <c r="V89" s="277"/>
      <c r="X89" s="304"/>
      <c r="AB89" s="304"/>
      <c r="AC89" s="472"/>
    </row>
    <row r="90" spans="1:29" x14ac:dyDescent="0.2">
      <c r="A90" s="36">
        <f t="shared" si="7"/>
        <v>84</v>
      </c>
      <c r="B90" s="36">
        <f t="shared" si="10"/>
        <v>35</v>
      </c>
      <c r="C90" s="39" t="s">
        <v>221</v>
      </c>
      <c r="D90" s="277">
        <v>5.3178000000000003E-2</v>
      </c>
      <c r="E90" s="277">
        <f>+'Exhibit No.__(BDJ-PV RD)'!G46</f>
        <v>5.3178000000000003E-2</v>
      </c>
      <c r="F90" s="277">
        <f>+E90-D90</f>
        <v>0</v>
      </c>
      <c r="G90" s="35" t="s">
        <v>322</v>
      </c>
      <c r="H90" s="304">
        <v>35</v>
      </c>
      <c r="J90" s="277">
        <f>ROUND(+'Exhibit No.__(BDJ-141C)'!L27,6)</f>
        <v>2.8299999999999999E-4</v>
      </c>
      <c r="K90" s="277" t="s">
        <v>402</v>
      </c>
      <c r="L90" s="278" t="str">
        <f>+$L$11</f>
        <v>Sheet No. 141COL</v>
      </c>
      <c r="N90" s="525">
        <f>+'Exhibit No.__(BDJ-MYRP)'!L104</f>
        <v>1.0874E-2</v>
      </c>
      <c r="O90" s="525">
        <f>+'Exhibit No.__(BDJ-MYRP)'!R104</f>
        <v>9.3170000000000006E-3</v>
      </c>
      <c r="P90" s="277"/>
      <c r="Q90" s="277" t="s">
        <v>402</v>
      </c>
      <c r="R90" s="278" t="str">
        <f>+$R$76</f>
        <v>Sheet No. 141N</v>
      </c>
      <c r="T90" s="525">
        <f>+'Exhibit No.__(BDJ-MYRP)'!M104</f>
        <v>2.0330000000000001E-3</v>
      </c>
      <c r="U90" s="525">
        <f>+'Exhibit No.__(BDJ-MYRP)'!S104</f>
        <v>4.9950000000000003E-3</v>
      </c>
      <c r="V90" s="277"/>
      <c r="W90" s="277" t="s">
        <v>402</v>
      </c>
      <c r="X90" s="278" t="str">
        <f>+$X$11</f>
        <v>Sheet No. 141R</v>
      </c>
      <c r="Z90" s="277">
        <f>'Exhibit No.__(BDJ-141A)'!$E$62</f>
        <v>1.5900000000000001E-3</v>
      </c>
      <c r="AA90" s="277" t="s">
        <v>402</v>
      </c>
      <c r="AB90" s="278" t="s">
        <v>607</v>
      </c>
      <c r="AC90" s="472"/>
    </row>
    <row r="91" spans="1:29" x14ac:dyDescent="0.2">
      <c r="A91" s="36">
        <f t="shared" si="7"/>
        <v>85</v>
      </c>
      <c r="B91" s="36">
        <f t="shared" si="10"/>
        <v>35</v>
      </c>
      <c r="C91" s="473"/>
      <c r="K91" s="277"/>
      <c r="L91" s="304"/>
      <c r="N91" s="525"/>
      <c r="O91" s="525"/>
      <c r="P91" s="277"/>
      <c r="Q91" s="277"/>
      <c r="R91" s="304"/>
      <c r="T91" s="525"/>
      <c r="U91" s="525"/>
      <c r="V91" s="277"/>
      <c r="W91" s="277"/>
      <c r="X91" s="304"/>
      <c r="AA91" s="277"/>
      <c r="AB91" s="304"/>
      <c r="AC91" s="472"/>
    </row>
    <row r="92" spans="1:29" x14ac:dyDescent="0.2">
      <c r="A92" s="36">
        <f t="shared" si="7"/>
        <v>86</v>
      </c>
      <c r="B92" s="36">
        <f t="shared" si="10"/>
        <v>35</v>
      </c>
      <c r="C92" s="39" t="s">
        <v>223</v>
      </c>
      <c r="D92" s="431">
        <v>4.92</v>
      </c>
      <c r="E92" s="431">
        <f>+'Exhibit No.__(BDJ-PV RD)'!G52</f>
        <v>4.92</v>
      </c>
      <c r="F92" s="431">
        <f>+E92-D92</f>
        <v>0</v>
      </c>
      <c r="G92" s="35" t="s">
        <v>322</v>
      </c>
      <c r="H92" s="304">
        <v>35</v>
      </c>
      <c r="J92" s="431">
        <f>ROUND(+'Exhibit No.__(BDJ-141C)'!L28,2)</f>
        <v>0.62</v>
      </c>
      <c r="K92" s="277" t="s">
        <v>642</v>
      </c>
      <c r="L92" s="278" t="str">
        <f>+$L$11</f>
        <v>Sheet No. 141COL</v>
      </c>
      <c r="N92" s="526">
        <f>+'Exhibit No.__(BDJ-MYRP)'!L108</f>
        <v>0.76</v>
      </c>
      <c r="O92" s="526">
        <f>+'Exhibit No.__(BDJ-MYRP)'!R108</f>
        <v>0.65</v>
      </c>
      <c r="P92" s="277"/>
      <c r="Q92" s="277" t="s">
        <v>642</v>
      </c>
      <c r="R92" s="278" t="str">
        <f>+$R$11</f>
        <v>Sheet No. 141N</v>
      </c>
      <c r="T92" s="526">
        <f>+'Exhibit No.__(BDJ-MYRP)'!M108</f>
        <v>0.14000000000000001</v>
      </c>
      <c r="U92" s="526">
        <f>+'Exhibit No.__(BDJ-MYRP)'!S108</f>
        <v>0.35</v>
      </c>
      <c r="V92" s="277"/>
      <c r="W92" s="277" t="s">
        <v>642</v>
      </c>
      <c r="X92" s="278" t="str">
        <f>+$X$11</f>
        <v>Sheet No. 141R</v>
      </c>
      <c r="AA92" s="277"/>
      <c r="AB92" s="304"/>
      <c r="AC92" s="472"/>
    </row>
    <row r="93" spans="1:29" x14ac:dyDescent="0.2">
      <c r="A93" s="36">
        <f t="shared" si="7"/>
        <v>87</v>
      </c>
      <c r="B93" s="36">
        <f t="shared" si="10"/>
        <v>35</v>
      </c>
      <c r="C93" s="39" t="s">
        <v>224</v>
      </c>
      <c r="D93" s="431">
        <v>3.28</v>
      </c>
      <c r="E93" s="431">
        <f>+'Exhibit No.__(BDJ-PV RD)'!G53</f>
        <v>3.28</v>
      </c>
      <c r="F93" s="431">
        <f>+E93-D93</f>
        <v>0</v>
      </c>
      <c r="G93" s="35" t="s">
        <v>322</v>
      </c>
      <c r="H93" s="304">
        <v>35</v>
      </c>
      <c r="J93" s="431">
        <f>J92</f>
        <v>0.62</v>
      </c>
      <c r="K93" s="277" t="s">
        <v>642</v>
      </c>
      <c r="L93" s="278" t="str">
        <f>+$L$11</f>
        <v>Sheet No. 141COL</v>
      </c>
      <c r="N93" s="526">
        <f>N92</f>
        <v>0.76</v>
      </c>
      <c r="O93" s="526">
        <f>O92</f>
        <v>0.65</v>
      </c>
      <c r="P93" s="277"/>
      <c r="Q93" s="277" t="s">
        <v>642</v>
      </c>
      <c r="R93" s="278" t="str">
        <f>+$R$11</f>
        <v>Sheet No. 141N</v>
      </c>
      <c r="T93" s="526">
        <f>T92</f>
        <v>0.14000000000000001</v>
      </c>
      <c r="U93" s="526">
        <f>U92</f>
        <v>0.35</v>
      </c>
      <c r="V93" s="277"/>
      <c r="W93" s="277" t="s">
        <v>642</v>
      </c>
      <c r="X93" s="278" t="str">
        <f>+$X$11</f>
        <v>Sheet No. 141R</v>
      </c>
      <c r="AA93" s="277"/>
      <c r="AB93" s="304"/>
      <c r="AC93" s="472"/>
    </row>
    <row r="94" spans="1:29" x14ac:dyDescent="0.2">
      <c r="A94" s="36">
        <f t="shared" si="7"/>
        <v>88</v>
      </c>
      <c r="B94" s="36">
        <f t="shared" si="10"/>
        <v>35</v>
      </c>
      <c r="C94" s="39"/>
      <c r="D94" s="431"/>
      <c r="E94" s="431"/>
      <c r="F94" s="431"/>
      <c r="K94" s="277"/>
      <c r="L94" s="304"/>
      <c r="N94" s="525"/>
      <c r="O94" s="525"/>
      <c r="P94" s="277"/>
      <c r="Q94" s="277"/>
      <c r="R94" s="304"/>
      <c r="T94" s="525"/>
      <c r="U94" s="525"/>
      <c r="V94" s="277"/>
      <c r="W94" s="277"/>
      <c r="X94" s="304"/>
      <c r="AA94" s="277"/>
      <c r="AB94" s="304"/>
      <c r="AC94" s="472"/>
    </row>
    <row r="95" spans="1:29" x14ac:dyDescent="0.2">
      <c r="A95" s="36">
        <f t="shared" si="7"/>
        <v>89</v>
      </c>
      <c r="B95" s="36">
        <f t="shared" si="10"/>
        <v>35</v>
      </c>
      <c r="C95" s="39" t="s">
        <v>201</v>
      </c>
      <c r="D95" s="474">
        <v>1.1800000000000001E-3</v>
      </c>
      <c r="E95" s="474">
        <f>+'Exhibit No.__(BDJ-PV RD)'!G56</f>
        <v>1.1800000000000001E-3</v>
      </c>
      <c r="F95" s="474">
        <f>+E95-D95</f>
        <v>0</v>
      </c>
      <c r="G95" s="35" t="s">
        <v>322</v>
      </c>
      <c r="H95" s="304">
        <v>35</v>
      </c>
      <c r="K95" s="277"/>
      <c r="L95" s="304"/>
      <c r="N95" s="525"/>
      <c r="O95" s="525"/>
      <c r="P95" s="277"/>
      <c r="Q95" s="277"/>
      <c r="R95" s="304"/>
      <c r="T95" s="525"/>
      <c r="U95" s="525"/>
      <c r="V95" s="277"/>
      <c r="W95" s="277"/>
      <c r="X95" s="304"/>
      <c r="AA95" s="277"/>
      <c r="AB95" s="304"/>
      <c r="AC95" s="472"/>
    </row>
    <row r="96" spans="1:29" x14ac:dyDescent="0.2">
      <c r="A96" s="36">
        <f t="shared" si="7"/>
        <v>90</v>
      </c>
      <c r="K96" s="277"/>
      <c r="L96" s="304"/>
      <c r="N96" s="525"/>
      <c r="O96" s="525"/>
      <c r="P96" s="277"/>
      <c r="Q96" s="277"/>
      <c r="R96" s="304"/>
      <c r="T96" s="525"/>
      <c r="U96" s="525"/>
      <c r="V96" s="277"/>
      <c r="W96" s="277"/>
      <c r="X96" s="304"/>
      <c r="AA96" s="277"/>
      <c r="AB96" s="304"/>
      <c r="AC96" s="472"/>
    </row>
    <row r="97" spans="1:29" x14ac:dyDescent="0.2">
      <c r="A97" s="36">
        <f t="shared" si="7"/>
        <v>91</v>
      </c>
      <c r="B97" s="36">
        <v>43</v>
      </c>
      <c r="C97" s="278" t="s">
        <v>225</v>
      </c>
      <c r="K97" s="277"/>
      <c r="L97" s="304"/>
      <c r="N97" s="525"/>
      <c r="O97" s="525"/>
      <c r="P97" s="277"/>
      <c r="Q97" s="277"/>
      <c r="R97" s="304"/>
      <c r="T97" s="525"/>
      <c r="U97" s="525"/>
      <c r="V97" s="277"/>
      <c r="W97" s="277"/>
      <c r="X97" s="304"/>
      <c r="AA97" s="277"/>
      <c r="AB97" s="304"/>
      <c r="AC97" s="472"/>
    </row>
    <row r="98" spans="1:29" x14ac:dyDescent="0.2">
      <c r="A98" s="36">
        <f t="shared" si="7"/>
        <v>92</v>
      </c>
      <c r="B98" s="36">
        <f t="shared" ref="B98:B106" si="11">+$B$97</f>
        <v>43</v>
      </c>
      <c r="C98" s="39" t="s">
        <v>194</v>
      </c>
      <c r="D98" s="431">
        <v>358.11</v>
      </c>
      <c r="E98" s="431">
        <f>+'Exhibit No.__(BDJ-PV RD)'!G72</f>
        <v>358.11</v>
      </c>
      <c r="F98" s="431">
        <f>+E98-D98</f>
        <v>0</v>
      </c>
      <c r="G98" s="35" t="s">
        <v>329</v>
      </c>
      <c r="H98" s="304" t="s">
        <v>330</v>
      </c>
      <c r="K98" s="277"/>
      <c r="L98" s="304"/>
      <c r="N98" s="525"/>
      <c r="O98" s="525"/>
      <c r="P98" s="277"/>
      <c r="Q98" s="277"/>
      <c r="R98" s="304"/>
      <c r="T98" s="525"/>
      <c r="U98" s="525"/>
      <c r="V98" s="277"/>
      <c r="W98" s="277"/>
      <c r="X98" s="304"/>
      <c r="AA98" s="277"/>
      <c r="AB98" s="304"/>
      <c r="AC98" s="472"/>
    </row>
    <row r="99" spans="1:29" x14ac:dyDescent="0.2">
      <c r="A99" s="36">
        <f t="shared" si="7"/>
        <v>93</v>
      </c>
      <c r="B99" s="36">
        <f t="shared" si="11"/>
        <v>43</v>
      </c>
      <c r="C99" s="39"/>
      <c r="D99" s="431"/>
      <c r="E99" s="431"/>
      <c r="F99" s="431"/>
      <c r="K99" s="277"/>
      <c r="L99" s="304"/>
      <c r="N99" s="525"/>
      <c r="O99" s="525"/>
      <c r="P99" s="277"/>
      <c r="Q99" s="277"/>
      <c r="R99" s="304"/>
      <c r="T99" s="525"/>
      <c r="U99" s="525"/>
      <c r="V99" s="277"/>
      <c r="W99" s="277"/>
      <c r="X99" s="304"/>
      <c r="AA99" s="277"/>
      <c r="AB99" s="304"/>
      <c r="AC99" s="472"/>
    </row>
    <row r="100" spans="1:29" x14ac:dyDescent="0.2">
      <c r="A100" s="36">
        <f t="shared" si="7"/>
        <v>94</v>
      </c>
      <c r="B100" s="36">
        <f t="shared" si="11"/>
        <v>43</v>
      </c>
      <c r="C100" s="39" t="s">
        <v>221</v>
      </c>
      <c r="D100" s="277">
        <v>5.9549999999999999E-2</v>
      </c>
      <c r="E100" s="277">
        <f>+'Exhibit No.__(BDJ-PV RD)'!G74</f>
        <v>5.7393E-2</v>
      </c>
      <c r="F100" s="277">
        <f>+E100-D100</f>
        <v>-2.1569999999999992E-3</v>
      </c>
      <c r="G100" s="35" t="s">
        <v>329</v>
      </c>
      <c r="H100" s="304" t="s">
        <v>330</v>
      </c>
      <c r="J100" s="277">
        <f>ROUND(+'Exhibit No.__(BDJ-141C)'!L31,6)</f>
        <v>8.7999999999999998E-5</v>
      </c>
      <c r="K100" s="277" t="s">
        <v>402</v>
      </c>
      <c r="L100" s="278" t="str">
        <f>+$L$90</f>
        <v>Sheet No. 141COL</v>
      </c>
      <c r="N100" s="525">
        <f>+'Exhibit No.__(BDJ-MYRP)'!L117</f>
        <v>5.4590000000000003E-3</v>
      </c>
      <c r="O100" s="525">
        <f>+'Exhibit No.__(BDJ-MYRP)'!R117</f>
        <v>4.6470000000000001E-3</v>
      </c>
      <c r="P100" s="277"/>
      <c r="Q100" s="277" t="s">
        <v>402</v>
      </c>
      <c r="R100" s="278" t="str">
        <f>+$R$76</f>
        <v>Sheet No. 141N</v>
      </c>
      <c r="T100" s="525">
        <f>+'Exhibit No.__(BDJ-MYRP)'!M117</f>
        <v>1.0200000000000001E-3</v>
      </c>
      <c r="U100" s="525">
        <f>+'Exhibit No.__(BDJ-MYRP)'!S117</f>
        <v>2.4910000000000002E-3</v>
      </c>
      <c r="V100" s="277"/>
      <c r="W100" s="277" t="s">
        <v>402</v>
      </c>
      <c r="X100" s="278" t="str">
        <f>+$X$11</f>
        <v>Sheet No. 141R</v>
      </c>
      <c r="Z100" s="277">
        <f>'Exhibit No.__(BDJ-141A)'!$E$68</f>
        <v>1.5989999999999999E-3</v>
      </c>
      <c r="AA100" s="277" t="s">
        <v>402</v>
      </c>
      <c r="AB100" s="278" t="s">
        <v>607</v>
      </c>
      <c r="AC100" s="472"/>
    </row>
    <row r="101" spans="1:29" x14ac:dyDescent="0.2">
      <c r="A101" s="36">
        <f t="shared" si="7"/>
        <v>95</v>
      </c>
      <c r="B101" s="36">
        <f t="shared" si="11"/>
        <v>43</v>
      </c>
      <c r="C101" s="473"/>
      <c r="J101" s="277"/>
      <c r="K101" s="277"/>
      <c r="L101" s="304"/>
      <c r="N101" s="525"/>
      <c r="O101" s="525"/>
      <c r="P101" s="277"/>
      <c r="Q101" s="277"/>
      <c r="R101" s="304"/>
      <c r="T101" s="525"/>
      <c r="U101" s="525"/>
      <c r="V101" s="277"/>
      <c r="W101" s="277"/>
      <c r="X101" s="304"/>
      <c r="Z101" s="277"/>
      <c r="AA101" s="277"/>
      <c r="AB101" s="304"/>
      <c r="AC101" s="472"/>
    </row>
    <row r="102" spans="1:29" x14ac:dyDescent="0.2">
      <c r="A102" s="36">
        <f t="shared" si="7"/>
        <v>96</v>
      </c>
      <c r="B102" s="36">
        <f t="shared" si="11"/>
        <v>43</v>
      </c>
      <c r="C102" s="39" t="s">
        <v>226</v>
      </c>
      <c r="D102" s="431">
        <v>5.01</v>
      </c>
      <c r="E102" s="431">
        <f>+'Exhibit No.__(BDJ-PV RD)'!G80</f>
        <v>5.01</v>
      </c>
      <c r="F102" s="431">
        <f>+E102-D102</f>
        <v>0</v>
      </c>
      <c r="G102" s="35" t="s">
        <v>329</v>
      </c>
      <c r="H102" s="304" t="s">
        <v>330</v>
      </c>
      <c r="J102" s="431">
        <f>ROUND(+'Exhibit No.__(BDJ-141C)'!L32,2)</f>
        <v>7.0000000000000007E-2</v>
      </c>
      <c r="K102" s="277" t="s">
        <v>642</v>
      </c>
      <c r="L102" s="278" t="str">
        <f>+$L$11</f>
        <v>Sheet No. 141COL</v>
      </c>
      <c r="N102" s="526">
        <f>+'Exhibit No.__(BDJ-MYRP)'!L119</f>
        <v>0.48</v>
      </c>
      <c r="O102" s="526">
        <f>+'Exhibit No.__(BDJ-MYRP)'!R119</f>
        <v>0.41</v>
      </c>
      <c r="P102" s="277"/>
      <c r="Q102" s="277" t="s">
        <v>642</v>
      </c>
      <c r="R102" s="278" t="str">
        <f>+$R$11</f>
        <v>Sheet No. 141N</v>
      </c>
      <c r="T102" s="526">
        <f>+'Exhibit No.__(BDJ-MYRP)'!M119</f>
        <v>0.09</v>
      </c>
      <c r="U102" s="526">
        <f>+'Exhibit No.__(BDJ-MYRP)'!S119</f>
        <v>0.22</v>
      </c>
      <c r="V102" s="277"/>
      <c r="W102" s="277" t="s">
        <v>642</v>
      </c>
      <c r="X102" s="278" t="str">
        <f>+$X$11</f>
        <v>Sheet No. 141R</v>
      </c>
      <c r="AA102" s="277"/>
      <c r="AB102" s="304"/>
      <c r="AC102" s="472"/>
    </row>
    <row r="103" spans="1:29" x14ac:dyDescent="0.2">
      <c r="A103" s="36">
        <f t="shared" si="7"/>
        <v>97</v>
      </c>
      <c r="B103" s="36">
        <f t="shared" si="11"/>
        <v>43</v>
      </c>
      <c r="C103" s="39"/>
      <c r="D103" s="431"/>
      <c r="E103" s="431"/>
      <c r="F103" s="431"/>
      <c r="K103" s="277"/>
      <c r="L103" s="304"/>
      <c r="N103" s="525"/>
      <c r="O103" s="525"/>
      <c r="P103" s="277"/>
      <c r="Q103" s="277"/>
      <c r="R103" s="304"/>
      <c r="T103" s="525"/>
      <c r="U103" s="525"/>
      <c r="V103" s="277"/>
      <c r="W103" s="277"/>
      <c r="X103" s="304"/>
      <c r="AA103" s="277"/>
      <c r="AB103" s="304"/>
      <c r="AC103" s="472"/>
    </row>
    <row r="104" spans="1:29" x14ac:dyDescent="0.2">
      <c r="A104" s="36">
        <f t="shared" ref="A104:A135" si="12">+A103+1</f>
        <v>98</v>
      </c>
      <c r="B104" s="36">
        <f t="shared" si="11"/>
        <v>43</v>
      </c>
      <c r="C104" s="39" t="s">
        <v>227</v>
      </c>
      <c r="D104" s="431">
        <v>6.93</v>
      </c>
      <c r="E104" s="431">
        <f>+'Exhibit No.__(BDJ-PV RD)'!G83</f>
        <v>6.93</v>
      </c>
      <c r="F104" s="431">
        <f>+E104-D104</f>
        <v>0</v>
      </c>
      <c r="G104" s="35" t="s">
        <v>329</v>
      </c>
      <c r="H104" s="304" t="s">
        <v>330</v>
      </c>
      <c r="K104" s="277"/>
      <c r="L104" s="304"/>
      <c r="N104" s="525"/>
      <c r="O104" s="525"/>
      <c r="P104" s="277"/>
      <c r="Q104" s="277"/>
      <c r="R104" s="304"/>
      <c r="T104" s="525"/>
      <c r="U104" s="525"/>
      <c r="V104" s="277"/>
      <c r="W104" s="277"/>
      <c r="X104" s="304"/>
      <c r="AA104" s="277"/>
      <c r="AB104" s="304"/>
      <c r="AC104" s="472"/>
    </row>
    <row r="105" spans="1:29" x14ac:dyDescent="0.2">
      <c r="A105" s="36">
        <f t="shared" si="12"/>
        <v>99</v>
      </c>
      <c r="B105" s="36">
        <f t="shared" si="11"/>
        <v>43</v>
      </c>
      <c r="D105" s="431"/>
      <c r="E105" s="431"/>
      <c r="F105" s="431"/>
      <c r="K105" s="277"/>
      <c r="L105" s="304"/>
      <c r="N105" s="525"/>
      <c r="O105" s="525"/>
      <c r="P105" s="277"/>
      <c r="Q105" s="277"/>
      <c r="R105" s="304"/>
      <c r="T105" s="525"/>
      <c r="U105" s="525"/>
      <c r="V105" s="277"/>
      <c r="W105" s="277"/>
      <c r="X105" s="304"/>
      <c r="AA105" s="277"/>
      <c r="AB105" s="304"/>
      <c r="AC105" s="472"/>
    </row>
    <row r="106" spans="1:29" x14ac:dyDescent="0.2">
      <c r="A106" s="36">
        <f t="shared" si="12"/>
        <v>100</v>
      </c>
      <c r="B106" s="36">
        <f t="shared" si="11"/>
        <v>43</v>
      </c>
      <c r="C106" s="39" t="s">
        <v>201</v>
      </c>
      <c r="D106" s="474">
        <v>3.1700000000000001E-3</v>
      </c>
      <c r="E106" s="474">
        <f>+'Exhibit No.__(BDJ-PV RD)'!G85</f>
        <v>3.1700000000000001E-3</v>
      </c>
      <c r="F106" s="474">
        <f>+E106-D106</f>
        <v>0</v>
      </c>
      <c r="G106" s="35" t="s">
        <v>329</v>
      </c>
      <c r="H106" s="304" t="s">
        <v>330</v>
      </c>
      <c r="K106" s="277"/>
      <c r="L106" s="304"/>
      <c r="N106" s="525"/>
      <c r="O106" s="525"/>
      <c r="P106" s="277"/>
      <c r="Q106" s="277"/>
      <c r="R106" s="304"/>
      <c r="T106" s="525"/>
      <c r="U106" s="525"/>
      <c r="V106" s="277"/>
      <c r="W106" s="277"/>
      <c r="X106" s="304"/>
      <c r="AA106" s="277"/>
      <c r="AB106" s="304"/>
      <c r="AC106" s="472"/>
    </row>
    <row r="107" spans="1:29" x14ac:dyDescent="0.2">
      <c r="A107" s="36">
        <f t="shared" si="12"/>
        <v>101</v>
      </c>
      <c r="K107" s="277"/>
      <c r="L107" s="304"/>
      <c r="N107" s="525"/>
      <c r="O107" s="525"/>
      <c r="P107" s="277"/>
      <c r="Q107" s="277"/>
      <c r="R107" s="304"/>
      <c r="T107" s="525"/>
      <c r="U107" s="525"/>
      <c r="V107" s="277"/>
      <c r="W107" s="277"/>
      <c r="X107" s="304"/>
      <c r="AA107" s="277"/>
      <c r="AB107" s="304"/>
      <c r="AC107" s="472"/>
    </row>
    <row r="108" spans="1:29" x14ac:dyDescent="0.2">
      <c r="A108" s="36">
        <f t="shared" si="12"/>
        <v>102</v>
      </c>
      <c r="B108" s="478"/>
      <c r="C108" s="478"/>
      <c r="D108" s="478"/>
      <c r="E108" s="478"/>
      <c r="F108" s="478"/>
      <c r="K108" s="277"/>
      <c r="L108" s="304"/>
      <c r="N108" s="525"/>
      <c r="O108" s="525"/>
      <c r="P108" s="277"/>
      <c r="Q108" s="277"/>
      <c r="R108" s="304"/>
      <c r="T108" s="525"/>
      <c r="U108" s="525"/>
      <c r="V108" s="277"/>
      <c r="W108" s="277"/>
      <c r="X108" s="304"/>
      <c r="AA108" s="277"/>
      <c r="AB108" s="304"/>
      <c r="AC108" s="472"/>
    </row>
    <row r="109" spans="1:29" x14ac:dyDescent="0.2">
      <c r="A109" s="36">
        <f t="shared" si="12"/>
        <v>103</v>
      </c>
      <c r="B109" s="479" t="s">
        <v>305</v>
      </c>
      <c r="C109" s="480" t="s">
        <v>33</v>
      </c>
      <c r="D109" s="481">
        <v>236</v>
      </c>
      <c r="E109" s="431">
        <f>+'Exhibit No.__(BDJ-TRANSP RD)'!G30</f>
        <v>307</v>
      </c>
      <c r="F109" s="431">
        <f>+E109-D109</f>
        <v>71</v>
      </c>
      <c r="G109" s="278" t="s">
        <v>319</v>
      </c>
      <c r="H109" s="278" t="s">
        <v>319</v>
      </c>
      <c r="L109" s="304"/>
      <c r="N109" s="524"/>
      <c r="O109" s="524"/>
      <c r="P109" s="277"/>
      <c r="R109" s="304"/>
      <c r="S109" s="431"/>
      <c r="T109" s="524"/>
      <c r="U109" s="524"/>
      <c r="V109" s="277"/>
      <c r="X109" s="304"/>
      <c r="AB109" s="304"/>
      <c r="AC109" s="472"/>
    </row>
    <row r="110" spans="1:29" x14ac:dyDescent="0.2">
      <c r="A110" s="36">
        <f t="shared" si="12"/>
        <v>104</v>
      </c>
      <c r="B110" s="479" t="str">
        <f t="shared" ref="B110:B122" si="13">+B109</f>
        <v>Special Contract</v>
      </c>
      <c r="C110" s="480" t="s">
        <v>75</v>
      </c>
      <c r="E110" s="482"/>
      <c r="F110" s="482"/>
      <c r="J110" s="277">
        <f>ROUND(+'Exhibit No.__(BDJ-141C)'!L49,6)</f>
        <v>0</v>
      </c>
      <c r="K110" s="277" t="s">
        <v>402</v>
      </c>
      <c r="L110" s="278" t="str">
        <f>+$L$90</f>
        <v>Sheet No. 141COL</v>
      </c>
      <c r="N110" s="525">
        <f>+'Exhibit No.__(BDJ-MYRP)'!L156</f>
        <v>2.2829999999999999E-3</v>
      </c>
      <c r="O110" s="525">
        <f>+'Exhibit No.__(BDJ-MYRP)'!R156</f>
        <v>1.9689999999999998E-3</v>
      </c>
      <c r="P110" s="277"/>
      <c r="Q110" s="277" t="s">
        <v>402</v>
      </c>
      <c r="R110" s="278" t="s">
        <v>595</v>
      </c>
      <c r="T110" s="525">
        <f>+'Exhibit No.__(BDJ-MYRP)'!M156</f>
        <v>4.2700000000000002E-4</v>
      </c>
      <c r="U110" s="525">
        <f>+'Exhibit No.__(BDJ-MYRP)'!S156</f>
        <v>1.0560000000000001E-3</v>
      </c>
      <c r="V110" s="277"/>
      <c r="W110" s="277" t="s">
        <v>402</v>
      </c>
      <c r="X110" s="278" t="str">
        <f>+$X$11</f>
        <v>Sheet No. 141R</v>
      </c>
      <c r="Z110" s="35" t="s">
        <v>472</v>
      </c>
      <c r="AA110" s="277" t="s">
        <v>402</v>
      </c>
      <c r="AB110" s="278" t="s">
        <v>607</v>
      </c>
      <c r="AC110" s="472"/>
    </row>
    <row r="111" spans="1:29" x14ac:dyDescent="0.2">
      <c r="A111" s="36">
        <f t="shared" si="12"/>
        <v>105</v>
      </c>
      <c r="B111" s="479" t="str">
        <f t="shared" si="13"/>
        <v>Special Contract</v>
      </c>
      <c r="C111" s="480" t="s">
        <v>228</v>
      </c>
      <c r="D111" s="483">
        <v>6.9099999999999995E-2</v>
      </c>
      <c r="E111" s="483">
        <v>7.6899999999999996E-2</v>
      </c>
      <c r="F111" s="483">
        <f>+E111-D111</f>
        <v>7.8000000000000014E-3</v>
      </c>
      <c r="G111" s="278" t="s">
        <v>319</v>
      </c>
      <c r="H111" s="278" t="s">
        <v>319</v>
      </c>
      <c r="L111" s="304"/>
      <c r="N111" s="524"/>
      <c r="O111" s="524"/>
      <c r="P111" s="277"/>
      <c r="R111" s="304"/>
      <c r="T111" s="524"/>
      <c r="U111" s="524"/>
      <c r="V111" s="277"/>
      <c r="X111" s="304"/>
      <c r="AB111" s="304"/>
      <c r="AC111" s="472"/>
    </row>
    <row r="112" spans="1:29" x14ac:dyDescent="0.2">
      <c r="A112" s="36">
        <f t="shared" si="12"/>
        <v>106</v>
      </c>
      <c r="B112" s="479" t="str">
        <f t="shared" si="13"/>
        <v>Special Contract</v>
      </c>
      <c r="C112" s="484" t="s">
        <v>229</v>
      </c>
      <c r="D112" s="485">
        <v>0.46</v>
      </c>
      <c r="E112" s="485">
        <v>0.55000000000000004</v>
      </c>
      <c r="F112" s="485">
        <f>+E112-D112</f>
        <v>9.0000000000000024E-2</v>
      </c>
      <c r="G112" s="278" t="s">
        <v>319</v>
      </c>
      <c r="H112" s="278" t="s">
        <v>319</v>
      </c>
      <c r="L112" s="304"/>
      <c r="N112" s="524"/>
      <c r="O112" s="524"/>
      <c r="P112" s="277"/>
      <c r="R112" s="304"/>
      <c r="T112" s="524"/>
      <c r="U112" s="524"/>
      <c r="V112" s="277"/>
      <c r="X112" s="304"/>
      <c r="AB112" s="304"/>
      <c r="AC112" s="472"/>
    </row>
    <row r="113" spans="1:29" x14ac:dyDescent="0.2">
      <c r="A113" s="36">
        <f t="shared" si="12"/>
        <v>107</v>
      </c>
      <c r="B113" s="479" t="str">
        <f t="shared" si="13"/>
        <v>Special Contract</v>
      </c>
      <c r="C113" s="480" t="s">
        <v>230</v>
      </c>
      <c r="D113" s="482">
        <v>3.1786000000000002E-2</v>
      </c>
      <c r="E113" s="482">
        <f>ROUND(E111*E112,6)</f>
        <v>4.2294999999999999E-2</v>
      </c>
      <c r="F113" s="482">
        <f>+E113-D113</f>
        <v>1.0508999999999998E-2</v>
      </c>
      <c r="G113" s="278" t="s">
        <v>319</v>
      </c>
      <c r="H113" s="278" t="s">
        <v>319</v>
      </c>
      <c r="L113" s="304"/>
      <c r="N113" s="524"/>
      <c r="O113" s="524"/>
      <c r="P113" s="277"/>
      <c r="R113" s="304"/>
      <c r="T113" s="524"/>
      <c r="U113" s="524"/>
      <c r="V113" s="277"/>
      <c r="X113" s="304"/>
      <c r="AB113" s="304"/>
      <c r="AC113" s="472"/>
    </row>
    <row r="114" spans="1:29" x14ac:dyDescent="0.2">
      <c r="A114" s="36">
        <f t="shared" si="12"/>
        <v>108</v>
      </c>
      <c r="B114" s="479" t="str">
        <f t="shared" si="13"/>
        <v>Special Contract</v>
      </c>
      <c r="C114" s="484" t="s">
        <v>231</v>
      </c>
      <c r="D114" s="483">
        <v>0.18290000000000001</v>
      </c>
      <c r="E114" s="483">
        <v>0.08</v>
      </c>
      <c r="F114" s="483">
        <f>+E114-D114</f>
        <v>-0.10290000000000001</v>
      </c>
      <c r="G114" s="278" t="s">
        <v>319</v>
      </c>
      <c r="H114" s="278" t="s">
        <v>319</v>
      </c>
      <c r="L114" s="304"/>
      <c r="N114" s="524"/>
      <c r="O114" s="524"/>
      <c r="P114" s="277"/>
      <c r="R114" s="304"/>
      <c r="T114" s="524"/>
      <c r="U114" s="524"/>
      <c r="V114" s="277"/>
      <c r="X114" s="304"/>
      <c r="AB114" s="304"/>
      <c r="AC114" s="472"/>
    </row>
    <row r="115" spans="1:29" x14ac:dyDescent="0.2">
      <c r="A115" s="36">
        <f t="shared" si="12"/>
        <v>109</v>
      </c>
      <c r="B115" s="479" t="str">
        <f t="shared" si="13"/>
        <v>Special Contract</v>
      </c>
      <c r="C115" s="484" t="s">
        <v>232</v>
      </c>
      <c r="D115" s="483">
        <v>4.2200000000000001E-2</v>
      </c>
      <c r="E115" s="483">
        <v>1.66E-2</v>
      </c>
      <c r="F115" s="483">
        <f>+E115-D115</f>
        <v>-2.5600000000000001E-2</v>
      </c>
      <c r="G115" s="278" t="s">
        <v>319</v>
      </c>
      <c r="H115" s="278" t="s">
        <v>319</v>
      </c>
      <c r="L115" s="304"/>
      <c r="N115" s="524"/>
      <c r="O115" s="524"/>
      <c r="P115" s="277"/>
      <c r="R115" s="304"/>
      <c r="T115" s="524"/>
      <c r="U115" s="524"/>
      <c r="V115" s="277"/>
      <c r="X115" s="304"/>
      <c r="AB115" s="304"/>
      <c r="AC115" s="472"/>
    </row>
    <row r="116" spans="1:29" x14ac:dyDescent="0.2">
      <c r="A116" s="36">
        <f t="shared" si="12"/>
        <v>110</v>
      </c>
      <c r="B116" s="479" t="str">
        <f t="shared" si="13"/>
        <v>Special Contract</v>
      </c>
      <c r="C116" s="480"/>
      <c r="D116" s="483"/>
      <c r="E116" s="482"/>
      <c r="F116" s="482"/>
      <c r="L116" s="304"/>
      <c r="N116" s="524"/>
      <c r="O116" s="524"/>
      <c r="P116" s="277"/>
      <c r="R116" s="304"/>
      <c r="T116" s="524"/>
      <c r="U116" s="524"/>
      <c r="V116" s="277"/>
      <c r="X116" s="304"/>
      <c r="AB116" s="304"/>
      <c r="AC116" s="472"/>
    </row>
    <row r="117" spans="1:29" x14ac:dyDescent="0.2">
      <c r="A117" s="36">
        <f t="shared" si="12"/>
        <v>111</v>
      </c>
      <c r="B117" s="479" t="str">
        <f t="shared" si="13"/>
        <v>Special Contract</v>
      </c>
      <c r="C117" s="484" t="s">
        <v>233</v>
      </c>
      <c r="D117" s="482">
        <v>8.9180203175745251E-2</v>
      </c>
      <c r="E117" s="482">
        <v>8.6976839394570127E-2</v>
      </c>
      <c r="F117" s="482">
        <f>+E117-D117</f>
        <v>-2.2033637811751244E-3</v>
      </c>
      <c r="G117" s="278" t="s">
        <v>319</v>
      </c>
      <c r="H117" s="278" t="s">
        <v>319</v>
      </c>
      <c r="L117" s="304"/>
      <c r="N117" s="524"/>
      <c r="O117" s="524"/>
      <c r="P117" s="277"/>
      <c r="R117" s="304"/>
      <c r="T117" s="524"/>
      <c r="U117" s="524"/>
      <c r="V117" s="277"/>
      <c r="X117" s="304"/>
      <c r="AB117" s="304"/>
      <c r="AC117" s="472"/>
    </row>
    <row r="118" spans="1:29" x14ac:dyDescent="0.2">
      <c r="A118" s="36">
        <f t="shared" si="12"/>
        <v>112</v>
      </c>
      <c r="B118" s="479" t="str">
        <f t="shared" si="13"/>
        <v>Special Contract</v>
      </c>
      <c r="C118" s="480"/>
      <c r="D118" s="483"/>
      <c r="E118" s="482"/>
      <c r="F118" s="482"/>
      <c r="L118" s="304"/>
      <c r="N118" s="524"/>
      <c r="O118" s="524"/>
      <c r="P118" s="277"/>
      <c r="R118" s="304"/>
      <c r="T118" s="524"/>
      <c r="U118" s="524"/>
      <c r="V118" s="277"/>
      <c r="X118" s="304"/>
      <c r="AB118" s="304"/>
      <c r="AC118" s="472"/>
    </row>
    <row r="119" spans="1:29" x14ac:dyDescent="0.2">
      <c r="A119" s="36">
        <f t="shared" si="12"/>
        <v>113</v>
      </c>
      <c r="B119" s="479" t="str">
        <f t="shared" si="13"/>
        <v>Special Contract</v>
      </c>
      <c r="C119" s="480" t="s">
        <v>309</v>
      </c>
      <c r="D119" s="483"/>
      <c r="E119" s="482"/>
      <c r="F119" s="482"/>
      <c r="L119" s="304"/>
      <c r="N119" s="524"/>
      <c r="O119" s="524"/>
      <c r="P119" s="277"/>
      <c r="R119" s="304"/>
      <c r="T119" s="524"/>
      <c r="U119" s="524"/>
      <c r="V119" s="277"/>
      <c r="X119" s="304"/>
      <c r="AB119" s="304"/>
      <c r="AC119" s="472"/>
    </row>
    <row r="120" spans="1:29" x14ac:dyDescent="0.2">
      <c r="A120" s="36">
        <f t="shared" si="12"/>
        <v>114</v>
      </c>
      <c r="B120" s="479" t="str">
        <f t="shared" si="13"/>
        <v>Special Contract</v>
      </c>
      <c r="C120" s="486" t="s">
        <v>310</v>
      </c>
      <c r="D120" s="277">
        <v>1.3393E-2</v>
      </c>
      <c r="E120" s="277">
        <v>2.0899867673275771E-2</v>
      </c>
      <c r="F120" s="277">
        <f>+E120-D120</f>
        <v>7.5068676732757706E-3</v>
      </c>
      <c r="G120" s="278" t="s">
        <v>319</v>
      </c>
      <c r="H120" s="278" t="s">
        <v>319</v>
      </c>
      <c r="L120" s="304"/>
      <c r="N120" s="524"/>
      <c r="O120" s="524"/>
      <c r="P120" s="277"/>
      <c r="R120" s="304"/>
      <c r="T120" s="524"/>
      <c r="U120" s="524"/>
      <c r="V120" s="277"/>
      <c r="X120" s="304"/>
      <c r="AB120" s="304"/>
      <c r="AC120" s="472"/>
    </row>
    <row r="121" spans="1:29" x14ac:dyDescent="0.2">
      <c r="A121" s="36">
        <f t="shared" si="12"/>
        <v>115</v>
      </c>
      <c r="B121" s="479" t="str">
        <f t="shared" si="13"/>
        <v>Special Contract</v>
      </c>
      <c r="C121" s="486" t="s">
        <v>311</v>
      </c>
      <c r="D121" s="277">
        <v>9.9410000000000002E-3</v>
      </c>
      <c r="E121" s="277">
        <v>1.881489888613579E-2</v>
      </c>
      <c r="F121" s="277">
        <f>+E121-D121</f>
        <v>8.8738988861357896E-3</v>
      </c>
      <c r="G121" s="278" t="s">
        <v>319</v>
      </c>
      <c r="H121" s="278" t="s">
        <v>319</v>
      </c>
      <c r="L121" s="304"/>
      <c r="N121" s="524"/>
      <c r="O121" s="524"/>
      <c r="P121" s="277"/>
      <c r="R121" s="304"/>
      <c r="T121" s="524"/>
      <c r="U121" s="524"/>
      <c r="V121" s="277"/>
      <c r="X121" s="304"/>
      <c r="AB121" s="304"/>
      <c r="AC121" s="472"/>
    </row>
    <row r="122" spans="1:29" x14ac:dyDescent="0.2">
      <c r="A122" s="36">
        <f t="shared" si="12"/>
        <v>116</v>
      </c>
      <c r="B122" s="479" t="str">
        <f t="shared" si="13"/>
        <v>Special Contract</v>
      </c>
      <c r="C122" s="486" t="s">
        <v>312</v>
      </c>
      <c r="D122" s="277">
        <v>1.4907E-2</v>
      </c>
      <c r="E122" s="277">
        <v>2.2430385926815701E-2</v>
      </c>
      <c r="F122" s="277">
        <f>+E122-D122</f>
        <v>7.5233859268157011E-3</v>
      </c>
      <c r="G122" s="278" t="s">
        <v>319</v>
      </c>
      <c r="H122" s="278" t="s">
        <v>319</v>
      </c>
      <c r="L122" s="304"/>
      <c r="N122" s="524"/>
      <c r="O122" s="524"/>
      <c r="P122" s="277"/>
      <c r="R122" s="304"/>
      <c r="T122" s="524"/>
      <c r="U122" s="524"/>
      <c r="V122" s="277"/>
      <c r="X122" s="304"/>
      <c r="AB122" s="304"/>
      <c r="AC122" s="472"/>
    </row>
    <row r="123" spans="1:29" x14ac:dyDescent="0.2">
      <c r="A123" s="36">
        <f t="shared" si="12"/>
        <v>117</v>
      </c>
      <c r="L123" s="304"/>
      <c r="N123" s="524"/>
      <c r="O123" s="524"/>
      <c r="P123" s="277"/>
      <c r="R123" s="304"/>
      <c r="T123" s="524"/>
      <c r="U123" s="524"/>
      <c r="V123" s="277"/>
      <c r="X123" s="304"/>
      <c r="AB123" s="304"/>
      <c r="AC123" s="472"/>
    </row>
    <row r="124" spans="1:29" x14ac:dyDescent="0.2">
      <c r="A124" s="36">
        <f t="shared" si="12"/>
        <v>118</v>
      </c>
      <c r="B124" s="36">
        <v>46</v>
      </c>
      <c r="C124" s="278" t="s">
        <v>234</v>
      </c>
      <c r="L124" s="304"/>
      <c r="N124" s="524"/>
      <c r="O124" s="524"/>
      <c r="P124" s="277"/>
      <c r="R124" s="304"/>
      <c r="T124" s="524"/>
      <c r="U124" s="524"/>
      <c r="V124" s="277"/>
      <c r="X124" s="304"/>
      <c r="AB124" s="304"/>
      <c r="AC124" s="472"/>
    </row>
    <row r="125" spans="1:29" x14ac:dyDescent="0.2">
      <c r="A125" s="36">
        <f t="shared" si="12"/>
        <v>119</v>
      </c>
      <c r="B125" s="36">
        <f t="shared" ref="B125:B130" si="14">+$B$124</f>
        <v>46</v>
      </c>
      <c r="C125" s="39" t="s">
        <v>221</v>
      </c>
      <c r="D125" s="277">
        <v>5.2347999999999999E-2</v>
      </c>
      <c r="E125" s="277">
        <f>+'Exhibit No.__(BDJ-HV RD)'!G16</f>
        <v>5.0422000000000002E-2</v>
      </c>
      <c r="F125" s="277">
        <f>+E125-D125</f>
        <v>-1.9259999999999972E-3</v>
      </c>
      <c r="G125" s="35" t="s">
        <v>325</v>
      </c>
      <c r="H125" s="304">
        <v>46</v>
      </c>
      <c r="J125" s="277">
        <f>ROUND(+'Exhibit No.__(BDJ-141C)'!L35,6)</f>
        <v>1.02E-4</v>
      </c>
      <c r="K125" s="277" t="s">
        <v>402</v>
      </c>
      <c r="L125" s="278" t="str">
        <f>+$L$90</f>
        <v>Sheet No. 141COL</v>
      </c>
      <c r="N125" s="525">
        <f>+'Exhibit No.__(BDJ-MYRP)'!L128</f>
        <v>3.777E-3</v>
      </c>
      <c r="O125" s="525">
        <f>+'Exhibit No.__(BDJ-MYRP)'!R128</f>
        <v>3.2880000000000001E-3</v>
      </c>
      <c r="P125" s="277"/>
      <c r="Q125" s="277" t="s">
        <v>402</v>
      </c>
      <c r="R125" s="278" t="str">
        <f>+$R$76</f>
        <v>Sheet No. 141N</v>
      </c>
      <c r="T125" s="525">
        <f>+'Exhibit No.__(BDJ-MYRP)'!M128</f>
        <v>7.0600000000000003E-4</v>
      </c>
      <c r="U125" s="525">
        <f>+'Exhibit No.__(BDJ-MYRP)'!S128</f>
        <v>1.763E-3</v>
      </c>
      <c r="V125" s="277"/>
      <c r="W125" s="277" t="s">
        <v>402</v>
      </c>
      <c r="X125" s="278" t="str">
        <f>+$X$11</f>
        <v>Sheet No. 141R</v>
      </c>
      <c r="Z125" s="277">
        <f>'Exhibit No.__(BDJ-141A)'!$E$75</f>
        <v>1.7340000000000001E-3</v>
      </c>
      <c r="AA125" s="277" t="s">
        <v>402</v>
      </c>
      <c r="AB125" s="278" t="s">
        <v>607</v>
      </c>
      <c r="AC125" s="472"/>
    </row>
    <row r="126" spans="1:29" x14ac:dyDescent="0.2">
      <c r="A126" s="36">
        <f t="shared" si="12"/>
        <v>120</v>
      </c>
      <c r="B126" s="36">
        <f t="shared" si="14"/>
        <v>46</v>
      </c>
      <c r="C126" s="473"/>
      <c r="K126" s="277"/>
      <c r="L126" s="304"/>
      <c r="N126" s="525"/>
      <c r="O126" s="525"/>
      <c r="P126" s="277"/>
      <c r="Q126" s="277"/>
      <c r="R126" s="304"/>
      <c r="T126" s="525"/>
      <c r="U126" s="525"/>
      <c r="V126" s="277"/>
      <c r="W126" s="277"/>
      <c r="X126" s="304"/>
      <c r="AA126" s="277"/>
      <c r="AB126" s="304"/>
      <c r="AC126" s="472"/>
    </row>
    <row r="127" spans="1:29" x14ac:dyDescent="0.2">
      <c r="A127" s="36">
        <f t="shared" si="12"/>
        <v>121</v>
      </c>
      <c r="B127" s="36">
        <f t="shared" si="14"/>
        <v>46</v>
      </c>
      <c r="C127" s="39" t="s">
        <v>235</v>
      </c>
      <c r="D127" s="431">
        <v>3.04</v>
      </c>
      <c r="E127" s="431">
        <f>+'Exhibit No.__(BDJ-HV RD)'!G20</f>
        <v>3.04</v>
      </c>
      <c r="F127" s="431">
        <f>+E127-D127</f>
        <v>0</v>
      </c>
      <c r="G127" s="35" t="s">
        <v>325</v>
      </c>
      <c r="H127" s="304">
        <v>46</v>
      </c>
      <c r="J127" s="431">
        <f>ROUND(+'Exhibit No.__(BDJ-141C)'!L36,2)</f>
        <v>0.1</v>
      </c>
      <c r="K127" s="277" t="s">
        <v>641</v>
      </c>
      <c r="L127" s="278" t="str">
        <f>+$L$11</f>
        <v>Sheet No. 141COL</v>
      </c>
      <c r="N127" s="526">
        <f>+'Exhibit No.__(BDJ-MYRP)'!L130</f>
        <v>0.23</v>
      </c>
      <c r="O127" s="526">
        <f>+'Exhibit No.__(BDJ-MYRP)'!R130</f>
        <v>0.2</v>
      </c>
      <c r="P127" s="277"/>
      <c r="Q127" s="277" t="s">
        <v>641</v>
      </c>
      <c r="R127" s="278" t="str">
        <f>+$R$11</f>
        <v>Sheet No. 141N</v>
      </c>
      <c r="T127" s="526">
        <f>+'Exhibit No.__(BDJ-MYRP)'!M130</f>
        <v>0.04</v>
      </c>
      <c r="U127" s="526">
        <f>+'Exhibit No.__(BDJ-MYRP)'!S130</f>
        <v>0.11</v>
      </c>
      <c r="V127" s="277"/>
      <c r="W127" s="277" t="s">
        <v>641</v>
      </c>
      <c r="X127" s="278" t="str">
        <f>+$X$11</f>
        <v>Sheet No. 141R</v>
      </c>
      <c r="AA127" s="277"/>
      <c r="AB127" s="304"/>
      <c r="AC127" s="472"/>
    </row>
    <row r="128" spans="1:29" x14ac:dyDescent="0.2">
      <c r="A128" s="36">
        <f t="shared" si="12"/>
        <v>122</v>
      </c>
      <c r="B128" s="36">
        <f t="shared" si="14"/>
        <v>46</v>
      </c>
      <c r="C128" s="39"/>
      <c r="D128" s="431"/>
      <c r="E128" s="431"/>
      <c r="F128" s="431"/>
      <c r="K128" s="277"/>
      <c r="L128" s="304"/>
      <c r="N128" s="525"/>
      <c r="O128" s="525"/>
      <c r="P128" s="277"/>
      <c r="Q128" s="277"/>
      <c r="R128" s="304"/>
      <c r="T128" s="525"/>
      <c r="U128" s="525"/>
      <c r="V128" s="277"/>
      <c r="W128" s="277"/>
      <c r="X128" s="304"/>
      <c r="AA128" s="277"/>
      <c r="AB128" s="304"/>
      <c r="AC128" s="472"/>
    </row>
    <row r="129" spans="1:29" x14ac:dyDescent="0.2">
      <c r="A129" s="36">
        <f t="shared" si="12"/>
        <v>123</v>
      </c>
      <c r="B129" s="36">
        <f t="shared" si="14"/>
        <v>46</v>
      </c>
      <c r="C129" s="477" t="s">
        <v>236</v>
      </c>
      <c r="D129" s="431">
        <v>36.479999999999997</v>
      </c>
      <c r="E129" s="431">
        <f>+'Exhibit No.__(BDJ-HV RD)'!G25</f>
        <v>36.479999999999997</v>
      </c>
      <c r="F129" s="431">
        <f>+E129-D129</f>
        <v>0</v>
      </c>
      <c r="G129" s="35" t="s">
        <v>325</v>
      </c>
      <c r="H129" s="304" t="s">
        <v>326</v>
      </c>
      <c r="K129" s="277"/>
      <c r="L129" s="304"/>
      <c r="N129" s="525"/>
      <c r="O129" s="525"/>
      <c r="P129" s="277"/>
      <c r="Q129" s="277"/>
      <c r="R129" s="304"/>
      <c r="T129" s="525"/>
      <c r="U129" s="525"/>
      <c r="V129" s="277"/>
      <c r="W129" s="277"/>
      <c r="X129" s="304"/>
      <c r="AA129" s="277"/>
      <c r="AB129" s="304"/>
      <c r="AC129" s="472"/>
    </row>
    <row r="130" spans="1:29" x14ac:dyDescent="0.2">
      <c r="A130" s="36">
        <f t="shared" si="12"/>
        <v>124</v>
      </c>
      <c r="B130" s="36">
        <f t="shared" si="14"/>
        <v>46</v>
      </c>
      <c r="C130" s="39" t="s">
        <v>237</v>
      </c>
      <c r="D130" s="277">
        <v>4.7113000000000002E-2</v>
      </c>
      <c r="E130" s="277">
        <f>+'Exhibit No.__(BDJ-HV RD)'!G24</f>
        <v>4.5379999999999997E-2</v>
      </c>
      <c r="F130" s="277">
        <f>+E130-D130</f>
        <v>-1.7330000000000054E-3</v>
      </c>
      <c r="G130" s="35" t="s">
        <v>325</v>
      </c>
      <c r="H130" s="304" t="s">
        <v>326</v>
      </c>
      <c r="K130" s="277"/>
      <c r="L130" s="304"/>
      <c r="N130" s="525"/>
      <c r="O130" s="525"/>
      <c r="P130" s="277"/>
      <c r="Q130" s="277"/>
      <c r="R130" s="304"/>
      <c r="T130" s="525"/>
      <c r="U130" s="525"/>
      <c r="V130" s="277"/>
      <c r="W130" s="277"/>
      <c r="X130" s="304"/>
      <c r="AA130" s="277"/>
      <c r="AB130" s="304"/>
      <c r="AC130" s="472"/>
    </row>
    <row r="131" spans="1:29" x14ac:dyDescent="0.2">
      <c r="A131" s="36">
        <f t="shared" si="12"/>
        <v>125</v>
      </c>
      <c r="K131" s="277"/>
      <c r="L131" s="304"/>
      <c r="N131" s="525"/>
      <c r="O131" s="525"/>
      <c r="P131" s="277"/>
      <c r="Q131" s="277"/>
      <c r="R131" s="304"/>
      <c r="T131" s="525"/>
      <c r="U131" s="525"/>
      <c r="V131" s="277"/>
      <c r="W131" s="277"/>
      <c r="X131" s="304"/>
      <c r="AA131" s="277"/>
      <c r="AB131" s="304"/>
      <c r="AC131" s="472"/>
    </row>
    <row r="132" spans="1:29" x14ac:dyDescent="0.2">
      <c r="A132" s="36">
        <f t="shared" si="12"/>
        <v>126</v>
      </c>
      <c r="B132" s="36">
        <v>49</v>
      </c>
      <c r="C132" s="304" t="s">
        <v>238</v>
      </c>
      <c r="L132" s="304"/>
      <c r="N132" s="524"/>
      <c r="O132" s="524"/>
      <c r="P132" s="277"/>
      <c r="R132" s="304"/>
      <c r="T132" s="524"/>
      <c r="U132" s="524"/>
      <c r="V132" s="277"/>
      <c r="X132" s="304"/>
      <c r="AB132" s="304"/>
      <c r="AC132" s="472"/>
    </row>
    <row r="133" spans="1:29" x14ac:dyDescent="0.2">
      <c r="A133" s="36">
        <f t="shared" si="12"/>
        <v>127</v>
      </c>
      <c r="B133" s="36">
        <f>+$B$132</f>
        <v>49</v>
      </c>
      <c r="C133" s="39" t="s">
        <v>221</v>
      </c>
      <c r="D133" s="277">
        <v>5.2347999999999999E-2</v>
      </c>
      <c r="E133" s="277">
        <f>+'Exhibit No.__(BDJ-HV RD)'!G31</f>
        <v>5.0422000000000002E-2</v>
      </c>
      <c r="F133" s="277">
        <f>+E133-D133</f>
        <v>-1.9259999999999972E-3</v>
      </c>
      <c r="G133" s="35" t="s">
        <v>323</v>
      </c>
      <c r="H133" s="304">
        <v>49</v>
      </c>
      <c r="J133" s="277">
        <f>ROUND(+'Exhibit No.__(BDJ-141C)'!L39,6)</f>
        <v>3.8400000000000001E-4</v>
      </c>
      <c r="K133" s="277" t="s">
        <v>402</v>
      </c>
      <c r="L133" s="278" t="str">
        <f>+$L$90</f>
        <v>Sheet No. 141COL</v>
      </c>
      <c r="N133" s="525">
        <f>+'Exhibit No.__(BDJ-MYRP)'!L136</f>
        <v>3.705E-3</v>
      </c>
      <c r="O133" s="525">
        <f>+'Exhibit No.__(BDJ-MYRP)'!R136</f>
        <v>3.225E-3</v>
      </c>
      <c r="P133" s="277"/>
      <c r="Q133" s="277" t="s">
        <v>402</v>
      </c>
      <c r="R133" s="278" t="str">
        <f>+$R$76</f>
        <v>Sheet No. 141N</v>
      </c>
      <c r="T133" s="525">
        <f>+'Exhibit No.__(BDJ-MYRP)'!M136</f>
        <v>6.9300000000000004E-4</v>
      </c>
      <c r="U133" s="525">
        <f>+'Exhibit No.__(BDJ-MYRP)'!S136</f>
        <v>1.7290000000000001E-3</v>
      </c>
      <c r="V133" s="277"/>
      <c r="W133" s="277" t="s">
        <v>402</v>
      </c>
      <c r="X133" s="278" t="str">
        <f>+$X$125</f>
        <v>Sheet No. 141R</v>
      </c>
      <c r="Z133" s="277">
        <f>'Exhibit No.__(BDJ-141A)'!$E$81</f>
        <v>1.7340000000000001E-3</v>
      </c>
      <c r="AA133" s="277" t="s">
        <v>402</v>
      </c>
      <c r="AB133" s="278" t="s">
        <v>607</v>
      </c>
      <c r="AC133" s="472"/>
    </row>
    <row r="134" spans="1:29" x14ac:dyDescent="0.2">
      <c r="A134" s="36">
        <f t="shared" si="12"/>
        <v>128</v>
      </c>
      <c r="B134" s="36">
        <f>+$B$132</f>
        <v>49</v>
      </c>
      <c r="C134" s="473"/>
      <c r="N134" s="525"/>
      <c r="O134" s="525"/>
      <c r="P134" s="277"/>
      <c r="Q134" s="277"/>
      <c r="T134" s="525"/>
      <c r="U134" s="525"/>
      <c r="V134" s="277"/>
      <c r="W134" s="277"/>
      <c r="AC134" s="472"/>
    </row>
    <row r="135" spans="1:29" x14ac:dyDescent="0.2">
      <c r="A135" s="36">
        <f t="shared" si="12"/>
        <v>129</v>
      </c>
      <c r="B135" s="36">
        <f>+$B$132</f>
        <v>49</v>
      </c>
      <c r="C135" s="39" t="s">
        <v>239</v>
      </c>
      <c r="D135" s="431">
        <v>5.65</v>
      </c>
      <c r="E135" s="431">
        <f>+'Exhibit No.__(BDJ-HV RD)'!G35</f>
        <v>5.65</v>
      </c>
      <c r="F135" s="431">
        <f>+E135-D135</f>
        <v>0</v>
      </c>
      <c r="G135" s="35" t="s">
        <v>323</v>
      </c>
      <c r="H135" s="304">
        <v>49</v>
      </c>
      <c r="J135" s="431">
        <f>ROUND(+'Exhibit No.__(BDJ-141C)'!L40,2)</f>
        <v>0.62</v>
      </c>
      <c r="K135" s="277" t="s">
        <v>641</v>
      </c>
      <c r="L135" s="278" t="str">
        <f>+$L$11</f>
        <v>Sheet No. 141COL</v>
      </c>
      <c r="N135" s="526">
        <f>+'Exhibit No.__(BDJ-MYRP)'!L138</f>
        <v>0.42</v>
      </c>
      <c r="O135" s="526">
        <f>+'Exhibit No.__(BDJ-MYRP)'!R138</f>
        <v>0.36</v>
      </c>
      <c r="P135" s="277"/>
      <c r="Q135" s="277" t="s">
        <v>641</v>
      </c>
      <c r="R135" s="278" t="str">
        <f>+$R$11</f>
        <v>Sheet No. 141N</v>
      </c>
      <c r="T135" s="526">
        <f>+'Exhibit No.__(BDJ-MYRP)'!M138</f>
        <v>0.08</v>
      </c>
      <c r="U135" s="526">
        <f>+'Exhibit No.__(BDJ-MYRP)'!S138</f>
        <v>0.19</v>
      </c>
      <c r="V135" s="277"/>
      <c r="W135" s="277" t="s">
        <v>641</v>
      </c>
      <c r="X135" s="278" t="str">
        <f>+$X$11</f>
        <v>Sheet No. 141R</v>
      </c>
      <c r="AC135" s="472"/>
    </row>
    <row r="136" spans="1:29" x14ac:dyDescent="0.2">
      <c r="A136" s="36">
        <f t="shared" ref="A136:A141" si="15">+A135+1</f>
        <v>130</v>
      </c>
      <c r="N136" s="525"/>
      <c r="O136" s="525"/>
      <c r="P136" s="277"/>
      <c r="Q136" s="277"/>
      <c r="T136" s="525"/>
      <c r="U136" s="525"/>
      <c r="V136" s="277"/>
      <c r="W136" s="277"/>
      <c r="AC136" s="472"/>
    </row>
    <row r="137" spans="1:29" x14ac:dyDescent="0.2">
      <c r="A137" s="36">
        <f t="shared" si="15"/>
        <v>131</v>
      </c>
      <c r="B137" s="36" t="s">
        <v>240</v>
      </c>
      <c r="C137" s="278" t="s">
        <v>241</v>
      </c>
      <c r="N137" s="525"/>
      <c r="O137" s="525"/>
      <c r="P137" s="277"/>
      <c r="Q137" s="277"/>
      <c r="T137" s="525"/>
      <c r="U137" s="525"/>
      <c r="V137" s="277"/>
      <c r="W137" s="277"/>
      <c r="AC137" s="472"/>
    </row>
    <row r="138" spans="1:29" x14ac:dyDescent="0.2">
      <c r="A138" s="36">
        <f t="shared" si="15"/>
        <v>132</v>
      </c>
      <c r="B138" s="36" t="str">
        <f>+$B$137</f>
        <v>448 / 458</v>
      </c>
      <c r="C138" s="477" t="s">
        <v>242</v>
      </c>
      <c r="D138" s="431">
        <v>2277</v>
      </c>
      <c r="E138" s="431">
        <f>+'Exhibit No.__(BDJ-TRANSP RD)'!G14</f>
        <v>1791</v>
      </c>
      <c r="F138" s="431">
        <f>+E138-D138</f>
        <v>-486</v>
      </c>
      <c r="G138" s="278" t="s">
        <v>590</v>
      </c>
      <c r="H138" s="278" t="s">
        <v>593</v>
      </c>
      <c r="J138" s="35" t="s">
        <v>472</v>
      </c>
      <c r="N138" s="526">
        <f>+'Exhibit No.__(BDJ-MYRP)'!L148</f>
        <v>613</v>
      </c>
      <c r="O138" s="526">
        <f>+'Exhibit No.__(BDJ-MYRP)'!R148</f>
        <v>529</v>
      </c>
      <c r="P138" s="277"/>
      <c r="Q138" s="487" t="s">
        <v>401</v>
      </c>
      <c r="R138" s="278" t="str">
        <f>+$R$110</f>
        <v>Sheet No. 141N-B</v>
      </c>
      <c r="S138" s="431"/>
      <c r="T138" s="526">
        <f>+'Exhibit No.__(BDJ-MYRP)'!M148</f>
        <v>115</v>
      </c>
      <c r="U138" s="526">
        <f>+'Exhibit No.__(BDJ-MYRP)'!S148</f>
        <v>283</v>
      </c>
      <c r="V138" s="277"/>
      <c r="W138" s="277" t="s">
        <v>401</v>
      </c>
      <c r="X138" s="278" t="str">
        <f>+$X$110</f>
        <v>Sheet No. 141R</v>
      </c>
      <c r="Z138" s="35" t="s">
        <v>472</v>
      </c>
      <c r="AB138" s="278" t="s">
        <v>607</v>
      </c>
      <c r="AC138" s="472"/>
    </row>
    <row r="139" spans="1:29" x14ac:dyDescent="0.2">
      <c r="A139" s="36">
        <f t="shared" si="15"/>
        <v>133</v>
      </c>
      <c r="D139" s="431"/>
      <c r="E139" s="431"/>
      <c r="F139" s="431"/>
      <c r="N139" s="526"/>
      <c r="O139" s="526"/>
      <c r="P139" s="277"/>
      <c r="Q139" s="277"/>
      <c r="T139" s="526"/>
      <c r="U139" s="526"/>
      <c r="V139" s="277"/>
      <c r="W139" s="277"/>
      <c r="AC139" s="472"/>
    </row>
    <row r="140" spans="1:29" x14ac:dyDescent="0.2">
      <c r="A140" s="36">
        <f t="shared" si="15"/>
        <v>134</v>
      </c>
      <c r="B140" s="38" t="s">
        <v>176</v>
      </c>
      <c r="C140" s="278" t="s">
        <v>243</v>
      </c>
      <c r="N140" s="526"/>
      <c r="O140" s="526"/>
      <c r="P140" s="277"/>
      <c r="Q140" s="277"/>
      <c r="T140" s="526"/>
      <c r="U140" s="526"/>
      <c r="V140" s="277"/>
      <c r="W140" s="277"/>
      <c r="AC140" s="472"/>
    </row>
    <row r="141" spans="1:29" x14ac:dyDescent="0.2">
      <c r="A141" s="36">
        <f t="shared" si="15"/>
        <v>135</v>
      </c>
      <c r="B141" s="36" t="str">
        <f>+$B$140</f>
        <v>449 / 459</v>
      </c>
      <c r="C141" s="477" t="s">
        <v>242</v>
      </c>
      <c r="D141" s="431">
        <v>2277</v>
      </c>
      <c r="E141" s="431">
        <f>+E138</f>
        <v>1791</v>
      </c>
      <c r="F141" s="431">
        <f>+E141-D141</f>
        <v>-486</v>
      </c>
      <c r="G141" s="278" t="s">
        <v>591</v>
      </c>
      <c r="H141" s="278" t="s">
        <v>592</v>
      </c>
      <c r="J141" s="35" t="s">
        <v>472</v>
      </c>
      <c r="N141" s="526">
        <f>+N138</f>
        <v>613</v>
      </c>
      <c r="O141" s="526">
        <f>+O138</f>
        <v>529</v>
      </c>
      <c r="P141" s="277"/>
      <c r="Q141" s="277" t="s">
        <v>401</v>
      </c>
      <c r="R141" s="278" t="str">
        <f>+$R$110</f>
        <v>Sheet No. 141N-B</v>
      </c>
      <c r="T141" s="526">
        <f>+T138</f>
        <v>115</v>
      </c>
      <c r="U141" s="526">
        <f>+U138</f>
        <v>283</v>
      </c>
      <c r="V141" s="277"/>
      <c r="W141" s="277" t="s">
        <v>401</v>
      </c>
      <c r="X141" s="278" t="str">
        <f>+$X$110</f>
        <v>Sheet No. 141R</v>
      </c>
      <c r="Z141" s="35" t="s">
        <v>472</v>
      </c>
      <c r="AB141" s="278" t="s">
        <v>607</v>
      </c>
      <c r="AC141" s="472"/>
    </row>
    <row r="142" spans="1:29" x14ac:dyDescent="0.2">
      <c r="N142" s="277"/>
      <c r="O142" s="277"/>
      <c r="P142" s="277"/>
      <c r="Q142" s="277"/>
      <c r="T142" s="277"/>
      <c r="U142" s="277"/>
      <c r="V142" s="277"/>
      <c r="W142" s="277"/>
      <c r="AC142" s="472"/>
    </row>
    <row r="143" spans="1:29" x14ac:dyDescent="0.2">
      <c r="B143" s="434"/>
      <c r="N143" s="277"/>
      <c r="O143" s="277"/>
      <c r="P143" s="277"/>
      <c r="Q143" s="277"/>
      <c r="T143" s="277"/>
      <c r="U143" s="277"/>
      <c r="V143" s="277"/>
      <c r="W143" s="277"/>
      <c r="AC143" s="472"/>
    </row>
    <row r="144" spans="1:29" x14ac:dyDescent="0.2">
      <c r="N144" s="277"/>
      <c r="O144" s="277"/>
      <c r="P144" s="277"/>
      <c r="Q144" s="277"/>
      <c r="T144" s="277"/>
      <c r="U144" s="277"/>
      <c r="V144" s="277"/>
      <c r="W144" s="277"/>
      <c r="AC144" s="472"/>
    </row>
    <row r="145" spans="14:23" x14ac:dyDescent="0.2">
      <c r="N145" s="277"/>
      <c r="O145" s="277"/>
      <c r="P145" s="277"/>
      <c r="Q145" s="277"/>
      <c r="T145" s="277"/>
      <c r="U145" s="277"/>
      <c r="V145" s="277"/>
      <c r="W145" s="277"/>
    </row>
    <row r="146" spans="14:23" x14ac:dyDescent="0.2">
      <c r="N146" s="277"/>
      <c r="O146" s="277"/>
      <c r="P146" s="277"/>
      <c r="Q146" s="277"/>
      <c r="T146" s="277"/>
      <c r="U146" s="277"/>
      <c r="V146" s="277"/>
      <c r="W146" s="277"/>
    </row>
    <row r="147" spans="14:23" x14ac:dyDescent="0.2">
      <c r="N147" s="277"/>
      <c r="O147" s="277"/>
      <c r="P147" s="277"/>
      <c r="Q147" s="277"/>
      <c r="T147" s="277"/>
      <c r="U147" s="277"/>
      <c r="V147" s="277"/>
      <c r="W147" s="277"/>
    </row>
    <row r="148" spans="14:23" x14ac:dyDescent="0.2">
      <c r="N148" s="277"/>
      <c r="O148" s="277"/>
      <c r="P148" s="277"/>
      <c r="Q148" s="277"/>
      <c r="T148" s="277"/>
      <c r="U148" s="277"/>
      <c r="V148" s="277"/>
      <c r="W148" s="277"/>
    </row>
    <row r="150" spans="14:23" x14ac:dyDescent="0.2">
      <c r="N150" s="277"/>
      <c r="O150" s="277"/>
      <c r="P150" s="277"/>
      <c r="Q150" s="277"/>
      <c r="T150" s="277"/>
      <c r="U150" s="277"/>
      <c r="V150" s="277"/>
      <c r="W150" s="277"/>
    </row>
    <row r="151" spans="14:23" x14ac:dyDescent="0.2">
      <c r="N151" s="277"/>
      <c r="O151" s="277"/>
      <c r="P151" s="277"/>
      <c r="Q151" s="277"/>
      <c r="T151" s="277"/>
      <c r="U151" s="277"/>
      <c r="V151" s="277"/>
      <c r="W151" s="277"/>
    </row>
    <row r="152" spans="14:23" x14ac:dyDescent="0.2">
      <c r="N152" s="277"/>
      <c r="O152" s="277"/>
      <c r="P152" s="277"/>
      <c r="Q152" s="277"/>
      <c r="T152" s="277"/>
      <c r="U152" s="277"/>
      <c r="V152" s="277"/>
      <c r="W152" s="277"/>
    </row>
    <row r="153" spans="14:23" x14ac:dyDescent="0.2">
      <c r="N153" s="277"/>
      <c r="O153" s="277"/>
      <c r="P153" s="277"/>
      <c r="Q153" s="277"/>
      <c r="T153" s="277"/>
      <c r="U153" s="277"/>
      <c r="V153" s="277"/>
      <c r="W153" s="277"/>
    </row>
    <row r="154" spans="14:23" x14ac:dyDescent="0.2">
      <c r="N154" s="277"/>
      <c r="O154" s="277"/>
      <c r="P154" s="277"/>
      <c r="Q154" s="277"/>
      <c r="T154" s="277"/>
      <c r="U154" s="277"/>
      <c r="V154" s="277"/>
      <c r="W154" s="277"/>
    </row>
    <row r="155" spans="14:23" x14ac:dyDescent="0.2">
      <c r="N155" s="277"/>
      <c r="O155" s="277"/>
      <c r="P155" s="277"/>
      <c r="Q155" s="277"/>
      <c r="T155" s="277"/>
      <c r="U155" s="277"/>
      <c r="V155" s="277"/>
      <c r="W155" s="277"/>
    </row>
    <row r="156" spans="14:23" x14ac:dyDescent="0.2">
      <c r="N156" s="277"/>
      <c r="O156" s="277"/>
      <c r="P156" s="277"/>
      <c r="Q156" s="277"/>
      <c r="T156" s="277"/>
      <c r="U156" s="277"/>
      <c r="V156" s="277"/>
      <c r="W156" s="277"/>
    </row>
    <row r="157" spans="14:23" x14ac:dyDescent="0.2">
      <c r="N157" s="277"/>
      <c r="O157" s="277"/>
      <c r="P157" s="277"/>
      <c r="Q157" s="277"/>
      <c r="T157" s="277"/>
      <c r="U157" s="277"/>
      <c r="V157" s="277"/>
      <c r="W157" s="277"/>
    </row>
  </sheetData>
  <mergeCells count="6">
    <mergeCell ref="Z4:AB4"/>
    <mergeCell ref="A1:E1"/>
    <mergeCell ref="A2:E2"/>
    <mergeCell ref="N4:R4"/>
    <mergeCell ref="T4:X4"/>
    <mergeCell ref="J4:L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>&amp;L&amp;A&amp;RExhibit No.___(BDJ-5)
Page &amp;P of &amp;N</oddFooter>
  </headerFooter>
  <rowBreaks count="2" manualBreakCount="2">
    <brk id="57" max="23" man="1"/>
    <brk id="107" max="23" man="1"/>
  </rowBreaks>
  <colBreaks count="1" manualBreakCount="1">
    <brk id="9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"/>
  <sheetViews>
    <sheetView view="pageBreakPreview" zoomScale="60" zoomScaleNormal="100" workbookViewId="0">
      <selection activeCell="E29" sqref="E29"/>
    </sheetView>
  </sheetViews>
  <sheetFormatPr defaultColWidth="8.75" defaultRowHeight="11.25" x14ac:dyDescent="0.2"/>
  <cols>
    <col min="1" max="16384" width="8.75" style="11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Y50"/>
  <sheetViews>
    <sheetView zoomScaleNormal="100" workbookViewId="0">
      <pane xSplit="3" ySplit="5" topLeftCell="L6" activePane="bottomRight" state="frozen"/>
      <selection activeCell="E29" sqref="E29"/>
      <selection pane="topRight" activeCell="E29" sqref="E29"/>
      <selection pane="bottomLeft" activeCell="E29" sqref="E29"/>
      <selection pane="bottomRight" activeCell="T29" sqref="T29"/>
    </sheetView>
  </sheetViews>
  <sheetFormatPr defaultColWidth="8.125" defaultRowHeight="11.25" x14ac:dyDescent="0.2"/>
  <cols>
    <col min="1" max="1" width="3.875" style="11" bestFit="1" customWidth="1"/>
    <col min="2" max="2" width="30.75" style="11" bestFit="1" customWidth="1"/>
    <col min="3" max="3" width="11.25" style="11" bestFit="1" customWidth="1"/>
    <col min="4" max="5" width="9.625" style="11" bestFit="1" customWidth="1"/>
    <col min="6" max="6" width="11.5" style="11" bestFit="1" customWidth="1"/>
    <col min="7" max="8" width="7.75" style="11" bestFit="1" customWidth="1"/>
    <col min="9" max="9" width="7.375" style="11" bestFit="1" customWidth="1"/>
    <col min="10" max="10" width="8" style="11" bestFit="1" customWidth="1"/>
    <col min="11" max="11" width="9.625" style="11" bestFit="1" customWidth="1"/>
    <col min="12" max="12" width="0.625" style="11" customWidth="1"/>
    <col min="13" max="13" width="11" style="11" bestFit="1" customWidth="1"/>
    <col min="14" max="14" width="0.625" style="11" customWidth="1"/>
    <col min="15" max="15" width="4.625" style="11" customWidth="1"/>
    <col min="16" max="16" width="0.75" style="11" customWidth="1"/>
    <col min="17" max="17" width="23.875" style="11" customWidth="1"/>
    <col min="18" max="18" width="7.875" style="11" bestFit="1" customWidth="1"/>
    <col min="19" max="20" width="11.875" style="11" bestFit="1" customWidth="1"/>
    <col min="21" max="21" width="10.625" style="11" bestFit="1" customWidth="1"/>
    <col min="22" max="22" width="0.625" style="11" customWidth="1"/>
    <col min="23" max="23" width="11" style="11" bestFit="1" customWidth="1"/>
    <col min="24" max="24" width="14.125" style="11" bestFit="1" customWidth="1"/>
    <col min="25" max="25" width="10.375" style="11" customWidth="1"/>
    <col min="26" max="16384" width="8.125" style="11"/>
  </cols>
  <sheetData>
    <row r="1" spans="1:25" x14ac:dyDescent="0.2">
      <c r="A1" s="597" t="s">
        <v>72</v>
      </c>
      <c r="B1" s="598" t="s">
        <v>150</v>
      </c>
      <c r="C1" s="598"/>
      <c r="D1" s="598"/>
      <c r="E1" s="598"/>
      <c r="F1" s="598"/>
      <c r="G1" s="598"/>
      <c r="H1" s="598"/>
      <c r="I1" s="598"/>
      <c r="J1" s="598"/>
      <c r="K1" s="598"/>
    </row>
    <row r="2" spans="1:25" x14ac:dyDescent="0.2">
      <c r="A2" s="597" t="s">
        <v>353</v>
      </c>
      <c r="B2" s="598" t="s">
        <v>150</v>
      </c>
      <c r="C2" s="598"/>
      <c r="D2" s="598"/>
      <c r="E2" s="598"/>
      <c r="F2" s="598"/>
      <c r="G2" s="598"/>
      <c r="H2" s="598"/>
      <c r="I2" s="598"/>
      <c r="J2" s="598"/>
      <c r="K2" s="598"/>
    </row>
    <row r="3" spans="1:25" x14ac:dyDescent="0.2">
      <c r="A3" s="598" t="s">
        <v>151</v>
      </c>
      <c r="B3" s="598" t="s">
        <v>151</v>
      </c>
      <c r="C3" s="598"/>
      <c r="D3" s="598"/>
      <c r="E3" s="598"/>
      <c r="F3" s="598"/>
      <c r="G3" s="598"/>
      <c r="H3" s="598"/>
      <c r="I3" s="598"/>
      <c r="J3" s="598"/>
      <c r="K3" s="598"/>
    </row>
    <row r="4" spans="1:25" ht="33.75" customHeight="1" x14ac:dyDescent="0.2">
      <c r="B4" s="449"/>
      <c r="C4" s="449"/>
      <c r="D4" s="449"/>
      <c r="E4" s="449"/>
      <c r="F4" s="449"/>
      <c r="G4" s="449"/>
      <c r="H4" s="449"/>
      <c r="I4" s="449"/>
      <c r="J4" s="449"/>
      <c r="K4" s="449"/>
      <c r="S4" s="594" t="s">
        <v>643</v>
      </c>
      <c r="T4" s="594"/>
      <c r="U4" s="594"/>
      <c r="W4" s="594" t="s">
        <v>644</v>
      </c>
      <c r="X4" s="594"/>
      <c r="Y4" s="594"/>
    </row>
    <row r="5" spans="1:25" ht="67.5" x14ac:dyDescent="0.2">
      <c r="A5" s="450" t="s">
        <v>152</v>
      </c>
      <c r="B5" s="450" t="s">
        <v>153</v>
      </c>
      <c r="C5" s="450" t="s">
        <v>154</v>
      </c>
      <c r="D5" s="451" t="s">
        <v>181</v>
      </c>
      <c r="E5" s="451" t="s">
        <v>183</v>
      </c>
      <c r="F5" s="451" t="s">
        <v>526</v>
      </c>
      <c r="G5" s="451" t="s">
        <v>336</v>
      </c>
      <c r="H5" s="451" t="s">
        <v>525</v>
      </c>
      <c r="I5" s="451" t="s">
        <v>519</v>
      </c>
      <c r="J5" s="451" t="s">
        <v>520</v>
      </c>
      <c r="K5" s="451" t="s">
        <v>182</v>
      </c>
      <c r="M5" s="451" t="s">
        <v>518</v>
      </c>
      <c r="O5" s="451" t="s">
        <v>314</v>
      </c>
      <c r="P5" s="452"/>
      <c r="Q5" s="451" t="s">
        <v>513</v>
      </c>
      <c r="R5" s="451" t="s">
        <v>512</v>
      </c>
      <c r="S5" s="451" t="s">
        <v>354</v>
      </c>
      <c r="T5" s="451" t="s">
        <v>355</v>
      </c>
      <c r="U5" s="451" t="s">
        <v>356</v>
      </c>
      <c r="W5" s="451" t="s">
        <v>354</v>
      </c>
      <c r="X5" s="451" t="s">
        <v>355</v>
      </c>
      <c r="Y5" s="451" t="s">
        <v>356</v>
      </c>
    </row>
    <row r="6" spans="1:25" x14ac:dyDescent="0.2">
      <c r="A6" s="453"/>
      <c r="B6" s="316"/>
      <c r="C6" s="317"/>
      <c r="D6" s="317" t="s">
        <v>155</v>
      </c>
      <c r="E6" s="317" t="s">
        <v>156</v>
      </c>
      <c r="F6" s="453" t="s">
        <v>157</v>
      </c>
      <c r="G6" s="317" t="s">
        <v>158</v>
      </c>
      <c r="H6" s="453" t="s">
        <v>159</v>
      </c>
      <c r="I6" s="453" t="s">
        <v>160</v>
      </c>
      <c r="J6" s="454" t="s">
        <v>161</v>
      </c>
      <c r="K6" s="454" t="s">
        <v>162</v>
      </c>
    </row>
    <row r="7" spans="1:25" x14ac:dyDescent="0.2">
      <c r="A7" s="453"/>
      <c r="B7" s="316"/>
      <c r="C7" s="317"/>
      <c r="D7" s="317"/>
      <c r="E7" s="317"/>
      <c r="F7" s="453"/>
      <c r="G7" s="317"/>
      <c r="H7" s="453"/>
      <c r="I7" s="453"/>
      <c r="J7" s="453"/>
      <c r="K7" s="453"/>
    </row>
    <row r="8" spans="1:25" x14ac:dyDescent="0.2">
      <c r="A8" s="455">
        <v>1</v>
      </c>
      <c r="B8" s="410" t="s">
        <v>163</v>
      </c>
      <c r="C8" s="561" t="s">
        <v>683</v>
      </c>
      <c r="D8" s="345">
        <f>+'Exhibit No.__(BDJ-Prof-Prop)'!I17</f>
        <v>11355354.571603522</v>
      </c>
      <c r="E8" s="399">
        <f>+'Exhibit No.__(BDJ-Prof-Prop)'!L17</f>
        <v>1231055.182</v>
      </c>
      <c r="G8" s="100">
        <f>E8/(E$32-E$30-$E$24)</f>
        <v>0.58575177186179395</v>
      </c>
      <c r="H8" s="226">
        <v>1</v>
      </c>
      <c r="I8" s="456">
        <f>+$I$38*H8</f>
        <v>-1.925194309837586E-2</v>
      </c>
      <c r="J8" s="399">
        <f>+E8*I8</f>
        <v>-23700.204314824739</v>
      </c>
      <c r="K8" s="399">
        <f>+E8+J8</f>
        <v>1207354.9776851754</v>
      </c>
      <c r="M8" s="399">
        <f>+J8*1000</f>
        <v>-23700204.314824738</v>
      </c>
      <c r="O8" s="457">
        <v>0.99</v>
      </c>
      <c r="P8" s="457"/>
      <c r="Q8" s="399">
        <v>3193663.6951851835</v>
      </c>
      <c r="R8" s="456">
        <f>+Q8/$Q$32</f>
        <v>0.60120247304236629</v>
      </c>
      <c r="S8" s="399">
        <f>+$R8*S$36/1000</f>
        <v>138878.87931888</v>
      </c>
      <c r="T8" s="399">
        <f>+$R8*T$36/1000</f>
        <v>119803.77951287967</v>
      </c>
      <c r="U8" s="399"/>
      <c r="W8" s="399">
        <f>+$R8*W$34/1000</f>
        <v>25961.523441204605</v>
      </c>
      <c r="X8" s="399">
        <f>+$R8*X$34/1000</f>
        <v>64231.016817021533</v>
      </c>
      <c r="Y8" s="399"/>
    </row>
    <row r="9" spans="1:25" x14ac:dyDescent="0.2">
      <c r="A9" s="455">
        <f>+A8+1</f>
        <v>2</v>
      </c>
      <c r="C9" s="10"/>
      <c r="D9" s="44"/>
      <c r="E9" s="28"/>
      <c r="G9" s="100"/>
      <c r="I9" s="458"/>
      <c r="J9" s="28"/>
      <c r="K9" s="28"/>
      <c r="M9" s="28"/>
      <c r="O9" s="457"/>
      <c r="P9" s="457"/>
      <c r="Q9" s="28"/>
      <c r="R9" s="457"/>
      <c r="S9" s="28"/>
      <c r="T9" s="28"/>
      <c r="U9" s="28"/>
      <c r="W9" s="28"/>
      <c r="X9" s="28"/>
      <c r="Y9" s="28"/>
    </row>
    <row r="10" spans="1:25" x14ac:dyDescent="0.2">
      <c r="A10" s="455">
        <f t="shared" ref="A10:A39" si="0">+A9+1</f>
        <v>3</v>
      </c>
      <c r="B10" s="11" t="s">
        <v>121</v>
      </c>
      <c r="C10" s="10"/>
      <c r="D10" s="44"/>
      <c r="E10" s="28"/>
      <c r="G10" s="100"/>
      <c r="I10" s="458"/>
      <c r="J10" s="28"/>
      <c r="K10" s="28"/>
      <c r="M10" s="28"/>
      <c r="O10" s="457"/>
      <c r="P10" s="457"/>
      <c r="Q10" s="28"/>
      <c r="R10" s="457"/>
      <c r="S10" s="28"/>
      <c r="T10" s="28"/>
      <c r="U10" s="28"/>
      <c r="W10" s="28"/>
      <c r="X10" s="28"/>
      <c r="Y10" s="28"/>
    </row>
    <row r="11" spans="1:25" x14ac:dyDescent="0.2">
      <c r="A11" s="455">
        <f t="shared" si="0"/>
        <v>4</v>
      </c>
      <c r="B11" s="336" t="s">
        <v>164</v>
      </c>
      <c r="C11" s="561" t="s">
        <v>684</v>
      </c>
      <c r="D11" s="196">
        <f>SUM('Exhibit No.__(BDJ-Prof-Prop)'!I21)</f>
        <v>2658833.1030243803</v>
      </c>
      <c r="E11" s="28">
        <f>SUM('Exhibit No.__(BDJ-Prof-Prop)'!L21)</f>
        <v>271509.06</v>
      </c>
      <c r="G11" s="100">
        <f>E11/(E$32-E$30-$E$24)</f>
        <v>0.12918747696846145</v>
      </c>
      <c r="H11" s="226">
        <v>1</v>
      </c>
      <c r="I11" s="456">
        <f t="shared" ref="I11:I13" si="1">+$I$38*H11</f>
        <v>-1.925194309837586E-2</v>
      </c>
      <c r="J11" s="28">
        <f>+E11*I11</f>
        <v>-5227.0769738135168</v>
      </c>
      <c r="K11" s="28">
        <f>+E11+J11</f>
        <v>266281.98302618647</v>
      </c>
      <c r="M11" s="28">
        <f t="shared" ref="M11:M32" si="2">+J11*1000</f>
        <v>-5227076.973813517</v>
      </c>
      <c r="O11" s="457">
        <v>1.05</v>
      </c>
      <c r="P11" s="457"/>
      <c r="Q11" s="28">
        <v>612809.4117816377</v>
      </c>
      <c r="R11" s="456">
        <f t="shared" ref="R11:R13" si="3">+Q11/$Q$32</f>
        <v>0.11536046654574114</v>
      </c>
      <c r="S11" s="28">
        <f t="shared" ref="S11:T13" si="4">+$R11*S$36/1000</f>
        <v>26648.480387150168</v>
      </c>
      <c r="T11" s="28">
        <f t="shared" si="4"/>
        <v>22988.295155557313</v>
      </c>
      <c r="U11" s="28"/>
      <c r="W11" s="28">
        <f t="shared" ref="W11:X13" si="5">+$R11*W$34/1000</f>
        <v>4981.5720837936533</v>
      </c>
      <c r="X11" s="28">
        <f t="shared" si="5"/>
        <v>12324.83297885036</v>
      </c>
      <c r="Y11" s="28"/>
    </row>
    <row r="12" spans="1:25" x14ac:dyDescent="0.2">
      <c r="A12" s="455">
        <f t="shared" si="0"/>
        <v>5</v>
      </c>
      <c r="B12" s="336" t="s">
        <v>166</v>
      </c>
      <c r="C12" s="15" t="s">
        <v>167</v>
      </c>
      <c r="D12" s="196">
        <f>SUM('Exhibit No.__(BDJ-Prof-Prop)'!I22,'Exhibit No.__(BDJ-Prof-Prop)'!I24)</f>
        <v>2871339.5605844581</v>
      </c>
      <c r="E12" s="28">
        <f>SUM('Exhibit No.__(BDJ-Prof-Prop)'!L22,'Exhibit No.__(BDJ-Prof-Prop)'!L24)</f>
        <v>267613.61300000001</v>
      </c>
      <c r="G12" s="100">
        <f>E12/(E$32-E$30-$E$24)</f>
        <v>0.12733397355463666</v>
      </c>
      <c r="H12" s="226">
        <v>1</v>
      </c>
      <c r="I12" s="456">
        <f t="shared" si="1"/>
        <v>-1.925194309837586E-2</v>
      </c>
      <c r="J12" s="28">
        <f>+E12*I12</f>
        <v>-5152.0820498267785</v>
      </c>
      <c r="K12" s="28">
        <f>+E12+J12</f>
        <v>262461.53095017321</v>
      </c>
      <c r="M12" s="28">
        <f t="shared" si="2"/>
        <v>-5152082.0498267785</v>
      </c>
      <c r="O12" s="457">
        <v>0.99</v>
      </c>
      <c r="P12" s="457"/>
      <c r="Q12" s="28">
        <v>689430.47311563278</v>
      </c>
      <c r="R12" s="456">
        <f t="shared" si="3"/>
        <v>0.12978426815972341</v>
      </c>
      <c r="S12" s="28">
        <f t="shared" si="4"/>
        <v>29980.405143764649</v>
      </c>
      <c r="T12" s="28">
        <f t="shared" si="4"/>
        <v>25862.577990014775</v>
      </c>
      <c r="U12" s="28"/>
      <c r="W12" s="28">
        <f t="shared" si="5"/>
        <v>5604.4302397452129</v>
      </c>
      <c r="X12" s="28">
        <f t="shared" si="5"/>
        <v>13865.837025864301</v>
      </c>
      <c r="Y12" s="28"/>
    </row>
    <row r="13" spans="1:25" x14ac:dyDescent="0.2">
      <c r="A13" s="455">
        <f t="shared" si="0"/>
        <v>6</v>
      </c>
      <c r="B13" s="336" t="s">
        <v>168</v>
      </c>
      <c r="C13" s="15" t="s">
        <v>169</v>
      </c>
      <c r="D13" s="196">
        <f>SUM('Exhibit No.__(BDJ-Prof-Prop)'!I23)</f>
        <v>1761911.047761543</v>
      </c>
      <c r="E13" s="28">
        <f>SUM('Exhibit No.__(BDJ-Prof-Prop)'!L23)</f>
        <v>151320.842</v>
      </c>
      <c r="G13" s="100">
        <f>E13/(E$32-E$30-$E$24)</f>
        <v>7.2000388461155571E-2</v>
      </c>
      <c r="H13" s="226">
        <v>1</v>
      </c>
      <c r="I13" s="456">
        <f t="shared" si="1"/>
        <v>-1.925194309837586E-2</v>
      </c>
      <c r="J13" s="28">
        <f>+E13*I13</f>
        <v>-2913.2202397823239</v>
      </c>
      <c r="K13" s="28">
        <f>+E13+J13</f>
        <v>148407.62176021768</v>
      </c>
      <c r="M13" s="28">
        <f t="shared" si="2"/>
        <v>-2913220.2397823241</v>
      </c>
      <c r="O13" s="457">
        <v>0.97</v>
      </c>
      <c r="P13" s="457"/>
      <c r="Q13" s="28">
        <v>378181.08324080287</v>
      </c>
      <c r="R13" s="456">
        <f t="shared" si="3"/>
        <v>7.1192030283272534E-2</v>
      </c>
      <c r="S13" s="28">
        <f t="shared" si="4"/>
        <v>16445.490205892616</v>
      </c>
      <c r="T13" s="28">
        <f t="shared" si="4"/>
        <v>14186.691974120336</v>
      </c>
      <c r="U13" s="28"/>
      <c r="W13" s="28">
        <f t="shared" si="5"/>
        <v>3074.2614109238416</v>
      </c>
      <c r="X13" s="28">
        <f t="shared" si="5"/>
        <v>7605.9841723913651</v>
      </c>
      <c r="Y13" s="28"/>
    </row>
    <row r="14" spans="1:25" x14ac:dyDescent="0.2">
      <c r="A14" s="455">
        <f t="shared" si="0"/>
        <v>7</v>
      </c>
      <c r="B14" s="411" t="s">
        <v>170</v>
      </c>
      <c r="C14" s="10"/>
      <c r="D14" s="459">
        <f>SUM(D11:D13)</f>
        <v>7292083.7113703806</v>
      </c>
      <c r="E14" s="399">
        <f>SUM(E11:E13)</f>
        <v>690443.5149999999</v>
      </c>
      <c r="G14" s="100"/>
      <c r="I14" s="456"/>
      <c r="J14" s="399">
        <f>SUM(J11:J13)</f>
        <v>-13292.379263422619</v>
      </c>
      <c r="K14" s="399">
        <f>SUM(K11:K13)</f>
        <v>677151.13573657745</v>
      </c>
      <c r="M14" s="399">
        <f t="shared" si="2"/>
        <v>-13292379.26342262</v>
      </c>
      <c r="O14" s="457"/>
      <c r="P14" s="457"/>
      <c r="Q14" s="399">
        <f>SUM(Q11:Q13)</f>
        <v>1680420.9681380733</v>
      </c>
      <c r="R14" s="457"/>
      <c r="S14" s="399">
        <f t="shared" ref="S14:T14" si="6">SUM(S11:S13)</f>
        <v>73074.375736807444</v>
      </c>
      <c r="T14" s="399">
        <f t="shared" si="6"/>
        <v>63037.565119692423</v>
      </c>
      <c r="U14" s="399"/>
      <c r="W14" s="399">
        <f t="shared" ref="W14" si="7">SUM(W11:W13)</f>
        <v>13660.263734462707</v>
      </c>
      <c r="X14" s="399">
        <f t="shared" ref="X14" si="8">SUM(X11:X13)</f>
        <v>33796.654177106022</v>
      </c>
      <c r="Y14" s="399"/>
    </row>
    <row r="15" spans="1:25" x14ac:dyDescent="0.2">
      <c r="A15" s="455">
        <f t="shared" si="0"/>
        <v>8</v>
      </c>
      <c r="C15" s="10"/>
      <c r="D15" s="196"/>
      <c r="E15" s="28"/>
      <c r="G15" s="100"/>
      <c r="I15" s="456"/>
      <c r="J15" s="28"/>
      <c r="K15" s="28"/>
      <c r="M15" s="28"/>
      <c r="O15" s="457"/>
      <c r="P15" s="457"/>
      <c r="Q15" s="28"/>
      <c r="R15" s="457"/>
      <c r="S15" s="28"/>
      <c r="T15" s="28"/>
      <c r="U15" s="28"/>
      <c r="W15" s="28"/>
      <c r="X15" s="28"/>
      <c r="Y15" s="28"/>
    </row>
    <row r="16" spans="1:25" x14ac:dyDescent="0.2">
      <c r="A16" s="455">
        <f t="shared" si="0"/>
        <v>9</v>
      </c>
      <c r="B16" s="11" t="s">
        <v>120</v>
      </c>
      <c r="C16" s="10"/>
      <c r="D16" s="196"/>
      <c r="E16" s="28"/>
      <c r="G16" s="100"/>
      <c r="I16" s="456"/>
      <c r="J16" s="28"/>
      <c r="K16" s="28"/>
      <c r="M16" s="28"/>
      <c r="O16" s="457"/>
      <c r="P16" s="457"/>
      <c r="Q16" s="28"/>
      <c r="R16" s="457"/>
      <c r="S16" s="28"/>
      <c r="T16" s="28"/>
      <c r="U16" s="28"/>
      <c r="W16" s="28"/>
      <c r="X16" s="28"/>
      <c r="Y16" s="28"/>
    </row>
    <row r="17" spans="1:25" x14ac:dyDescent="0.2">
      <c r="A17" s="455">
        <f t="shared" si="0"/>
        <v>10</v>
      </c>
      <c r="B17" s="336" t="s">
        <v>266</v>
      </c>
      <c r="C17" s="15" t="s">
        <v>268</v>
      </c>
      <c r="D17" s="196">
        <f>SUM('Exhibit No.__(BDJ-Prof-Prop)'!I28)</f>
        <v>1307770.0591754341</v>
      </c>
      <c r="E17" s="28">
        <f>SUM('Exhibit No.__(BDJ-Prof-Prop)'!L28)</f>
        <v>110792.823</v>
      </c>
      <c r="G17" s="100">
        <f t="shared" ref="G17:G19" si="9">E17/(E$32-E$30-$E$24)</f>
        <v>5.2716639619993989E-2</v>
      </c>
      <c r="H17" s="226">
        <v>1</v>
      </c>
      <c r="I17" s="456">
        <f t="shared" ref="I17:I19" si="10">+$I$38*H17</f>
        <v>-1.925194309837586E-2</v>
      </c>
      <c r="J17" s="28">
        <f>+E17*I17</f>
        <v>-2132.9771241044282</v>
      </c>
      <c r="K17" s="28">
        <f>+E17+J17</f>
        <v>108659.84587589558</v>
      </c>
      <c r="M17" s="28">
        <f t="shared" si="2"/>
        <v>-2132977.1241044281</v>
      </c>
      <c r="O17" s="457">
        <v>0.99</v>
      </c>
      <c r="P17" s="457"/>
      <c r="Q17" s="28">
        <v>266575.57436243602</v>
      </c>
      <c r="R17" s="456">
        <f t="shared" ref="R17:R19" si="11">+Q17/$Q$32</f>
        <v>5.0182458096951495E-2</v>
      </c>
      <c r="S17" s="28">
        <f t="shared" ref="S17:T19" si="12">+$R17*S$36/1000</f>
        <v>11592.240309164792</v>
      </c>
      <c r="T17" s="28">
        <f t="shared" si="12"/>
        <v>10000.03894667585</v>
      </c>
      <c r="U17" s="28"/>
      <c r="W17" s="28">
        <f t="shared" ref="W17:X19" si="13">+$R17*W$34/1000</f>
        <v>2167.0121475522701</v>
      </c>
      <c r="X17" s="28">
        <f t="shared" si="13"/>
        <v>5361.3723403922668</v>
      </c>
      <c r="Y17" s="28"/>
    </row>
    <row r="18" spans="1:25" x14ac:dyDescent="0.2">
      <c r="A18" s="455">
        <f t="shared" si="0"/>
        <v>11</v>
      </c>
      <c r="B18" s="336" t="s">
        <v>267</v>
      </c>
      <c r="C18" s="15">
        <v>35</v>
      </c>
      <c r="D18" s="196">
        <f>SUM('Exhibit No.__(BDJ-Prof-Prop)'!I29)</f>
        <v>4387.6440000000002</v>
      </c>
      <c r="E18" s="28">
        <f>SUM('Exhibit No.__(BDJ-Prof-Prop)'!L29)</f>
        <v>275.553</v>
      </c>
      <c r="G18" s="100">
        <f t="shared" si="9"/>
        <v>1.3111163524742216E-4</v>
      </c>
      <c r="H18" s="226">
        <v>0</v>
      </c>
      <c r="I18" s="456">
        <f t="shared" ref="I18" si="14">+$I$38*H18</f>
        <v>0</v>
      </c>
      <c r="J18" s="28">
        <f>+E18*I18</f>
        <v>0</v>
      </c>
      <c r="K18" s="28">
        <f>+E18+J18</f>
        <v>275.553</v>
      </c>
      <c r="M18" s="28">
        <f t="shared" ref="M18" si="15">+J18*1000</f>
        <v>0</v>
      </c>
      <c r="O18" s="457">
        <v>0.61</v>
      </c>
      <c r="P18" s="457"/>
      <c r="Q18" s="28">
        <v>1313.9304218680002</v>
      </c>
      <c r="R18" s="456">
        <f t="shared" si="11"/>
        <v>2.4734546102132306E-4</v>
      </c>
      <c r="S18" s="28">
        <f t="shared" si="12"/>
        <v>57.13725736592631</v>
      </c>
      <c r="T18" s="28">
        <f t="shared" si="12"/>
        <v>49.289419795220894</v>
      </c>
      <c r="U18" s="28"/>
      <c r="W18" s="28">
        <f t="shared" si="13"/>
        <v>10.681035545121787</v>
      </c>
      <c r="X18" s="28">
        <f t="shared" si="13"/>
        <v>26.425790276739239</v>
      </c>
      <c r="Y18" s="28"/>
    </row>
    <row r="19" spans="1:25" x14ac:dyDescent="0.2">
      <c r="A19" s="455">
        <f t="shared" si="0"/>
        <v>12</v>
      </c>
      <c r="B19" s="223" t="s">
        <v>171</v>
      </c>
      <c r="C19" s="10">
        <v>43</v>
      </c>
      <c r="D19" s="196">
        <f>SUM('Exhibit No.__(BDJ-Prof-Prop)'!I30)</f>
        <v>114099.11728442684</v>
      </c>
      <c r="E19" s="28">
        <f>SUM('Exhibit No.__(BDJ-Prof-Prop)'!L30)</f>
        <v>10372.369000000001</v>
      </c>
      <c r="G19" s="100">
        <f t="shared" si="9"/>
        <v>4.935305589050633E-3</v>
      </c>
      <c r="H19" s="226">
        <v>1.25</v>
      </c>
      <c r="I19" s="456">
        <f t="shared" si="10"/>
        <v>-2.4064928872969824E-2</v>
      </c>
      <c r="J19" s="28">
        <f>+E19*I19</f>
        <v>-249.61032222919715</v>
      </c>
      <c r="K19" s="28">
        <f>+E19+J19</f>
        <v>10122.758677770804</v>
      </c>
      <c r="M19" s="28">
        <f t="shared" si="2"/>
        <v>-249610.32222919716</v>
      </c>
      <c r="O19" s="457">
        <v>1.08</v>
      </c>
      <c r="P19" s="457"/>
      <c r="Q19" s="28">
        <v>21337.337501212609</v>
      </c>
      <c r="R19" s="456">
        <f t="shared" si="11"/>
        <v>4.0167222657815933E-3</v>
      </c>
      <c r="S19" s="28">
        <f t="shared" si="12"/>
        <v>927.8702464146877</v>
      </c>
      <c r="T19" s="28">
        <f t="shared" si="12"/>
        <v>800.42669528450426</v>
      </c>
      <c r="U19" s="28"/>
      <c r="W19" s="28">
        <f t="shared" si="13"/>
        <v>173.4527616498157</v>
      </c>
      <c r="X19" s="28">
        <f t="shared" si="13"/>
        <v>429.13688311548486</v>
      </c>
      <c r="Y19" s="28"/>
    </row>
    <row r="20" spans="1:25" x14ac:dyDescent="0.2">
      <c r="A20" s="455">
        <f t="shared" si="0"/>
        <v>13</v>
      </c>
      <c r="B20" s="410" t="s">
        <v>172</v>
      </c>
      <c r="C20" s="10"/>
      <c r="D20" s="459">
        <f>SUM(D17:D19)</f>
        <v>1426256.8204598611</v>
      </c>
      <c r="E20" s="399">
        <f>SUM(E17:E19)</f>
        <v>121440.74500000001</v>
      </c>
      <c r="G20" s="100"/>
      <c r="I20" s="456"/>
      <c r="J20" s="399">
        <f>SUM(J17:J19)</f>
        <v>-2382.5874463336254</v>
      </c>
      <c r="K20" s="399">
        <f>SUM(K17:K19)</f>
        <v>119058.15755366639</v>
      </c>
      <c r="M20" s="399">
        <f t="shared" si="2"/>
        <v>-2382587.4463336254</v>
      </c>
      <c r="O20" s="457"/>
      <c r="P20" s="457"/>
      <c r="Q20" s="399">
        <f>SUM(Q17:Q19)</f>
        <v>289226.84228551661</v>
      </c>
      <c r="R20" s="457"/>
      <c r="S20" s="399">
        <f t="shared" ref="S20:T20" si="16">SUM(S17:S19)</f>
        <v>12577.247812945407</v>
      </c>
      <c r="T20" s="399">
        <f t="shared" si="16"/>
        <v>10849.755061755575</v>
      </c>
      <c r="U20" s="399"/>
      <c r="W20" s="399">
        <f t="shared" ref="W20" si="17">SUM(W17:W19)</f>
        <v>2351.1459447472075</v>
      </c>
      <c r="X20" s="399">
        <f t="shared" ref="X20" si="18">SUM(X17:X19)</f>
        <v>5816.9350137844913</v>
      </c>
      <c r="Y20" s="399"/>
    </row>
    <row r="21" spans="1:25" x14ac:dyDescent="0.2">
      <c r="A21" s="455">
        <f t="shared" si="0"/>
        <v>14</v>
      </c>
      <c r="C21" s="10"/>
      <c r="D21" s="183"/>
      <c r="E21" s="30"/>
      <c r="G21" s="377"/>
      <c r="I21" s="456"/>
      <c r="O21" s="457"/>
      <c r="P21" s="457"/>
      <c r="Q21" s="30"/>
      <c r="R21" s="457"/>
    </row>
    <row r="22" spans="1:25" x14ac:dyDescent="0.2">
      <c r="A22" s="455">
        <f t="shared" si="0"/>
        <v>15</v>
      </c>
      <c r="B22" s="411" t="s">
        <v>173</v>
      </c>
      <c r="C22" s="10" t="s">
        <v>174</v>
      </c>
      <c r="D22" s="459">
        <f>SUM('Exhibit No.__(BDJ-Prof-Prop)'!I36)</f>
        <v>614103.78800000006</v>
      </c>
      <c r="E22" s="399">
        <f>SUM('Exhibit No.__(BDJ-Prof-Prop)'!L36)</f>
        <v>40943.816999999995</v>
      </c>
      <c r="G22" s="100">
        <f t="shared" ref="G22" si="19">E22/(E$32-E$30-$E$24)</f>
        <v>1.9481590837846809E-2</v>
      </c>
      <c r="H22" s="226">
        <v>1.5</v>
      </c>
      <c r="I22" s="456">
        <f>+$I$38*H22</f>
        <v>-2.8877914647563792E-2</v>
      </c>
      <c r="J22" s="399">
        <f>+E22*I22</f>
        <v>-1182.3720526714712</v>
      </c>
      <c r="K22" s="399">
        <f>+E22+J22</f>
        <v>39761.444947328528</v>
      </c>
      <c r="M22" s="399">
        <f t="shared" si="2"/>
        <v>-1182372.0526714711</v>
      </c>
      <c r="O22" s="457">
        <v>1.1399999999999999</v>
      </c>
      <c r="P22" s="457"/>
      <c r="Q22" s="399">
        <v>64617.314942933976</v>
      </c>
      <c r="R22" s="456">
        <f>+Q22/$Q$32</f>
        <v>1.2164114087409182E-2</v>
      </c>
      <c r="S22" s="399">
        <f>+$R22*S$36/1000</f>
        <v>2809.9327732594693</v>
      </c>
      <c r="T22" s="399">
        <f>+$R22*T$36/1000</f>
        <v>2423.9867722480039</v>
      </c>
      <c r="U22" s="399"/>
      <c r="W22" s="399">
        <f>+$R22*W$34/1000</f>
        <v>525.27883231030307</v>
      </c>
      <c r="X22" s="399">
        <f>+$R22*X$34/1000</f>
        <v>1299.5845019710841</v>
      </c>
      <c r="Y22" s="399"/>
    </row>
    <row r="23" spans="1:25" x14ac:dyDescent="0.2">
      <c r="A23" s="455">
        <f t="shared" si="0"/>
        <v>16</v>
      </c>
      <c r="C23" s="10"/>
      <c r="D23" s="183"/>
      <c r="E23" s="30"/>
      <c r="G23" s="377"/>
      <c r="I23" s="456"/>
      <c r="J23" s="71"/>
      <c r="K23" s="71"/>
      <c r="M23" s="71"/>
      <c r="O23" s="457"/>
      <c r="P23" s="457"/>
      <c r="Q23" s="30"/>
      <c r="R23" s="457"/>
      <c r="S23" s="71"/>
      <c r="T23" s="71"/>
      <c r="U23" s="71"/>
      <c r="W23" s="71"/>
      <c r="X23" s="71"/>
      <c r="Y23" s="71"/>
    </row>
    <row r="24" spans="1:25" x14ac:dyDescent="0.2">
      <c r="A24" s="455">
        <f t="shared" si="0"/>
        <v>17</v>
      </c>
      <c r="B24" s="411" t="s">
        <v>286</v>
      </c>
      <c r="C24" s="15" t="s">
        <v>306</v>
      </c>
      <c r="D24" s="459">
        <f>SUM('Exhibit No.__(BDJ-Prof-Prop)'!I41)</f>
        <v>2223284.478162</v>
      </c>
      <c r="E24" s="399">
        <f>SUM('Exhibit No.__(BDJ-Prof-Prop)'!L41)</f>
        <v>13316.672930000001</v>
      </c>
      <c r="G24" s="100"/>
      <c r="H24" s="226"/>
      <c r="I24" s="456">
        <f>((J24)/E24)</f>
        <v>-6.6844094217758943E-2</v>
      </c>
      <c r="J24" s="399">
        <f>(+'Exhibit No.__(BDJ-TRANSP RD)'!I25-'Exhibit No.__(BDJ-TRANSP RD)'!F25)/1000+(+'Exhibit No.__(BDJ-TRANSP RD)'!I41-'Exhibit No.__(BDJ-TRANSP RD)'!F41)/1000</f>
        <v>-890.14094</v>
      </c>
      <c r="K24" s="399">
        <f>+E24+J24</f>
        <v>12426.531990000001</v>
      </c>
      <c r="M24" s="399">
        <f t="shared" si="2"/>
        <v>-890140.94</v>
      </c>
      <c r="O24" s="457"/>
      <c r="P24" s="457"/>
      <c r="Q24" s="399">
        <v>18575.415267488221</v>
      </c>
      <c r="R24" s="456">
        <f>+Q24/$Q$32</f>
        <v>3.4967944851047625E-3</v>
      </c>
      <c r="S24" s="399">
        <f>+$R24*S$36/1000</f>
        <v>807.76597082555134</v>
      </c>
      <c r="T24" s="399">
        <f>+$R24*T$36/1000</f>
        <v>696.81881608930598</v>
      </c>
      <c r="U24" s="399"/>
      <c r="W24" s="399">
        <f>+$R24*W$34/1000</f>
        <v>151.0008958125575</v>
      </c>
      <c r="X24" s="399">
        <f>+$R24*X$34/1000</f>
        <v>373.5890576794161</v>
      </c>
      <c r="Y24" s="399"/>
    </row>
    <row r="25" spans="1:25" x14ac:dyDescent="0.2">
      <c r="A25" s="455">
        <f t="shared" si="0"/>
        <v>18</v>
      </c>
      <c r="C25" s="10"/>
      <c r="D25" s="183"/>
      <c r="E25" s="30"/>
      <c r="G25" s="377"/>
      <c r="I25" s="456"/>
      <c r="O25" s="457"/>
      <c r="P25" s="457"/>
      <c r="Q25" s="30"/>
      <c r="R25" s="457"/>
    </row>
    <row r="26" spans="1:25" x14ac:dyDescent="0.2">
      <c r="A26" s="455">
        <f t="shared" si="0"/>
        <v>19</v>
      </c>
      <c r="B26" s="11" t="s">
        <v>177</v>
      </c>
      <c r="C26" s="10" t="s">
        <v>65</v>
      </c>
      <c r="D26" s="459">
        <f>+'Exhibit No.__(BDJ-LIGHT RD) '!D22/1000</f>
        <v>69892.887000000002</v>
      </c>
      <c r="E26" s="399">
        <f>+'Exhibit No.__(BDJ-LIGHT RD) '!H22/1000</f>
        <v>17783.762999999999</v>
      </c>
      <c r="G26" s="100">
        <f t="shared" ref="G26" si="20">E26/(E$32-E$30-$E$24)</f>
        <v>8.4617414718134148E-3</v>
      </c>
      <c r="H26" s="226">
        <v>1</v>
      </c>
      <c r="I26" s="456">
        <f>+$I$38*H26</f>
        <v>-1.925194309837586E-2</v>
      </c>
      <c r="J26" s="399">
        <f>+E26*I26</f>
        <v>-342.37199335100195</v>
      </c>
      <c r="K26" s="399">
        <f>+E26+J26</f>
        <v>17441.391006648999</v>
      </c>
      <c r="M26" s="399">
        <f t="shared" si="2"/>
        <v>-342371.99335100193</v>
      </c>
      <c r="N26" s="30"/>
      <c r="O26" s="457">
        <v>0.99</v>
      </c>
      <c r="P26" s="457"/>
      <c r="Q26" s="399">
        <v>64215.680771018015</v>
      </c>
      <c r="R26" s="456">
        <f>+Q26/$Q$32</f>
        <v>1.2088507047826953E-2</v>
      </c>
      <c r="S26" s="399">
        <f>+$R26*S$36/1000</f>
        <v>2792.4674077684358</v>
      </c>
      <c r="T26" s="399">
        <f>+$R26*T$36/1000</f>
        <v>2408.9202854887376</v>
      </c>
      <c r="U26" s="399"/>
      <c r="W26" s="399">
        <f>+$R26*W$34/1000</f>
        <v>522.01391904322838</v>
      </c>
      <c r="X26" s="399">
        <f>+$R26*X$34/1000</f>
        <v>1291.5068288931338</v>
      </c>
      <c r="Y26" s="399"/>
    </row>
    <row r="27" spans="1:25" x14ac:dyDescent="0.2">
      <c r="A27" s="455">
        <f t="shared" si="0"/>
        <v>20</v>
      </c>
      <c r="C27" s="10"/>
      <c r="D27" s="238"/>
      <c r="E27" s="30"/>
      <c r="G27" s="30"/>
      <c r="I27" s="456"/>
      <c r="O27" s="460"/>
      <c r="P27" s="457"/>
      <c r="Q27" s="30"/>
      <c r="R27" s="457"/>
    </row>
    <row r="28" spans="1:25" ht="12" thickBot="1" x14ac:dyDescent="0.25">
      <c r="A28" s="455">
        <f t="shared" si="0"/>
        <v>21</v>
      </c>
      <c r="B28" s="411" t="s">
        <v>178</v>
      </c>
      <c r="C28" s="10"/>
      <c r="D28" s="461">
        <f>SUM(D26,D24,D22,D20,D14,D8)</f>
        <v>22980976.256595764</v>
      </c>
      <c r="E28" s="346">
        <f>SUM(E26,E24,E22,E20,E14,E8)</f>
        <v>2114983.6949300002</v>
      </c>
      <c r="I28" s="456">
        <f>((J28)/E28)</f>
        <v>-1.9759044058250567E-2</v>
      </c>
      <c r="J28" s="346">
        <f>SUM(J26,J24,J22,J20,J14,J8)</f>
        <v>-41790.056010603454</v>
      </c>
      <c r="K28" s="346">
        <f>SUM(K26,K24,K22,K20,K14,K8)</f>
        <v>2073193.6389193968</v>
      </c>
      <c r="M28" s="346">
        <f t="shared" si="2"/>
        <v>-41790056.01060345</v>
      </c>
      <c r="O28" s="457"/>
      <c r="P28" s="457"/>
      <c r="Q28" s="346">
        <f>SUM(Q26,Q24,Q22,Q20,Q14,Q8)</f>
        <v>5310719.9165902138</v>
      </c>
      <c r="R28" s="457"/>
      <c r="S28" s="346">
        <f t="shared" ref="S28:T28" si="21">SUM(S26,S24,S22,S20,S14,S8)</f>
        <v>230940.6690204863</v>
      </c>
      <c r="T28" s="346">
        <f t="shared" si="21"/>
        <v>199220.8255681537</v>
      </c>
      <c r="U28" s="346"/>
      <c r="W28" s="346">
        <f t="shared" ref="W28:X28" si="22">SUM(W26,W24,W22,W20,W14,W8)</f>
        <v>43171.226767580607</v>
      </c>
      <c r="X28" s="346">
        <f t="shared" si="22"/>
        <v>106809.28639645569</v>
      </c>
      <c r="Y28" s="346"/>
    </row>
    <row r="29" spans="1:25" ht="12" thickTop="1" x14ac:dyDescent="0.2">
      <c r="A29" s="455">
        <f t="shared" si="0"/>
        <v>22</v>
      </c>
      <c r="C29" s="10"/>
      <c r="D29" s="183"/>
      <c r="E29" s="30"/>
      <c r="G29" s="377"/>
      <c r="I29" s="456"/>
      <c r="J29" s="71"/>
      <c r="K29" s="71"/>
      <c r="M29" s="71"/>
      <c r="O29" s="457"/>
      <c r="P29" s="457"/>
      <c r="Q29" s="30"/>
      <c r="R29" s="457"/>
      <c r="S29" s="71"/>
      <c r="T29" s="71"/>
      <c r="U29" s="71"/>
      <c r="W29" s="71"/>
      <c r="X29" s="71"/>
      <c r="Y29" s="71"/>
    </row>
    <row r="30" spans="1:25" x14ac:dyDescent="0.2">
      <c r="A30" s="455">
        <f t="shared" si="0"/>
        <v>23</v>
      </c>
      <c r="B30" s="411" t="s">
        <v>179</v>
      </c>
      <c r="C30" s="15"/>
      <c r="D30" s="459">
        <f>SUM('Exhibit No.__(BDJ-Prof-Prop)'!I47)</f>
        <v>7372.3372879022108</v>
      </c>
      <c r="E30" s="399">
        <f>SUM('Exhibit No.__(BDJ-Prof-Prop)'!L47)</f>
        <v>345.54538000000002</v>
      </c>
      <c r="G30" s="100"/>
      <c r="H30" s="377"/>
      <c r="I30" s="456">
        <f>((J30)/E30)</f>
        <v>0.66062992941766419</v>
      </c>
      <c r="J30" s="398">
        <v>228.27761999999996</v>
      </c>
      <c r="K30" s="399">
        <f>+E30+J30</f>
        <v>573.82299999999998</v>
      </c>
      <c r="M30" s="399">
        <f t="shared" si="2"/>
        <v>228277.61999999997</v>
      </c>
      <c r="O30" s="457"/>
      <c r="P30" s="457"/>
      <c r="Q30" s="399">
        <v>1406.7601743514979</v>
      </c>
      <c r="R30" s="456">
        <f>+Q30/$Q$32</f>
        <v>2.6482052480124725E-4</v>
      </c>
      <c r="S30" s="399">
        <f>+$R30*S$36/1000</f>
        <v>61.174029306501481</v>
      </c>
      <c r="T30" s="399">
        <f>+$R30*T$36/1000</f>
        <v>52.77173861781165</v>
      </c>
      <c r="U30" s="399"/>
      <c r="W30" s="399">
        <f>+$R30*W$34/1000</f>
        <v>11.435655325149002</v>
      </c>
      <c r="X30" s="399">
        <f>+$R30*X$34/1000</f>
        <v>28.29278378700668</v>
      </c>
      <c r="Y30" s="399"/>
    </row>
    <row r="31" spans="1:25" x14ac:dyDescent="0.2">
      <c r="A31" s="455">
        <f t="shared" si="0"/>
        <v>24</v>
      </c>
      <c r="C31" s="10"/>
      <c r="D31" s="238"/>
      <c r="E31" s="30"/>
      <c r="G31" s="30"/>
      <c r="I31" s="456"/>
      <c r="O31" s="457"/>
      <c r="P31" s="457"/>
      <c r="Q31" s="30"/>
      <c r="R31" s="457"/>
    </row>
    <row r="32" spans="1:25" ht="12" thickBot="1" x14ac:dyDescent="0.25">
      <c r="A32" s="455">
        <f t="shared" si="0"/>
        <v>25</v>
      </c>
      <c r="B32" s="11" t="s">
        <v>180</v>
      </c>
      <c r="C32" s="10"/>
      <c r="D32" s="461">
        <f>SUM(D30,D28)</f>
        <v>22988348.593883667</v>
      </c>
      <c r="E32" s="346">
        <f>SUM(E30,E28)</f>
        <v>2115329.2403100003</v>
      </c>
      <c r="F32" s="562">
        <v>-41561778.390603453</v>
      </c>
      <c r="G32" s="334">
        <f>SUM(G8:G30)</f>
        <v>0.99999999999999989</v>
      </c>
      <c r="I32" s="462">
        <f>(+F32/1000)/E32</f>
        <v>-1.9647900477427618E-2</v>
      </c>
      <c r="J32" s="346">
        <f>SUM(J30,J28)</f>
        <v>-41561.778390603453</v>
      </c>
      <c r="K32" s="346">
        <f>SUM(K30,K28)</f>
        <v>2073767.4619193969</v>
      </c>
      <c r="M32" s="346">
        <f t="shared" si="2"/>
        <v>-41561778.390603453</v>
      </c>
      <c r="O32" s="457"/>
      <c r="P32" s="457"/>
      <c r="Q32" s="346">
        <f>SUM(Q30,Q28)</f>
        <v>5312126.6767645655</v>
      </c>
      <c r="R32" s="334">
        <f>SUM(R8:R31)</f>
        <v>1</v>
      </c>
      <c r="S32" s="346">
        <f t="shared" ref="S32:T32" si="23">SUM(S30,S28)</f>
        <v>231001.84304979281</v>
      </c>
      <c r="T32" s="346">
        <f t="shared" si="23"/>
        <v>199273.59730677149</v>
      </c>
      <c r="U32" s="346"/>
      <c r="W32" s="346">
        <f t="shared" ref="W32:X32" si="24">SUM(W30,W28)</f>
        <v>43182.662422905756</v>
      </c>
      <c r="X32" s="346">
        <f t="shared" si="24"/>
        <v>106837.5791802427</v>
      </c>
      <c r="Y32" s="346"/>
    </row>
    <row r="33" spans="1:25" ht="12" thickTop="1" x14ac:dyDescent="0.2">
      <c r="A33" s="455">
        <f t="shared" si="0"/>
        <v>26</v>
      </c>
      <c r="C33" s="10"/>
      <c r="D33" s="44"/>
      <c r="E33" s="44"/>
      <c r="F33" s="44"/>
      <c r="G33" s="44"/>
      <c r="H33" s="44"/>
      <c r="I33" s="44"/>
      <c r="J33" s="44"/>
      <c r="K33" s="44"/>
      <c r="L33" s="44"/>
      <c r="M33" s="44"/>
      <c r="O33" s="457"/>
      <c r="P33" s="457"/>
      <c r="R33" s="457"/>
      <c r="T33" s="463"/>
    </row>
    <row r="34" spans="1:25" ht="12" thickBot="1" x14ac:dyDescent="0.25">
      <c r="A34" s="455">
        <f t="shared" si="0"/>
        <v>27</v>
      </c>
      <c r="C34" s="10"/>
      <c r="D34" s="10"/>
      <c r="J34" s="30"/>
      <c r="K34" s="30"/>
      <c r="Q34" s="411" t="s">
        <v>452</v>
      </c>
      <c r="S34" s="537">
        <f>S43+'Elec Rev Req for COS'!$C$23</f>
        <v>231533223.30184403</v>
      </c>
      <c r="T34" s="537">
        <f>T43+'Elec Rev Req for COS'!$C$23+'Elec Rev Req for COS'!$D$25</f>
        <v>199437344.58742893</v>
      </c>
      <c r="U34" s="537"/>
      <c r="V34" s="538"/>
      <c r="W34" s="537">
        <f>W43-'Elec Rev Req for COS'!$C$23</f>
        <v>43182662.422905758</v>
      </c>
      <c r="X34" s="537">
        <f>X43-'Elec Rev Req for COS'!$C$23-'Elec Rev Req for COS'!$D$25</f>
        <v>106837579.1802427</v>
      </c>
      <c r="Y34" s="464"/>
    </row>
    <row r="35" spans="1:25" ht="12" thickTop="1" x14ac:dyDescent="0.2">
      <c r="A35" s="455">
        <f t="shared" si="0"/>
        <v>28</v>
      </c>
      <c r="B35" s="599" t="s">
        <v>521</v>
      </c>
      <c r="C35" s="600"/>
      <c r="D35" s="600"/>
      <c r="E35" s="600"/>
      <c r="F35" s="465"/>
      <c r="G35" s="140"/>
      <c r="H35" s="465"/>
      <c r="I35" s="466">
        <f>(F32)/(E32*1000)</f>
        <v>-1.9647900477427618E-2</v>
      </c>
      <c r="Q35" s="411" t="s">
        <v>451</v>
      </c>
      <c r="S35" s="30">
        <f>-'Exhibit No.__(BDJ-MYRP-SUM)'!M33*1000</f>
        <v>-531380.25205124728</v>
      </c>
      <c r="T35" s="30">
        <f>-'Exhibit No.__(BDJ-MYRP-SUM)'!S33*1000</f>
        <v>-163747.28065737145</v>
      </c>
      <c r="U35" s="30"/>
    </row>
    <row r="36" spans="1:25" x14ac:dyDescent="0.2">
      <c r="A36" s="455">
        <f t="shared" si="0"/>
        <v>29</v>
      </c>
      <c r="B36" s="601" t="s">
        <v>522</v>
      </c>
      <c r="C36" s="602"/>
      <c r="D36" s="602"/>
      <c r="E36" s="602"/>
      <c r="F36" s="71"/>
      <c r="G36" s="71"/>
      <c r="H36" s="71"/>
      <c r="I36" s="467">
        <f>((F32/1000)-(J24)-(J30))/(E32-E24-E30)</f>
        <v>-1.9460701739365947E-2</v>
      </c>
      <c r="K36" s="30"/>
      <c r="Q36" s="11" t="s">
        <v>415</v>
      </c>
      <c r="S36" s="30">
        <f>+S34+S35</f>
        <v>231001843.0497928</v>
      </c>
      <c r="T36" s="30">
        <f t="shared" ref="T36" si="25">+T34+T35</f>
        <v>199273597.30677155</v>
      </c>
      <c r="U36" s="30"/>
    </row>
    <row r="37" spans="1:25" x14ac:dyDescent="0.2">
      <c r="A37" s="455">
        <f t="shared" si="0"/>
        <v>30</v>
      </c>
      <c r="B37" s="603" t="s">
        <v>523</v>
      </c>
      <c r="C37" s="604"/>
      <c r="D37" s="604"/>
      <c r="E37" s="604"/>
      <c r="F37" s="71"/>
      <c r="G37" s="71"/>
      <c r="H37" s="71"/>
      <c r="I37" s="468">
        <f>1/SUMPRODUCT($H$8:$H$30,$G$8:$G$30)</f>
        <v>0.98927281021075397</v>
      </c>
      <c r="K37" s="30"/>
      <c r="U37" s="30"/>
    </row>
    <row r="38" spans="1:25" ht="12" thickBot="1" x14ac:dyDescent="0.25">
      <c r="A38" s="455">
        <f t="shared" si="0"/>
        <v>31</v>
      </c>
      <c r="B38" s="595" t="s">
        <v>524</v>
      </c>
      <c r="C38" s="596"/>
      <c r="D38" s="596"/>
      <c r="E38" s="596"/>
      <c r="F38" s="94"/>
      <c r="G38" s="94"/>
      <c r="H38" s="94"/>
      <c r="I38" s="469">
        <f>I37*I36</f>
        <v>-1.925194309837586E-2</v>
      </c>
      <c r="K38" s="30"/>
      <c r="Q38" s="24" t="s">
        <v>426</v>
      </c>
      <c r="R38" s="24"/>
      <c r="S38" s="25">
        <f>+'Exhibit No.__(BDJ-MYRP-SUM)'!O36*1000</f>
        <v>-9802.6605399209075</v>
      </c>
      <c r="T38" s="25">
        <f>+'Exhibit No.__(BDJ-MYRP-SUM)'!U36*1000</f>
        <v>23749.618064903188</v>
      </c>
      <c r="U38" s="30"/>
    </row>
    <row r="39" spans="1:25" x14ac:dyDescent="0.2">
      <c r="A39" s="455">
        <f t="shared" si="0"/>
        <v>32</v>
      </c>
      <c r="B39" s="470"/>
      <c r="C39" s="470"/>
      <c r="D39" s="470"/>
      <c r="E39" s="470"/>
      <c r="F39" s="470"/>
      <c r="G39" s="470"/>
      <c r="S39" s="30"/>
      <c r="T39" s="30"/>
      <c r="U39" s="30"/>
      <c r="V39" s="30"/>
      <c r="W39" s="30"/>
      <c r="X39" s="30"/>
    </row>
    <row r="40" spans="1:25" x14ac:dyDescent="0.2">
      <c r="A40" s="455"/>
      <c r="Q40" s="471"/>
      <c r="S40" s="30"/>
      <c r="T40" s="30"/>
    </row>
    <row r="41" spans="1:25" x14ac:dyDescent="0.2">
      <c r="A41" s="455"/>
      <c r="B41" s="434"/>
      <c r="Q41" s="592" t="s">
        <v>527</v>
      </c>
      <c r="R41" s="593"/>
      <c r="S41" s="593"/>
      <c r="T41" s="593"/>
      <c r="U41" s="593"/>
      <c r="V41" s="593"/>
      <c r="W41" s="593"/>
      <c r="X41" s="593"/>
      <c r="Y41" s="593"/>
    </row>
    <row r="42" spans="1:25" ht="12" thickBot="1" x14ac:dyDescent="0.25">
      <c r="A42" s="455"/>
    </row>
    <row r="43" spans="1:25" x14ac:dyDescent="0.2">
      <c r="A43" s="455"/>
      <c r="Q43" s="527" t="s">
        <v>661</v>
      </c>
      <c r="R43" s="528"/>
      <c r="S43" s="529">
        <v>183006126.94827574</v>
      </c>
      <c r="T43" s="529">
        <v>108585712.2108248</v>
      </c>
      <c r="U43" s="530"/>
      <c r="V43" s="530"/>
      <c r="W43" s="531">
        <v>91709758.776474044</v>
      </c>
      <c r="X43" s="531">
        <v>197689211.5568468</v>
      </c>
      <c r="Y43" s="532"/>
    </row>
    <row r="44" spans="1:25" ht="12" thickBot="1" x14ac:dyDescent="0.25">
      <c r="A44" s="455"/>
      <c r="Q44" s="533" t="s">
        <v>29</v>
      </c>
      <c r="R44" s="534"/>
      <c r="S44" s="535">
        <f>S34-S43</f>
        <v>48527096.353568286</v>
      </c>
      <c r="T44" s="535">
        <f>T34-T43</f>
        <v>90851632.376604125</v>
      </c>
      <c r="U44" s="535"/>
      <c r="V44" s="535">
        <f t="shared" ref="V44" si="26">V43-V34</f>
        <v>0</v>
      </c>
      <c r="W44" s="535">
        <f t="shared" ref="W44:X44" si="27">W34-W43</f>
        <v>-48527096.353568286</v>
      </c>
      <c r="X44" s="535">
        <f t="shared" si="27"/>
        <v>-90851632.376604095</v>
      </c>
      <c r="Y44" s="536"/>
    </row>
    <row r="46" spans="1:25" x14ac:dyDescent="0.2">
      <c r="Q46" s="24" t="s">
        <v>596</v>
      </c>
      <c r="R46" s="24"/>
      <c r="S46" s="588">
        <f>S43/1000-'Exhibit No.__(BDJ-MYRP-SUM)'!N41</f>
        <v>0</v>
      </c>
      <c r="T46" s="588">
        <f>T43/1000-'Exhibit No.__(BDJ-MYRP-SUM)'!T41</f>
        <v>0</v>
      </c>
      <c r="U46" s="24"/>
      <c r="V46" s="24"/>
      <c r="W46" s="588">
        <f>W43/1000-'Exhibit No.__(BDJ-MYRP-SUM)'!O41</f>
        <v>0</v>
      </c>
      <c r="X46" s="588">
        <f>X43/1000-'Exhibit No.__(BDJ-MYRP-SUM)'!U41</f>
        <v>0</v>
      </c>
      <c r="Y46" s="24"/>
    </row>
    <row r="48" spans="1:25" x14ac:dyDescent="0.2">
      <c r="F48" s="30"/>
    </row>
    <row r="49" spans="6:6" x14ac:dyDescent="0.2">
      <c r="F49" s="30"/>
    </row>
    <row r="50" spans="6:6" x14ac:dyDescent="0.2">
      <c r="F50" s="30"/>
    </row>
  </sheetData>
  <mergeCells count="10">
    <mergeCell ref="Q41:Y41"/>
    <mergeCell ref="S4:U4"/>
    <mergeCell ref="W4:Y4"/>
    <mergeCell ref="B38:E38"/>
    <mergeCell ref="A1:K1"/>
    <mergeCell ref="A3:K3"/>
    <mergeCell ref="B35:E35"/>
    <mergeCell ref="B36:E36"/>
    <mergeCell ref="B37:E37"/>
    <mergeCell ref="A2:K2"/>
  </mergeCells>
  <conditionalFormatting sqref="O8 O11:O13 O17:O19 O22 O26">
    <cfRule type="cellIs" dxfId="1" priority="1" operator="lessThan">
      <formula>0.95</formula>
    </cfRule>
    <cfRule type="cellIs" dxfId="0" priority="2" operator="greaterThan">
      <formula>1.05</formula>
    </cfRule>
  </conditionalFormatting>
  <printOptions horizontalCentered="1"/>
  <pageMargins left="0.7" right="0.7" top="0.75" bottom="0.87" header="0.3" footer="0.3"/>
  <pageSetup scale="80" fitToWidth="0" orientation="landscape" r:id="rId1"/>
  <headerFooter alignWithMargins="0">
    <oddFooter>&amp;L&amp;A&amp;RExhibit No. ___(BDJ-5)
Page &amp;P of &amp;N</oddFooter>
  </headerFooter>
  <colBreaks count="1" manualBreakCount="1">
    <brk id="15" max="40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H21"/>
  <sheetViews>
    <sheetView zoomScaleNormal="100" workbookViewId="0">
      <selection activeCell="C7" sqref="C7"/>
    </sheetView>
  </sheetViews>
  <sheetFormatPr defaultColWidth="38.75" defaultRowHeight="11.25" x14ac:dyDescent="0.2"/>
  <cols>
    <col min="1" max="1" width="6.25" style="11" bestFit="1" customWidth="1"/>
    <col min="2" max="2" width="25.25" style="11" customWidth="1"/>
    <col min="3" max="3" width="11.25" style="11" customWidth="1"/>
    <col min="4" max="4" width="13.125" style="11" bestFit="1" customWidth="1"/>
    <col min="5" max="5" width="31.25" style="11" bestFit="1" customWidth="1"/>
    <col min="6" max="6" width="17.25" style="11" bestFit="1" customWidth="1"/>
    <col min="7" max="7" width="28.25" style="11" bestFit="1" customWidth="1"/>
    <col min="8" max="8" width="10.5" style="11" bestFit="1" customWidth="1"/>
    <col min="9" max="16384" width="38.75" style="11"/>
  </cols>
  <sheetData>
    <row r="1" spans="1:8" x14ac:dyDescent="0.2">
      <c r="A1" s="598" t="s">
        <v>72</v>
      </c>
      <c r="B1" s="598"/>
      <c r="C1" s="598"/>
      <c r="D1" s="598"/>
      <c r="E1" s="598"/>
      <c r="F1" s="598"/>
      <c r="G1" s="598"/>
      <c r="H1" s="598"/>
    </row>
    <row r="2" spans="1:8" x14ac:dyDescent="0.2">
      <c r="A2" s="598" t="s">
        <v>249</v>
      </c>
      <c r="B2" s="598"/>
      <c r="C2" s="598"/>
      <c r="D2" s="598"/>
      <c r="E2" s="598"/>
      <c r="F2" s="598"/>
      <c r="G2" s="598"/>
      <c r="H2" s="598"/>
    </row>
    <row r="3" spans="1:8" x14ac:dyDescent="0.2">
      <c r="A3" s="597" t="s">
        <v>335</v>
      </c>
      <c r="B3" s="598"/>
      <c r="C3" s="598"/>
      <c r="D3" s="598"/>
      <c r="E3" s="598"/>
      <c r="F3" s="598"/>
      <c r="G3" s="598"/>
      <c r="H3" s="598"/>
    </row>
    <row r="4" spans="1:8" ht="12" thickBot="1" x14ac:dyDescent="0.25"/>
    <row r="5" spans="1:8" ht="12" thickBot="1" x14ac:dyDescent="0.25">
      <c r="A5" s="435" t="s">
        <v>152</v>
      </c>
      <c r="B5" s="436" t="s">
        <v>250</v>
      </c>
      <c r="C5" s="436" t="s">
        <v>251</v>
      </c>
      <c r="D5" s="436" t="s">
        <v>33</v>
      </c>
      <c r="E5" s="436" t="s">
        <v>136</v>
      </c>
      <c r="F5" s="436" t="s">
        <v>122</v>
      </c>
      <c r="G5" s="436" t="s">
        <v>75</v>
      </c>
      <c r="H5" s="437" t="s">
        <v>252</v>
      </c>
    </row>
    <row r="6" spans="1:8" x14ac:dyDescent="0.2">
      <c r="A6" s="438">
        <v>1</v>
      </c>
      <c r="B6" s="439" t="s">
        <v>163</v>
      </c>
      <c r="C6" s="440">
        <v>7</v>
      </c>
      <c r="D6" s="445" t="s">
        <v>528</v>
      </c>
      <c r="E6" s="440" t="s">
        <v>253</v>
      </c>
      <c r="F6" s="440" t="s">
        <v>253</v>
      </c>
      <c r="G6" s="441" t="s">
        <v>548</v>
      </c>
      <c r="H6" s="442" t="s">
        <v>253</v>
      </c>
    </row>
    <row r="7" spans="1:8" x14ac:dyDescent="0.2">
      <c r="A7" s="443">
        <f>+A6+1</f>
        <v>2</v>
      </c>
      <c r="B7" s="441" t="s">
        <v>254</v>
      </c>
      <c r="C7" s="444" t="s">
        <v>464</v>
      </c>
      <c r="D7" s="445" t="s">
        <v>528</v>
      </c>
      <c r="E7" s="445" t="s">
        <v>253</v>
      </c>
      <c r="F7" s="445" t="s">
        <v>253</v>
      </c>
      <c r="G7" s="446" t="s">
        <v>547</v>
      </c>
      <c r="H7" s="447" t="s">
        <v>253</v>
      </c>
    </row>
    <row r="8" spans="1:8" x14ac:dyDescent="0.2">
      <c r="A8" s="443">
        <f t="shared" ref="A8:A18" si="0">+A7+1</f>
        <v>3</v>
      </c>
      <c r="B8" s="441" t="s">
        <v>255</v>
      </c>
      <c r="C8" s="444" t="s">
        <v>465</v>
      </c>
      <c r="D8" s="445" t="s">
        <v>528</v>
      </c>
      <c r="E8" s="445" t="s">
        <v>528</v>
      </c>
      <c r="F8" s="445" t="s">
        <v>528</v>
      </c>
      <c r="G8" s="441" t="s">
        <v>548</v>
      </c>
      <c r="H8" s="447" t="s">
        <v>253</v>
      </c>
    </row>
    <row r="9" spans="1:8" x14ac:dyDescent="0.2">
      <c r="A9" s="443">
        <f t="shared" si="0"/>
        <v>4</v>
      </c>
      <c r="B9" s="441" t="s">
        <v>256</v>
      </c>
      <c r="C9" s="444" t="s">
        <v>466</v>
      </c>
      <c r="D9" s="445" t="s">
        <v>528</v>
      </c>
      <c r="E9" s="445" t="s">
        <v>528</v>
      </c>
      <c r="F9" s="445" t="s">
        <v>528</v>
      </c>
      <c r="G9" s="446" t="s">
        <v>547</v>
      </c>
      <c r="H9" s="447" t="s">
        <v>253</v>
      </c>
    </row>
    <row r="10" spans="1:8" x14ac:dyDescent="0.2">
      <c r="A10" s="443">
        <f t="shared" si="0"/>
        <v>5</v>
      </c>
      <c r="B10" s="441" t="s">
        <v>257</v>
      </c>
      <c r="C10" s="445">
        <v>29</v>
      </c>
      <c r="D10" s="445" t="s">
        <v>528</v>
      </c>
      <c r="E10" s="445" t="s">
        <v>528</v>
      </c>
      <c r="F10" s="445" t="s">
        <v>528</v>
      </c>
      <c r="G10" s="441" t="s">
        <v>548</v>
      </c>
      <c r="H10" s="447" t="s">
        <v>253</v>
      </c>
    </row>
    <row r="11" spans="1:8" x14ac:dyDescent="0.2">
      <c r="A11" s="443">
        <f t="shared" si="0"/>
        <v>6</v>
      </c>
      <c r="B11" s="448" t="s">
        <v>258</v>
      </c>
      <c r="C11" s="444" t="s">
        <v>467</v>
      </c>
      <c r="D11" s="445" t="s">
        <v>528</v>
      </c>
      <c r="E11" s="445" t="s">
        <v>528</v>
      </c>
      <c r="F11" s="445" t="s">
        <v>528</v>
      </c>
      <c r="G11" s="446" t="s">
        <v>547</v>
      </c>
      <c r="H11" s="447" t="s">
        <v>253</v>
      </c>
    </row>
    <row r="12" spans="1:8" x14ac:dyDescent="0.2">
      <c r="A12" s="443">
        <f t="shared" si="0"/>
        <v>7</v>
      </c>
      <c r="B12" s="441" t="s">
        <v>259</v>
      </c>
      <c r="C12" s="445">
        <v>35</v>
      </c>
      <c r="D12" s="445" t="s">
        <v>528</v>
      </c>
      <c r="E12" s="445" t="s">
        <v>528</v>
      </c>
      <c r="F12" s="445" t="s">
        <v>528</v>
      </c>
      <c r="G12" s="446" t="s">
        <v>547</v>
      </c>
      <c r="H12" s="447" t="s">
        <v>253</v>
      </c>
    </row>
    <row r="13" spans="1:8" x14ac:dyDescent="0.2">
      <c r="A13" s="443">
        <f t="shared" si="0"/>
        <v>8</v>
      </c>
      <c r="B13" s="441" t="s">
        <v>260</v>
      </c>
      <c r="C13" s="445">
        <v>43</v>
      </c>
      <c r="D13" s="445" t="s">
        <v>528</v>
      </c>
      <c r="E13" s="445" t="s">
        <v>528</v>
      </c>
      <c r="F13" s="445" t="s">
        <v>528</v>
      </c>
      <c r="G13" s="446" t="s">
        <v>547</v>
      </c>
      <c r="H13" s="447" t="s">
        <v>253</v>
      </c>
    </row>
    <row r="14" spans="1:8" x14ac:dyDescent="0.2">
      <c r="A14" s="443">
        <f>+A13+1</f>
        <v>9</v>
      </c>
      <c r="B14" s="448" t="s">
        <v>261</v>
      </c>
      <c r="C14" s="445">
        <v>46</v>
      </c>
      <c r="D14" s="445" t="s">
        <v>253</v>
      </c>
      <c r="E14" s="445" t="s">
        <v>528</v>
      </c>
      <c r="F14" s="445" t="s">
        <v>253</v>
      </c>
      <c r="G14" s="448" t="s">
        <v>262</v>
      </c>
      <c r="H14" s="447" t="s">
        <v>253</v>
      </c>
    </row>
    <row r="15" spans="1:8" x14ac:dyDescent="0.2">
      <c r="A15" s="443">
        <f t="shared" si="0"/>
        <v>10</v>
      </c>
      <c r="B15" s="441" t="s">
        <v>263</v>
      </c>
      <c r="C15" s="445">
        <v>49</v>
      </c>
      <c r="D15" s="445" t="s">
        <v>253</v>
      </c>
      <c r="E15" s="445" t="s">
        <v>528</v>
      </c>
      <c r="F15" s="445" t="s">
        <v>253</v>
      </c>
      <c r="G15" s="446" t="s">
        <v>547</v>
      </c>
      <c r="H15" s="447" t="s">
        <v>253</v>
      </c>
    </row>
    <row r="16" spans="1:8" x14ac:dyDescent="0.2">
      <c r="A16" s="443">
        <f t="shared" si="0"/>
        <v>11</v>
      </c>
      <c r="B16" s="448" t="s">
        <v>177</v>
      </c>
      <c r="C16" s="445" t="s">
        <v>65</v>
      </c>
      <c r="D16" s="445" t="s">
        <v>253</v>
      </c>
      <c r="E16" s="445" t="s">
        <v>253</v>
      </c>
      <c r="F16" s="445" t="s">
        <v>253</v>
      </c>
      <c r="G16" s="445" t="s">
        <v>253</v>
      </c>
      <c r="H16" s="447" t="s">
        <v>265</v>
      </c>
    </row>
    <row r="17" spans="1:8" x14ac:dyDescent="0.2">
      <c r="A17" s="443">
        <f t="shared" si="0"/>
        <v>12</v>
      </c>
      <c r="B17" s="448" t="s">
        <v>175</v>
      </c>
      <c r="C17" s="445" t="s">
        <v>264</v>
      </c>
      <c r="D17" s="444" t="s">
        <v>133</v>
      </c>
      <c r="E17" s="445" t="s">
        <v>253</v>
      </c>
      <c r="F17" s="445" t="s">
        <v>253</v>
      </c>
      <c r="G17" s="445" t="s">
        <v>253</v>
      </c>
      <c r="H17" s="447" t="s">
        <v>253</v>
      </c>
    </row>
    <row r="18" spans="1:8" x14ac:dyDescent="0.2">
      <c r="A18" s="443">
        <f t="shared" si="0"/>
        <v>13</v>
      </c>
      <c r="B18" s="448" t="s">
        <v>305</v>
      </c>
      <c r="C18" s="445" t="s">
        <v>298</v>
      </c>
      <c r="D18" s="444" t="s">
        <v>133</v>
      </c>
      <c r="E18" s="445" t="s">
        <v>292</v>
      </c>
      <c r="F18" s="445" t="s">
        <v>253</v>
      </c>
      <c r="G18" s="445" t="s">
        <v>253</v>
      </c>
      <c r="H18" s="447" t="s">
        <v>253</v>
      </c>
    </row>
    <row r="20" spans="1:8" x14ac:dyDescent="0.2">
      <c r="B20" s="41"/>
    </row>
    <row r="21" spans="1:8" x14ac:dyDescent="0.2">
      <c r="B21" s="434"/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80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 codeName="Sheet6">
    <tabColor theme="5" tint="0.79998168889431442"/>
    <pageSetUpPr fitToPage="1"/>
  </sheetPr>
  <dimension ref="A1:X60"/>
  <sheetViews>
    <sheetView zoomScaleNormal="100" zoomScaleSheetLayoutView="70" workbookViewId="0">
      <pane xSplit="6" ySplit="14" topLeftCell="G29" activePane="bottomRight" state="frozen"/>
      <selection activeCell="E29" sqref="E29"/>
      <selection pane="topRight" activeCell="E29" sqref="E29"/>
      <selection pane="bottomLeft" activeCell="E29" sqref="E29"/>
      <selection pane="bottomRight" activeCell="E18" sqref="E18"/>
    </sheetView>
  </sheetViews>
  <sheetFormatPr defaultColWidth="6.5" defaultRowHeight="11.25" x14ac:dyDescent="0.2"/>
  <cols>
    <col min="1" max="1" width="3.375" style="11" bestFit="1" customWidth="1"/>
    <col min="2" max="2" width="2" style="11" customWidth="1"/>
    <col min="3" max="3" width="25" style="11" bestFit="1" customWidth="1"/>
    <col min="4" max="4" width="2" style="11" customWidth="1"/>
    <col min="5" max="5" width="8.5" style="11" bestFit="1" customWidth="1"/>
    <col min="6" max="6" width="2" style="11" customWidth="1"/>
    <col min="7" max="7" width="7.375" style="11" bestFit="1" customWidth="1"/>
    <col min="8" max="8" width="2.125" style="11" customWidth="1"/>
    <col min="9" max="9" width="8.125" style="11" bestFit="1" customWidth="1"/>
    <col min="10" max="10" width="8.875" style="11" bestFit="1" customWidth="1"/>
    <col min="11" max="11" width="2.125" style="11" customWidth="1"/>
    <col min="12" max="12" width="8.625" style="11" bestFit="1" customWidth="1"/>
    <col min="13" max="13" width="2" style="11" customWidth="1"/>
    <col min="14" max="14" width="8.625" style="11" bestFit="1" customWidth="1"/>
    <col min="15" max="15" width="2" style="11" customWidth="1"/>
    <col min="16" max="16" width="8.375" style="11" customWidth="1"/>
    <col min="17" max="17" width="8.5" style="11" customWidth="1"/>
    <col min="18" max="18" width="2" style="11" customWidth="1"/>
    <col min="19" max="19" width="8.25" style="11" bestFit="1" customWidth="1"/>
    <col min="20" max="20" width="2" style="11" customWidth="1"/>
    <col min="21" max="21" width="8.625" style="11" customWidth="1"/>
    <col min="22" max="22" width="7.25" style="11" bestFit="1" customWidth="1"/>
    <col min="23" max="23" width="6.5" style="11"/>
    <col min="24" max="24" width="13.875" style="11" bestFit="1" customWidth="1"/>
    <col min="25" max="16384" width="6.5" style="11"/>
  </cols>
  <sheetData>
    <row r="1" spans="1:23" x14ac:dyDescent="0.2">
      <c r="B1" s="350"/>
      <c r="C1" s="350"/>
      <c r="N1" s="11" t="s">
        <v>0</v>
      </c>
    </row>
    <row r="2" spans="1:23" x14ac:dyDescent="0.2">
      <c r="A2" s="611" t="s">
        <v>485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</row>
    <row r="3" spans="1:23" x14ac:dyDescent="0.2">
      <c r="A3" s="611" t="s">
        <v>43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</row>
    <row r="4" spans="1:23" x14ac:dyDescent="0.2">
      <c r="A4" s="611" t="s">
        <v>2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</row>
    <row r="5" spans="1:23" x14ac:dyDescent="0.2">
      <c r="A5" s="611" t="s">
        <v>79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</row>
    <row r="6" spans="1:23" x14ac:dyDescent="0.2">
      <c r="A6" s="611" t="s">
        <v>337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</row>
    <row r="7" spans="1:23" hidden="1" x14ac:dyDescent="0.2">
      <c r="A7" s="611"/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9"/>
      <c r="T7" s="9"/>
    </row>
    <row r="8" spans="1:23" hidden="1" x14ac:dyDescent="0.2">
      <c r="A8" s="412"/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9"/>
      <c r="S8" s="9"/>
      <c r="T8" s="9"/>
    </row>
    <row r="9" spans="1:23" hidden="1" x14ac:dyDescent="0.2">
      <c r="K9" s="71"/>
      <c r="L9" s="421"/>
      <c r="M9" s="77"/>
      <c r="R9" s="77"/>
      <c r="S9" s="87"/>
      <c r="T9" s="77"/>
    </row>
    <row r="10" spans="1:23" x14ac:dyDescent="0.2">
      <c r="L10" s="10"/>
      <c r="M10" s="423"/>
      <c r="R10" s="423"/>
      <c r="S10" s="77"/>
      <c r="T10" s="423"/>
    </row>
    <row r="11" spans="1:23" ht="15.75" customHeight="1" x14ac:dyDescent="0.2">
      <c r="E11" s="15"/>
      <c r="F11" s="10"/>
      <c r="L11" s="77"/>
      <c r="M11" s="87"/>
      <c r="N11" s="606" t="s">
        <v>338</v>
      </c>
      <c r="O11" s="607"/>
      <c r="P11" s="607"/>
      <c r="Q11" s="607"/>
      <c r="R11" s="607"/>
      <c r="S11" s="608"/>
      <c r="T11" s="10"/>
      <c r="U11" s="210"/>
      <c r="V11" s="309"/>
    </row>
    <row r="12" spans="1:23" x14ac:dyDescent="0.2">
      <c r="A12" s="10"/>
      <c r="E12" s="10"/>
      <c r="F12" s="10"/>
      <c r="G12" s="15"/>
      <c r="I12" s="10"/>
      <c r="J12" s="10"/>
      <c r="L12" s="10"/>
      <c r="M12" s="10"/>
      <c r="N12" s="609"/>
      <c r="O12" s="594"/>
      <c r="P12" s="594"/>
      <c r="Q12" s="594"/>
      <c r="R12" s="594"/>
      <c r="S12" s="610"/>
      <c r="T12" s="77"/>
      <c r="U12" s="309"/>
      <c r="V12" s="309"/>
    </row>
    <row r="13" spans="1:23" s="350" customFormat="1" ht="45" x14ac:dyDescent="0.2">
      <c r="A13" s="372" t="s">
        <v>482</v>
      </c>
      <c r="C13" s="373" t="s">
        <v>7</v>
      </c>
      <c r="E13" s="372" t="s">
        <v>476</v>
      </c>
      <c r="F13" s="421"/>
      <c r="G13" s="414" t="s">
        <v>293</v>
      </c>
      <c r="I13" s="414" t="s">
        <v>303</v>
      </c>
      <c r="J13" s="313" t="s">
        <v>477</v>
      </c>
      <c r="L13" s="374" t="s">
        <v>478</v>
      </c>
      <c r="M13" s="421"/>
      <c r="N13" s="375" t="s">
        <v>479</v>
      </c>
      <c r="O13" s="376"/>
      <c r="P13" s="313" t="s">
        <v>516</v>
      </c>
      <c r="Q13" s="313" t="s">
        <v>480</v>
      </c>
      <c r="R13" s="421"/>
      <c r="S13" s="374" t="s">
        <v>481</v>
      </c>
      <c r="T13" s="421"/>
      <c r="U13" s="374" t="s">
        <v>483</v>
      </c>
      <c r="V13" s="374" t="s">
        <v>484</v>
      </c>
    </row>
    <row r="14" spans="1:23" x14ac:dyDescent="0.2">
      <c r="A14" s="14"/>
      <c r="C14" s="15" t="s">
        <v>8</v>
      </c>
      <c r="E14" s="15" t="s">
        <v>9</v>
      </c>
      <c r="F14" s="10"/>
      <c r="G14" s="15" t="s">
        <v>10</v>
      </c>
      <c r="I14" s="15" t="s">
        <v>11</v>
      </c>
      <c r="J14" s="15" t="s">
        <v>11</v>
      </c>
      <c r="L14" s="15" t="s">
        <v>12</v>
      </c>
      <c r="M14" s="15"/>
      <c r="N14" s="15" t="s">
        <v>13</v>
      </c>
      <c r="O14" s="15"/>
      <c r="P14" s="15" t="s">
        <v>14</v>
      </c>
      <c r="Q14" s="15" t="s">
        <v>15</v>
      </c>
      <c r="R14" s="15"/>
      <c r="S14" s="15" t="s">
        <v>16</v>
      </c>
      <c r="T14" s="87"/>
      <c r="U14" s="15" t="s">
        <v>294</v>
      </c>
      <c r="V14" s="15" t="s">
        <v>295</v>
      </c>
    </row>
    <row r="15" spans="1:23" x14ac:dyDescent="0.2">
      <c r="M15" s="15"/>
      <c r="N15" s="15" t="s">
        <v>0</v>
      </c>
      <c r="P15" s="15" t="s">
        <v>63</v>
      </c>
      <c r="Q15" s="15" t="s">
        <v>17</v>
      </c>
      <c r="S15" s="15" t="s">
        <v>18</v>
      </c>
      <c r="T15" s="71"/>
      <c r="V15" s="15" t="s">
        <v>296</v>
      </c>
    </row>
    <row r="16" spans="1:23" x14ac:dyDescent="0.2">
      <c r="C16" s="17" t="s">
        <v>19</v>
      </c>
      <c r="T16" s="71"/>
    </row>
    <row r="17" spans="1:24" x14ac:dyDescent="0.2">
      <c r="A17" s="10">
        <v>1</v>
      </c>
      <c r="C17" s="11" t="s">
        <v>19</v>
      </c>
      <c r="E17" s="502" t="s">
        <v>657</v>
      </c>
      <c r="F17" s="15"/>
      <c r="G17" s="117">
        <f>ROUND('Exhibit No.__(BDJ-Res RD)'!C16/12,0)</f>
        <v>1063538</v>
      </c>
      <c r="H17" s="238"/>
      <c r="I17" s="117">
        <f>'Exhibit No.__(BDJ-Res RD)'!C23/1000</f>
        <v>11355354.571603522</v>
      </c>
      <c r="J17" s="117"/>
      <c r="L17" s="351">
        <f>'Exhibit No.__(BDJ-Res RD)'!F24/1000</f>
        <v>1231055.182</v>
      </c>
      <c r="M17" s="351"/>
      <c r="N17" s="351">
        <f>ROUND('Exhibit No.__(BDJ-Res RD)'!I24/1000,0)</f>
        <v>1207350</v>
      </c>
      <c r="O17" s="351"/>
      <c r="P17" s="351">
        <f>N17-L17</f>
        <v>-23705.18200000003</v>
      </c>
      <c r="Q17" s="352">
        <f>P17/L17</f>
        <v>-1.925598652814901E-2</v>
      </c>
      <c r="R17" s="351"/>
      <c r="S17" s="353">
        <f>N17/I17*100</f>
        <v>10.632428889708432</v>
      </c>
      <c r="T17" s="354"/>
      <c r="U17" s="351"/>
      <c r="V17" s="351"/>
    </row>
    <row r="18" spans="1:24" x14ac:dyDescent="0.2">
      <c r="A18" s="10">
        <f>MAX(A$14:A17)+1</f>
        <v>2</v>
      </c>
      <c r="C18" s="355" t="s">
        <v>60</v>
      </c>
      <c r="G18" s="150">
        <f>SUM(G17:G17)</f>
        <v>1063538</v>
      </c>
      <c r="H18" s="238"/>
      <c r="I18" s="150">
        <f>SUM(I17:I17)</f>
        <v>11355354.571603522</v>
      </c>
      <c r="J18" s="117"/>
      <c r="L18" s="356">
        <f>SUM(L17:L17)</f>
        <v>1231055.182</v>
      </c>
      <c r="M18" s="351"/>
      <c r="N18" s="356">
        <f>SUM(N17:N17)</f>
        <v>1207350</v>
      </c>
      <c r="O18" s="351"/>
      <c r="P18" s="356">
        <f>SUM(P17)</f>
        <v>-23705.18200000003</v>
      </c>
      <c r="Q18" s="357">
        <f>P18/L18</f>
        <v>-1.925598652814901E-2</v>
      </c>
      <c r="R18" s="351"/>
      <c r="S18" s="358">
        <f>N18/I18*100</f>
        <v>10.632428889708432</v>
      </c>
      <c r="T18" s="354"/>
      <c r="U18" s="356">
        <f>'Exhibit No.__(BDJ-Rate Spread)'!J8</f>
        <v>-23700.204314824739</v>
      </c>
      <c r="V18" s="356">
        <f>U18-P18</f>
        <v>4.9776851752903895</v>
      </c>
    </row>
    <row r="19" spans="1:24" x14ac:dyDescent="0.2">
      <c r="H19" s="238"/>
      <c r="I19" s="11" t="s">
        <v>0</v>
      </c>
      <c r="J19" s="11" t="s">
        <v>0</v>
      </c>
      <c r="L19" s="30"/>
      <c r="M19" s="30"/>
      <c r="N19" s="30"/>
      <c r="O19" s="30"/>
      <c r="P19" s="30"/>
      <c r="Q19" s="30"/>
      <c r="R19" s="30"/>
      <c r="S19" s="359"/>
      <c r="T19" s="28"/>
      <c r="U19" s="30"/>
      <c r="V19" s="30"/>
    </row>
    <row r="20" spans="1:24" x14ac:dyDescent="0.2">
      <c r="C20" s="350" t="s">
        <v>53</v>
      </c>
      <c r="G20" s="152"/>
      <c r="H20" s="238"/>
      <c r="L20" s="30"/>
      <c r="M20" s="30"/>
      <c r="N20" s="30"/>
      <c r="O20" s="30"/>
      <c r="P20" s="30"/>
      <c r="Q20" s="30"/>
      <c r="R20" s="30"/>
      <c r="S20" s="359"/>
      <c r="T20" s="28"/>
      <c r="U20" s="30"/>
      <c r="V20" s="30"/>
    </row>
    <row r="21" spans="1:24" x14ac:dyDescent="0.2">
      <c r="A21" s="10">
        <f>MAX(A$14:A20)+1</f>
        <v>3</v>
      </c>
      <c r="C21" s="411" t="s">
        <v>45</v>
      </c>
      <c r="E21" s="15" t="s">
        <v>56</v>
      </c>
      <c r="F21" s="10"/>
      <c r="G21" s="117">
        <f>'Exhibit No.__(BDJ-SV RD)'!C17/12</f>
        <v>133019.91666666666</v>
      </c>
      <c r="H21" s="238"/>
      <c r="I21" s="117">
        <f>'Exhibit No.__(BDJ-SV RD)'!C25/1000</f>
        <v>2658833.1030243803</v>
      </c>
      <c r="J21" s="117"/>
      <c r="L21" s="351">
        <f>'Exhibit No.__(BDJ-SV RD)'!F26/1000</f>
        <v>271509.06</v>
      </c>
      <c r="M21" s="351"/>
      <c r="N21" s="351">
        <f>ROUND('Exhibit No.__(BDJ-SV RD)'!I26/1000,0)</f>
        <v>266283</v>
      </c>
      <c r="O21" s="351"/>
      <c r="P21" s="351">
        <f t="shared" ref="P21:P24" si="0">N21-L21</f>
        <v>-5226.0599999999977</v>
      </c>
      <c r="Q21" s="352">
        <f>P21/L21</f>
        <v>-1.9248197463465851E-2</v>
      </c>
      <c r="R21" s="351"/>
      <c r="S21" s="353">
        <f>N21/I21*100</f>
        <v>10.015032522993163</v>
      </c>
      <c r="T21" s="354"/>
      <c r="U21" s="351"/>
      <c r="V21" s="351"/>
      <c r="X21" s="30"/>
    </row>
    <row r="22" spans="1:24" x14ac:dyDescent="0.2">
      <c r="A22" s="10">
        <f>MAX(A$14:A21)+1</f>
        <v>4</v>
      </c>
      <c r="C22" s="411" t="s">
        <v>44</v>
      </c>
      <c r="E22" s="15" t="s">
        <v>57</v>
      </c>
      <c r="F22" s="10"/>
      <c r="G22" s="117">
        <f>'Exhibit No.__(BDJ-SV RD)'!C41/12</f>
        <v>8107.833333333333</v>
      </c>
      <c r="H22" s="238"/>
      <c r="I22" s="117">
        <f>'Exhibit No.__(BDJ-SV RD)'!C49/1000</f>
        <v>2856045.8325844579</v>
      </c>
      <c r="J22" s="117">
        <f>'Exhibit No.__(BDJ-SV RD)'!C53/1000</f>
        <v>4173.7510000000002</v>
      </c>
      <c r="L22" s="351">
        <f>'Exhibit No.__(BDJ-SV RD)'!F57/1000</f>
        <v>266281.60100000002</v>
      </c>
      <c r="M22" s="351"/>
      <c r="N22" s="351">
        <f>ROUND('Exhibit No.__(BDJ-SV RD)'!I57/1000,0)</f>
        <v>261154</v>
      </c>
      <c r="O22" s="351"/>
      <c r="P22" s="351">
        <f t="shared" si="0"/>
        <v>-5127.6010000000242</v>
      </c>
      <c r="Q22" s="352">
        <f>P22/L22</f>
        <v>-1.9256309789124421E-2</v>
      </c>
      <c r="R22" s="351"/>
      <c r="S22" s="353">
        <f>N22/I22*100</f>
        <v>9.1439008793384708</v>
      </c>
      <c r="T22" s="354"/>
      <c r="U22" s="351"/>
      <c r="V22" s="351"/>
      <c r="X22" s="30"/>
    </row>
    <row r="23" spans="1:24" x14ac:dyDescent="0.2">
      <c r="A23" s="10">
        <f>MAX(A$14:A22)+1</f>
        <v>5</v>
      </c>
      <c r="C23" s="411" t="s">
        <v>46</v>
      </c>
      <c r="E23" s="15" t="s">
        <v>58</v>
      </c>
      <c r="F23" s="10"/>
      <c r="G23" s="117">
        <f>SUM('Exhibit No.__(BDJ-SV RD)'!C86,'Exhibit No.__(BDJ-SV RD)'!C112)</f>
        <v>10103</v>
      </c>
      <c r="H23" s="238"/>
      <c r="I23" s="117">
        <f>SUM('Exhibit No.__(BDJ-SV RD)'!C92,'Exhibit No.__(BDJ-SV RD)'!C121)/1000</f>
        <v>1761911.047761543</v>
      </c>
      <c r="J23" s="117">
        <f>'Exhibit No.__(BDJ-SV RD)'!C96/1000+'Exhibit No.__(BDJ-SV RD)'!C126/1000</f>
        <v>4340.1580000000004</v>
      </c>
      <c r="L23" s="351">
        <f>SUM('Exhibit No.__(BDJ-SV RD)'!F100,'Exhibit No.__(BDJ-SV RD)'!F132)/1000</f>
        <v>151320.842</v>
      </c>
      <c r="M23" s="351"/>
      <c r="N23" s="351">
        <f>SUM('Exhibit No.__(BDJ-SV RD)'!I100,'Exhibit No.__(BDJ-SV RD)'!I132)/1000</f>
        <v>148407.04199999999</v>
      </c>
      <c r="O23" s="351"/>
      <c r="P23" s="351">
        <f t="shared" si="0"/>
        <v>-2913.8000000000175</v>
      </c>
      <c r="Q23" s="352">
        <f t="shared" ref="Q23:Q31" si="1">P23/L23</f>
        <v>-1.9255774429275362E-2</v>
      </c>
      <c r="R23" s="351"/>
      <c r="S23" s="353">
        <f>N23/I23*100</f>
        <v>8.423072333222887</v>
      </c>
      <c r="T23" s="354"/>
      <c r="U23" s="351"/>
      <c r="V23" s="351"/>
      <c r="X23" s="30"/>
    </row>
    <row r="24" spans="1:24" x14ac:dyDescent="0.2">
      <c r="A24" s="10">
        <f>MAX(A$14:A23)+1</f>
        <v>6</v>
      </c>
      <c r="C24" s="411" t="s">
        <v>48</v>
      </c>
      <c r="E24" s="10">
        <v>29</v>
      </c>
      <c r="F24" s="10"/>
      <c r="G24" s="117">
        <f>'Exhibit No.__(BDJ-SV RD)'!C148/12</f>
        <v>657.91666666666663</v>
      </c>
      <c r="H24" s="238"/>
      <c r="I24" s="117">
        <f>'Exhibit No.__(BDJ-SV RD)'!C158/1000</f>
        <v>15293.727999999999</v>
      </c>
      <c r="J24" s="117">
        <f>'Exhibit No.__(BDJ-SV RD)'!C162/1000</f>
        <v>7.0830000000000002</v>
      </c>
      <c r="L24" s="351">
        <f>SUM('Exhibit No.__(BDJ-SV RD)'!F166/1000)</f>
        <v>1332.0119999999999</v>
      </c>
      <c r="M24" s="351"/>
      <c r="N24" s="351">
        <f>SUM('Exhibit No.__(BDJ-SV RD)'!I166/1000)</f>
        <v>1306.3699999999999</v>
      </c>
      <c r="O24" s="351"/>
      <c r="P24" s="351">
        <f t="shared" si="0"/>
        <v>-25.642000000000053</v>
      </c>
      <c r="Q24" s="352">
        <f t="shared" si="1"/>
        <v>-1.9250577322126268E-2</v>
      </c>
      <c r="R24" s="351"/>
      <c r="S24" s="353">
        <f>N24/I24*100</f>
        <v>8.5418676205043003</v>
      </c>
      <c r="T24" s="354"/>
      <c r="U24" s="351"/>
      <c r="V24" s="351"/>
      <c r="X24" s="30"/>
    </row>
    <row r="25" spans="1:24" x14ac:dyDescent="0.2">
      <c r="A25" s="10">
        <f>MAX(A$14:A24)+1</f>
        <v>7</v>
      </c>
      <c r="C25" s="355" t="s">
        <v>61</v>
      </c>
      <c r="E25" s="10"/>
      <c r="F25" s="10"/>
      <c r="G25" s="150">
        <f>SUM(G21:G24)</f>
        <v>151888.66666666666</v>
      </c>
      <c r="H25" s="238"/>
      <c r="I25" s="150">
        <f>SUM(I21:I24)</f>
        <v>7292083.7113703806</v>
      </c>
      <c r="J25" s="117"/>
      <c r="L25" s="356">
        <f>SUM(L21:L24)</f>
        <v>690443.51500000001</v>
      </c>
      <c r="M25" s="351"/>
      <c r="N25" s="356">
        <f>SUM(N21:N24)</f>
        <v>677150.41200000001</v>
      </c>
      <c r="O25" s="351"/>
      <c r="P25" s="356">
        <f>SUM(P21:P24)</f>
        <v>-13293.103000000039</v>
      </c>
      <c r="Q25" s="357">
        <f t="shared" ref="Q25" si="2">P25/L25</f>
        <v>-1.9252991318196449E-2</v>
      </c>
      <c r="R25" s="351"/>
      <c r="S25" s="358">
        <f>N25/I25*100</f>
        <v>9.2861031058123302</v>
      </c>
      <c r="T25" s="354"/>
      <c r="U25" s="356">
        <f>'Exhibit No.__(BDJ-Rate Spread)'!J14</f>
        <v>-13292.379263422619</v>
      </c>
      <c r="V25" s="356">
        <f>U25-P25</f>
        <v>0.72373657741991337</v>
      </c>
    </row>
    <row r="26" spans="1:24" x14ac:dyDescent="0.2">
      <c r="A26" s="10"/>
      <c r="C26" s="411"/>
      <c r="E26" s="10"/>
      <c r="F26" s="10"/>
      <c r="G26" s="117"/>
      <c r="H26" s="238"/>
      <c r="I26" s="117"/>
      <c r="J26" s="117"/>
      <c r="L26" s="351"/>
      <c r="M26" s="351"/>
      <c r="N26" s="351"/>
      <c r="O26" s="351"/>
      <c r="P26" s="351"/>
      <c r="Q26" s="352"/>
      <c r="R26" s="351"/>
      <c r="S26" s="353"/>
      <c r="T26" s="354"/>
      <c r="U26" s="351"/>
      <c r="V26" s="351"/>
    </row>
    <row r="27" spans="1:24" x14ac:dyDescent="0.2">
      <c r="A27" s="10"/>
      <c r="C27" s="350" t="s">
        <v>54</v>
      </c>
      <c r="E27" s="10"/>
      <c r="F27" s="10"/>
      <c r="G27" s="117"/>
      <c r="H27" s="238"/>
      <c r="I27" s="117"/>
      <c r="J27" s="117"/>
      <c r="L27" s="351"/>
      <c r="M27" s="351"/>
      <c r="N27" s="351"/>
      <c r="O27" s="351"/>
      <c r="P27" s="351"/>
      <c r="Q27" s="352"/>
      <c r="R27" s="351"/>
      <c r="S27" s="353"/>
      <c r="T27" s="354"/>
      <c r="U27" s="351"/>
      <c r="V27" s="351"/>
    </row>
    <row r="28" spans="1:24" x14ac:dyDescent="0.2">
      <c r="A28" s="10">
        <f>MAX(A$14:A26)+1</f>
        <v>8</v>
      </c>
      <c r="C28" s="411" t="s">
        <v>47</v>
      </c>
      <c r="E28" s="15" t="s">
        <v>59</v>
      </c>
      <c r="F28" s="10"/>
      <c r="G28" s="117">
        <f>'Exhibit No.__(BDJ-PV RD)'!C15/12</f>
        <v>490.58333333333331</v>
      </c>
      <c r="H28" s="238"/>
      <c r="I28" s="117">
        <f>'Exhibit No.__(BDJ-PV RD)'!C21/1000</f>
        <v>1307770.0591754341</v>
      </c>
      <c r="J28" s="117">
        <f>'Exhibit No.__(BDJ-PV RD)'!C25/1000</f>
        <v>3207.4389999999999</v>
      </c>
      <c r="L28" s="351">
        <f>'Exhibit No.__(BDJ-PV RD)'!F29/1000</f>
        <v>110792.823</v>
      </c>
      <c r="M28" s="351"/>
      <c r="N28" s="351">
        <f>'Exhibit No.__(BDJ-PV RD)'!I29/1000</f>
        <v>108660.724</v>
      </c>
      <c r="O28" s="351"/>
      <c r="P28" s="351">
        <f t="shared" ref="P28:P30" si="3">N28-L28</f>
        <v>-2132.099000000002</v>
      </c>
      <c r="Q28" s="352">
        <f t="shared" si="1"/>
        <v>-1.9244017277184118E-2</v>
      </c>
      <c r="R28" s="351"/>
      <c r="S28" s="353">
        <f>N28/I28*100</f>
        <v>8.3088554625965365</v>
      </c>
      <c r="T28" s="354"/>
      <c r="U28" s="351"/>
      <c r="V28" s="351"/>
    </row>
    <row r="29" spans="1:24" x14ac:dyDescent="0.2">
      <c r="A29" s="10">
        <f>MAX(A$14:A28)+1</f>
        <v>9</v>
      </c>
      <c r="C29" s="411" t="s">
        <v>49</v>
      </c>
      <c r="E29" s="10">
        <v>35</v>
      </c>
      <c r="F29" s="10"/>
      <c r="G29" s="117">
        <f>'Exhibit No.__(BDJ-PV RD)'!C44/12</f>
        <v>2</v>
      </c>
      <c r="H29" s="238"/>
      <c r="I29" s="117">
        <f>'Exhibit No.__(BDJ-PV RD)'!C50/1000</f>
        <v>4387.6440000000002</v>
      </c>
      <c r="J29" s="117">
        <f>'Exhibit No.__(BDJ-PV RD)'!C54/1000</f>
        <v>8.6059999999999999</v>
      </c>
      <c r="L29" s="351">
        <f>'Exhibit No.__(BDJ-PV RD)'!F58/1000</f>
        <v>275.553</v>
      </c>
      <c r="M29" s="351"/>
      <c r="N29" s="351">
        <f>'Exhibit No.__(BDJ-PV RD)'!I58/1000</f>
        <v>275.553</v>
      </c>
      <c r="O29" s="351"/>
      <c r="P29" s="351">
        <f t="shared" si="3"/>
        <v>0</v>
      </c>
      <c r="Q29" s="352">
        <f t="shared" si="1"/>
        <v>0</v>
      </c>
      <c r="R29" s="351"/>
      <c r="S29" s="353">
        <f>N29/I29*100</f>
        <v>6.280204136889866</v>
      </c>
      <c r="T29" s="354"/>
      <c r="U29" s="351"/>
      <c r="V29" s="351"/>
    </row>
    <row r="30" spans="1:24" x14ac:dyDescent="0.2">
      <c r="A30" s="10">
        <f>MAX(A$14:A29)+1</f>
        <v>10</v>
      </c>
      <c r="C30" s="11" t="s">
        <v>50</v>
      </c>
      <c r="E30" s="15">
        <v>43</v>
      </c>
      <c r="F30" s="10"/>
      <c r="G30" s="117">
        <f>'Exhibit No.__(BDJ-PV RD)'!C72/12</f>
        <v>146.66666666666666</v>
      </c>
      <c r="H30" s="238"/>
      <c r="I30" s="117">
        <f>'Exhibit No.__(BDJ-PV RD)'!C78/1000</f>
        <v>114099.11728442684</v>
      </c>
      <c r="J30" s="117">
        <f>'Exhibit No.__(BDJ-PV RD)'!C81/1000</f>
        <v>541.88</v>
      </c>
      <c r="L30" s="351">
        <f>'Exhibit No.__(BDJ-PV RD)'!F87/1000</f>
        <v>10372.369000000001</v>
      </c>
      <c r="M30" s="351"/>
      <c r="N30" s="351">
        <f>'Exhibit No.__(BDJ-PV RD)'!I87/1000</f>
        <v>10122.748</v>
      </c>
      <c r="O30" s="351"/>
      <c r="P30" s="351">
        <f t="shared" si="3"/>
        <v>-249.621000000001</v>
      </c>
      <c r="Q30" s="352">
        <f t="shared" si="1"/>
        <v>-2.4065958316754926E-2</v>
      </c>
      <c r="R30" s="351"/>
      <c r="S30" s="353">
        <f>N30/I30*100</f>
        <v>8.8718898453578419</v>
      </c>
      <c r="T30" s="354"/>
      <c r="U30" s="351"/>
      <c r="V30" s="351"/>
    </row>
    <row r="31" spans="1:24" x14ac:dyDescent="0.2">
      <c r="A31" s="10">
        <f>MAX(A$14:A30)+1</f>
        <v>11</v>
      </c>
      <c r="C31" s="355" t="s">
        <v>62</v>
      </c>
      <c r="E31" s="10"/>
      <c r="F31" s="10"/>
      <c r="G31" s="150">
        <f>SUM(G28:G30)</f>
        <v>639.25</v>
      </c>
      <c r="H31" s="238"/>
      <c r="I31" s="150">
        <f>SUM(I28:I30)</f>
        <v>1426256.8204598611</v>
      </c>
      <c r="J31" s="117"/>
      <c r="L31" s="356">
        <f>SUM(L28:L30)</f>
        <v>121440.74500000001</v>
      </c>
      <c r="M31" s="351"/>
      <c r="N31" s="356">
        <f>SUM(N28:N30)</f>
        <v>119059.02499999999</v>
      </c>
      <c r="O31" s="351"/>
      <c r="P31" s="356">
        <f>SUM(P28:P30)</f>
        <v>-2381.720000000003</v>
      </c>
      <c r="Q31" s="357">
        <f t="shared" si="1"/>
        <v>-1.9612198525297279E-2</v>
      </c>
      <c r="R31" s="351"/>
      <c r="S31" s="358">
        <f>N31/I31*100</f>
        <v>8.3476568379608089</v>
      </c>
      <c r="T31" s="354"/>
      <c r="U31" s="356">
        <f>'Exhibit No.__(BDJ-Rate Spread)'!J20</f>
        <v>-2382.5874463336254</v>
      </c>
      <c r="V31" s="356">
        <f>U31-P31</f>
        <v>-0.86744633362241075</v>
      </c>
    </row>
    <row r="32" spans="1:24" x14ac:dyDescent="0.2">
      <c r="A32" s="10"/>
      <c r="E32" s="15"/>
      <c r="F32" s="10"/>
      <c r="G32" s="117"/>
      <c r="I32" s="117"/>
      <c r="J32" s="117"/>
      <c r="L32" s="351"/>
      <c r="M32" s="351"/>
      <c r="N32" s="351"/>
      <c r="O32" s="351"/>
      <c r="P32" s="351"/>
      <c r="Q32" s="352"/>
      <c r="R32" s="351"/>
      <c r="S32" s="353"/>
      <c r="T32" s="354"/>
      <c r="U32" s="351"/>
      <c r="V32" s="351"/>
    </row>
    <row r="33" spans="1:22" x14ac:dyDescent="0.2">
      <c r="A33" s="10"/>
      <c r="C33" s="350" t="s">
        <v>55</v>
      </c>
      <c r="E33" s="15"/>
      <c r="F33" s="10"/>
      <c r="G33" s="117"/>
      <c r="I33" s="117"/>
      <c r="J33" s="117"/>
      <c r="L33" s="351"/>
      <c r="M33" s="351"/>
      <c r="N33" s="351"/>
      <c r="O33" s="351"/>
      <c r="P33" s="351"/>
      <c r="Q33" s="352"/>
      <c r="R33" s="351"/>
      <c r="S33" s="353"/>
      <c r="T33" s="354"/>
      <c r="U33" s="351"/>
      <c r="V33" s="351"/>
    </row>
    <row r="34" spans="1:22" x14ac:dyDescent="0.2">
      <c r="A34" s="10">
        <f>MAX(A$14:A32)+1</f>
        <v>12</v>
      </c>
      <c r="C34" s="411" t="s">
        <v>51</v>
      </c>
      <c r="E34" s="15">
        <v>46</v>
      </c>
      <c r="F34" s="10"/>
      <c r="G34" s="117">
        <f>'Exhibit No.__(BDJ-HV RD)'!C14/12</f>
        <v>6</v>
      </c>
      <c r="I34" s="117">
        <f>'Exhibit No.__(BDJ-HV RD)'!C18/1000</f>
        <v>100810.05100000001</v>
      </c>
      <c r="J34" s="117">
        <f>'Exhibit No.__(BDJ-HV RD)'!C20/1000</f>
        <v>410.25</v>
      </c>
      <c r="L34" s="351">
        <f>'Exhibit No.__(BDJ-HV RD)'!F22/1000</f>
        <v>6647.8249999999998</v>
      </c>
      <c r="M34" s="351"/>
      <c r="N34" s="351">
        <f>'Exhibit No.__(BDJ-HV RD)'!I22/1000</f>
        <v>6449.1220000000003</v>
      </c>
      <c r="O34" s="351"/>
      <c r="P34" s="351">
        <f t="shared" ref="P34:P35" si="4">N34-L34</f>
        <v>-198.70299999999952</v>
      </c>
      <c r="Q34" s="352">
        <f t="shared" ref="Q34:Q35" si="5">P34/L34</f>
        <v>-2.9889926404500649E-2</v>
      </c>
      <c r="R34" s="351"/>
      <c r="S34" s="353">
        <f t="shared" ref="S34:S35" si="6">N34/I34*100</f>
        <v>6.3973006024964709</v>
      </c>
      <c r="T34" s="354"/>
      <c r="U34" s="351"/>
      <c r="V34" s="351"/>
    </row>
    <row r="35" spans="1:22" x14ac:dyDescent="0.2">
      <c r="A35" s="10">
        <f>MAX(A$14:A34)+1</f>
        <v>13</v>
      </c>
      <c r="C35" s="11" t="s">
        <v>52</v>
      </c>
      <c r="E35" s="15">
        <v>49</v>
      </c>
      <c r="F35" s="10"/>
      <c r="G35" s="117">
        <f>'Exhibit No.__(BDJ-HV RD)'!C29/12</f>
        <v>17.833333333333332</v>
      </c>
      <c r="I35" s="117">
        <f>'Exhibit No.__(BDJ-HV RD)'!C33/1000</f>
        <v>513293.73700000002</v>
      </c>
      <c r="J35" s="117">
        <f>'Exhibit No.__(BDJ-HV RD)'!C35/1000</f>
        <v>1338.1780000000001</v>
      </c>
      <c r="L35" s="351">
        <f>'Exhibit No.__(BDJ-HV RD)'!F37/1000</f>
        <v>34295.991999999998</v>
      </c>
      <c r="M35" s="351"/>
      <c r="N35" s="351">
        <f>'Exhibit No.__(BDJ-HV RD)'!I37/1000</f>
        <v>33312.345000000001</v>
      </c>
      <c r="O35" s="351"/>
      <c r="P35" s="351">
        <f t="shared" si="4"/>
        <v>-983.64699999999721</v>
      </c>
      <c r="Q35" s="352">
        <f t="shared" si="5"/>
        <v>-2.8681106526966687E-2</v>
      </c>
      <c r="R35" s="351"/>
      <c r="S35" s="353">
        <f t="shared" si="6"/>
        <v>6.4899184616390517</v>
      </c>
      <c r="T35" s="354"/>
      <c r="U35" s="351"/>
      <c r="V35" s="351"/>
    </row>
    <row r="36" spans="1:22" x14ac:dyDescent="0.2">
      <c r="A36" s="10">
        <f>MAX(A$14:A35)+1</f>
        <v>14</v>
      </c>
      <c r="C36" s="355" t="s">
        <v>55</v>
      </c>
      <c r="E36" s="10"/>
      <c r="F36" s="10"/>
      <c r="G36" s="150">
        <f>SUM(G34:G35)</f>
        <v>23.833333333333332</v>
      </c>
      <c r="I36" s="150">
        <f>SUM(I34:I35)</f>
        <v>614103.78800000006</v>
      </c>
      <c r="J36" s="117"/>
      <c r="L36" s="356">
        <f>SUM(L34:L35)</f>
        <v>40943.816999999995</v>
      </c>
      <c r="M36" s="351"/>
      <c r="N36" s="356">
        <f>SUM(N34:N35)</f>
        <v>39761.467000000004</v>
      </c>
      <c r="O36" s="351"/>
      <c r="P36" s="356">
        <f>SUM(P34:P35)</f>
        <v>-1182.3499999999967</v>
      </c>
      <c r="Q36" s="357">
        <f t="shared" ref="Q36" si="7">P36/L36</f>
        <v>-2.8877376039463953E-2</v>
      </c>
      <c r="R36" s="351"/>
      <c r="S36" s="358">
        <f>N36/I36*100</f>
        <v>6.4747144989113794</v>
      </c>
      <c r="T36" s="354"/>
      <c r="U36" s="356">
        <f>'Exhibit No.__(BDJ-Rate Spread)'!J22</f>
        <v>-1182.3720526714712</v>
      </c>
      <c r="V36" s="356">
        <f>U36-P36</f>
        <v>-2.2052671474511953E-2</v>
      </c>
    </row>
    <row r="37" spans="1:22" x14ac:dyDescent="0.2">
      <c r="A37" s="10"/>
      <c r="E37" s="15"/>
      <c r="F37" s="10"/>
      <c r="G37" s="117"/>
      <c r="I37" s="117"/>
      <c r="J37" s="117"/>
      <c r="L37" s="351"/>
      <c r="M37" s="351"/>
      <c r="N37" s="351"/>
      <c r="O37" s="351"/>
      <c r="P37" s="351"/>
      <c r="Q37" s="352"/>
      <c r="R37" s="351"/>
      <c r="S37" s="353"/>
      <c r="T37" s="354"/>
      <c r="U37" s="351"/>
      <c r="V37" s="351"/>
    </row>
    <row r="38" spans="1:22" x14ac:dyDescent="0.2">
      <c r="A38" s="10"/>
      <c r="C38" s="200" t="s">
        <v>301</v>
      </c>
      <c r="E38" s="15"/>
      <c r="F38" s="10"/>
      <c r="G38" s="117"/>
      <c r="I38" s="117"/>
      <c r="J38" s="117"/>
      <c r="L38" s="351"/>
      <c r="M38" s="351"/>
      <c r="N38" s="351"/>
      <c r="O38" s="351"/>
      <c r="P38" s="351"/>
      <c r="Q38" s="352"/>
      <c r="R38" s="351"/>
      <c r="S38" s="353"/>
      <c r="T38" s="354"/>
      <c r="U38" s="351"/>
      <c r="V38" s="351"/>
    </row>
    <row r="39" spans="1:22" x14ac:dyDescent="0.2">
      <c r="A39" s="10">
        <f>MAX(A$14:A37)+1</f>
        <v>15</v>
      </c>
      <c r="C39" s="411" t="s">
        <v>300</v>
      </c>
      <c r="E39" s="15" t="s">
        <v>299</v>
      </c>
      <c r="F39" s="10"/>
      <c r="G39" s="117">
        <f>SUM('Exhibit No.__(BDJ-TRANSP RD)'!C14)/12</f>
        <v>20</v>
      </c>
      <c r="I39" s="117">
        <f>SUM('Exhibit No.__(BDJ-TRANSP RD)'!C19)/1000</f>
        <v>1945214.1669999999</v>
      </c>
      <c r="J39" s="117">
        <f>'Exhibit No.__(BDJ-TRANSP RD)'!C21/1000</f>
        <v>4161.7659999999996</v>
      </c>
      <c r="L39" s="351">
        <f>SUM('Exhibit No.__(BDJ-TRANSP RD)'!F25)/1000</f>
        <v>9528.5470000000005</v>
      </c>
      <c r="M39" s="351"/>
      <c r="N39" s="351">
        <f>SUM('Exhibit No.__(BDJ-TRANSP RD)'!I25)/1000</f>
        <v>9411.8940000000002</v>
      </c>
      <c r="O39" s="351"/>
      <c r="P39" s="351">
        <f>N39-L39</f>
        <v>-116.65300000000025</v>
      </c>
      <c r="Q39" s="352">
        <f t="shared" ref="Q39" si="8">P39/L39</f>
        <v>-1.2242475164366639E-2</v>
      </c>
      <c r="R39" s="351"/>
      <c r="S39" s="353">
        <f>N39/I39*100</f>
        <v>0.48384872779923571</v>
      </c>
      <c r="T39" s="354"/>
      <c r="U39" s="351"/>
      <c r="V39" s="351"/>
    </row>
    <row r="40" spans="1:22" x14ac:dyDescent="0.2">
      <c r="A40" s="10">
        <f>MAX(A$14:A39)+1</f>
        <v>16</v>
      </c>
      <c r="C40" s="411" t="s">
        <v>297</v>
      </c>
      <c r="E40" s="15" t="s">
        <v>298</v>
      </c>
      <c r="F40" s="10"/>
      <c r="G40" s="117">
        <f>SUM('Exhibit No.__(BDJ-TRANSP RD)'!C30)/12</f>
        <v>89.833333333333329</v>
      </c>
      <c r="I40" s="117">
        <f>SUM('Exhibit No.__(BDJ-TRANSP RD)'!C39)/1000</f>
        <v>278070.311162</v>
      </c>
      <c r="J40" s="117">
        <f>'Exhibit No.__(BDJ-TRANSP RD)'!C33/1000</f>
        <v>666.17499999999995</v>
      </c>
      <c r="L40" s="351">
        <f>SUM('Exhibit No.__(BDJ-TRANSP RD)'!F41)/1000</f>
        <v>3788.1259300000002</v>
      </c>
      <c r="M40" s="351"/>
      <c r="N40" s="351">
        <f>SUM('Exhibit No.__(BDJ-TRANSP RD)'!I41)/1000</f>
        <v>3014.6379900000002</v>
      </c>
      <c r="O40" s="351"/>
      <c r="P40" s="351">
        <f>N40-L40</f>
        <v>-773.48793999999998</v>
      </c>
      <c r="Q40" s="352">
        <f t="shared" ref="Q40:Q41" si="9">P40/L40</f>
        <v>-0.20418749384078685</v>
      </c>
      <c r="R40" s="351"/>
      <c r="S40" s="353">
        <f>N40/I40*100</f>
        <v>1.0841279593648216</v>
      </c>
      <c r="T40" s="354"/>
      <c r="U40" s="351"/>
      <c r="V40" s="351"/>
    </row>
    <row r="41" spans="1:22" x14ac:dyDescent="0.2">
      <c r="A41" s="10">
        <f>MAX(A$14:A40)+1</f>
        <v>17</v>
      </c>
      <c r="C41" s="355" t="s">
        <v>301</v>
      </c>
      <c r="E41" s="15"/>
      <c r="F41" s="10"/>
      <c r="G41" s="150">
        <f>SUM(G39:G40)</f>
        <v>109.83333333333333</v>
      </c>
      <c r="I41" s="150">
        <f>SUM(I39:I40)</f>
        <v>2223284.478162</v>
      </c>
      <c r="J41" s="117"/>
      <c r="L41" s="356">
        <f>SUM(L39:L40)</f>
        <v>13316.672930000001</v>
      </c>
      <c r="M41" s="351"/>
      <c r="N41" s="356">
        <f>SUM(N39:N40)</f>
        <v>12426.531989999999</v>
      </c>
      <c r="O41" s="351"/>
      <c r="P41" s="356">
        <f>SUM(P39:P40)</f>
        <v>-890.14094000000023</v>
      </c>
      <c r="Q41" s="357">
        <f t="shared" si="9"/>
        <v>-6.6844094217758956E-2</v>
      </c>
      <c r="R41" s="351"/>
      <c r="S41" s="358">
        <f>N41/I41*100</f>
        <v>0.55892676407623165</v>
      </c>
      <c r="T41" s="354"/>
      <c r="U41" s="356">
        <f>'Exhibit No.__(BDJ-Rate Spread)'!J24</f>
        <v>-890.14094</v>
      </c>
      <c r="V41" s="356">
        <f>U41-P41</f>
        <v>0</v>
      </c>
    </row>
    <row r="42" spans="1:22" x14ac:dyDescent="0.2">
      <c r="A42" s="10"/>
      <c r="E42" s="15"/>
      <c r="F42" s="10"/>
      <c r="G42" s="117"/>
      <c r="I42" s="117"/>
      <c r="J42" s="117"/>
      <c r="L42" s="351"/>
      <c r="M42" s="351"/>
      <c r="N42" s="351"/>
      <c r="O42" s="351"/>
      <c r="P42" s="351"/>
      <c r="Q42" s="352"/>
      <c r="R42" s="351"/>
      <c r="S42" s="353"/>
      <c r="T42" s="354"/>
      <c r="U42" s="351"/>
      <c r="V42" s="351"/>
    </row>
    <row r="43" spans="1:22" x14ac:dyDescent="0.2">
      <c r="A43" s="10">
        <f>MAX(A$14:A41)+1</f>
        <v>18</v>
      </c>
      <c r="C43" s="11" t="s">
        <v>64</v>
      </c>
      <c r="E43" s="15" t="s">
        <v>65</v>
      </c>
      <c r="F43" s="10"/>
      <c r="G43" s="150">
        <f>'Exhibit No.__(BDJ-LIGHT RD) '!C22/12</f>
        <v>8683.25</v>
      </c>
      <c r="I43" s="150">
        <f>'Exhibit No.__(BDJ-LIGHT RD) '!D22/1000</f>
        <v>69892.887000000002</v>
      </c>
      <c r="J43" s="117"/>
      <c r="L43" s="356">
        <f>'Exhibit No.__(BDJ-LIGHT RD) '!H22/1000</f>
        <v>17783.762999999999</v>
      </c>
      <c r="M43" s="351"/>
      <c r="N43" s="356">
        <f>'Exhibit No.__(BDJ-Rate Spread)'!K26</f>
        <v>17441.391006648999</v>
      </c>
      <c r="O43" s="351"/>
      <c r="P43" s="356">
        <f>N43-L43</f>
        <v>-342.37199335100013</v>
      </c>
      <c r="Q43" s="357">
        <f t="shared" ref="Q43" si="10">P43/L43</f>
        <v>-1.9251943098375756E-2</v>
      </c>
      <c r="R43" s="351"/>
      <c r="S43" s="358">
        <f>N43/I43*100</f>
        <v>24.954457821507642</v>
      </c>
      <c r="T43" s="354"/>
      <c r="U43" s="356">
        <f>'Exhibit No.__(BDJ-Rate Spread)'!J26</f>
        <v>-342.37199335100195</v>
      </c>
      <c r="V43" s="356">
        <f>U43-P43</f>
        <v>-1.8189894035458565E-12</v>
      </c>
    </row>
    <row r="44" spans="1:22" x14ac:dyDescent="0.2">
      <c r="A44" s="10"/>
      <c r="E44" s="15"/>
      <c r="F44" s="10"/>
      <c r="G44" s="117"/>
      <c r="I44" s="117"/>
      <c r="J44" s="117"/>
      <c r="L44" s="351"/>
      <c r="M44" s="351"/>
      <c r="N44" s="351"/>
      <c r="O44" s="351"/>
      <c r="P44" s="351"/>
      <c r="Q44" s="352"/>
      <c r="R44" s="351"/>
      <c r="S44" s="353"/>
      <c r="T44" s="354"/>
      <c r="U44" s="351"/>
      <c r="V44" s="351"/>
    </row>
    <row r="45" spans="1:22" x14ac:dyDescent="0.2">
      <c r="A45" s="10">
        <f>MAX(A$14:A44)+1</f>
        <v>19</v>
      </c>
      <c r="C45" s="355" t="s">
        <v>66</v>
      </c>
      <c r="G45" s="150">
        <f>SUM(G43,G41,G36,G31,G25,G18)</f>
        <v>1224882.8333333333</v>
      </c>
      <c r="I45" s="150">
        <f>SUM(I43,I41,I36,I31,I25,I18)</f>
        <v>22980976.256595764</v>
      </c>
      <c r="J45" s="117"/>
      <c r="L45" s="356">
        <f>SUM(L43,L41,L36,L31,L25,L18)</f>
        <v>2114983.6949300002</v>
      </c>
      <c r="M45" s="351"/>
      <c r="N45" s="356">
        <f>SUM(N43,N41,N36,N31,N25,N18)</f>
        <v>2073188.8269966491</v>
      </c>
      <c r="O45" s="351"/>
      <c r="P45" s="356">
        <f>SUM(P43,P41,P36,P31,P25,P18)</f>
        <v>-41794.867933351066</v>
      </c>
      <c r="Q45" s="357">
        <f>P45/L45</f>
        <v>-1.9761319216569352E-2</v>
      </c>
      <c r="R45" s="351"/>
      <c r="S45" s="358">
        <f>N45/I45*100</f>
        <v>9.0213261780017895</v>
      </c>
      <c r="T45" s="354"/>
      <c r="U45" s="356">
        <f>SUM(U43,U41,U36,U31,U25,U18)</f>
        <v>-41790.056010603454</v>
      </c>
      <c r="V45" s="356">
        <f>U45-P45</f>
        <v>4.811922747612698</v>
      </c>
    </row>
    <row r="46" spans="1:22" x14ac:dyDescent="0.2">
      <c r="A46" s="10"/>
      <c r="L46" s="30"/>
      <c r="M46" s="30"/>
      <c r="N46" s="30"/>
      <c r="O46" s="30"/>
      <c r="P46" s="30"/>
      <c r="Q46" s="360"/>
      <c r="R46" s="30"/>
      <c r="S46" s="359"/>
      <c r="T46" s="28"/>
      <c r="U46" s="30"/>
      <c r="V46" s="30"/>
    </row>
    <row r="47" spans="1:22" x14ac:dyDescent="0.2">
      <c r="A47" s="10">
        <f>MAX(A$14:A46)+1</f>
        <v>20</v>
      </c>
      <c r="C47" s="11" t="s">
        <v>67</v>
      </c>
      <c r="E47" s="15" t="s">
        <v>302</v>
      </c>
      <c r="F47" s="10"/>
      <c r="G47" s="150">
        <f>'Exhibit No.__(BDJ-TRANSP RD)'!C45/12</f>
        <v>8</v>
      </c>
      <c r="I47" s="150">
        <f>'Exhibit No.__(BDJ-TRANSP RD)'!C50/1000</f>
        <v>7372.3372879022108</v>
      </c>
      <c r="J47" s="152">
        <f>'Exhibit No.__(BDJ-TRANSP RD)'!C52/1000</f>
        <v>14.507</v>
      </c>
      <c r="L47" s="356">
        <f>'Exhibit No.__(BDJ-TRANSP RD)'!F58/1000</f>
        <v>345.54538000000002</v>
      </c>
      <c r="M47" s="30"/>
      <c r="N47" s="356">
        <f>'Exhibit No.__(BDJ-TRANSP RD)'!I58/1000</f>
        <v>573.82263999999998</v>
      </c>
      <c r="O47" s="351"/>
      <c r="P47" s="356">
        <f>N47-L47</f>
        <v>228.27725999999996</v>
      </c>
      <c r="Q47" s="357">
        <f t="shared" ref="Q47" si="11">P47/L47</f>
        <v>0.66062888758634231</v>
      </c>
      <c r="R47" s="351"/>
      <c r="S47" s="358">
        <f>N47/I47*100</f>
        <v>7.7834561495392531</v>
      </c>
      <c r="T47" s="28"/>
      <c r="U47" s="356">
        <f>'Exhibit No.__(BDJ-Rate Spread)'!J30</f>
        <v>228.27761999999996</v>
      </c>
      <c r="V47" s="356">
        <f>U47-P47</f>
        <v>3.6000000000058208E-4</v>
      </c>
    </row>
    <row r="48" spans="1:22" x14ac:dyDescent="0.2">
      <c r="A48" s="10"/>
      <c r="L48" s="30"/>
      <c r="M48" s="30"/>
      <c r="N48" s="30"/>
      <c r="O48" s="30"/>
      <c r="P48" s="30"/>
      <c r="Q48" s="360"/>
      <c r="R48" s="30"/>
      <c r="S48" s="359"/>
      <c r="T48" s="28"/>
      <c r="U48" s="30"/>
      <c r="V48" s="30"/>
    </row>
    <row r="49" spans="1:22" ht="12" thickBot="1" x14ac:dyDescent="0.25">
      <c r="A49" s="10">
        <f>MAX(A$14:A48)+1</f>
        <v>21</v>
      </c>
      <c r="C49" s="200" t="s">
        <v>68</v>
      </c>
      <c r="G49" s="361">
        <f>G47+G45</f>
        <v>1224890.8333333333</v>
      </c>
      <c r="I49" s="361">
        <f>I47+I45</f>
        <v>22988348.593883667</v>
      </c>
      <c r="L49" s="362">
        <f>L47+L45</f>
        <v>2115329.2403100003</v>
      </c>
      <c r="M49" s="354"/>
      <c r="N49" s="362">
        <f>N47+N45</f>
        <v>2073762.6496366491</v>
      </c>
      <c r="O49" s="28"/>
      <c r="P49" s="362">
        <f>P47+P45</f>
        <v>-41566.590673351064</v>
      </c>
      <c r="Q49" s="363">
        <f>P49/L49</f>
        <v>-1.9650175434278733E-2</v>
      </c>
      <c r="R49" s="354"/>
      <c r="S49" s="364">
        <f>N49/I49*100</f>
        <v>9.0209291944894172</v>
      </c>
      <c r="T49" s="354"/>
      <c r="U49" s="362">
        <f t="shared" ref="U49:V49" si="12">U47+U45</f>
        <v>-41561.778390603453</v>
      </c>
      <c r="V49" s="362">
        <f t="shared" si="12"/>
        <v>4.8122827476126986</v>
      </c>
    </row>
    <row r="50" spans="1:22" ht="12" thickTop="1" x14ac:dyDescent="0.2">
      <c r="A50" s="593" t="s">
        <v>0</v>
      </c>
      <c r="B50" s="605"/>
      <c r="C50" s="605"/>
      <c r="G50" s="301"/>
      <c r="I50" s="301"/>
      <c r="L50" s="28"/>
      <c r="M50" s="354"/>
      <c r="N50" s="28"/>
      <c r="O50" s="28"/>
      <c r="P50" s="28"/>
      <c r="Q50" s="30"/>
      <c r="R50" s="354"/>
      <c r="S50" s="354"/>
      <c r="T50" s="354"/>
      <c r="U50" s="30"/>
      <c r="V50" s="30"/>
    </row>
    <row r="51" spans="1:22" ht="18.95" customHeight="1" thickBot="1" x14ac:dyDescent="0.25">
      <c r="C51" s="11" t="s">
        <v>248</v>
      </c>
      <c r="I51" s="361">
        <v>22988348.591320667</v>
      </c>
      <c r="L51" s="362">
        <v>2115329.2128885072</v>
      </c>
      <c r="M51" s="30"/>
      <c r="N51" s="30"/>
      <c r="O51" s="30"/>
      <c r="P51" s="28" t="s">
        <v>0</v>
      </c>
      <c r="Q51" s="354" t="s">
        <v>0</v>
      </c>
      <c r="R51" s="30"/>
      <c r="S51" s="30"/>
      <c r="T51" s="30"/>
      <c r="U51" s="30"/>
      <c r="V51" s="30"/>
    </row>
    <row r="52" spans="1:22" ht="12.75" thickTop="1" thickBot="1" x14ac:dyDescent="0.25">
      <c r="C52" s="11" t="s">
        <v>248</v>
      </c>
      <c r="I52" s="365">
        <f>I49-I51</f>
        <v>2.5629997253417969E-3</v>
      </c>
      <c r="L52" s="362">
        <f>L49-L51</f>
        <v>2.7421493083238602E-2</v>
      </c>
      <c r="M52" s="28"/>
      <c r="N52" s="366"/>
      <c r="O52" s="30"/>
      <c r="P52" s="366"/>
      <c r="Q52" s="30"/>
      <c r="R52" s="28"/>
      <c r="S52" s="28"/>
      <c r="T52" s="28"/>
      <c r="U52" s="30"/>
      <c r="V52" s="30"/>
    </row>
    <row r="53" spans="1:22" ht="12" thickTop="1" x14ac:dyDescent="0.2">
      <c r="I53" s="152"/>
      <c r="J53" s="152"/>
      <c r="L53" s="30"/>
      <c r="M53" s="71"/>
      <c r="N53" s="30"/>
      <c r="P53" s="30"/>
      <c r="R53" s="71"/>
      <c r="S53" s="367"/>
      <c r="T53" s="71"/>
    </row>
    <row r="54" spans="1:22" x14ac:dyDescent="0.2">
      <c r="L54" s="368"/>
      <c r="N54" s="368"/>
      <c r="P54" s="368"/>
      <c r="Q54" s="369"/>
    </row>
    <row r="55" spans="1:22" x14ac:dyDescent="0.2">
      <c r="N55" s="71"/>
      <c r="P55" s="370"/>
      <c r="Q55" s="163"/>
    </row>
    <row r="56" spans="1:22" x14ac:dyDescent="0.2">
      <c r="N56" s="14"/>
      <c r="P56" s="370"/>
      <c r="Q56" s="360"/>
    </row>
    <row r="57" spans="1:22" x14ac:dyDescent="0.2">
      <c r="N57" s="371"/>
      <c r="Q57" s="360"/>
    </row>
    <row r="58" spans="1:22" x14ac:dyDescent="0.2">
      <c r="Q58" s="360"/>
    </row>
    <row r="60" spans="1:22" x14ac:dyDescent="0.2">
      <c r="N60" s="14"/>
    </row>
  </sheetData>
  <mergeCells count="8">
    <mergeCell ref="A50:C50"/>
    <mergeCell ref="N11:S12"/>
    <mergeCell ref="A7:R7"/>
    <mergeCell ref="A2:W2"/>
    <mergeCell ref="A3:W3"/>
    <mergeCell ref="A4:W4"/>
    <mergeCell ref="A5:W5"/>
    <mergeCell ref="A6:W6"/>
  </mergeCells>
  <printOptions horizontalCentered="1"/>
  <pageMargins left="0.7" right="0.7" top="0.75" bottom="0.77" header="0.3" footer="0.3"/>
  <pageSetup scale="91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AA42"/>
  <sheetViews>
    <sheetView zoomScaleNormal="100" workbookViewId="0">
      <pane xSplit="3" ySplit="12" topLeftCell="D19" activePane="bottomRight" state="frozen"/>
      <selection activeCell="E29" sqref="E29"/>
      <selection pane="topRight" activeCell="E29" sqref="E29"/>
      <selection pane="bottomLeft" activeCell="E29" sqref="E29"/>
      <selection pane="bottomRight" activeCell="U35" sqref="U35"/>
    </sheetView>
  </sheetViews>
  <sheetFormatPr defaultColWidth="9" defaultRowHeight="11.25" x14ac:dyDescent="0.2"/>
  <cols>
    <col min="1" max="1" width="3.875" style="8" bestFit="1" customWidth="1"/>
    <col min="2" max="2" width="10.125" style="8" bestFit="1" customWidth="1"/>
    <col min="3" max="3" width="30.25" style="8" bestFit="1" customWidth="1"/>
    <col min="4" max="6" width="8.75" style="8" bestFit="1" customWidth="1"/>
    <col min="7" max="7" width="0.75" style="8" customWidth="1"/>
    <col min="8" max="9" width="8.75" style="8" bestFit="1" customWidth="1"/>
    <col min="10" max="10" width="0.75" style="8" customWidth="1"/>
    <col min="11" max="13" width="8.75" style="8" bestFit="1" customWidth="1"/>
    <col min="14" max="14" width="8" style="8" bestFit="1" customWidth="1"/>
    <col min="15" max="15" width="7.625" style="8" bestFit="1" customWidth="1"/>
    <col min="16" max="16" width="0.75" style="8" customWidth="1"/>
    <col min="17" max="18" width="8.75" style="8" bestFit="1" customWidth="1"/>
    <col min="19" max="19" width="10" style="8" bestFit="1" customWidth="1"/>
    <col min="20" max="20" width="8.125" style="8" bestFit="1" customWidth="1"/>
    <col min="21" max="21" width="7.5" style="8" customWidth="1"/>
    <col min="22" max="22" width="0.75" style="8" customWidth="1"/>
    <col min="23" max="23" width="4.25" style="8" bestFit="1" customWidth="1"/>
    <col min="24" max="24" width="7.375" style="8" bestFit="1" customWidth="1"/>
    <col min="25" max="25" width="7.625" style="8" bestFit="1" customWidth="1"/>
    <col min="26" max="27" width="6.875" style="8" bestFit="1" customWidth="1"/>
    <col min="28" max="16384" width="9" style="8"/>
  </cols>
  <sheetData>
    <row r="2" spans="1:27" x14ac:dyDescent="0.2">
      <c r="A2" s="611" t="s">
        <v>1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</row>
    <row r="3" spans="1:27" x14ac:dyDescent="0.2">
      <c r="A3" s="614" t="s">
        <v>43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</row>
    <row r="4" spans="1:27" x14ac:dyDescent="0.2">
      <c r="A4" s="611" t="s">
        <v>365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</row>
    <row r="5" spans="1:27" x14ac:dyDescent="0.2">
      <c r="A5" s="611" t="s">
        <v>79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</row>
    <row r="6" spans="1:27" x14ac:dyDescent="0.2">
      <c r="A6" s="611" t="s">
        <v>405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</row>
    <row r="10" spans="1:27" x14ac:dyDescent="0.2">
      <c r="A10" s="10"/>
      <c r="B10" s="11"/>
      <c r="C10" s="11"/>
      <c r="D10" s="613" t="s">
        <v>412</v>
      </c>
      <c r="E10" s="613"/>
      <c r="F10" s="613"/>
      <c r="H10" s="613" t="s">
        <v>404</v>
      </c>
      <c r="I10" s="612"/>
      <c r="K10" s="612" t="s">
        <v>348</v>
      </c>
      <c r="L10" s="612"/>
      <c r="M10" s="612"/>
      <c r="N10" s="612"/>
      <c r="O10" s="612"/>
      <c r="Q10" s="612" t="s">
        <v>341</v>
      </c>
      <c r="R10" s="612"/>
      <c r="S10" s="612"/>
      <c r="T10" s="612"/>
      <c r="U10" s="612"/>
      <c r="W10" s="613" t="s">
        <v>342</v>
      </c>
      <c r="X10" s="612"/>
      <c r="Y10" s="612"/>
      <c r="Z10" s="612"/>
      <c r="AA10" s="612"/>
    </row>
    <row r="11" spans="1:27" ht="33.75" x14ac:dyDescent="0.2">
      <c r="A11" s="281" t="s">
        <v>152</v>
      </c>
      <c r="B11" s="281" t="s">
        <v>251</v>
      </c>
      <c r="C11" s="282" t="s">
        <v>7</v>
      </c>
      <c r="D11" s="283" t="s">
        <v>181</v>
      </c>
      <c r="E11" s="281" t="s">
        <v>428</v>
      </c>
      <c r="F11" s="281" t="s">
        <v>427</v>
      </c>
      <c r="H11" s="283" t="s">
        <v>181</v>
      </c>
      <c r="I11" s="281" t="s">
        <v>428</v>
      </c>
      <c r="K11" s="283" t="s">
        <v>181</v>
      </c>
      <c r="L11" s="281" t="s">
        <v>428</v>
      </c>
      <c r="M11" s="281" t="s">
        <v>427</v>
      </c>
      <c r="N11" s="281" t="s">
        <v>429</v>
      </c>
      <c r="O11" s="281" t="s">
        <v>430</v>
      </c>
      <c r="Q11" s="283" t="s">
        <v>181</v>
      </c>
      <c r="R11" s="281" t="s">
        <v>428</v>
      </c>
      <c r="S11" s="281" t="s">
        <v>427</v>
      </c>
      <c r="T11" s="281" t="s">
        <v>429</v>
      </c>
      <c r="U11" s="281" t="s">
        <v>430</v>
      </c>
      <c r="W11" s="283" t="s">
        <v>181</v>
      </c>
      <c r="X11" s="281" t="s">
        <v>428</v>
      </c>
      <c r="Y11" s="281" t="s">
        <v>427</v>
      </c>
      <c r="Z11" s="281" t="s">
        <v>429</v>
      </c>
      <c r="AA11" s="281" t="s">
        <v>430</v>
      </c>
    </row>
    <row r="12" spans="1:27" x14ac:dyDescent="0.2">
      <c r="A12" s="14"/>
      <c r="B12" s="11"/>
      <c r="C12" s="15"/>
      <c r="D12" s="16" t="s">
        <v>357</v>
      </c>
      <c r="E12" s="16" t="s">
        <v>358</v>
      </c>
      <c r="F12" s="16" t="s">
        <v>369</v>
      </c>
      <c r="G12" s="16"/>
      <c r="H12" s="16" t="s">
        <v>370</v>
      </c>
      <c r="I12" s="16" t="s">
        <v>371</v>
      </c>
      <c r="J12" s="16"/>
      <c r="K12" s="16" t="s">
        <v>362</v>
      </c>
      <c r="L12" s="16" t="s">
        <v>363</v>
      </c>
      <c r="M12" s="16" t="s">
        <v>364</v>
      </c>
      <c r="N12" s="16" t="s">
        <v>372</v>
      </c>
      <c r="O12" s="16" t="s">
        <v>373</v>
      </c>
      <c r="P12" s="16"/>
      <c r="Q12" s="16" t="s">
        <v>416</v>
      </c>
      <c r="R12" s="16" t="s">
        <v>417</v>
      </c>
      <c r="S12" s="16" t="s">
        <v>418</v>
      </c>
      <c r="T12" s="16" t="s">
        <v>419</v>
      </c>
      <c r="U12" s="16" t="s">
        <v>420</v>
      </c>
      <c r="V12" s="16"/>
      <c r="W12" s="16" t="s">
        <v>421</v>
      </c>
      <c r="X12" s="16" t="s">
        <v>422</v>
      </c>
      <c r="Y12" s="16" t="s">
        <v>423</v>
      </c>
      <c r="Z12" s="16" t="s">
        <v>425</v>
      </c>
      <c r="AA12" s="16" t="s">
        <v>424</v>
      </c>
    </row>
    <row r="13" spans="1:27" x14ac:dyDescent="0.2">
      <c r="A13" s="10">
        <v>1</v>
      </c>
      <c r="B13" s="10"/>
      <c r="C13" s="17"/>
      <c r="M13" s="22"/>
    </row>
    <row r="14" spans="1:27" x14ac:dyDescent="0.2">
      <c r="A14" s="16">
        <f>+A13+1</f>
        <v>2</v>
      </c>
      <c r="B14" s="23" t="s">
        <v>685</v>
      </c>
      <c r="C14" s="132" t="s">
        <v>19</v>
      </c>
      <c r="D14" s="19">
        <f>+'Exhibit No.__(BDJ-Prof-Prop)'!I17</f>
        <v>11355354.571603522</v>
      </c>
      <c r="E14" s="22">
        <f>+'Exhibit No.__(BDJ-Prof-Prop)'!L17</f>
        <v>1231055.182</v>
      </c>
      <c r="F14" s="22">
        <f>+'Exhibit No.__(BDJ-Prof-Prop)'!N17</f>
        <v>1207350</v>
      </c>
      <c r="H14" s="19">
        <f>+'Exhibit No.__(BDJ-MYRP)'!F21/1000</f>
        <v>10914828.0055</v>
      </c>
      <c r="I14" s="22">
        <f>+'Exhibit No.__(BDJ-MYRP)'!G22/1000</f>
        <v>1187105.3036813403</v>
      </c>
      <c r="K14" s="19">
        <f>+'Exhibit No.__(BDJ-MYRP)'!I21/1000</f>
        <v>10963050.375499999</v>
      </c>
      <c r="L14" s="22">
        <f>+'Exhibit No.__(BDJ-MYRP)'!J22/1000</f>
        <v>1193090.8622809658</v>
      </c>
      <c r="M14" s="22">
        <f>+'Exhibit No.__(BDJ-MYRP)'!K22/1000</f>
        <v>1170245.5949912549</v>
      </c>
      <c r="N14" s="22">
        <f>+'Exhibit No.__(BDJ-MYRP)'!L22/1000</f>
        <v>138879.92215683401</v>
      </c>
      <c r="O14" s="22">
        <f>+'Exhibit No.__(BDJ-MYRP)'!M22/1000</f>
        <v>25960.503289184002</v>
      </c>
      <c r="Q14" s="19">
        <f>+'Exhibit No.__(BDJ-MYRP)'!O21/1000</f>
        <v>11064440.8695</v>
      </c>
      <c r="R14" s="22">
        <f>+'Exhibit No.__(BDJ-MYRP)'!P22/1000</f>
        <v>1204491.64842102</v>
      </c>
      <c r="S14" s="22">
        <f>+'Exhibit No.__(BDJ-MYRP)'!Q22/1000</f>
        <v>1181435.0741398777</v>
      </c>
      <c r="T14" s="22">
        <f>+'Exhibit No.__(BDJ-MYRP)'!R22/1000</f>
        <v>119805.76573494601</v>
      </c>
      <c r="U14" s="22">
        <f>+'Exhibit No.__(BDJ-MYRP)'!S22/1000</f>
        <v>64229.079247447502</v>
      </c>
      <c r="W14" s="19"/>
      <c r="X14" s="22"/>
      <c r="Y14" s="22"/>
      <c r="Z14" s="22"/>
      <c r="AA14" s="22"/>
    </row>
    <row r="15" spans="1:27" x14ac:dyDescent="0.2">
      <c r="A15" s="16">
        <f t="shared" ref="A15:A22" si="0">+A14+1</f>
        <v>3</v>
      </c>
      <c r="B15" s="23" t="s">
        <v>686</v>
      </c>
      <c r="C15" s="284" t="s">
        <v>78</v>
      </c>
      <c r="D15" s="19">
        <f>+'Exhibit No.__(BDJ-Prof-Prop)'!I21</f>
        <v>2658833.1030243803</v>
      </c>
      <c r="E15" s="22">
        <f>+'Exhibit No.__(BDJ-Prof-Prop)'!L21</f>
        <v>271509.06</v>
      </c>
      <c r="F15" s="22">
        <f>+'Exhibit No.__(BDJ-Prof-Prop)'!N21</f>
        <v>266283</v>
      </c>
      <c r="H15" s="19">
        <f>+'Exhibit No.__(BDJ-MYRP)'!F34/1000</f>
        <v>2628117</v>
      </c>
      <c r="I15" s="22">
        <f>+'Exhibit No.__(BDJ-MYRP)'!G35/1000</f>
        <v>268575.67187399999</v>
      </c>
      <c r="K15" s="19">
        <f>+'Exhibit No.__(BDJ-MYRP)'!I34/1000</f>
        <v>2697633</v>
      </c>
      <c r="L15" s="22">
        <f>+'Exhibit No.__(BDJ-MYRP)'!J35/1000</f>
        <v>275357.06554000004</v>
      </c>
      <c r="M15" s="22">
        <f>+'Exhibit No.__(BDJ-MYRP)'!K35/1000</f>
        <v>270066.25062100001</v>
      </c>
      <c r="N15" s="22">
        <f>+'Exhibit No.__(BDJ-MYRP)'!L35/1000</f>
        <v>26647.218774000001</v>
      </c>
      <c r="O15" s="22">
        <f>+'Exhibit No.__(BDJ-MYRP)'!M35/1000</f>
        <v>4982.5281509999995</v>
      </c>
      <c r="Q15" s="19">
        <f>+'Exhibit No.__(BDJ-MYRP)'!O34/1000</f>
        <v>2730372</v>
      </c>
      <c r="R15" s="22">
        <f>+'Exhibit No.__(BDJ-MYRP)'!P35/1000</f>
        <v>278722.85728200001</v>
      </c>
      <c r="S15" s="22">
        <f>+'Exhibit No.__(BDJ-MYRP)'!Q35/1000</f>
        <v>273367.43306399998</v>
      </c>
      <c r="T15" s="22">
        <f>+'Exhibit No.__(BDJ-MYRP)'!R35/1000</f>
        <v>22987.001867999996</v>
      </c>
      <c r="U15" s="22">
        <f>+'Exhibit No.__(BDJ-MYRP)'!S35/1000</f>
        <v>12324.899207999999</v>
      </c>
      <c r="W15" s="19"/>
      <c r="X15" s="22"/>
      <c r="Y15" s="22"/>
      <c r="Z15" s="22"/>
      <c r="AA15" s="22"/>
    </row>
    <row r="16" spans="1:27" x14ac:dyDescent="0.2">
      <c r="A16" s="16">
        <f t="shared" si="0"/>
        <v>4</v>
      </c>
      <c r="B16" s="16" t="s">
        <v>57</v>
      </c>
      <c r="C16" s="284" t="s">
        <v>78</v>
      </c>
      <c r="D16" s="19">
        <f>+'Exhibit No.__(BDJ-Prof-Prop)'!I22</f>
        <v>2856045.8325844579</v>
      </c>
      <c r="E16" s="22">
        <f>+'Exhibit No.__(BDJ-Prof-Prop)'!L22</f>
        <v>266281.60100000002</v>
      </c>
      <c r="F16" s="22">
        <f>+'Exhibit No.__(BDJ-Prof-Prop)'!N22</f>
        <v>261154</v>
      </c>
      <c r="H16" s="19">
        <f>+'Exhibit No.__(BDJ-MYRP)'!F44/1000</f>
        <v>2836809</v>
      </c>
      <c r="I16" s="22">
        <f>+'Exhibit No.__(BDJ-MYRP)'!G51/1000</f>
        <v>265130.7589382588</v>
      </c>
      <c r="K16" s="19">
        <f>+'Exhibit No.__(BDJ-MYRP)'!I44/1000</f>
        <v>2911699.0000000005</v>
      </c>
      <c r="L16" s="22">
        <f>+'Exhibit No.__(BDJ-MYRP)'!J51/1000</f>
        <v>272361.63184349728</v>
      </c>
      <c r="M16" s="22">
        <f>+'Exhibit No.__(BDJ-MYRP)'!K51/1000</f>
        <v>267164.65089066606</v>
      </c>
      <c r="N16" s="22">
        <f>+'Exhibit No.__(BDJ-MYRP)'!L51/1000</f>
        <v>29812.731110690325</v>
      </c>
      <c r="O16" s="22">
        <f>+'Exhibit No.__(BDJ-MYRP)'!M51/1000</f>
        <v>5567.9502072518117</v>
      </c>
      <c r="Q16" s="19">
        <f>+'Exhibit No.__(BDJ-MYRP)'!O44/1000</f>
        <v>2948172</v>
      </c>
      <c r="R16" s="22">
        <f>+'Exhibit No.__(BDJ-MYRP)'!P51/1000</f>
        <v>275813.6163645194</v>
      </c>
      <c r="S16" s="22">
        <f>+'Exhibit No.__(BDJ-MYRP)'!Q51/1000</f>
        <v>270550.85321436683</v>
      </c>
      <c r="T16" s="22">
        <f>+'Exhibit No.__(BDJ-MYRP)'!R51/1000</f>
        <v>25733.436344151589</v>
      </c>
      <c r="U16" s="22">
        <f>+'Exhibit No.__(BDJ-MYRP)'!S51/1000</f>
        <v>13775.590540899639</v>
      </c>
      <c r="W16" s="19"/>
      <c r="X16" s="22"/>
      <c r="Y16" s="22"/>
      <c r="Z16" s="22"/>
      <c r="AA16" s="22"/>
    </row>
    <row r="17" spans="1:27" x14ac:dyDescent="0.2">
      <c r="A17" s="16">
        <f t="shared" si="0"/>
        <v>5</v>
      </c>
      <c r="B17" s="23" t="s">
        <v>58</v>
      </c>
      <c r="C17" s="284" t="s">
        <v>78</v>
      </c>
      <c r="D17" s="19">
        <f>+'Exhibit No.__(BDJ-Prof-Prop)'!I23</f>
        <v>1761911.047761543</v>
      </c>
      <c r="E17" s="22">
        <f>+'Exhibit No.__(BDJ-Prof-Prop)'!L23</f>
        <v>151320.842</v>
      </c>
      <c r="F17" s="22">
        <f>+'Exhibit No.__(BDJ-Prof-Prop)'!N23</f>
        <v>148407.04199999999</v>
      </c>
      <c r="H17" s="19">
        <f>+'Exhibit No.__(BDJ-MYRP)'!F57/1000</f>
        <v>1789712</v>
      </c>
      <c r="I17" s="22">
        <f>+'Exhibit No.__(BDJ-MYRP)'!G64/1000</f>
        <v>152571.68459459842</v>
      </c>
      <c r="K17" s="19">
        <f>+'Exhibit No.__(BDJ-MYRP)'!I57/1000</f>
        <v>1831289</v>
      </c>
      <c r="L17" s="22">
        <f>+'Exhibit No.__(BDJ-MYRP)'!J64/1000</f>
        <v>155302.94462513478</v>
      </c>
      <c r="M17" s="22">
        <f>+'Exhibit No.__(BDJ-MYRP)'!K64/1000</f>
        <v>152301.46195413478</v>
      </c>
      <c r="N17" s="22">
        <f>+'Exhibit No.__(BDJ-MYRP)'!L64/1000</f>
        <v>16439.932475414149</v>
      </c>
      <c r="O17" s="22">
        <f>+'Exhibit No.__(BDJ-MYRP)'!M64/1000</f>
        <v>3085.0648980242986</v>
      </c>
      <c r="Q17" s="19">
        <f>+'Exhibit No.__(BDJ-MYRP)'!O57/1000</f>
        <v>1853862</v>
      </c>
      <c r="R17" s="22">
        <f>+'Exhibit No.__(BDJ-MYRP)'!P64/1000</f>
        <v>156820.22304855089</v>
      </c>
      <c r="S17" s="22">
        <f>+'Exhibit No.__(BDJ-MYRP)'!Q64/1000</f>
        <v>153781.74323055093</v>
      </c>
      <c r="T17" s="22">
        <f>+'Exhibit No.__(BDJ-MYRP)'!R64/1000</f>
        <v>14200.399390511289</v>
      </c>
      <c r="U17" s="22">
        <f>+'Exhibit No.__(BDJ-MYRP)'!S64/1000</f>
        <v>7591.9887886466222</v>
      </c>
      <c r="W17" s="19"/>
      <c r="X17" s="22"/>
      <c r="Y17" s="22"/>
      <c r="Z17" s="22"/>
      <c r="AA17" s="22"/>
    </row>
    <row r="18" spans="1:27" x14ac:dyDescent="0.2">
      <c r="A18" s="16">
        <f t="shared" si="0"/>
        <v>6</v>
      </c>
      <c r="B18" s="16">
        <v>29</v>
      </c>
      <c r="C18" s="284" t="s">
        <v>393</v>
      </c>
      <c r="D18" s="19">
        <f>+'Exhibit No.__(BDJ-Prof-Prop)'!I24</f>
        <v>15293.727999999999</v>
      </c>
      <c r="E18" s="22">
        <f>+'Exhibit No.__(BDJ-Prof-Prop)'!L24</f>
        <v>1332.0119999999999</v>
      </c>
      <c r="F18" s="22">
        <f>+'Exhibit No.__(BDJ-Prof-Prop)'!N24</f>
        <v>1306.3699999999999</v>
      </c>
      <c r="H18" s="19">
        <f>+'Exhibit No.__(BDJ-MYRP)'!F77/1000</f>
        <v>14856.512500000001</v>
      </c>
      <c r="I18" s="22">
        <f>+'Exhibit No.__(BDJ-MYRP)'!G84/1000</f>
        <v>1294.1323807894255</v>
      </c>
      <c r="K18" s="19">
        <f>+'Exhibit No.__(BDJ-MYRP)'!I77/1000</f>
        <v>15100.966499999999</v>
      </c>
      <c r="L18" s="22">
        <f>+'Exhibit No.__(BDJ-MYRP)'!J84/1000</f>
        <v>1314.6643270637867</v>
      </c>
      <c r="M18" s="22">
        <f>+'Exhibit No.__(BDJ-MYRP)'!K84/1000</f>
        <v>1289.3176238074652</v>
      </c>
      <c r="N18" s="22">
        <f>+'Exhibit No.__(BDJ-MYRP)'!L84/1000</f>
        <v>154.67700351749997</v>
      </c>
      <c r="O18" s="22">
        <f>+'Exhibit No.__(BDJ-MYRP)'!M84/1000</f>
        <v>28.937348024999999</v>
      </c>
      <c r="Q18" s="19">
        <f>+'Exhibit No.__(BDJ-MYRP)'!O77/1000</f>
        <v>15233.452499999999</v>
      </c>
      <c r="R18" s="22">
        <f>+'Exhibit No.__(BDJ-MYRP)'!P84/1000</f>
        <v>1326.6701473546232</v>
      </c>
      <c r="S18" s="22">
        <f>+'Exhibit No.__(BDJ-MYRP)'!Q84/1000</f>
        <v>1301.0961887460082</v>
      </c>
      <c r="T18" s="22">
        <f>+'Exhibit No.__(BDJ-MYRP)'!R84/1000</f>
        <v>132.92114802749998</v>
      </c>
      <c r="U18" s="22">
        <f>+'Exhibit No.__(BDJ-MYRP)'!S84/1000</f>
        <v>71.257185300000003</v>
      </c>
      <c r="W18" s="19"/>
      <c r="X18" s="22"/>
      <c r="Y18" s="22"/>
      <c r="Z18" s="22"/>
      <c r="AA18" s="22"/>
    </row>
    <row r="19" spans="1:27" x14ac:dyDescent="0.2">
      <c r="A19" s="16">
        <f t="shared" si="0"/>
        <v>7</v>
      </c>
      <c r="B19" s="16" t="s">
        <v>59</v>
      </c>
      <c r="C19" s="32" t="s">
        <v>111</v>
      </c>
      <c r="D19" s="19">
        <f>+'Exhibit No.__(BDJ-Prof-Prop)'!I28</f>
        <v>1307770.0591754341</v>
      </c>
      <c r="E19" s="22">
        <f>+'Exhibit No.__(BDJ-Prof-Prop)'!L28</f>
        <v>110792.823</v>
      </c>
      <c r="F19" s="22">
        <f>+'Exhibit No.__(BDJ-Prof-Prop)'!N28</f>
        <v>108660.724</v>
      </c>
      <c r="H19" s="19">
        <f>+'Exhibit No.__(BDJ-MYRP)'!F91/1000</f>
        <v>1318295</v>
      </c>
      <c r="I19" s="22">
        <f>+'Exhibit No.__(BDJ-MYRP)'!G98/1000</f>
        <v>111231.07828616758</v>
      </c>
      <c r="K19" s="19">
        <f>+'Exhibit No.__(BDJ-MYRP)'!I91/1000</f>
        <v>1332008</v>
      </c>
      <c r="L19" s="22">
        <f>+'Exhibit No.__(BDJ-MYRP)'!J98/1000</f>
        <v>111930.52055578442</v>
      </c>
      <c r="M19" s="22">
        <f>+'Exhibit No.__(BDJ-MYRP)'!K98/1000</f>
        <v>109785.98767578442</v>
      </c>
      <c r="N19" s="22">
        <f>+'Exhibit No.__(BDJ-MYRP)'!L98/1000</f>
        <v>11608.715159502251</v>
      </c>
      <c r="O19" s="22">
        <f>+'Exhibit No.__(BDJ-MYRP)'!M98/1000</f>
        <v>2163.5754828707868</v>
      </c>
      <c r="Q19" s="19">
        <f>+'Exhibit No.__(BDJ-MYRP)'!O91/1000</f>
        <v>1335448</v>
      </c>
      <c r="R19" s="22">
        <f>+'Exhibit No.__(BDJ-MYRP)'!P98/1000</f>
        <v>111955.00577360329</v>
      </c>
      <c r="S19" s="22">
        <f>+'Exhibit No.__(BDJ-MYRP)'!Q98/1000</f>
        <v>109804.93449360329</v>
      </c>
      <c r="T19" s="22">
        <f>+'Exhibit No.__(BDJ-MYRP)'!R98/1000</f>
        <v>9991.4247451313622</v>
      </c>
      <c r="U19" s="22">
        <f>+'Exhibit No.__(BDJ-MYRP)'!S98/1000</f>
        <v>5361.3517027157859</v>
      </c>
      <c r="W19" s="19"/>
      <c r="X19" s="22"/>
      <c r="Y19" s="22"/>
      <c r="Z19" s="22"/>
      <c r="AA19" s="22"/>
    </row>
    <row r="20" spans="1:27" x14ac:dyDescent="0.2">
      <c r="A20" s="16">
        <f t="shared" si="0"/>
        <v>8</v>
      </c>
      <c r="B20" s="16">
        <v>35</v>
      </c>
      <c r="C20" s="284" t="s">
        <v>394</v>
      </c>
      <c r="D20" s="19">
        <f>+'Exhibit No.__(BDJ-Prof-Prop)'!I29</f>
        <v>4387.6440000000002</v>
      </c>
      <c r="E20" s="22">
        <f>+'Exhibit No.__(BDJ-Prof-Prop)'!L29</f>
        <v>275.553</v>
      </c>
      <c r="F20" s="22">
        <f>+'Exhibit No.__(BDJ-Prof-Prop)'!N29</f>
        <v>275.553</v>
      </c>
      <c r="H20" s="19">
        <f>+'Exhibit No.__(BDJ-MYRP)'!F104/1000</f>
        <v>4565</v>
      </c>
      <c r="I20" s="22">
        <f>+'Exhibit No.__(BDJ-MYRP)'!G111/1000</f>
        <v>284.71735035620856</v>
      </c>
      <c r="K20" s="19">
        <f>+'Exhibit No.__(BDJ-MYRP)'!I104/1000</f>
        <v>4663</v>
      </c>
      <c r="L20" s="22">
        <f>+'Exhibit No.__(BDJ-MYRP)'!J111/1000</f>
        <v>291.0139698738783</v>
      </c>
      <c r="M20" s="22">
        <f>+'Exhibit No.__(BDJ-MYRP)'!K111/1000</f>
        <v>291.0139698738783</v>
      </c>
      <c r="N20" s="22">
        <f>+'Exhibit No.__(BDJ-MYRP)'!L111/1000</f>
        <v>57.162703026542694</v>
      </c>
      <c r="O20" s="22">
        <f>+'Exhibit No.__(BDJ-MYRP)'!M111/1000</f>
        <v>10.669370768047338</v>
      </c>
      <c r="Q20" s="19">
        <f>+'Exhibit No.__(BDJ-MYRP)'!O104/1000</f>
        <v>4695</v>
      </c>
      <c r="R20" s="22">
        <f>+'Exhibit No.__(BDJ-MYRP)'!P111/1000</f>
        <v>293.08723693641753</v>
      </c>
      <c r="S20" s="22">
        <f>+'Exhibit No.__(BDJ-MYRP)'!Q111/1000</f>
        <v>293.08723693641753</v>
      </c>
      <c r="T20" s="22">
        <f>+'Exhibit No.__(BDJ-MYRP)'!R111/1000</f>
        <v>49.327515324809006</v>
      </c>
      <c r="U20" s="22">
        <f>+'Exhibit No.__(BDJ-MYRP)'!S111/1000</f>
        <v>26.45840209797408</v>
      </c>
      <c r="W20" s="19"/>
      <c r="X20" s="22"/>
      <c r="Y20" s="22"/>
      <c r="Z20" s="22"/>
      <c r="AA20" s="22"/>
    </row>
    <row r="21" spans="1:27" x14ac:dyDescent="0.2">
      <c r="A21" s="16">
        <f t="shared" si="0"/>
        <v>9</v>
      </c>
      <c r="B21" s="16">
        <v>43</v>
      </c>
      <c r="C21" s="284" t="s">
        <v>395</v>
      </c>
      <c r="D21" s="19">
        <f>+'Exhibit No.__(BDJ-Prof-Prop)'!I30</f>
        <v>114099.11728442684</v>
      </c>
      <c r="E21" s="22">
        <f>+'Exhibit No.__(BDJ-Prof-Prop)'!L30</f>
        <v>10372.369000000001</v>
      </c>
      <c r="F21" s="22">
        <f>+'Exhibit No.__(BDJ-Prof-Prop)'!N30</f>
        <v>10122.748</v>
      </c>
      <c r="H21" s="19">
        <f>+'Exhibit No.__(BDJ-MYRP)'!F117/1000</f>
        <v>114881</v>
      </c>
      <c r="I21" s="22">
        <f>+'Exhibit No.__(BDJ-MYRP)'!G122/1000</f>
        <v>10479.792856313396</v>
      </c>
      <c r="K21" s="19">
        <f>+'Exhibit No.__(BDJ-MYRP)'!I117/1000</f>
        <v>118190</v>
      </c>
      <c r="L21" s="22">
        <f>+'Exhibit No.__(BDJ-MYRP)'!J122/1000</f>
        <v>10804.279326430144</v>
      </c>
      <c r="M21" s="22">
        <f>+'Exhibit No.__(BDJ-MYRP)'!K122/1000</f>
        <v>10549.343496430141</v>
      </c>
      <c r="N21" s="22">
        <f>+'Exhibit No.__(BDJ-MYRP)'!L122/1000</f>
        <v>929.9308799603665</v>
      </c>
      <c r="O21" s="22">
        <f>+'Exhibit No.__(BDJ-MYRP)'!M122/1000</f>
        <v>173.94098811756868</v>
      </c>
      <c r="Q21" s="19">
        <f>+'Exhibit No.__(BDJ-MYRP)'!O117/1000</f>
        <v>119782</v>
      </c>
      <c r="R21" s="22">
        <f>+'Exhibit No.__(BDJ-MYRP)'!P122/1000</f>
        <v>10945.443856303611</v>
      </c>
      <c r="S21" s="22">
        <f>+'Exhibit No.__(BDJ-MYRP)'!Q122/1000</f>
        <v>10687.074082303612</v>
      </c>
      <c r="T21" s="22">
        <f>+'Exhibit No.__(BDJ-MYRP)'!R122/1000</f>
        <v>802.98308960459542</v>
      </c>
      <c r="U21" s="22">
        <f>+'Exhibit No.__(BDJ-MYRP)'!S122/1000</f>
        <v>430.56805915368534</v>
      </c>
      <c r="W21" s="19"/>
      <c r="X21" s="22"/>
      <c r="Y21" s="22"/>
      <c r="Z21" s="22"/>
      <c r="AA21" s="22"/>
    </row>
    <row r="22" spans="1:27" x14ac:dyDescent="0.2">
      <c r="A22" s="16">
        <f t="shared" si="0"/>
        <v>10</v>
      </c>
      <c r="B22" s="16">
        <v>46</v>
      </c>
      <c r="C22" s="32" t="s">
        <v>51</v>
      </c>
      <c r="D22" s="19">
        <f>+'Exhibit No.__(BDJ-Prof-Prop)'!I34</f>
        <v>100810.05100000001</v>
      </c>
      <c r="E22" s="22">
        <f>+'Exhibit No.__(BDJ-Prof-Prop)'!L34</f>
        <v>6647.8249999999998</v>
      </c>
      <c r="F22" s="22">
        <f>+'Exhibit No.__(BDJ-Prof-Prop)'!N34</f>
        <v>6449.1220000000003</v>
      </c>
      <c r="H22" s="19">
        <f>+'Exhibit No.__(BDJ-MYRP)'!F128/1000</f>
        <v>89884.025499999989</v>
      </c>
      <c r="I22" s="22">
        <f>+'Exhibit No.__(BDJ-MYRP)'!G131/1000</f>
        <v>5848.8042468739986</v>
      </c>
      <c r="K22" s="19">
        <f>+'Exhibit No.__(BDJ-MYRP)'!I128/1000</f>
        <v>89530.525500000018</v>
      </c>
      <c r="L22" s="22">
        <f>+'Exhibit No.__(BDJ-MYRP)'!J131/1000</f>
        <v>5823.6978688740001</v>
      </c>
      <c r="M22" s="22">
        <f>+'Exhibit No.__(BDJ-MYRP)'!K131/1000</f>
        <v>5651.2620767610006</v>
      </c>
      <c r="N22" s="22">
        <f>+'Exhibit No.__(BDJ-MYRP)'!L131/1000</f>
        <v>424.17633481350003</v>
      </c>
      <c r="O22" s="22">
        <f>+'Exhibit No.__(BDJ-MYRP)'!M131/1000</f>
        <v>78.168471003000008</v>
      </c>
      <c r="Q22" s="19">
        <f>+'Exhibit No.__(BDJ-MYRP)'!O128/1000</f>
        <v>89210.525500000018</v>
      </c>
      <c r="R22" s="22">
        <f>+'Exhibit No.__(BDJ-MYRP)'!P131/1000</f>
        <v>5801.1264288740012</v>
      </c>
      <c r="S22" s="22">
        <f>+'Exhibit No.__(BDJ-MYRP)'!Q131/1000</f>
        <v>5629.3069567610009</v>
      </c>
      <c r="T22" s="22">
        <f>+'Exhibit No.__(BDJ-MYRP)'!R131/1000</f>
        <v>367.74090784400011</v>
      </c>
      <c r="U22" s="22">
        <f>+'Exhibit No.__(BDJ-MYRP)'!S131/1000</f>
        <v>198.20734145650002</v>
      </c>
      <c r="W22" s="19"/>
      <c r="X22" s="22"/>
      <c r="Y22" s="22"/>
      <c r="Z22" s="22"/>
      <c r="AA22" s="22"/>
    </row>
    <row r="23" spans="1:27" x14ac:dyDescent="0.2">
      <c r="A23" s="16">
        <f t="shared" ref="A23:A36" si="1">+A22+1</f>
        <v>11</v>
      </c>
      <c r="B23" s="16">
        <v>49</v>
      </c>
      <c r="C23" s="284" t="s">
        <v>52</v>
      </c>
      <c r="D23" s="19">
        <f>+'Exhibit No.__(BDJ-Prof-Prop)'!I35</f>
        <v>513293.73700000002</v>
      </c>
      <c r="E23" s="22">
        <f>+'Exhibit No.__(BDJ-Prof-Prop)'!L35</f>
        <v>34295.991999999998</v>
      </c>
      <c r="F23" s="22">
        <f>+'Exhibit No.__(BDJ-Prof-Prop)'!N35</f>
        <v>33312.345000000001</v>
      </c>
      <c r="H23" s="19">
        <f>+'Exhibit No.__(BDJ-MYRP)'!F136/1000</f>
        <v>504163</v>
      </c>
      <c r="I23" s="22">
        <f>+'Exhibit No.__(BDJ-MYRP)'!G139/1000</f>
        <v>33492.823715392282</v>
      </c>
      <c r="K23" s="19">
        <f>+'Exhibit No.__(BDJ-MYRP)'!I136/1000</f>
        <v>504715</v>
      </c>
      <c r="L23" s="22">
        <f>+'Exhibit No.__(BDJ-MYRP)'!J139/1000</f>
        <v>33455.047725176562</v>
      </c>
      <c r="M23" s="22">
        <f>+'Exhibit No.__(BDJ-MYRP)'!K139/1000</f>
        <v>32482.966635176566</v>
      </c>
      <c r="N23" s="22">
        <f>+'Exhibit No.__(BDJ-MYRP)'!L139/1000</f>
        <v>2392.8673582166648</v>
      </c>
      <c r="O23" s="22">
        <f>+'Exhibit No.__(BDJ-MYRP)'!M139/1000</f>
        <v>449.36716799365041</v>
      </c>
      <c r="Q23" s="19">
        <f>+'Exhibit No.__(BDJ-MYRP)'!O136/1000</f>
        <v>499683</v>
      </c>
      <c r="R23" s="22">
        <f>+'Exhibit No.__(BDJ-MYRP)'!P139/1000</f>
        <v>33140.323570939225</v>
      </c>
      <c r="S23" s="22">
        <f>+'Exhibit No.__(BDJ-MYRP)'!Q139/1000</f>
        <v>32177.934112939227</v>
      </c>
      <c r="T23" s="22">
        <f>+'Exhibit No.__(BDJ-MYRP)'!R139/1000</f>
        <v>2056.406956291703</v>
      </c>
      <c r="U23" s="22">
        <f>+'Exhibit No.__(BDJ-MYRP)'!S139/1000</f>
        <v>1098.7756943483989</v>
      </c>
      <c r="W23" s="19"/>
      <c r="X23" s="22"/>
      <c r="Y23" s="22"/>
      <c r="Z23" s="22"/>
      <c r="AA23" s="22"/>
    </row>
    <row r="24" spans="1:27" x14ac:dyDescent="0.2">
      <c r="A24" s="16">
        <f t="shared" si="1"/>
        <v>12</v>
      </c>
      <c r="B24" s="16" t="s">
        <v>389</v>
      </c>
      <c r="C24" s="284" t="s">
        <v>396</v>
      </c>
      <c r="D24" s="19">
        <f>+'Exhibit No.__(BDJ-Prof-Prop)'!I43</f>
        <v>69892.887000000002</v>
      </c>
      <c r="E24" s="22">
        <f>+'Exhibit No.__(BDJ-Prof-Prop)'!L43</f>
        <v>17783.762999999999</v>
      </c>
      <c r="F24" s="22">
        <f>+'Exhibit No.__(BDJ-Prof-Prop)'!N43</f>
        <v>17441.391006648999</v>
      </c>
      <c r="H24" s="19">
        <f>+'Exhibit No.__(BDJ-MYRP)'!F143/1000</f>
        <v>64560</v>
      </c>
      <c r="I24" s="22">
        <f>+'Exhibit No.__(BDJ-MYRP)'!G144/1000</f>
        <v>16426.846687274483</v>
      </c>
      <c r="K24" s="19">
        <f>+'Exhibit No.__(BDJ-MYRP)'!I143/1000</f>
        <v>62703</v>
      </c>
      <c r="L24" s="22">
        <f>+'Exhibit No.__(BDJ-MYRP)'!J144/1000</f>
        <v>15954.345846223234</v>
      </c>
      <c r="M24" s="22">
        <f>+'Exhibit No.__(BDJ-MYRP)'!K144/1000</f>
        <v>15647.193687819938</v>
      </c>
      <c r="N24" s="22">
        <f>+'Exhibit No.__(BDJ-MYRP)'!L144/1000</f>
        <v>2792.4781050000001</v>
      </c>
      <c r="O24" s="22">
        <f>+'Exhibit No.__(BDJ-MYRP)'!M144/1000</f>
        <v>522.002475</v>
      </c>
      <c r="Q24" s="19">
        <f>+'Exhibit No.__(BDJ-MYRP)'!O143/1000</f>
        <v>61382</v>
      </c>
      <c r="R24" s="22">
        <f>+'Exhibit No.__(BDJ-MYRP)'!P144/1000</f>
        <v>15618.226508027918</v>
      </c>
      <c r="S24" s="22">
        <f>+'Exhibit No.__(BDJ-MYRP)'!Q144/1000</f>
        <v>15317.545299997821</v>
      </c>
      <c r="T24" s="22">
        <f>+'Exhibit No.__(BDJ-MYRP)'!R144/1000</f>
        <v>2408.9365900000003</v>
      </c>
      <c r="U24" s="22">
        <f>+'Exhibit No.__(BDJ-MYRP)'!S144/1000</f>
        <v>1291.4772800000001</v>
      </c>
      <c r="W24" s="19"/>
      <c r="X24" s="22"/>
      <c r="Y24" s="22"/>
      <c r="Z24" s="22"/>
      <c r="AA24" s="22"/>
    </row>
    <row r="25" spans="1:27" x14ac:dyDescent="0.2">
      <c r="A25" s="16">
        <f t="shared" si="1"/>
        <v>13</v>
      </c>
      <c r="B25" s="16" t="s">
        <v>299</v>
      </c>
      <c r="C25" s="284" t="s">
        <v>397</v>
      </c>
      <c r="D25" s="19">
        <f>+'Exhibit No.__(BDJ-Prof-Prop)'!I39</f>
        <v>1945214.1669999999</v>
      </c>
      <c r="E25" s="22">
        <f>+'Exhibit No.__(BDJ-Prof-Prop)'!L39</f>
        <v>9528.5470000000005</v>
      </c>
      <c r="F25" s="22">
        <f>+'Exhibit No.__(BDJ-Prof-Prop)'!N39</f>
        <v>9411.8940000000002</v>
      </c>
      <c r="H25" s="19">
        <f>+'Exhibit No.__(BDJ-MYRP)'!F149/1000</f>
        <v>1900721</v>
      </c>
      <c r="I25" s="22">
        <f>+'Exhibit No.__(BDJ-MYRP)'!G151/1000</f>
        <v>9341.0110000000004</v>
      </c>
      <c r="K25" s="19">
        <f>+'Exhibit No.__(BDJ-MYRP)'!I149/1000</f>
        <v>1895530</v>
      </c>
      <c r="L25" s="22">
        <f>+'Exhibit No.__(BDJ-MYRP)'!J151/1000</f>
        <v>9340.98</v>
      </c>
      <c r="M25" s="22">
        <f>+'Exhibit No.__(BDJ-MYRP)'!K151/1000</f>
        <v>9224.3709999999992</v>
      </c>
      <c r="N25" s="22">
        <f>+'Exhibit No.__(BDJ-MYRP)'!L151/1000</f>
        <v>147.12</v>
      </c>
      <c r="O25" s="22">
        <f>+'Exhibit No.__(BDJ-MYRP)'!M151/1000</f>
        <v>27.6</v>
      </c>
      <c r="Q25" s="19">
        <f>+'Exhibit No.__(BDJ-MYRP)'!O149/1000</f>
        <v>1895104</v>
      </c>
      <c r="R25" s="22">
        <f>+'Exhibit No.__(BDJ-MYRP)'!P151/1000</f>
        <v>9340.98</v>
      </c>
      <c r="S25" s="22">
        <f>+'Exhibit No.__(BDJ-MYRP)'!Q151/1000</f>
        <v>9224.3709999999992</v>
      </c>
      <c r="T25" s="22">
        <f>+'Exhibit No.__(BDJ-MYRP)'!R151/1000</f>
        <v>126.96</v>
      </c>
      <c r="U25" s="22">
        <f>+'Exhibit No.__(BDJ-MYRP)'!S151/1000</f>
        <v>67.92</v>
      </c>
      <c r="W25" s="19"/>
      <c r="X25" s="22"/>
      <c r="Y25" s="22"/>
      <c r="Z25" s="22"/>
      <c r="AA25" s="22"/>
    </row>
    <row r="26" spans="1:27" x14ac:dyDescent="0.2">
      <c r="A26" s="16">
        <f t="shared" si="1"/>
        <v>14</v>
      </c>
      <c r="B26" s="16" t="s">
        <v>298</v>
      </c>
      <c r="C26" s="284" t="s">
        <v>305</v>
      </c>
      <c r="D26" s="19">
        <f>+'Exhibit No.__(BDJ-Prof-Prop)'!I40</f>
        <v>278070.311162</v>
      </c>
      <c r="E26" s="22">
        <f>+'Exhibit No.__(BDJ-Prof-Prop)'!L40</f>
        <v>3788.1259300000002</v>
      </c>
      <c r="F26" s="22">
        <f>+'Exhibit No.__(BDJ-Prof-Prop)'!N40</f>
        <v>3014.6379900000002</v>
      </c>
      <c r="H26" s="19">
        <f>+'Exhibit No.__(BDJ-MYRP)'!F156/1000</f>
        <v>289426</v>
      </c>
      <c r="I26" s="22">
        <f>+'Exhibit No.__(BDJ-MYRP)'!G158/1000</f>
        <v>4500.3731384850562</v>
      </c>
      <c r="K26" s="19">
        <f>+'Exhibit No.__(BDJ-MYRP)'!I156/1000</f>
        <v>289426</v>
      </c>
      <c r="L26" s="22">
        <f>+'Exhibit No.__(BDJ-MYRP)'!J158/1000</f>
        <v>4500.3731384850562</v>
      </c>
      <c r="M26" s="22">
        <f>+'Exhibit No.__(BDJ-MYRP)'!K158/1000</f>
        <v>3569.3370262478393</v>
      </c>
      <c r="N26" s="22">
        <f>+'Exhibit No.__(BDJ-MYRP)'!L158/1000</f>
        <v>660.75955799999997</v>
      </c>
      <c r="O26" s="22">
        <f>+'Exhibit No.__(BDJ-MYRP)'!M158/1000</f>
        <v>123.584902</v>
      </c>
      <c r="Q26" s="19">
        <f>+'Exhibit No.__(BDJ-MYRP)'!O156/1000</f>
        <v>289426</v>
      </c>
      <c r="R26" s="22">
        <f>+'Exhibit No.__(BDJ-MYRP)'!P158/1000</f>
        <v>4485.6760023360812</v>
      </c>
      <c r="S26" s="22">
        <f>+'Exhibit No.__(BDJ-MYRP)'!Q158/1000</f>
        <v>3558.1232504366458</v>
      </c>
      <c r="T26" s="22">
        <f>+'Exhibit No.__(BDJ-MYRP)'!R158/1000</f>
        <v>569.87979399999995</v>
      </c>
      <c r="U26" s="22">
        <f>+'Exhibit No.__(BDJ-MYRP)'!S158/1000</f>
        <v>305.63385600000004</v>
      </c>
      <c r="W26" s="19"/>
      <c r="X26" s="22"/>
      <c r="Y26" s="22"/>
      <c r="Z26" s="22"/>
      <c r="AA26" s="22"/>
    </row>
    <row r="27" spans="1:27" x14ac:dyDescent="0.2">
      <c r="A27" s="16">
        <f t="shared" si="1"/>
        <v>15</v>
      </c>
      <c r="B27" s="16">
        <v>5</v>
      </c>
      <c r="C27" s="284" t="s">
        <v>179</v>
      </c>
      <c r="D27" s="19">
        <f>+'Exhibit No.__(BDJ-Prof-Prop)'!I47</f>
        <v>7372.3372879022108</v>
      </c>
      <c r="E27" s="22">
        <f>+'Exhibit No.__(BDJ-Prof-Prop)'!L47</f>
        <v>345.54538000000002</v>
      </c>
      <c r="F27" s="22">
        <f>+'Exhibit No.__(BDJ-Prof-Prop)'!N47</f>
        <v>573.82263999999998</v>
      </c>
      <c r="H27" s="19">
        <f>+'Exhibit No.__(BDJ-MYRP)'!F162/1000</f>
        <v>7520</v>
      </c>
      <c r="I27" s="22">
        <f>+'Exhibit No.__(BDJ-MYRP)'!G166/1000</f>
        <v>343.45670253919769</v>
      </c>
      <c r="K27" s="19">
        <f>+'Exhibit No.__(BDJ-MYRP)'!I162/1000</f>
        <v>7521</v>
      </c>
      <c r="L27" s="22">
        <f>+'Exhibit No.__(BDJ-MYRP)'!J166/1000</f>
        <v>343.26370234227704</v>
      </c>
      <c r="M27" s="22">
        <f>+'Exhibit No.__(BDJ-MYRP)'!K166/1000</f>
        <v>571.54096234227688</v>
      </c>
      <c r="N27" s="22">
        <f>+'Exhibit No.__(BDJ-MYRP)'!L166/1000</f>
        <v>61.217996735197431</v>
      </c>
      <c r="O27" s="22">
        <f>+'Exhibit No.__(BDJ-MYRP)'!M166/1000</f>
        <v>11.505766289718661</v>
      </c>
      <c r="Q27" s="19">
        <f>+'Exhibit No.__(BDJ-MYRP)'!O162/1000</f>
        <v>7552</v>
      </c>
      <c r="R27" s="22">
        <f>+'Exhibit No.__(BDJ-MYRP)'!P166/1000</f>
        <v>344.3061619176637</v>
      </c>
      <c r="S27" s="22">
        <f>+'Exhibit No.__(BDJ-MYRP)'!Q166/1000</f>
        <v>572.5834219176636</v>
      </c>
      <c r="T27" s="22">
        <f>+'Exhibit No.__(BDJ-MYRP)'!R166/1000</f>
        <v>52.79286615398135</v>
      </c>
      <c r="U27" s="22">
        <f>+'Exhibit No.__(BDJ-MYRP)'!S166/1000</f>
        <v>28.242612896557997</v>
      </c>
      <c r="W27" s="19"/>
      <c r="X27" s="22"/>
      <c r="Y27" s="22"/>
      <c r="Z27" s="22"/>
      <c r="AA27" s="22"/>
    </row>
    <row r="28" spans="1:27" x14ac:dyDescent="0.2">
      <c r="A28" s="16">
        <f t="shared" si="1"/>
        <v>16</v>
      </c>
      <c r="D28" s="19"/>
      <c r="E28" s="22"/>
      <c r="F28" s="22"/>
      <c r="H28" s="19"/>
      <c r="I28" s="22"/>
      <c r="K28" s="19"/>
      <c r="L28" s="22"/>
      <c r="M28" s="22"/>
      <c r="N28" s="22"/>
      <c r="O28" s="22"/>
      <c r="Q28" s="19"/>
    </row>
    <row r="29" spans="1:27" ht="12" thickBot="1" x14ac:dyDescent="0.25">
      <c r="A29" s="16">
        <f t="shared" si="1"/>
        <v>17</v>
      </c>
      <c r="C29" s="32" t="s">
        <v>27</v>
      </c>
      <c r="D29" s="285">
        <f>SUM(D14:D28)</f>
        <v>22988348.593883667</v>
      </c>
      <c r="E29" s="286">
        <f>SUM(E14:E28)</f>
        <v>2115329.2403100003</v>
      </c>
      <c r="F29" s="286">
        <f>SUM(F14:F28)</f>
        <v>2073762.6496366488</v>
      </c>
      <c r="H29" s="285">
        <f>SUM(H14:H28)</f>
        <v>22478337.543499999</v>
      </c>
      <c r="I29" s="286">
        <f t="shared" ref="I29" si="2">SUM(I14:I28)</f>
        <v>2066626.4554523889</v>
      </c>
      <c r="K29" s="285">
        <f>SUM(K14:K28)</f>
        <v>22723058.8675</v>
      </c>
      <c r="L29" s="286">
        <f t="shared" ref="L29:M29" si="3">SUM(L14:L28)</f>
        <v>2089870.6907498513</v>
      </c>
      <c r="M29" s="286">
        <f t="shared" si="3"/>
        <v>2048840.2926112991</v>
      </c>
      <c r="N29" s="286">
        <f t="shared" ref="N29:O29" si="4">SUM(N14:N28)</f>
        <v>231008.90961571052</v>
      </c>
      <c r="O29" s="286">
        <f t="shared" si="4"/>
        <v>43185.398517527879</v>
      </c>
      <c r="Q29" s="285">
        <f>SUM(Q14:Q28)</f>
        <v>22914362.8475</v>
      </c>
      <c r="R29" s="286">
        <f t="shared" ref="R29:U29" si="5">SUM(R14:R28)</f>
        <v>2109099.1908023832</v>
      </c>
      <c r="S29" s="286">
        <f t="shared" si="5"/>
        <v>2067701.1596924372</v>
      </c>
      <c r="T29" s="286">
        <f t="shared" si="5"/>
        <v>199285.97694998686</v>
      </c>
      <c r="U29" s="286">
        <f t="shared" si="5"/>
        <v>106801.44991896264</v>
      </c>
      <c r="W29" s="285"/>
      <c r="X29" s="286"/>
      <c r="Y29" s="286"/>
      <c r="Z29" s="286"/>
      <c r="AA29" s="286"/>
    </row>
    <row r="30" spans="1:27" ht="12" thickTop="1" x14ac:dyDescent="0.2">
      <c r="A30" s="16">
        <f t="shared" si="1"/>
        <v>18</v>
      </c>
      <c r="C30" s="32" t="s">
        <v>248</v>
      </c>
      <c r="D30" s="19">
        <f>+'Exhibit No.__(BDJ-Rate Spread)'!D32-D29</f>
        <v>0</v>
      </c>
      <c r="F30" s="22">
        <f>+F29-E29</f>
        <v>-41566.590673351428</v>
      </c>
      <c r="H30" s="19">
        <f>+'Exhibit No.__(BDJ-MYRP)'!F169/1000-H29</f>
        <v>0</v>
      </c>
      <c r="I30" s="22">
        <f>+'Exhibit No.__(BDJ-MYRP)'!G169/1000</f>
        <v>2066626.4554523891</v>
      </c>
      <c r="K30" s="19">
        <f>+'Exhibit No.__(BDJ-MYRP)'!I169/1000-K29</f>
        <v>0</v>
      </c>
      <c r="L30" s="22">
        <f>+'Exhibit No.__(BDJ-MYRP)'!J169/1000</f>
        <v>2089870.6907498513</v>
      </c>
      <c r="M30" s="22">
        <f>+'Exhibit No.__(BDJ-MYRP)'!K169/1000</f>
        <v>2048840.2926112991</v>
      </c>
      <c r="N30" s="22">
        <f>+'Exhibit No.__(BDJ-MYRP)'!L169/1000</f>
        <v>231008.90961571049</v>
      </c>
      <c r="O30" s="22">
        <f>+'Exhibit No.__(BDJ-MYRP)'!M169/1000</f>
        <v>43185.398517527879</v>
      </c>
      <c r="Q30" s="19">
        <f>+'Exhibit No.__(BDJ-MYRP)'!O169/1000-Q29</f>
        <v>0</v>
      </c>
      <c r="R30" s="22">
        <f>+'Exhibit No.__(BDJ-MYRP)'!P169/1000</f>
        <v>2109099.1908023832</v>
      </c>
      <c r="S30" s="22">
        <f>+'Exhibit No.__(BDJ-MYRP)'!Q169/1000</f>
        <v>2067701.1596924372</v>
      </c>
      <c r="T30" s="22">
        <f>+'Exhibit No.__(BDJ-MYRP)'!R169/1000</f>
        <v>199285.97694998686</v>
      </c>
      <c r="U30" s="22">
        <f>+'Exhibit No.__(BDJ-MYRP)'!S169/1000</f>
        <v>106801.44991896265</v>
      </c>
      <c r="W30" s="19"/>
      <c r="X30" s="22"/>
      <c r="Y30" s="22"/>
      <c r="Z30" s="22"/>
      <c r="AA30" s="22"/>
    </row>
    <row r="31" spans="1:27" x14ac:dyDescent="0.2">
      <c r="A31" s="16">
        <f t="shared" si="1"/>
        <v>19</v>
      </c>
      <c r="M31" s="22">
        <f>+M30-L30</f>
        <v>-41030.398138552206</v>
      </c>
      <c r="S31" s="22">
        <f>+S30-R30</f>
        <v>-41398.031109946081</v>
      </c>
      <c r="T31" s="22"/>
      <c r="U31" s="22"/>
      <c r="Y31" s="22"/>
    </row>
    <row r="32" spans="1:27" x14ac:dyDescent="0.2">
      <c r="A32" s="16">
        <f t="shared" si="1"/>
        <v>20</v>
      </c>
      <c r="C32" s="287" t="s">
        <v>450</v>
      </c>
      <c r="M32" s="585">
        <v>-41561.778390603453</v>
      </c>
      <c r="N32" s="586">
        <v>183006.12694827575</v>
      </c>
      <c r="O32" s="586">
        <v>91709.758776474046</v>
      </c>
      <c r="S32" s="587">
        <v>-41561.778390603453</v>
      </c>
      <c r="T32" s="586">
        <v>108585.7122108248</v>
      </c>
      <c r="U32" s="586">
        <v>197689.2115568468</v>
      </c>
      <c r="Y32" s="22"/>
      <c r="Z32" s="22"/>
      <c r="AA32" s="22"/>
    </row>
    <row r="33" spans="1:27" x14ac:dyDescent="0.2">
      <c r="A33" s="16">
        <f t="shared" si="1"/>
        <v>21</v>
      </c>
      <c r="C33" s="289" t="s">
        <v>431</v>
      </c>
      <c r="M33" s="288">
        <f>+M31-M32</f>
        <v>531.38025205124723</v>
      </c>
      <c r="N33" s="288">
        <f>+N30-N32</f>
        <v>48002.782667434745</v>
      </c>
      <c r="O33" s="288">
        <f>+O30-O32</f>
        <v>-48524.360258946166</v>
      </c>
      <c r="P33" s="289"/>
      <c r="Q33" s="289"/>
      <c r="R33" s="289"/>
      <c r="S33" s="288">
        <f>+S31-S32</f>
        <v>163.74728065737145</v>
      </c>
      <c r="T33" s="288">
        <f>+T30-T32</f>
        <v>90700.264739162056</v>
      </c>
      <c r="U33" s="288">
        <f>+U30-U32</f>
        <v>-90887.761637884149</v>
      </c>
      <c r="Y33" s="22"/>
      <c r="Z33" s="22"/>
      <c r="AA33" s="22"/>
    </row>
    <row r="34" spans="1:27" x14ac:dyDescent="0.2">
      <c r="A34" s="16">
        <f t="shared" si="1"/>
        <v>22</v>
      </c>
      <c r="C34" s="8" t="s">
        <v>432</v>
      </c>
      <c r="O34" s="22">
        <f>SUM(M29:O29)-L29</f>
        <v>233163.90999468626</v>
      </c>
      <c r="S34" s="22"/>
      <c r="T34" s="22"/>
      <c r="U34" s="22">
        <f>SUM(S29:U29)-R29</f>
        <v>264689.39575900324</v>
      </c>
      <c r="AA34" s="22"/>
    </row>
    <row r="35" spans="1:27" x14ac:dyDescent="0.2">
      <c r="A35" s="16">
        <f t="shared" si="1"/>
        <v>23</v>
      </c>
      <c r="C35" s="287" t="s">
        <v>450</v>
      </c>
      <c r="O35" s="580">
        <f>SUM(M32:O32)</f>
        <v>233154.10733414633</v>
      </c>
      <c r="S35" s="22"/>
      <c r="T35" s="22"/>
      <c r="U35" s="580">
        <f>SUM(S32:U32)</f>
        <v>264713.14537706814</v>
      </c>
      <c r="AA35" s="22"/>
    </row>
    <row r="36" spans="1:27" x14ac:dyDescent="0.2">
      <c r="A36" s="16">
        <f t="shared" si="1"/>
        <v>24</v>
      </c>
      <c r="C36" s="289" t="s">
        <v>433</v>
      </c>
      <c r="O36" s="288">
        <f>+O35-O34</f>
        <v>-9.8026605399209075</v>
      </c>
      <c r="P36" s="289"/>
      <c r="Q36" s="289"/>
      <c r="R36" s="289"/>
      <c r="S36" s="288"/>
      <c r="T36" s="288"/>
      <c r="U36" s="288">
        <f>+U35-U34</f>
        <v>23.749618064903188</v>
      </c>
      <c r="AA36" s="22"/>
    </row>
    <row r="38" spans="1:27" x14ac:dyDescent="0.2">
      <c r="V38" s="22"/>
      <c r="W38" s="22"/>
      <c r="X38" s="22"/>
      <c r="Y38" s="22"/>
      <c r="Z38" s="22"/>
      <c r="AA38" s="22"/>
    </row>
    <row r="39" spans="1:27" x14ac:dyDescent="0.2">
      <c r="C39" s="434"/>
      <c r="AA39" s="22"/>
    </row>
    <row r="40" spans="1:27" ht="12" thickBot="1" x14ac:dyDescent="0.25"/>
    <row r="41" spans="1:27" ht="15.75" x14ac:dyDescent="0.25">
      <c r="C41" s="539" t="s">
        <v>661</v>
      </c>
      <c r="D41" s="581">
        <v>22988348.593883667</v>
      </c>
      <c r="E41" s="582">
        <v>2115329.2403100003</v>
      </c>
      <c r="F41" s="582">
        <v>2073762.6496366488</v>
      </c>
      <c r="G41" s="583"/>
      <c r="H41" s="581">
        <v>22478337.543499999</v>
      </c>
      <c r="I41" s="582">
        <v>2066626.4554523889</v>
      </c>
      <c r="J41" s="583"/>
      <c r="K41" s="581">
        <v>22723058.8675</v>
      </c>
      <c r="L41" s="582">
        <v>2089870.6907498513</v>
      </c>
      <c r="M41" s="582">
        <v>2048840.2926112991</v>
      </c>
      <c r="N41" s="582">
        <v>183006.12694827575</v>
      </c>
      <c r="O41" s="582">
        <v>91709.758776474046</v>
      </c>
      <c r="P41" s="583"/>
      <c r="Q41" s="581">
        <v>22914362.8475</v>
      </c>
      <c r="R41" s="582">
        <v>2109099.1908023832</v>
      </c>
      <c r="S41" s="582">
        <v>2067701.1596924372</v>
      </c>
      <c r="T41" s="582">
        <v>108585.7122108248</v>
      </c>
      <c r="U41" s="584">
        <v>197689.2115568468</v>
      </c>
    </row>
    <row r="42" spans="1:27" ht="12" thickBot="1" x14ac:dyDescent="0.25">
      <c r="C42" s="533" t="s">
        <v>29</v>
      </c>
      <c r="D42" s="535">
        <f>D29-D41</f>
        <v>0</v>
      </c>
      <c r="E42" s="535">
        <f t="shared" ref="E42:F42" si="6">E29-E41</f>
        <v>0</v>
      </c>
      <c r="F42" s="535">
        <f t="shared" si="6"/>
        <v>0</v>
      </c>
      <c r="G42" s="535"/>
      <c r="H42" s="535">
        <f t="shared" ref="H42:I42" si="7">H29-H41</f>
        <v>0</v>
      </c>
      <c r="I42" s="535">
        <f t="shared" si="7"/>
        <v>0</v>
      </c>
      <c r="J42" s="535"/>
      <c r="K42" s="535">
        <f t="shared" ref="K42:O42" si="8">K29-K41</f>
        <v>0</v>
      </c>
      <c r="L42" s="535">
        <f t="shared" si="8"/>
        <v>0</v>
      </c>
      <c r="M42" s="535">
        <f t="shared" si="8"/>
        <v>0</v>
      </c>
      <c r="N42" s="535">
        <f t="shared" si="8"/>
        <v>48002.782667434774</v>
      </c>
      <c r="O42" s="535">
        <f t="shared" si="8"/>
        <v>-48524.360258946166</v>
      </c>
      <c r="P42" s="535"/>
      <c r="Q42" s="535">
        <f t="shared" ref="Q42" si="9">Q41-Q29</f>
        <v>0</v>
      </c>
      <c r="R42" s="535">
        <f t="shared" ref="R42" si="10">R41-R29</f>
        <v>0</v>
      </c>
      <c r="S42" s="535">
        <f t="shared" ref="S42" si="11">S41-S29</f>
        <v>0</v>
      </c>
      <c r="T42" s="535">
        <f t="shared" ref="T42" si="12">T41-T29</f>
        <v>-90700.264739162056</v>
      </c>
      <c r="U42" s="536">
        <f t="shared" ref="U42" si="13">U41-U29</f>
        <v>90887.761637884163</v>
      </c>
    </row>
  </sheetData>
  <mergeCells count="10">
    <mergeCell ref="Q10:U10"/>
    <mergeCell ref="W10:AA10"/>
    <mergeCell ref="K10:O10"/>
    <mergeCell ref="A2:AA2"/>
    <mergeCell ref="A3:AA3"/>
    <mergeCell ref="A4:AA4"/>
    <mergeCell ref="A5:AA5"/>
    <mergeCell ref="A6:AA6"/>
    <mergeCell ref="H10:I10"/>
    <mergeCell ref="D10:F10"/>
  </mergeCells>
  <pageMargins left="0.7" right="0.7" top="0.75" bottom="0.75" header="0.3" footer="0.3"/>
  <pageSetup scale="60" fitToWidth="0" orientation="landscape" r:id="rId1"/>
  <headerFooter>
    <oddFooter>&amp;L&amp;A&amp;RExhibit No. ___(BDJ-5)
Page &amp;P of &amp;N</oddFooter>
  </headerFooter>
  <colBreaks count="1" manualBreakCount="1">
    <brk id="16" max="35" man="1"/>
  </col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T108"/>
  <sheetViews>
    <sheetView zoomScaleNormal="100" workbookViewId="0">
      <pane xSplit="3" ySplit="10" topLeftCell="D11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3.375" defaultRowHeight="11.25" x14ac:dyDescent="0.2"/>
  <cols>
    <col min="1" max="1" width="5.625" style="11" customWidth="1"/>
    <col min="2" max="2" width="8.625" style="10" bestFit="1" customWidth="1"/>
    <col min="3" max="3" width="28" style="11" bestFit="1" customWidth="1"/>
    <col min="4" max="4" width="12.625" style="11" bestFit="1" customWidth="1"/>
    <col min="5" max="5" width="13.375" style="11" customWidth="1"/>
    <col min="6" max="6" width="1" style="11" customWidth="1"/>
    <col min="7" max="7" width="12.625" style="11" bestFit="1" customWidth="1"/>
    <col min="8" max="8" width="13.375" style="11" customWidth="1"/>
    <col min="9" max="9" width="1" style="11" customWidth="1"/>
    <col min="10" max="10" width="12.625" style="11" bestFit="1" customWidth="1"/>
    <col min="11" max="11" width="7" style="11" bestFit="1" customWidth="1"/>
    <col min="12" max="12" width="1" style="11" customWidth="1"/>
    <col min="13" max="13" width="4.875" style="11" customWidth="1"/>
    <col min="14" max="14" width="30.75" style="11" bestFit="1" customWidth="1"/>
    <col min="15" max="15" width="24.625" style="11" customWidth="1"/>
    <col min="16" max="16" width="7.75" style="11" customWidth="1"/>
    <col min="17" max="17" width="1" style="11" customWidth="1"/>
    <col min="18" max="20" width="11.75" style="11" bestFit="1" customWidth="1"/>
    <col min="21" max="16384" width="3.375" style="11"/>
  </cols>
  <sheetData>
    <row r="1" spans="1:20" x14ac:dyDescent="0.2">
      <c r="A1" s="7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20" x14ac:dyDescent="0.2">
      <c r="A2" s="9" t="s">
        <v>604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20" x14ac:dyDescent="0.2">
      <c r="A3" s="9" t="s">
        <v>597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0" x14ac:dyDescent="0.2">
      <c r="A4" s="9" t="s">
        <v>403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20" ht="12" thickBot="1" x14ac:dyDescent="0.25"/>
    <row r="6" spans="1:20" ht="27" customHeight="1" thickBot="1" x14ac:dyDescent="0.3">
      <c r="G6" s="619" t="s">
        <v>659</v>
      </c>
      <c r="H6" s="620"/>
      <c r="I6" s="620"/>
      <c r="J6" s="620"/>
      <c r="K6" s="621"/>
      <c r="L6" s="503"/>
      <c r="M6" s="503"/>
      <c r="N6" s="504"/>
      <c r="O6" s="504"/>
    </row>
    <row r="7" spans="1:20" ht="12" thickBot="1" x14ac:dyDescent="0.25"/>
    <row r="8" spans="1:20" ht="22.5" x14ac:dyDescent="0.2">
      <c r="A8" s="10" t="s">
        <v>5</v>
      </c>
      <c r="D8" s="617" t="s">
        <v>348</v>
      </c>
      <c r="E8" s="617"/>
      <c r="G8" s="618" t="s">
        <v>341</v>
      </c>
      <c r="H8" s="617"/>
      <c r="J8" s="618" t="s">
        <v>342</v>
      </c>
      <c r="K8" s="617"/>
      <c r="L8" s="421"/>
      <c r="M8" s="305" t="s">
        <v>152</v>
      </c>
      <c r="N8" s="306" t="s">
        <v>153</v>
      </c>
      <c r="O8" s="307" t="s">
        <v>154</v>
      </c>
      <c r="P8" s="308"/>
      <c r="Q8" s="413"/>
      <c r="R8" s="615" t="s">
        <v>605</v>
      </c>
      <c r="S8" s="615"/>
      <c r="T8" s="616"/>
    </row>
    <row r="9" spans="1:20" s="309" customFormat="1" ht="56.25" x14ac:dyDescent="0.2">
      <c r="A9" s="12" t="s">
        <v>6</v>
      </c>
      <c r="B9" s="12" t="s">
        <v>251</v>
      </c>
      <c r="C9" s="12" t="s">
        <v>7</v>
      </c>
      <c r="D9" s="13" t="s">
        <v>366</v>
      </c>
      <c r="E9" s="281" t="s">
        <v>598</v>
      </c>
      <c r="G9" s="13" t="s">
        <v>366</v>
      </c>
      <c r="H9" s="281" t="s">
        <v>598</v>
      </c>
      <c r="J9" s="13" t="s">
        <v>366</v>
      </c>
      <c r="K9" s="281" t="s">
        <v>598</v>
      </c>
      <c r="L9" s="419"/>
      <c r="M9" s="310"/>
      <c r="N9" s="311"/>
      <c r="O9" s="312"/>
      <c r="P9" s="313" t="s">
        <v>602</v>
      </c>
      <c r="Q9" s="51"/>
      <c r="R9" s="313" t="s">
        <v>354</v>
      </c>
      <c r="S9" s="313" t="s">
        <v>355</v>
      </c>
      <c r="T9" s="314" t="s">
        <v>356</v>
      </c>
    </row>
    <row r="10" spans="1:20" x14ac:dyDescent="0.2">
      <c r="A10" s="14"/>
      <c r="C10" s="15"/>
      <c r="D10" s="10" t="s">
        <v>357</v>
      </c>
      <c r="E10" s="10" t="s">
        <v>358</v>
      </c>
      <c r="F10" s="10"/>
      <c r="G10" s="10" t="s">
        <v>369</v>
      </c>
      <c r="H10" s="10" t="s">
        <v>370</v>
      </c>
      <c r="I10" s="10"/>
      <c r="J10" s="10" t="s">
        <v>371</v>
      </c>
      <c r="K10" s="10" t="s">
        <v>362</v>
      </c>
      <c r="L10" s="10"/>
      <c r="M10" s="315"/>
      <c r="N10" s="316"/>
      <c r="O10" s="317"/>
      <c r="P10" s="71"/>
      <c r="Q10" s="71"/>
      <c r="R10" s="71"/>
      <c r="S10" s="71"/>
      <c r="T10" s="89"/>
    </row>
    <row r="11" spans="1:20" x14ac:dyDescent="0.2">
      <c r="A11" s="10">
        <v>1</v>
      </c>
      <c r="B11" s="10">
        <v>7</v>
      </c>
      <c r="C11" s="17" t="s">
        <v>19</v>
      </c>
      <c r="M11" s="318">
        <v>1</v>
      </c>
      <c r="N11" s="423" t="s">
        <v>163</v>
      </c>
      <c r="O11" s="77">
        <v>7</v>
      </c>
      <c r="P11" s="395">
        <v>0.56752866730222584</v>
      </c>
      <c r="Q11" s="71"/>
      <c r="R11" s="398">
        <f>+$P11*R$37/1000</f>
        <v>20042.712207478326</v>
      </c>
      <c r="S11" s="398">
        <f>+$P11*S$37/1000</f>
        <v>20443.767607941605</v>
      </c>
      <c r="T11" s="319"/>
    </row>
    <row r="12" spans="1:20" x14ac:dyDescent="0.2">
      <c r="A12" s="10">
        <f>A11+1</f>
        <v>2</v>
      </c>
      <c r="B12" s="10">
        <f>B11</f>
        <v>7</v>
      </c>
      <c r="C12" s="18" t="s">
        <v>75</v>
      </c>
      <c r="D12" s="238"/>
      <c r="G12" s="238"/>
      <c r="J12" s="238"/>
      <c r="M12" s="318">
        <f>+M11+1</f>
        <v>2</v>
      </c>
      <c r="N12" s="71"/>
      <c r="O12" s="77"/>
      <c r="P12" s="333"/>
      <c r="Q12" s="71"/>
      <c r="R12" s="28"/>
      <c r="S12" s="28"/>
      <c r="T12" s="320"/>
    </row>
    <row r="13" spans="1:20" x14ac:dyDescent="0.2">
      <c r="A13" s="10">
        <f t="shared" ref="A13:A76" si="0">A12+1</f>
        <v>3</v>
      </c>
      <c r="B13" s="10">
        <f t="shared" ref="B13:B18" si="1">+B12</f>
        <v>7</v>
      </c>
      <c r="C13" s="20" t="s">
        <v>70</v>
      </c>
      <c r="D13" s="238">
        <v>6280127130.0109262</v>
      </c>
      <c r="E13" s="27"/>
      <c r="G13" s="238">
        <v>6338147287.3603191</v>
      </c>
      <c r="H13" s="27"/>
      <c r="J13" s="238"/>
      <c r="K13" s="27"/>
      <c r="L13" s="27"/>
      <c r="M13" s="318">
        <f t="shared" ref="M13:M35" si="2">+M12+1</f>
        <v>3</v>
      </c>
      <c r="N13" s="71" t="s">
        <v>121</v>
      </c>
      <c r="O13" s="77"/>
      <c r="P13" s="333"/>
      <c r="Q13" s="71"/>
      <c r="R13" s="28"/>
      <c r="S13" s="28"/>
      <c r="T13" s="320"/>
    </row>
    <row r="14" spans="1:20" x14ac:dyDescent="0.2">
      <c r="A14" s="10">
        <f t="shared" si="0"/>
        <v>4</v>
      </c>
      <c r="B14" s="10">
        <f t="shared" si="1"/>
        <v>7</v>
      </c>
      <c r="C14" s="20" t="s">
        <v>184</v>
      </c>
      <c r="D14" s="238">
        <v>4682923245.4890728</v>
      </c>
      <c r="G14" s="238">
        <v>4726293582.1396818</v>
      </c>
      <c r="J14" s="238"/>
      <c r="M14" s="318">
        <f t="shared" si="2"/>
        <v>4</v>
      </c>
      <c r="N14" s="321" t="s">
        <v>164</v>
      </c>
      <c r="O14" s="87" t="s">
        <v>165</v>
      </c>
      <c r="P14" s="395">
        <v>0.12899396970328134</v>
      </c>
      <c r="Q14" s="71"/>
      <c r="R14" s="201">
        <f t="shared" ref="R14:S16" si="3">+$P14*R$37/1000</f>
        <v>4555.5214392126027</v>
      </c>
      <c r="S14" s="201">
        <f t="shared" si="3"/>
        <v>4646.6775889497012</v>
      </c>
      <c r="T14" s="322"/>
    </row>
    <row r="15" spans="1:20" x14ac:dyDescent="0.2">
      <c r="A15" s="10">
        <f t="shared" si="0"/>
        <v>5</v>
      </c>
      <c r="B15" s="10">
        <f t="shared" si="1"/>
        <v>7</v>
      </c>
      <c r="C15" s="20" t="s">
        <v>600</v>
      </c>
      <c r="D15" s="238">
        <v>0</v>
      </c>
      <c r="G15" s="238">
        <v>0</v>
      </c>
      <c r="I15" s="41"/>
      <c r="J15" s="323"/>
      <c r="K15" s="41"/>
      <c r="M15" s="318">
        <f t="shared" si="2"/>
        <v>5</v>
      </c>
      <c r="N15" s="321" t="s">
        <v>166</v>
      </c>
      <c r="O15" s="87" t="s">
        <v>167</v>
      </c>
      <c r="P15" s="395">
        <v>0.13762287279751242</v>
      </c>
      <c r="Q15" s="71"/>
      <c r="R15" s="201">
        <f t="shared" si="3"/>
        <v>4860.2578011764881</v>
      </c>
      <c r="S15" s="201">
        <f t="shared" si="3"/>
        <v>4957.5117366033674</v>
      </c>
      <c r="T15" s="322"/>
    </row>
    <row r="16" spans="1:20" x14ac:dyDescent="0.2">
      <c r="A16" s="10">
        <f t="shared" si="0"/>
        <v>6</v>
      </c>
      <c r="B16" s="10">
        <f t="shared" si="1"/>
        <v>7</v>
      </c>
      <c r="C16" s="21" t="s">
        <v>26</v>
      </c>
      <c r="D16" s="345">
        <f>SUM(D13:D15)</f>
        <v>10963050375.5</v>
      </c>
      <c r="E16" s="27">
        <f>ROUND(+E$18/D$16,6)</f>
        <v>1.828E-3</v>
      </c>
      <c r="G16" s="345">
        <f>SUM(G13:G15)</f>
        <v>11064440869.5</v>
      </c>
      <c r="H16" s="27">
        <f>ROUND(+H$18/G$16,6)</f>
        <v>1.848E-3</v>
      </c>
      <c r="I16" s="41"/>
      <c r="J16" s="324"/>
      <c r="K16" s="325"/>
      <c r="L16" s="27"/>
      <c r="M16" s="318">
        <f t="shared" si="2"/>
        <v>6</v>
      </c>
      <c r="N16" s="321" t="s">
        <v>168</v>
      </c>
      <c r="O16" s="87" t="s">
        <v>169</v>
      </c>
      <c r="P16" s="395">
        <v>7.7371217508168041E-2</v>
      </c>
      <c r="Q16" s="71"/>
      <c r="R16" s="201">
        <f t="shared" si="3"/>
        <v>2732.4241663947719</v>
      </c>
      <c r="S16" s="201">
        <f t="shared" si="3"/>
        <v>2787.1000733750716</v>
      </c>
      <c r="T16" s="322"/>
    </row>
    <row r="17" spans="1:20" ht="12" thickBot="1" x14ac:dyDescent="0.25">
      <c r="A17" s="10">
        <f t="shared" si="0"/>
        <v>7</v>
      </c>
      <c r="B17" s="10">
        <f t="shared" si="1"/>
        <v>7</v>
      </c>
      <c r="C17" s="21" t="s">
        <v>409</v>
      </c>
      <c r="D17" s="238"/>
      <c r="E17" s="346">
        <f>+E16*D16</f>
        <v>20040456.086413998</v>
      </c>
      <c r="G17" s="238"/>
      <c r="H17" s="346">
        <f>+H16*G16</f>
        <v>20447086.726836</v>
      </c>
      <c r="I17" s="41"/>
      <c r="J17" s="323"/>
      <c r="K17" s="326"/>
      <c r="L17" s="28"/>
      <c r="M17" s="318">
        <f t="shared" si="2"/>
        <v>7</v>
      </c>
      <c r="N17" s="88" t="s">
        <v>170</v>
      </c>
      <c r="O17" s="77"/>
      <c r="P17" s="333"/>
      <c r="Q17" s="71"/>
      <c r="R17" s="399">
        <f t="shared" ref="R17" si="4">SUM(R14:R16)</f>
        <v>12148.203406783863</v>
      </c>
      <c r="S17" s="399">
        <f t="shared" ref="S17" si="5">SUM(S14:S16)</f>
        <v>12391.28939892814</v>
      </c>
      <c r="T17" s="327"/>
    </row>
    <row r="18" spans="1:20" ht="12" thickTop="1" x14ac:dyDescent="0.2">
      <c r="A18" s="10">
        <f t="shared" si="0"/>
        <v>8</v>
      </c>
      <c r="B18" s="10">
        <f t="shared" si="1"/>
        <v>7</v>
      </c>
      <c r="C18" s="328" t="s">
        <v>379</v>
      </c>
      <c r="E18" s="30">
        <f>$R$11*1000</f>
        <v>20042712.207478326</v>
      </c>
      <c r="H18" s="30">
        <f>$S$11*1000</f>
        <v>20443767.607941605</v>
      </c>
      <c r="I18" s="41"/>
      <c r="J18" s="41"/>
      <c r="K18" s="329"/>
      <c r="L18" s="29"/>
      <c r="M18" s="318">
        <f t="shared" si="2"/>
        <v>8</v>
      </c>
      <c r="N18" s="71"/>
      <c r="O18" s="77"/>
      <c r="P18" s="333"/>
      <c r="Q18" s="71"/>
      <c r="R18" s="28"/>
      <c r="S18" s="28"/>
      <c r="T18" s="320"/>
    </row>
    <row r="19" spans="1:20" x14ac:dyDescent="0.2">
      <c r="A19" s="10">
        <f t="shared" si="0"/>
        <v>9</v>
      </c>
      <c r="E19" s="30"/>
      <c r="H19" s="30"/>
      <c r="K19" s="25"/>
      <c r="L19" s="30"/>
      <c r="M19" s="318">
        <f t="shared" si="2"/>
        <v>9</v>
      </c>
      <c r="N19" s="71" t="s">
        <v>120</v>
      </c>
      <c r="O19" s="77"/>
      <c r="P19" s="333"/>
      <c r="Q19" s="71"/>
      <c r="R19" s="28"/>
      <c r="S19" s="28"/>
      <c r="T19" s="320"/>
    </row>
    <row r="20" spans="1:20" x14ac:dyDescent="0.2">
      <c r="A20" s="10">
        <f t="shared" si="0"/>
        <v>10</v>
      </c>
      <c r="C20" s="17" t="s">
        <v>53</v>
      </c>
      <c r="M20" s="318">
        <f t="shared" si="2"/>
        <v>10</v>
      </c>
      <c r="N20" s="321" t="s">
        <v>266</v>
      </c>
      <c r="O20" s="87" t="s">
        <v>268</v>
      </c>
      <c r="P20" s="395">
        <v>5.750384760956908E-2</v>
      </c>
      <c r="Q20" s="71"/>
      <c r="R20" s="201">
        <f t="shared" ref="R20:S22" si="6">+$P20*R$37/1000</f>
        <v>2030.7926891867921</v>
      </c>
      <c r="S20" s="201">
        <f t="shared" si="6"/>
        <v>2071.4289247814845</v>
      </c>
      <c r="T20" s="322"/>
    </row>
    <row r="21" spans="1:20" x14ac:dyDescent="0.2">
      <c r="A21" s="10">
        <f t="shared" si="0"/>
        <v>11</v>
      </c>
      <c r="B21" s="15" t="s">
        <v>56</v>
      </c>
      <c r="C21" s="223" t="s">
        <v>75</v>
      </c>
      <c r="D21" s="238"/>
      <c r="G21" s="238"/>
      <c r="J21" s="238"/>
      <c r="M21" s="318">
        <f t="shared" si="2"/>
        <v>11</v>
      </c>
      <c r="N21" s="321" t="s">
        <v>267</v>
      </c>
      <c r="O21" s="87">
        <v>35</v>
      </c>
      <c r="P21" s="395">
        <v>2.0990512948198327E-4</v>
      </c>
      <c r="Q21" s="71"/>
      <c r="R21" s="201">
        <f t="shared" si="6"/>
        <v>7.4129613946716733</v>
      </c>
      <c r="S21" s="201">
        <f t="shared" si="6"/>
        <v>7.5612950218765578</v>
      </c>
      <c r="T21" s="322"/>
    </row>
    <row r="22" spans="1:20" x14ac:dyDescent="0.2">
      <c r="A22" s="10">
        <f t="shared" si="0"/>
        <v>12</v>
      </c>
      <c r="B22" s="10" t="str">
        <f t="shared" ref="B22:B27" si="7">+B21</f>
        <v>8, 24</v>
      </c>
      <c r="C22" s="224" t="s">
        <v>73</v>
      </c>
      <c r="D22" s="238">
        <v>1418426000</v>
      </c>
      <c r="E22" s="27"/>
      <c r="G22" s="238">
        <v>1441422000</v>
      </c>
      <c r="H22" s="27"/>
      <c r="J22" s="238"/>
      <c r="K22" s="27"/>
      <c r="L22" s="27"/>
      <c r="M22" s="318">
        <f t="shared" si="2"/>
        <v>12</v>
      </c>
      <c r="N22" s="330" t="s">
        <v>171</v>
      </c>
      <c r="O22" s="77">
        <v>43</v>
      </c>
      <c r="P22" s="395">
        <v>5.0156981366476124E-3</v>
      </c>
      <c r="Q22" s="71"/>
      <c r="R22" s="201">
        <f t="shared" si="6"/>
        <v>177.13324465225497</v>
      </c>
      <c r="S22" s="201">
        <f t="shared" si="6"/>
        <v>180.67768732218781</v>
      </c>
      <c r="T22" s="322"/>
    </row>
    <row r="23" spans="1:20" x14ac:dyDescent="0.2">
      <c r="A23" s="10">
        <f t="shared" si="0"/>
        <v>13</v>
      </c>
      <c r="B23" s="10" t="str">
        <f t="shared" si="7"/>
        <v>8, 24</v>
      </c>
      <c r="C23" s="224" t="s">
        <v>74</v>
      </c>
      <c r="D23" s="238">
        <v>1279207000</v>
      </c>
      <c r="G23" s="238">
        <v>1288950000</v>
      </c>
      <c r="J23" s="238"/>
      <c r="M23" s="318">
        <f t="shared" si="2"/>
        <v>13</v>
      </c>
      <c r="N23" s="423" t="s">
        <v>172</v>
      </c>
      <c r="O23" s="77"/>
      <c r="P23" s="333"/>
      <c r="Q23" s="71"/>
      <c r="R23" s="399">
        <f t="shared" ref="R23" si="8">SUM(R20:R22)</f>
        <v>2215.3388952337186</v>
      </c>
      <c r="S23" s="399">
        <f t="shared" ref="S23" si="9">SUM(S20:S22)</f>
        <v>2259.6679071255489</v>
      </c>
      <c r="T23" s="327"/>
    </row>
    <row r="24" spans="1:20" x14ac:dyDescent="0.2">
      <c r="A24" s="10">
        <f t="shared" si="0"/>
        <v>14</v>
      </c>
      <c r="B24" s="10" t="str">
        <f t="shared" si="7"/>
        <v>8, 24</v>
      </c>
      <c r="C24" s="20" t="s">
        <v>600</v>
      </c>
      <c r="D24" s="238">
        <v>-92177443.54216142</v>
      </c>
      <c r="G24" s="238">
        <v>-92177443.54216142</v>
      </c>
      <c r="I24" s="41"/>
      <c r="J24" s="323"/>
      <c r="K24" s="41"/>
      <c r="M24" s="318">
        <f t="shared" si="2"/>
        <v>14</v>
      </c>
      <c r="N24" s="71"/>
      <c r="O24" s="77"/>
      <c r="P24" s="395"/>
      <c r="Q24" s="71"/>
      <c r="R24" s="71"/>
      <c r="S24" s="71"/>
      <c r="T24" s="331"/>
    </row>
    <row r="25" spans="1:20" x14ac:dyDescent="0.2">
      <c r="A25" s="10">
        <f t="shared" si="0"/>
        <v>15</v>
      </c>
      <c r="B25" s="10" t="str">
        <f t="shared" si="7"/>
        <v>8, 24</v>
      </c>
      <c r="C25" s="225" t="s">
        <v>26</v>
      </c>
      <c r="D25" s="345">
        <f>SUM(D22:D24)</f>
        <v>2605455556.4578385</v>
      </c>
      <c r="E25" s="27">
        <f>ROUND(+E$27/D$25,6)</f>
        <v>1.748E-3</v>
      </c>
      <c r="G25" s="345">
        <f>SUM(G22:G24)</f>
        <v>2638194556.4578385</v>
      </c>
      <c r="H25" s="27">
        <f>ROUND(+H$27/G$25,6)</f>
        <v>1.761E-3</v>
      </c>
      <c r="I25" s="41"/>
      <c r="J25" s="324"/>
      <c r="K25" s="325"/>
      <c r="L25" s="27"/>
      <c r="M25" s="318">
        <f t="shared" si="2"/>
        <v>15</v>
      </c>
      <c r="N25" s="88" t="s">
        <v>173</v>
      </c>
      <c r="O25" s="77" t="s">
        <v>174</v>
      </c>
      <c r="P25" s="395">
        <v>2.189074021831227E-2</v>
      </c>
      <c r="Q25" s="71"/>
      <c r="R25" s="398">
        <f>+$P25*R$37/1000</f>
        <v>773.08835920116917</v>
      </c>
      <c r="S25" s="398">
        <f>+$P25*S$37/1000</f>
        <v>788.55788539519597</v>
      </c>
      <c r="T25" s="319"/>
    </row>
    <row r="26" spans="1:20" ht="12" thickBot="1" x14ac:dyDescent="0.25">
      <c r="A26" s="10">
        <f t="shared" si="0"/>
        <v>16</v>
      </c>
      <c r="B26" s="10" t="str">
        <f t="shared" si="7"/>
        <v>8, 24</v>
      </c>
      <c r="C26" s="21" t="s">
        <v>409</v>
      </c>
      <c r="D26" s="238"/>
      <c r="E26" s="346">
        <f>+E25*D25</f>
        <v>4554336.3126883013</v>
      </c>
      <c r="G26" s="238"/>
      <c r="H26" s="346">
        <f>+H25*G25</f>
        <v>4645860.6139222533</v>
      </c>
      <c r="I26" s="41"/>
      <c r="J26" s="323"/>
      <c r="K26" s="326"/>
      <c r="L26" s="28"/>
      <c r="M26" s="318">
        <f t="shared" si="2"/>
        <v>16</v>
      </c>
      <c r="N26" s="71"/>
      <c r="O26" s="77"/>
      <c r="P26" s="333"/>
      <c r="Q26" s="71"/>
      <c r="R26" s="71"/>
      <c r="S26" s="71"/>
      <c r="T26" s="331"/>
    </row>
    <row r="27" spans="1:20" ht="12" thickTop="1" x14ac:dyDescent="0.2">
      <c r="A27" s="10">
        <f t="shared" si="0"/>
        <v>17</v>
      </c>
      <c r="B27" s="10" t="str">
        <f t="shared" si="7"/>
        <v>8, 24</v>
      </c>
      <c r="C27" s="328" t="s">
        <v>379</v>
      </c>
      <c r="E27" s="30">
        <f>$R$14*1000</f>
        <v>4555521.4392126026</v>
      </c>
      <c r="H27" s="30">
        <f>$S$14*1000</f>
        <v>4646677.5889497008</v>
      </c>
      <c r="I27" s="41"/>
      <c r="J27" s="41"/>
      <c r="K27" s="329"/>
      <c r="L27" s="29"/>
      <c r="M27" s="318">
        <f t="shared" si="2"/>
        <v>17</v>
      </c>
      <c r="N27" s="88" t="s">
        <v>286</v>
      </c>
      <c r="O27" s="87" t="s">
        <v>306</v>
      </c>
      <c r="P27" s="395">
        <v>0</v>
      </c>
      <c r="Q27" s="71"/>
      <c r="R27" s="399">
        <f>+$P27*R$37/1000</f>
        <v>0</v>
      </c>
      <c r="S27" s="399">
        <f>+$P27*S$37/1000</f>
        <v>0</v>
      </c>
      <c r="T27" s="327"/>
    </row>
    <row r="28" spans="1:20" x14ac:dyDescent="0.2">
      <c r="A28" s="10">
        <f t="shared" si="0"/>
        <v>18</v>
      </c>
      <c r="E28" s="30"/>
      <c r="H28" s="30"/>
      <c r="K28" s="25"/>
      <c r="M28" s="318">
        <f t="shared" si="2"/>
        <v>18</v>
      </c>
      <c r="N28" s="71"/>
      <c r="O28" s="77"/>
      <c r="P28" s="395"/>
      <c r="Q28" s="71"/>
      <c r="R28" s="71"/>
      <c r="S28" s="71"/>
      <c r="T28" s="331"/>
    </row>
    <row r="29" spans="1:20" x14ac:dyDescent="0.2">
      <c r="A29" s="10">
        <f t="shared" si="0"/>
        <v>19</v>
      </c>
      <c r="B29" s="10" t="s">
        <v>57</v>
      </c>
      <c r="C29" s="223" t="s">
        <v>36</v>
      </c>
      <c r="D29" s="238"/>
      <c r="G29" s="238"/>
      <c r="J29" s="238"/>
      <c r="M29" s="318">
        <f t="shared" si="2"/>
        <v>19</v>
      </c>
      <c r="N29" s="71" t="s">
        <v>177</v>
      </c>
      <c r="O29" s="77" t="s">
        <v>65</v>
      </c>
      <c r="P29" s="395">
        <v>3.5146183995530111E-3</v>
      </c>
      <c r="Q29" s="71"/>
      <c r="R29" s="398">
        <f>+$P29*R$37/1000</f>
        <v>124.12145704674396</v>
      </c>
      <c r="S29" s="398">
        <f>+$P29*S$37/1000</f>
        <v>126.6051319180218</v>
      </c>
      <c r="T29" s="319"/>
    </row>
    <row r="30" spans="1:20" x14ac:dyDescent="0.2">
      <c r="A30" s="10">
        <f t="shared" si="0"/>
        <v>20</v>
      </c>
      <c r="B30" s="10" t="str">
        <f t="shared" ref="B30:B36" si="10">+B29</f>
        <v>7A, 11, 25</v>
      </c>
      <c r="C30" s="224" t="s">
        <v>82</v>
      </c>
      <c r="D30" s="238">
        <v>781769926.84073794</v>
      </c>
      <c r="E30" s="27"/>
      <c r="G30" s="238">
        <v>794849277.88484299</v>
      </c>
      <c r="H30" s="27"/>
      <c r="J30" s="238"/>
      <c r="K30" s="27"/>
      <c r="L30" s="27"/>
      <c r="M30" s="318">
        <f t="shared" si="2"/>
        <v>20</v>
      </c>
      <c r="N30" s="71"/>
      <c r="O30" s="77"/>
      <c r="P30" s="333"/>
      <c r="Q30" s="71"/>
      <c r="R30" s="71"/>
      <c r="S30" s="71"/>
      <c r="T30" s="331"/>
    </row>
    <row r="31" spans="1:20" ht="12" thickBot="1" x14ac:dyDescent="0.25">
      <c r="A31" s="10">
        <f t="shared" si="0"/>
        <v>21</v>
      </c>
      <c r="B31" s="10" t="str">
        <f t="shared" si="10"/>
        <v>7A, 11, 25</v>
      </c>
      <c r="C31" s="224" t="s">
        <v>81</v>
      </c>
      <c r="D31" s="238">
        <v>772193281.14606547</v>
      </c>
      <c r="E31" s="27"/>
      <c r="G31" s="238">
        <v>778561276.60693872</v>
      </c>
      <c r="H31" s="27"/>
      <c r="J31" s="238"/>
      <c r="K31" s="27"/>
      <c r="L31" s="27"/>
      <c r="M31" s="318">
        <f t="shared" si="2"/>
        <v>21</v>
      </c>
      <c r="N31" s="88" t="s">
        <v>178</v>
      </c>
      <c r="O31" s="77"/>
      <c r="P31" s="333"/>
      <c r="Q31" s="71"/>
      <c r="R31" s="346">
        <f t="shared" ref="R31" si="11">SUM(R29,R27,R25,R23,R17,R11)</f>
        <v>35303.464325743822</v>
      </c>
      <c r="S31" s="346">
        <f t="shared" ref="S31" si="12">SUM(S29,S27,S25,S23,S17,S11)</f>
        <v>36009.887931308513</v>
      </c>
      <c r="T31" s="332"/>
    </row>
    <row r="32" spans="1:20" ht="12" thickTop="1" x14ac:dyDescent="0.2">
      <c r="A32" s="10">
        <f t="shared" si="0"/>
        <v>22</v>
      </c>
      <c r="B32" s="10" t="str">
        <f t="shared" si="10"/>
        <v>7A, 11, 25</v>
      </c>
      <c r="C32" s="224" t="s">
        <v>83</v>
      </c>
      <c r="D32" s="238">
        <v>1357735792.0131969</v>
      </c>
      <c r="E32" s="27"/>
      <c r="G32" s="238">
        <v>1374761445.5082183</v>
      </c>
      <c r="H32" s="27"/>
      <c r="J32" s="238"/>
      <c r="K32" s="27"/>
      <c r="L32" s="27"/>
      <c r="M32" s="318">
        <f t="shared" si="2"/>
        <v>22</v>
      </c>
      <c r="N32" s="71"/>
      <c r="O32" s="77"/>
      <c r="P32" s="333"/>
      <c r="Q32" s="71"/>
      <c r="R32" s="71"/>
      <c r="S32" s="71"/>
      <c r="T32" s="331"/>
    </row>
    <row r="33" spans="1:20" x14ac:dyDescent="0.2">
      <c r="A33" s="10">
        <f t="shared" si="0"/>
        <v>23</v>
      </c>
      <c r="B33" s="10" t="str">
        <f t="shared" si="10"/>
        <v>7A, 11, 25</v>
      </c>
      <c r="C33" s="20" t="s">
        <v>600</v>
      </c>
      <c r="D33" s="238">
        <v>-137339587.44648561</v>
      </c>
      <c r="G33" s="238">
        <v>-137339587.44648561</v>
      </c>
      <c r="I33" s="41"/>
      <c r="J33" s="323"/>
      <c r="K33" s="41"/>
      <c r="M33" s="318">
        <f t="shared" si="2"/>
        <v>23</v>
      </c>
      <c r="N33" s="88" t="s">
        <v>179</v>
      </c>
      <c r="O33" s="87"/>
      <c r="P33" s="395">
        <v>3.4846319524841561E-4</v>
      </c>
      <c r="Q33" s="71"/>
      <c r="R33" s="398">
        <f>+$P33*R$37/1000</f>
        <v>12.306246256179085</v>
      </c>
      <c r="S33" s="398">
        <f>+$P33*S$37/1000</f>
        <v>12.552494691489658</v>
      </c>
      <c r="T33" s="319"/>
    </row>
    <row r="34" spans="1:20" x14ac:dyDescent="0.2">
      <c r="A34" s="10">
        <f t="shared" si="0"/>
        <v>24</v>
      </c>
      <c r="B34" s="10" t="str">
        <f t="shared" si="10"/>
        <v>7A, 11, 25</v>
      </c>
      <c r="C34" s="225" t="s">
        <v>26</v>
      </c>
      <c r="D34" s="345">
        <f>SUM(D30:D33)</f>
        <v>2774359412.553515</v>
      </c>
      <c r="E34" s="27">
        <f>ROUND(+E$36/(D$34),6)</f>
        <v>1.7420000000000001E-3</v>
      </c>
      <c r="G34" s="345">
        <f>SUM(G30:G33)</f>
        <v>2810832412.5535145</v>
      </c>
      <c r="H34" s="27">
        <f>ROUND(+H$36/(G$34),6)</f>
        <v>1.7539999999999999E-3</v>
      </c>
      <c r="I34" s="41"/>
      <c r="J34" s="324"/>
      <c r="K34" s="325"/>
      <c r="L34" s="27"/>
      <c r="M34" s="318">
        <f t="shared" si="2"/>
        <v>24</v>
      </c>
      <c r="N34" s="71"/>
      <c r="O34" s="77"/>
      <c r="P34" s="396"/>
      <c r="Q34" s="71"/>
      <c r="R34" s="71"/>
      <c r="S34" s="71"/>
      <c r="T34" s="331"/>
    </row>
    <row r="35" spans="1:20" ht="12" thickBot="1" x14ac:dyDescent="0.25">
      <c r="A35" s="10">
        <f t="shared" si="0"/>
        <v>25</v>
      </c>
      <c r="B35" s="10" t="str">
        <f t="shared" si="10"/>
        <v>7A, 11, 25</v>
      </c>
      <c r="C35" s="21" t="s">
        <v>409</v>
      </c>
      <c r="D35" s="238"/>
      <c r="E35" s="346">
        <f>+E34*D34</f>
        <v>4832934.0966682229</v>
      </c>
      <c r="G35" s="238"/>
      <c r="H35" s="346">
        <f>+H34*G34</f>
        <v>4930200.0516188638</v>
      </c>
      <c r="I35" s="41"/>
      <c r="J35" s="323"/>
      <c r="K35" s="326"/>
      <c r="L35" s="28"/>
      <c r="M35" s="318">
        <f t="shared" si="2"/>
        <v>25</v>
      </c>
      <c r="N35" s="71" t="s">
        <v>180</v>
      </c>
      <c r="O35" s="77"/>
      <c r="P35" s="334">
        <f>SUM(P11:P34)</f>
        <v>0.99999999999999989</v>
      </c>
      <c r="Q35" s="71"/>
      <c r="R35" s="346">
        <f t="shared" ref="R35" si="13">SUM(R33,R31)</f>
        <v>35315.770572000001</v>
      </c>
      <c r="S35" s="346">
        <f t="shared" ref="S35" si="14">SUM(S33,S31)</f>
        <v>36022.440426000001</v>
      </c>
      <c r="T35" s="332"/>
    </row>
    <row r="36" spans="1:20" ht="12" thickTop="1" x14ac:dyDescent="0.2">
      <c r="A36" s="10">
        <f t="shared" si="0"/>
        <v>26</v>
      </c>
      <c r="B36" s="10" t="str">
        <f t="shared" si="10"/>
        <v>7A, 11, 25</v>
      </c>
      <c r="C36" s="335" t="s">
        <v>379</v>
      </c>
      <c r="D36" s="238"/>
      <c r="E36" s="30">
        <f>$R$15*1000*$D$34/SUM($D$34,$D$50)</f>
        <v>4833946.4074789612</v>
      </c>
      <c r="H36" s="30">
        <f>$S$15*1000*$G$34/SUM($G$34,$G$50)</f>
        <v>4930789.0687095989</v>
      </c>
      <c r="I36" s="41"/>
      <c r="J36" s="323"/>
      <c r="K36" s="329"/>
      <c r="L36" s="29"/>
      <c r="M36" s="92"/>
      <c r="N36" s="71"/>
      <c r="O36" s="71"/>
      <c r="P36" s="71"/>
      <c r="Q36" s="71"/>
      <c r="R36" s="71"/>
      <c r="S36" s="71"/>
      <c r="T36" s="331"/>
    </row>
    <row r="37" spans="1:20" ht="12" thickBot="1" x14ac:dyDescent="0.25">
      <c r="A37" s="10">
        <f t="shared" si="0"/>
        <v>27</v>
      </c>
      <c r="E37" s="30"/>
      <c r="H37" s="30"/>
      <c r="K37" s="25"/>
      <c r="M37" s="92"/>
      <c r="N37" s="71"/>
      <c r="O37" s="71"/>
      <c r="P37" s="28"/>
      <c r="Q37" s="71"/>
      <c r="R37" s="346">
        <f>R39*R40</f>
        <v>35315770.571999997</v>
      </c>
      <c r="S37" s="346">
        <f>S39*S40</f>
        <v>36022440.425999999</v>
      </c>
      <c r="T37" s="332"/>
    </row>
    <row r="38" spans="1:20" ht="12" thickTop="1" x14ac:dyDescent="0.2">
      <c r="A38" s="10">
        <f t="shared" si="0"/>
        <v>28</v>
      </c>
      <c r="B38" s="15" t="s">
        <v>58</v>
      </c>
      <c r="C38" s="336" t="s">
        <v>75</v>
      </c>
      <c r="D38" s="238"/>
      <c r="G38" s="238"/>
      <c r="J38" s="238"/>
      <c r="M38" s="92"/>
      <c r="N38" s="71"/>
      <c r="O38" s="71"/>
      <c r="P38" s="71"/>
      <c r="Q38" s="71"/>
      <c r="R38" s="71"/>
      <c r="S38" s="71"/>
      <c r="T38" s="89"/>
    </row>
    <row r="39" spans="1:20" x14ac:dyDescent="0.2">
      <c r="A39" s="10">
        <f t="shared" si="0"/>
        <v>29</v>
      </c>
      <c r="B39" s="10" t="str">
        <f t="shared" ref="B39:B42" si="15">+B38</f>
        <v>12, 26, 26P</v>
      </c>
      <c r="C39" s="224" t="s">
        <v>41</v>
      </c>
      <c r="D39" s="238">
        <v>1831289000</v>
      </c>
      <c r="E39" s="27">
        <f>ROUND(+E$42/D$41,6)</f>
        <v>1.72E-3</v>
      </c>
      <c r="G39" s="238">
        <v>1853862000</v>
      </c>
      <c r="H39" s="27">
        <f>ROUND(+H$42/G$41,6)</f>
        <v>1.73E-3</v>
      </c>
      <c r="J39" s="238"/>
      <c r="K39" s="325"/>
      <c r="L39" s="27"/>
      <c r="M39" s="92"/>
      <c r="N39" s="71"/>
      <c r="O39" s="71"/>
      <c r="P39" s="118" t="s">
        <v>601</v>
      </c>
      <c r="Q39" s="71"/>
      <c r="R39" s="495">
        <v>4.7826E-2</v>
      </c>
      <c r="S39" s="495">
        <v>4.8783E-2</v>
      </c>
      <c r="T39" s="337"/>
    </row>
    <row r="40" spans="1:20" x14ac:dyDescent="0.2">
      <c r="A40" s="10">
        <f t="shared" si="0"/>
        <v>30</v>
      </c>
      <c r="B40" s="10" t="str">
        <f t="shared" si="15"/>
        <v>12, 26, 26P</v>
      </c>
      <c r="C40" s="20" t="s">
        <v>600</v>
      </c>
      <c r="D40" s="238">
        <v>-242830708.31372479</v>
      </c>
      <c r="G40" s="238">
        <v>-242830708.31372479</v>
      </c>
      <c r="I40" s="41"/>
      <c r="J40" s="323"/>
      <c r="K40" s="41"/>
      <c r="M40" s="92"/>
      <c r="N40" s="71"/>
      <c r="O40" s="71"/>
      <c r="P40" s="118" t="s">
        <v>648</v>
      </c>
      <c r="Q40" s="71"/>
      <c r="R40" s="488">
        <v>738422000</v>
      </c>
      <c r="S40" s="488">
        <v>738422000</v>
      </c>
      <c r="T40" s="338"/>
    </row>
    <row r="41" spans="1:20" ht="12" thickBot="1" x14ac:dyDescent="0.25">
      <c r="A41" s="10">
        <f t="shared" si="0"/>
        <v>31</v>
      </c>
      <c r="B41" s="10" t="str">
        <f t="shared" si="15"/>
        <v>12, 26, 26P</v>
      </c>
      <c r="C41" s="225" t="s">
        <v>26</v>
      </c>
      <c r="D41" s="345">
        <f>SUM(D39:D40)</f>
        <v>1588458291.6862752</v>
      </c>
      <c r="E41" s="346">
        <f>+E39*D41</f>
        <v>2732148.2617003932</v>
      </c>
      <c r="G41" s="345">
        <f>SUM(G39:G40)</f>
        <v>1611031291.6862752</v>
      </c>
      <c r="H41" s="346">
        <f>+H39*G41</f>
        <v>2787084.134617256</v>
      </c>
      <c r="I41" s="41"/>
      <c r="J41" s="324"/>
      <c r="K41" s="326"/>
      <c r="L41" s="28"/>
      <c r="M41" s="92"/>
      <c r="N41" s="71"/>
      <c r="O41" s="71"/>
      <c r="P41" s="99" t="s">
        <v>596</v>
      </c>
      <c r="Q41" s="71"/>
      <c r="R41" s="339">
        <f>R37-R35*1000</f>
        <v>0</v>
      </c>
      <c r="S41" s="339">
        <f t="shared" ref="S41" si="16">S37-S35*1000</f>
        <v>0</v>
      </c>
      <c r="T41" s="340"/>
    </row>
    <row r="42" spans="1:20" ht="12.75" thickTop="1" thickBot="1" x14ac:dyDescent="0.25">
      <c r="A42" s="10">
        <f t="shared" si="0"/>
        <v>32</v>
      </c>
      <c r="B42" s="10" t="str">
        <f t="shared" si="15"/>
        <v>12, 26, 26P</v>
      </c>
      <c r="C42" s="335" t="s">
        <v>379</v>
      </c>
      <c r="E42" s="30">
        <f>$R$16*1000</f>
        <v>2732424.166394772</v>
      </c>
      <c r="H42" s="30">
        <f>$S$16*1000</f>
        <v>2787100.0733750714</v>
      </c>
      <c r="I42" s="41"/>
      <c r="J42" s="41"/>
      <c r="K42" s="329"/>
      <c r="L42" s="29"/>
      <c r="M42" s="97"/>
      <c r="N42" s="341" t="s">
        <v>603</v>
      </c>
      <c r="O42" s="341"/>
      <c r="P42" s="94"/>
      <c r="Q42" s="94"/>
      <c r="R42" s="342"/>
      <c r="S42" s="342"/>
      <c r="T42" s="343"/>
    </row>
    <row r="43" spans="1:20" ht="12" thickBot="1" x14ac:dyDescent="0.25">
      <c r="A43" s="10">
        <f t="shared" si="0"/>
        <v>33</v>
      </c>
      <c r="E43" s="30"/>
      <c r="H43" s="30"/>
      <c r="K43" s="25"/>
      <c r="O43" s="33"/>
      <c r="P43" s="33"/>
      <c r="Q43" s="33"/>
      <c r="R43" s="33"/>
      <c r="S43" s="33"/>
      <c r="T43" s="33"/>
    </row>
    <row r="44" spans="1:20" x14ac:dyDescent="0.2">
      <c r="A44" s="10">
        <f t="shared" si="0"/>
        <v>34</v>
      </c>
      <c r="B44" s="10">
        <v>29</v>
      </c>
      <c r="C44" s="223" t="s">
        <v>36</v>
      </c>
      <c r="D44" s="238"/>
      <c r="G44" s="238"/>
      <c r="J44" s="238"/>
      <c r="O44" s="510"/>
      <c r="P44" s="513" t="s">
        <v>660</v>
      </c>
      <c r="Q44" s="505"/>
      <c r="R44" s="509">
        <v>35315771</v>
      </c>
      <c r="S44" s="511">
        <v>36022440</v>
      </c>
      <c r="T44" s="33"/>
    </row>
    <row r="45" spans="1:20" ht="12" thickBot="1" x14ac:dyDescent="0.25">
      <c r="A45" s="10">
        <f t="shared" si="0"/>
        <v>35</v>
      </c>
      <c r="B45" s="10">
        <f t="shared" ref="B45:B52" si="17">+B44</f>
        <v>29</v>
      </c>
      <c r="C45" s="224" t="s">
        <v>82</v>
      </c>
      <c r="D45" s="238">
        <v>2290130.0821588552</v>
      </c>
      <c r="E45" s="27"/>
      <c r="G45" s="238">
        <v>2319496.799318599</v>
      </c>
      <c r="H45" s="27"/>
      <c r="J45" s="238"/>
      <c r="K45" s="27"/>
      <c r="L45" s="27"/>
      <c r="O45" s="512"/>
      <c r="P45" s="514" t="s">
        <v>29</v>
      </c>
      <c r="Q45" s="506"/>
      <c r="R45" s="507">
        <f>R37-R44</f>
        <v>-0.42800000309944153</v>
      </c>
      <c r="S45" s="508">
        <f>S37-S44</f>
        <v>0.42599999904632568</v>
      </c>
      <c r="T45" s="33"/>
    </row>
    <row r="46" spans="1:20" x14ac:dyDescent="0.2">
      <c r="A46" s="10">
        <f t="shared" si="0"/>
        <v>36</v>
      </c>
      <c r="B46" s="10">
        <f t="shared" si="17"/>
        <v>29</v>
      </c>
      <c r="C46" s="224" t="s">
        <v>102</v>
      </c>
      <c r="D46" s="238">
        <v>11755258.298124935</v>
      </c>
      <c r="E46" s="27"/>
      <c r="G46" s="238">
        <v>11848731.977769069</v>
      </c>
      <c r="H46" s="27"/>
      <c r="J46" s="238"/>
      <c r="K46" s="27"/>
      <c r="L46" s="27"/>
    </row>
    <row r="47" spans="1:20" x14ac:dyDescent="0.2">
      <c r="A47" s="10">
        <f t="shared" si="0"/>
        <v>37</v>
      </c>
      <c r="B47" s="10">
        <f t="shared" si="17"/>
        <v>29</v>
      </c>
      <c r="C47" s="224" t="s">
        <v>81</v>
      </c>
      <c r="D47" s="238">
        <v>162181.22156353388</v>
      </c>
      <c r="E47" s="27"/>
      <c r="G47" s="238">
        <v>164778.51026321203</v>
      </c>
      <c r="H47" s="27"/>
      <c r="J47" s="238"/>
      <c r="K47" s="27"/>
      <c r="L47" s="27"/>
    </row>
    <row r="48" spans="1:20" x14ac:dyDescent="0.2">
      <c r="A48" s="10">
        <f t="shared" si="0"/>
        <v>38</v>
      </c>
      <c r="B48" s="10">
        <f t="shared" si="17"/>
        <v>29</v>
      </c>
      <c r="C48" s="224" t="s">
        <v>101</v>
      </c>
      <c r="D48" s="238">
        <v>893396.89815267397</v>
      </c>
      <c r="E48" s="27"/>
      <c r="G48" s="238">
        <v>900445.21264912025</v>
      </c>
      <c r="H48" s="27"/>
      <c r="J48" s="238"/>
      <c r="K48" s="27"/>
      <c r="L48" s="27"/>
    </row>
    <row r="49" spans="1:12" x14ac:dyDescent="0.2">
      <c r="A49" s="10">
        <f t="shared" si="0"/>
        <v>39</v>
      </c>
      <c r="B49" s="10">
        <f t="shared" si="17"/>
        <v>29</v>
      </c>
      <c r="C49" s="20" t="s">
        <v>600</v>
      </c>
      <c r="D49" s="238">
        <v>0</v>
      </c>
      <c r="G49" s="238">
        <v>0</v>
      </c>
      <c r="I49" s="41"/>
      <c r="J49" s="323"/>
      <c r="K49" s="41"/>
    </row>
    <row r="50" spans="1:12" x14ac:dyDescent="0.2">
      <c r="A50" s="10">
        <f t="shared" si="0"/>
        <v>40</v>
      </c>
      <c r="B50" s="10">
        <f t="shared" si="17"/>
        <v>29</v>
      </c>
      <c r="C50" s="225" t="s">
        <v>26</v>
      </c>
      <c r="D50" s="345">
        <f>SUM(D45:D49)</f>
        <v>15100966.499999998</v>
      </c>
      <c r="E50" s="27">
        <f>ROUND(+E$52/(D$50),6)</f>
        <v>1.7420000000000001E-3</v>
      </c>
      <c r="G50" s="345">
        <f>SUM(G45:G49)</f>
        <v>15233452.5</v>
      </c>
      <c r="H50" s="27">
        <f>ROUND(+H$52/(G$50),6)</f>
        <v>1.7539999999999999E-3</v>
      </c>
      <c r="I50" s="41"/>
      <c r="J50" s="324"/>
      <c r="K50" s="325"/>
      <c r="L50" s="27"/>
    </row>
    <row r="51" spans="1:12" ht="12" thickBot="1" x14ac:dyDescent="0.25">
      <c r="A51" s="10">
        <f t="shared" si="0"/>
        <v>41</v>
      </c>
      <c r="B51" s="10">
        <f t="shared" si="17"/>
        <v>29</v>
      </c>
      <c r="C51" s="21" t="s">
        <v>409</v>
      </c>
      <c r="D51" s="238"/>
      <c r="E51" s="346">
        <f>+E50*D50</f>
        <v>26305.883642999997</v>
      </c>
      <c r="G51" s="238"/>
      <c r="H51" s="346">
        <f>+H50*G50</f>
        <v>26719.475684999998</v>
      </c>
      <c r="I51" s="41"/>
      <c r="J51" s="323"/>
      <c r="K51" s="326"/>
      <c r="L51" s="28"/>
    </row>
    <row r="52" spans="1:12" ht="12" thickTop="1" x14ac:dyDescent="0.2">
      <c r="A52" s="10">
        <f t="shared" si="0"/>
        <v>42</v>
      </c>
      <c r="B52" s="10">
        <f t="shared" si="17"/>
        <v>29</v>
      </c>
      <c r="C52" s="335" t="s">
        <v>379</v>
      </c>
      <c r="E52" s="30">
        <f>$R$15*1000*$D$50/SUM($D$34,$D$50)</f>
        <v>26311.393697526953</v>
      </c>
      <c r="H52" s="30">
        <f>$S$15*1000*$G$50/SUM($G$34,$G$50)</f>
        <v>26722.667893768237</v>
      </c>
      <c r="I52" s="41"/>
      <c r="J52" s="41"/>
      <c r="K52" s="329"/>
      <c r="L52" s="29"/>
    </row>
    <row r="53" spans="1:12" x14ac:dyDescent="0.2">
      <c r="A53" s="10">
        <f t="shared" si="0"/>
        <v>43</v>
      </c>
      <c r="E53" s="30"/>
      <c r="H53" s="30"/>
      <c r="K53" s="25"/>
    </row>
    <row r="54" spans="1:12" x14ac:dyDescent="0.2">
      <c r="A54" s="10">
        <f t="shared" si="0"/>
        <v>44</v>
      </c>
      <c r="C54" s="17" t="s">
        <v>54</v>
      </c>
    </row>
    <row r="55" spans="1:12" x14ac:dyDescent="0.2">
      <c r="A55" s="10">
        <f t="shared" si="0"/>
        <v>45</v>
      </c>
      <c r="B55" s="10" t="s">
        <v>59</v>
      </c>
      <c r="C55" s="336" t="s">
        <v>75</v>
      </c>
      <c r="D55" s="238"/>
      <c r="G55" s="238"/>
      <c r="J55" s="238"/>
    </row>
    <row r="56" spans="1:12" x14ac:dyDescent="0.2">
      <c r="A56" s="10">
        <f t="shared" si="0"/>
        <v>46</v>
      </c>
      <c r="B56" s="10" t="str">
        <f t="shared" ref="B56:B59" si="18">+B55</f>
        <v>10, 31</v>
      </c>
      <c r="C56" s="224" t="s">
        <v>41</v>
      </c>
      <c r="D56" s="238">
        <v>1332008000</v>
      </c>
      <c r="E56" s="27">
        <f>ROUND(+E$59/D$58,6)</f>
        <v>1.6620000000000001E-3</v>
      </c>
      <c r="G56" s="238">
        <v>1335448000</v>
      </c>
      <c r="H56" s="27">
        <f>ROUND(+H$59/G$58,6)</f>
        <v>1.691E-3</v>
      </c>
      <c r="J56" s="238"/>
      <c r="K56" s="325"/>
      <c r="L56" s="27"/>
    </row>
    <row r="57" spans="1:12" x14ac:dyDescent="0.2">
      <c r="A57" s="10">
        <f t="shared" si="0"/>
        <v>47</v>
      </c>
      <c r="B57" s="10" t="str">
        <f t="shared" si="18"/>
        <v>10, 31</v>
      </c>
      <c r="C57" s="20" t="s">
        <v>600</v>
      </c>
      <c r="D57" s="238">
        <v>-110277530.61509895</v>
      </c>
      <c r="G57" s="238">
        <v>-110277530.61509895</v>
      </c>
      <c r="I57" s="41"/>
      <c r="J57" s="323"/>
      <c r="K57" s="41"/>
    </row>
    <row r="58" spans="1:12" ht="12" thickBot="1" x14ac:dyDescent="0.25">
      <c r="A58" s="10">
        <f t="shared" si="0"/>
        <v>48</v>
      </c>
      <c r="B58" s="10" t="str">
        <f t="shared" si="18"/>
        <v>10, 31</v>
      </c>
      <c r="C58" s="225" t="s">
        <v>26</v>
      </c>
      <c r="D58" s="345">
        <f>SUM(D56:D57)</f>
        <v>1221730469.384901</v>
      </c>
      <c r="E58" s="346">
        <f>+E56*D58</f>
        <v>2030516.0401177057</v>
      </c>
      <c r="G58" s="345">
        <f>SUM(G56:G57)</f>
        <v>1225170469.384901</v>
      </c>
      <c r="H58" s="346">
        <f>+H56*G58</f>
        <v>2071763.2637298678</v>
      </c>
      <c r="I58" s="41"/>
      <c r="J58" s="324"/>
      <c r="K58" s="326"/>
      <c r="L58" s="28"/>
    </row>
    <row r="59" spans="1:12" ht="12" thickTop="1" x14ac:dyDescent="0.2">
      <c r="A59" s="10">
        <f t="shared" si="0"/>
        <v>49</v>
      </c>
      <c r="B59" s="10" t="str">
        <f t="shared" si="18"/>
        <v>10, 31</v>
      </c>
      <c r="C59" s="335" t="s">
        <v>379</v>
      </c>
      <c r="E59" s="30">
        <f>$R$20*1000</f>
        <v>2030792.6891867921</v>
      </c>
      <c r="H59" s="30">
        <f>$S$20*1000</f>
        <v>2071428.9247814845</v>
      </c>
      <c r="I59" s="41"/>
      <c r="J59" s="41"/>
      <c r="K59" s="329"/>
      <c r="L59" s="29"/>
    </row>
    <row r="60" spans="1:12" x14ac:dyDescent="0.2">
      <c r="A60" s="10">
        <f t="shared" si="0"/>
        <v>50</v>
      </c>
      <c r="E60" s="30"/>
      <c r="H60" s="30"/>
      <c r="K60" s="25"/>
    </row>
    <row r="61" spans="1:12" x14ac:dyDescent="0.2">
      <c r="A61" s="10">
        <f t="shared" si="0"/>
        <v>51</v>
      </c>
      <c r="B61" s="10">
        <v>35</v>
      </c>
      <c r="C61" s="336" t="s">
        <v>75</v>
      </c>
      <c r="D61" s="238"/>
      <c r="G61" s="238"/>
      <c r="J61" s="238"/>
    </row>
    <row r="62" spans="1:12" x14ac:dyDescent="0.2">
      <c r="A62" s="10">
        <f t="shared" si="0"/>
        <v>52</v>
      </c>
      <c r="B62" s="10">
        <f t="shared" ref="B62:B65" si="19">+B61</f>
        <v>35</v>
      </c>
      <c r="C62" s="224" t="s">
        <v>41</v>
      </c>
      <c r="D62" s="238">
        <v>4663000</v>
      </c>
      <c r="E62" s="27">
        <f>ROUND(+E$65/D$64,6)</f>
        <v>1.5900000000000001E-3</v>
      </c>
      <c r="G62" s="238">
        <v>4695000</v>
      </c>
      <c r="H62" s="27">
        <f>ROUND(+H$65/G$64,6)</f>
        <v>1.6100000000000001E-3</v>
      </c>
      <c r="J62" s="238"/>
      <c r="K62" s="325"/>
      <c r="L62" s="27"/>
    </row>
    <row r="63" spans="1:12" x14ac:dyDescent="0.2">
      <c r="A63" s="10">
        <f t="shared" si="0"/>
        <v>53</v>
      </c>
      <c r="B63" s="10">
        <f t="shared" si="19"/>
        <v>35</v>
      </c>
      <c r="C63" s="20" t="s">
        <v>600</v>
      </c>
      <c r="D63" s="238">
        <v>0</v>
      </c>
      <c r="G63" s="238">
        <v>0</v>
      </c>
      <c r="I63" s="41"/>
      <c r="J63" s="323"/>
      <c r="K63" s="41"/>
    </row>
    <row r="64" spans="1:12" ht="12" thickBot="1" x14ac:dyDescent="0.25">
      <c r="A64" s="10">
        <f t="shared" si="0"/>
        <v>54</v>
      </c>
      <c r="B64" s="10">
        <f t="shared" si="19"/>
        <v>35</v>
      </c>
      <c r="C64" s="225" t="s">
        <v>26</v>
      </c>
      <c r="D64" s="345">
        <f>SUM(D62:D63)</f>
        <v>4663000</v>
      </c>
      <c r="E64" s="346">
        <f>+E62*D64</f>
        <v>7414.17</v>
      </c>
      <c r="G64" s="345">
        <f>SUM(G62:G63)</f>
        <v>4695000</v>
      </c>
      <c r="H64" s="346">
        <f>+H62*G64</f>
        <v>7558.9500000000007</v>
      </c>
      <c r="I64" s="41"/>
      <c r="J64" s="324"/>
      <c r="K64" s="326"/>
      <c r="L64" s="28"/>
    </row>
    <row r="65" spans="1:12" ht="12" thickTop="1" x14ac:dyDescent="0.2">
      <c r="A65" s="10">
        <f t="shared" si="0"/>
        <v>55</v>
      </c>
      <c r="B65" s="10">
        <f t="shared" si="19"/>
        <v>35</v>
      </c>
      <c r="C65" s="335" t="s">
        <v>379</v>
      </c>
      <c r="E65" s="30">
        <f>$R$21*1000</f>
        <v>7412.9613946716736</v>
      </c>
      <c r="H65" s="30">
        <f>$S$21*1000</f>
        <v>7561.2950218765582</v>
      </c>
      <c r="I65" s="41"/>
      <c r="J65" s="41"/>
      <c r="K65" s="329"/>
      <c r="L65" s="29"/>
    </row>
    <row r="66" spans="1:12" x14ac:dyDescent="0.2">
      <c r="A66" s="10">
        <f t="shared" si="0"/>
        <v>56</v>
      </c>
      <c r="E66" s="30"/>
      <c r="H66" s="30"/>
      <c r="K66" s="25"/>
    </row>
    <row r="67" spans="1:12" x14ac:dyDescent="0.2">
      <c r="A67" s="10">
        <f t="shared" si="0"/>
        <v>57</v>
      </c>
      <c r="B67" s="10">
        <v>43</v>
      </c>
      <c r="C67" s="336" t="s">
        <v>75</v>
      </c>
      <c r="D67" s="238"/>
      <c r="G67" s="238"/>
      <c r="J67" s="238"/>
    </row>
    <row r="68" spans="1:12" x14ac:dyDescent="0.2">
      <c r="A68" s="10">
        <f t="shared" si="0"/>
        <v>58</v>
      </c>
      <c r="B68" s="10">
        <f t="shared" ref="B68:B71" si="20">+B67</f>
        <v>43</v>
      </c>
      <c r="C68" s="224" t="s">
        <v>41</v>
      </c>
      <c r="D68" s="238">
        <v>118190000</v>
      </c>
      <c r="E68" s="27">
        <f>ROUND(+E$71/D$70,6)</f>
        <v>1.5989999999999999E-3</v>
      </c>
      <c r="G68" s="238">
        <v>119782000</v>
      </c>
      <c r="H68" s="27">
        <f>ROUND(+H$71/G$70,6)</f>
        <v>1.6080000000000001E-3</v>
      </c>
      <c r="J68" s="238"/>
      <c r="K68" s="325"/>
      <c r="L68" s="27"/>
    </row>
    <row r="69" spans="1:12" x14ac:dyDescent="0.2">
      <c r="A69" s="10">
        <f t="shared" si="0"/>
        <v>59</v>
      </c>
      <c r="B69" s="10">
        <f t="shared" si="20"/>
        <v>43</v>
      </c>
      <c r="C69" s="20" t="s">
        <v>600</v>
      </c>
      <c r="D69" s="238">
        <v>-7391764.9333909638</v>
      </c>
      <c r="G69" s="238">
        <v>-7391764.9333909638</v>
      </c>
      <c r="I69" s="41"/>
      <c r="J69" s="323"/>
      <c r="K69" s="41"/>
    </row>
    <row r="70" spans="1:12" ht="12" thickBot="1" x14ac:dyDescent="0.25">
      <c r="A70" s="10">
        <f t="shared" si="0"/>
        <v>60</v>
      </c>
      <c r="B70" s="10">
        <f t="shared" si="20"/>
        <v>43</v>
      </c>
      <c r="C70" s="225" t="s">
        <v>26</v>
      </c>
      <c r="D70" s="345">
        <f>SUM(D68:D69)</f>
        <v>110798235.06660904</v>
      </c>
      <c r="E70" s="346">
        <f>+E68*D70</f>
        <v>177166.37787150784</v>
      </c>
      <c r="G70" s="345">
        <f>SUM(G68:G69)</f>
        <v>112390235.06660904</v>
      </c>
      <c r="H70" s="346">
        <f>+H68*G70</f>
        <v>180723.49798710734</v>
      </c>
      <c r="I70" s="41"/>
      <c r="J70" s="324"/>
      <c r="K70" s="326"/>
      <c r="L70" s="28"/>
    </row>
    <row r="71" spans="1:12" ht="12" thickTop="1" x14ac:dyDescent="0.2">
      <c r="A71" s="10">
        <f t="shared" si="0"/>
        <v>61</v>
      </c>
      <c r="B71" s="10">
        <f t="shared" si="20"/>
        <v>43</v>
      </c>
      <c r="C71" s="335" t="s">
        <v>379</v>
      </c>
      <c r="D71" s="238"/>
      <c r="E71" s="30">
        <f>$R$22*1000</f>
        <v>177133.24465225497</v>
      </c>
      <c r="H71" s="30">
        <f>$S$22*1000</f>
        <v>180677.68732218782</v>
      </c>
      <c r="I71" s="41"/>
      <c r="J71" s="41"/>
      <c r="K71" s="329"/>
      <c r="L71" s="29"/>
    </row>
    <row r="72" spans="1:12" x14ac:dyDescent="0.2">
      <c r="A72" s="10">
        <f t="shared" si="0"/>
        <v>62</v>
      </c>
      <c r="E72" s="30"/>
      <c r="H72" s="30"/>
      <c r="K72" s="25"/>
    </row>
    <row r="73" spans="1:12" x14ac:dyDescent="0.2">
      <c r="A73" s="10">
        <f t="shared" si="0"/>
        <v>63</v>
      </c>
      <c r="C73" s="17" t="s">
        <v>55</v>
      </c>
    </row>
    <row r="74" spans="1:12" x14ac:dyDescent="0.2">
      <c r="A74" s="10">
        <f t="shared" si="0"/>
        <v>64</v>
      </c>
      <c r="B74" s="10">
        <v>46</v>
      </c>
      <c r="C74" s="336" t="s">
        <v>75</v>
      </c>
    </row>
    <row r="75" spans="1:12" x14ac:dyDescent="0.2">
      <c r="A75" s="10">
        <f t="shared" si="0"/>
        <v>65</v>
      </c>
      <c r="B75" s="10">
        <f t="shared" ref="B75:B78" si="21">+B74</f>
        <v>46</v>
      </c>
      <c r="C75" s="224" t="s">
        <v>41</v>
      </c>
      <c r="D75" s="238">
        <v>89530525.500000015</v>
      </c>
      <c r="E75" s="27">
        <f>ROUND(+E$78/D$77,6)</f>
        <v>1.7340000000000001E-3</v>
      </c>
      <c r="G75" s="238">
        <v>89210525.500000015</v>
      </c>
      <c r="H75" s="27">
        <f>ROUND(+H$78/G$77,6)</f>
        <v>1.7899999999999999E-3</v>
      </c>
      <c r="J75" s="238"/>
      <c r="K75" s="325"/>
      <c r="L75" s="27"/>
    </row>
    <row r="76" spans="1:12" x14ac:dyDescent="0.2">
      <c r="A76" s="10">
        <f t="shared" si="0"/>
        <v>66</v>
      </c>
      <c r="B76" s="10">
        <f t="shared" si="21"/>
        <v>46</v>
      </c>
      <c r="C76" s="20" t="s">
        <v>600</v>
      </c>
      <c r="D76" s="238">
        <v>-22359065.312998384</v>
      </c>
      <c r="G76" s="238">
        <v>-22481627.585433222</v>
      </c>
      <c r="I76" s="41"/>
      <c r="J76" s="323"/>
      <c r="K76" s="41"/>
    </row>
    <row r="77" spans="1:12" ht="12" thickBot="1" x14ac:dyDescent="0.25">
      <c r="A77" s="10">
        <f t="shared" ref="A77:A106" si="22">A76+1</f>
        <v>67</v>
      </c>
      <c r="B77" s="10">
        <f t="shared" si="21"/>
        <v>46</v>
      </c>
      <c r="C77" s="225" t="s">
        <v>26</v>
      </c>
      <c r="D77" s="345">
        <f>SUM(D75:D76)</f>
        <v>67171460.187001631</v>
      </c>
      <c r="E77" s="346">
        <f>+E75*D77</f>
        <v>116475.31196426084</v>
      </c>
      <c r="G77" s="345">
        <f>SUM(G75:G76)</f>
        <v>66728897.914566793</v>
      </c>
      <c r="H77" s="346">
        <f>+H75*G77</f>
        <v>119444.72726707456</v>
      </c>
      <c r="I77" s="41"/>
      <c r="J77" s="324"/>
      <c r="K77" s="326"/>
      <c r="L77" s="28"/>
    </row>
    <row r="78" spans="1:12" ht="12" thickTop="1" x14ac:dyDescent="0.2">
      <c r="A78" s="10">
        <f t="shared" si="22"/>
        <v>68</v>
      </c>
      <c r="B78" s="10">
        <f t="shared" si="21"/>
        <v>46</v>
      </c>
      <c r="C78" s="335" t="s">
        <v>379</v>
      </c>
      <c r="E78" s="30">
        <f>$R$25*1000*$D$75/SUM($D$81,$D$75)</f>
        <v>116475.43664544338</v>
      </c>
      <c r="H78" s="30">
        <f>$S$25*1000*G75/SUM(G81,G75)</f>
        <v>119457.3556969327</v>
      </c>
      <c r="I78" s="41"/>
      <c r="J78" s="41"/>
      <c r="K78" s="329"/>
      <c r="L78" s="29"/>
    </row>
    <row r="79" spans="1:12" x14ac:dyDescent="0.2">
      <c r="A79" s="10">
        <f t="shared" si="22"/>
        <v>69</v>
      </c>
      <c r="E79" s="30"/>
      <c r="H79" s="30"/>
      <c r="K79" s="25"/>
    </row>
    <row r="80" spans="1:12" x14ac:dyDescent="0.2">
      <c r="A80" s="10">
        <f t="shared" si="22"/>
        <v>70</v>
      </c>
      <c r="B80" s="10">
        <v>49</v>
      </c>
      <c r="C80" s="336" t="s">
        <v>75</v>
      </c>
    </row>
    <row r="81" spans="1:12" x14ac:dyDescent="0.2">
      <c r="A81" s="10">
        <f t="shared" si="22"/>
        <v>71</v>
      </c>
      <c r="B81" s="10">
        <f t="shared" ref="B81:B84" si="23">+B80</f>
        <v>49</v>
      </c>
      <c r="C81" s="224" t="s">
        <v>41</v>
      </c>
      <c r="D81" s="238">
        <v>504715000</v>
      </c>
      <c r="E81" s="27">
        <f>ROUND(+E$84/D$83,6)</f>
        <v>1.7340000000000001E-3</v>
      </c>
      <c r="G81" s="238">
        <v>499683000</v>
      </c>
      <c r="H81" s="27">
        <f>ROUND(+H$84/G$83,6)</f>
        <v>1.7899999999999999E-3</v>
      </c>
      <c r="J81" s="238"/>
      <c r="K81" s="325"/>
      <c r="L81" s="27"/>
    </row>
    <row r="82" spans="1:12" x14ac:dyDescent="0.2">
      <c r="A82" s="10">
        <f t="shared" si="22"/>
        <v>72</v>
      </c>
      <c r="B82" s="10">
        <f t="shared" si="23"/>
        <v>49</v>
      </c>
      <c r="C82" s="20" t="s">
        <v>600</v>
      </c>
      <c r="D82" s="238">
        <v>-126045899.83613996</v>
      </c>
      <c r="G82" s="238">
        <v>-125923337.56370513</v>
      </c>
      <c r="I82" s="41"/>
      <c r="J82" s="323"/>
      <c r="K82" s="41"/>
    </row>
    <row r="83" spans="1:12" ht="12" thickBot="1" x14ac:dyDescent="0.25">
      <c r="A83" s="10">
        <f t="shared" si="22"/>
        <v>73</v>
      </c>
      <c r="B83" s="10">
        <f t="shared" si="23"/>
        <v>49</v>
      </c>
      <c r="C83" s="225" t="s">
        <v>26</v>
      </c>
      <c r="D83" s="345">
        <f>SUM(D81:D82)</f>
        <v>378669100.16386002</v>
      </c>
      <c r="E83" s="346">
        <f>+E81*D83</f>
        <v>656612.21968413331</v>
      </c>
      <c r="G83" s="345">
        <f>SUM(G81:G82)</f>
        <v>373759662.43629485</v>
      </c>
      <c r="H83" s="346">
        <f>+H81*G83</f>
        <v>669029.79576096777</v>
      </c>
      <c r="I83" s="41"/>
      <c r="J83" s="324"/>
      <c r="K83" s="326"/>
      <c r="L83" s="28"/>
    </row>
    <row r="84" spans="1:12" ht="12" thickTop="1" x14ac:dyDescent="0.2">
      <c r="A84" s="10">
        <f t="shared" si="22"/>
        <v>74</v>
      </c>
      <c r="B84" s="10">
        <f t="shared" si="23"/>
        <v>49</v>
      </c>
      <c r="C84" s="335" t="s">
        <v>379</v>
      </c>
      <c r="E84" s="30">
        <f>$R$25*1000*$D$81/SUM($D$75,$D$81)</f>
        <v>656612.92255572591</v>
      </c>
      <c r="H84" s="30">
        <f>$S$25*1000*G81/SUM(G75,G81)</f>
        <v>669100.52969826327</v>
      </c>
      <c r="I84" s="41"/>
      <c r="J84" s="41"/>
      <c r="K84" s="329"/>
      <c r="L84" s="29"/>
    </row>
    <row r="85" spans="1:12" x14ac:dyDescent="0.2">
      <c r="A85" s="10">
        <f t="shared" si="22"/>
        <v>75</v>
      </c>
      <c r="E85" s="30"/>
      <c r="H85" s="30"/>
      <c r="K85" s="25"/>
    </row>
    <row r="86" spans="1:12" x14ac:dyDescent="0.2">
      <c r="A86" s="10">
        <f t="shared" si="22"/>
        <v>76</v>
      </c>
      <c r="B86" s="10" t="s">
        <v>389</v>
      </c>
      <c r="C86" s="336" t="s">
        <v>390</v>
      </c>
      <c r="D86" s="238">
        <v>62703000</v>
      </c>
      <c r="E86" s="27">
        <f>ROUND(+E$89/D$88,6)</f>
        <v>1.98E-3</v>
      </c>
      <c r="G86" s="238">
        <v>61382000</v>
      </c>
      <c r="H86" s="27">
        <f>ROUND(+H$89/G$88,6)</f>
        <v>2.0630000000000002E-3</v>
      </c>
      <c r="J86" s="238"/>
      <c r="K86" s="27"/>
      <c r="L86" s="27"/>
    </row>
    <row r="87" spans="1:12" x14ac:dyDescent="0.2">
      <c r="A87" s="10">
        <f t="shared" si="22"/>
        <v>77</v>
      </c>
      <c r="B87" s="10" t="str">
        <f>+B86</f>
        <v>3, 50-59</v>
      </c>
      <c r="C87" s="20" t="s">
        <v>600</v>
      </c>
      <c r="D87" s="238">
        <v>0</v>
      </c>
      <c r="G87" s="238">
        <v>0</v>
      </c>
      <c r="I87" s="41"/>
      <c r="J87" s="323"/>
      <c r="K87" s="41"/>
    </row>
    <row r="88" spans="1:12" ht="12" thickBot="1" x14ac:dyDescent="0.25">
      <c r="A88" s="10">
        <f t="shared" si="22"/>
        <v>78</v>
      </c>
      <c r="B88" s="10" t="str">
        <f t="shared" ref="B88:B89" si="24">+B87</f>
        <v>3, 50-59</v>
      </c>
      <c r="C88" s="225" t="s">
        <v>26</v>
      </c>
      <c r="D88" s="345">
        <f>SUM(D86:D87)</f>
        <v>62703000</v>
      </c>
      <c r="E88" s="346">
        <f>+E86*D88</f>
        <v>124151.94</v>
      </c>
      <c r="G88" s="345">
        <f>SUM(G86:G87)</f>
        <v>61382000</v>
      </c>
      <c r="H88" s="346">
        <f>+H86*G88</f>
        <v>126631.06600000001</v>
      </c>
      <c r="I88" s="41"/>
      <c r="J88" s="324"/>
      <c r="K88" s="326"/>
      <c r="L88" s="28"/>
    </row>
    <row r="89" spans="1:12" ht="12" thickTop="1" x14ac:dyDescent="0.2">
      <c r="A89" s="10">
        <f t="shared" si="22"/>
        <v>79</v>
      </c>
      <c r="B89" s="10" t="str">
        <f t="shared" si="24"/>
        <v>3, 50-59</v>
      </c>
      <c r="C89" s="344" t="s">
        <v>379</v>
      </c>
      <c r="D89" s="238"/>
      <c r="E89" s="30">
        <f>$R$29*1000</f>
        <v>124121.45704674396</v>
      </c>
      <c r="H89" s="30">
        <f>$S$29*1000</f>
        <v>126605.1319180218</v>
      </c>
      <c r="I89" s="41"/>
      <c r="J89" s="41"/>
      <c r="K89" s="329"/>
      <c r="L89" s="29"/>
    </row>
    <row r="90" spans="1:12" x14ac:dyDescent="0.2">
      <c r="A90" s="10">
        <f t="shared" si="22"/>
        <v>80</v>
      </c>
      <c r="D90" s="238"/>
      <c r="E90" s="30"/>
      <c r="H90" s="30"/>
      <c r="K90" s="25"/>
    </row>
    <row r="91" spans="1:12" x14ac:dyDescent="0.2">
      <c r="A91" s="10">
        <f t="shared" si="22"/>
        <v>81</v>
      </c>
      <c r="B91" s="10" t="s">
        <v>299</v>
      </c>
      <c r="C91" s="336" t="s">
        <v>40</v>
      </c>
      <c r="D91" s="238">
        <f>'Exhibit No.__(BDJ-MYRP)'!I149</f>
        <v>1895530000</v>
      </c>
      <c r="E91" s="31">
        <f>ROUND(+E$93/D$91,0)</f>
        <v>0</v>
      </c>
      <c r="G91" s="238">
        <f>'Exhibit No.__(BDJ-MYRP)'!O149</f>
        <v>1895104000</v>
      </c>
      <c r="H91" s="31">
        <f>ROUND(+H$93/G$91,0)</f>
        <v>0</v>
      </c>
      <c r="J91" s="238"/>
      <c r="K91" s="31"/>
      <c r="L91" s="31"/>
    </row>
    <row r="92" spans="1:12" ht="12" thickBot="1" x14ac:dyDescent="0.25">
      <c r="A92" s="10">
        <f t="shared" si="22"/>
        <v>82</v>
      </c>
      <c r="B92" s="10" t="str">
        <f>B91</f>
        <v>449, 459</v>
      </c>
      <c r="C92" s="21" t="s">
        <v>409</v>
      </c>
      <c r="D92" s="345">
        <f>SUM(D90:D91)</f>
        <v>1895530000</v>
      </c>
      <c r="E92" s="346">
        <f>+E91*D91</f>
        <v>0</v>
      </c>
      <c r="G92" s="345">
        <f>SUM(G90:G91)</f>
        <v>1895104000</v>
      </c>
      <c r="H92" s="346">
        <f>+H91*G91</f>
        <v>0</v>
      </c>
      <c r="J92" s="345"/>
      <c r="K92" s="346"/>
      <c r="L92" s="28"/>
    </row>
    <row r="93" spans="1:12" ht="12" thickTop="1" x14ac:dyDescent="0.2">
      <c r="A93" s="10">
        <f t="shared" si="22"/>
        <v>83</v>
      </c>
      <c r="B93" s="10" t="str">
        <f t="shared" ref="B93" si="25">+B92</f>
        <v>449, 459</v>
      </c>
      <c r="C93" s="344" t="s">
        <v>379</v>
      </c>
      <c r="E93" s="30">
        <f>$R$27*1000*$D$91/SUM($D$95,$D$91)</f>
        <v>0</v>
      </c>
      <c r="H93" s="30">
        <f>$S$27*1000*$G$91/SUM($G$95,$G$91)</f>
        <v>0</v>
      </c>
      <c r="I93" s="347"/>
      <c r="J93" s="347"/>
      <c r="K93" s="29"/>
      <c r="L93" s="29"/>
    </row>
    <row r="94" spans="1:12" x14ac:dyDescent="0.2">
      <c r="A94" s="10">
        <f t="shared" si="22"/>
        <v>84</v>
      </c>
      <c r="D94" s="238"/>
      <c r="E94" s="30"/>
      <c r="H94" s="30"/>
      <c r="K94" s="25"/>
    </row>
    <row r="95" spans="1:12" x14ac:dyDescent="0.2">
      <c r="A95" s="10">
        <f t="shared" si="22"/>
        <v>85</v>
      </c>
      <c r="B95" s="10" t="s">
        <v>298</v>
      </c>
      <c r="C95" s="336" t="s">
        <v>40</v>
      </c>
      <c r="D95" s="238">
        <v>289426000</v>
      </c>
      <c r="E95" s="27">
        <f>ROUND(+E$97/D$95,6)</f>
        <v>0</v>
      </c>
      <c r="G95" s="238">
        <v>289426000</v>
      </c>
      <c r="H95" s="27">
        <f>ROUND(+H$97/G$95,6)</f>
        <v>0</v>
      </c>
      <c r="J95" s="238"/>
      <c r="K95" s="27"/>
      <c r="L95" s="27"/>
    </row>
    <row r="96" spans="1:12" ht="12" thickBot="1" x14ac:dyDescent="0.25">
      <c r="A96" s="10">
        <f t="shared" si="22"/>
        <v>86</v>
      </c>
      <c r="B96" s="10" t="str">
        <f>B95</f>
        <v>SC</v>
      </c>
      <c r="C96" s="21" t="s">
        <v>409</v>
      </c>
      <c r="D96" s="345">
        <f>SUM(D94:D95)</f>
        <v>289426000</v>
      </c>
      <c r="E96" s="346">
        <f>+E95*D95</f>
        <v>0</v>
      </c>
      <c r="G96" s="345">
        <f>SUM(G94:G95)</f>
        <v>289426000</v>
      </c>
      <c r="H96" s="346">
        <f>+H95*G95</f>
        <v>0</v>
      </c>
      <c r="J96" s="345"/>
      <c r="K96" s="346"/>
      <c r="L96" s="28"/>
    </row>
    <row r="97" spans="1:12" ht="12" thickTop="1" x14ac:dyDescent="0.2">
      <c r="A97" s="10">
        <f t="shared" si="22"/>
        <v>87</v>
      </c>
      <c r="B97" s="10" t="str">
        <f t="shared" ref="B97" si="26">+B96</f>
        <v>SC</v>
      </c>
      <c r="C97" s="344" t="s">
        <v>379</v>
      </c>
      <c r="E97" s="30">
        <f>$R$27*1000*$D$95/SUM($D$95,$D$91)</f>
        <v>0</v>
      </c>
      <c r="H97" s="30">
        <f>$S$27*1000*$G$95/SUM($G$95,$G$91)</f>
        <v>0</v>
      </c>
      <c r="I97" s="347"/>
      <c r="J97" s="347"/>
      <c r="K97" s="29"/>
      <c r="L97" s="29"/>
    </row>
    <row r="98" spans="1:12" x14ac:dyDescent="0.2">
      <c r="A98" s="10">
        <f t="shared" si="22"/>
        <v>88</v>
      </c>
      <c r="C98" s="348"/>
      <c r="E98" s="30"/>
      <c r="H98" s="30"/>
      <c r="K98" s="30"/>
      <c r="L98" s="30"/>
    </row>
    <row r="99" spans="1:12" x14ac:dyDescent="0.2">
      <c r="A99" s="10">
        <f t="shared" si="22"/>
        <v>89</v>
      </c>
      <c r="B99" s="15" t="s">
        <v>179</v>
      </c>
      <c r="C99" s="336" t="s">
        <v>40</v>
      </c>
      <c r="D99" s="238">
        <v>7521000</v>
      </c>
      <c r="E99" s="27">
        <f>ROUND(+E$102/D$101,6)</f>
        <v>1.6360000000000001E-3</v>
      </c>
      <c r="G99" s="238">
        <v>7552000</v>
      </c>
      <c r="H99" s="27">
        <f>ROUND(+H$102/G$101,6)</f>
        <v>1.6620000000000001E-3</v>
      </c>
      <c r="J99" s="238"/>
      <c r="K99" s="325"/>
      <c r="L99" s="27"/>
    </row>
    <row r="100" spans="1:12" x14ac:dyDescent="0.2">
      <c r="A100" s="10">
        <f>A99+1</f>
        <v>90</v>
      </c>
      <c r="B100" s="10" t="str">
        <f>B99</f>
        <v>Firm Resale</v>
      </c>
      <c r="C100" s="20" t="s">
        <v>600</v>
      </c>
      <c r="D100" s="238">
        <v>0</v>
      </c>
      <c r="G100" s="238">
        <v>0</v>
      </c>
      <c r="I100" s="41"/>
      <c r="J100" s="323"/>
      <c r="K100" s="41"/>
    </row>
    <row r="101" spans="1:12" ht="12" thickBot="1" x14ac:dyDescent="0.25">
      <c r="A101" s="10">
        <f t="shared" ref="A101:A102" si="27">A100+1</f>
        <v>91</v>
      </c>
      <c r="B101" s="10" t="str">
        <f t="shared" ref="B101:B102" si="28">B100</f>
        <v>Firm Resale</v>
      </c>
      <c r="C101" s="225" t="s">
        <v>26</v>
      </c>
      <c r="D101" s="345">
        <f>SUM(D99:D100)</f>
        <v>7521000</v>
      </c>
      <c r="E101" s="346">
        <f>+E99*D101</f>
        <v>12304.356</v>
      </c>
      <c r="G101" s="345">
        <f>SUM(G99:G100)</f>
        <v>7552000</v>
      </c>
      <c r="H101" s="346">
        <f>+H99*G101</f>
        <v>12551.424000000001</v>
      </c>
      <c r="I101" s="41"/>
      <c r="J101" s="324"/>
      <c r="K101" s="326"/>
      <c r="L101" s="28"/>
    </row>
    <row r="102" spans="1:12" ht="12" thickTop="1" x14ac:dyDescent="0.2">
      <c r="A102" s="10">
        <f t="shared" si="27"/>
        <v>92</v>
      </c>
      <c r="B102" s="10" t="str">
        <f t="shared" si="28"/>
        <v>Firm Resale</v>
      </c>
      <c r="C102" s="344" t="s">
        <v>379</v>
      </c>
      <c r="E102" s="30">
        <f>$R$33*1000</f>
        <v>12306.246256179085</v>
      </c>
      <c r="H102" s="30">
        <f>$S$33*1000</f>
        <v>12552.494691489657</v>
      </c>
      <c r="I102" s="41"/>
      <c r="J102" s="41"/>
      <c r="K102" s="329"/>
      <c r="L102" s="29"/>
    </row>
    <row r="103" spans="1:12" x14ac:dyDescent="0.2">
      <c r="A103" s="10">
        <f t="shared" si="22"/>
        <v>93</v>
      </c>
      <c r="C103" s="344"/>
      <c r="E103" s="30"/>
      <c r="H103" s="30"/>
      <c r="K103" s="25"/>
      <c r="L103" s="29"/>
    </row>
    <row r="104" spans="1:12" x14ac:dyDescent="0.2">
      <c r="A104" s="10">
        <f t="shared" si="22"/>
        <v>94</v>
      </c>
      <c r="C104" s="411" t="s">
        <v>27</v>
      </c>
      <c r="D104" s="397">
        <f>SUM(D101,D96,D92,D88,D83,D77,D70,D64,D58,D50,D41,D34,D25,D16)</f>
        <v>21984636867.5</v>
      </c>
      <c r="E104" s="30">
        <f>SUM(E101,E96,E92,E88,E83,E77,E70,E64,E58,E51,E41,E35,E26,E17)</f>
        <v>35310821.056751519</v>
      </c>
      <c r="G104" s="397">
        <f>SUM(G101,G96,G92,G88,G83,G77,G70,G64,G58,G50,G41,G34,G25,G16)</f>
        <v>22175940847.5</v>
      </c>
      <c r="H104" s="30">
        <f>SUM(H101,H96,H92,H88,H83,H77,H70,H64,H58,H51,H41,H35,H26,H17)</f>
        <v>36024653.727424391</v>
      </c>
      <c r="I104" s="41"/>
      <c r="J104" s="349"/>
      <c r="K104" s="329"/>
      <c r="L104" s="30"/>
    </row>
    <row r="105" spans="1:12" x14ac:dyDescent="0.2">
      <c r="A105" s="10">
        <f t="shared" si="22"/>
        <v>95</v>
      </c>
      <c r="E105" s="25">
        <f>$R$37-E104</f>
        <v>4949.515248477459</v>
      </c>
      <c r="F105" s="24"/>
      <c r="G105" s="24"/>
      <c r="H105" s="25">
        <f>$S$37-H104</f>
        <v>-2213.3014243915677</v>
      </c>
      <c r="I105" s="24"/>
      <c r="J105" s="24"/>
      <c r="K105" s="25"/>
      <c r="L105" s="25"/>
    </row>
    <row r="106" spans="1:12" x14ac:dyDescent="0.2">
      <c r="A106" s="10">
        <f t="shared" si="22"/>
        <v>96</v>
      </c>
      <c r="E106" s="24" t="s">
        <v>426</v>
      </c>
      <c r="F106" s="26"/>
      <c r="G106" s="26"/>
      <c r="H106" s="24" t="s">
        <v>426</v>
      </c>
      <c r="I106" s="26"/>
      <c r="J106" s="26"/>
      <c r="K106" s="24"/>
      <c r="L106" s="24"/>
    </row>
    <row r="107" spans="1:12" x14ac:dyDescent="0.2">
      <c r="D107" s="30"/>
      <c r="H107" s="30"/>
    </row>
    <row r="108" spans="1:12" x14ac:dyDescent="0.2">
      <c r="B108" s="434" t="s">
        <v>649</v>
      </c>
      <c r="C108" s="34"/>
    </row>
  </sheetData>
  <mergeCells count="5">
    <mergeCell ref="R8:T8"/>
    <mergeCell ref="D8:E8"/>
    <mergeCell ref="G8:H8"/>
    <mergeCell ref="J8:K8"/>
    <mergeCell ref="G6:K6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36" max="24" man="1"/>
    <brk id="53" max="24" man="1"/>
    <brk id="84" max="24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2024-10-18T07:00:00+00:00</OpenedDate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240779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6BFEDEBFC3E743938A70352858DBB5" ma:contentTypeVersion="16" ma:contentTypeDescription="" ma:contentTypeScope="" ma:versionID="18378515ecd4f75a8eb32679037ea8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C33DAE-168C-4864-8744-A74E62D419B1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dc463f71-b30c-4ab2-9473-d307f9d35888"/>
    <ds:schemaRef ds:uri="http://purl.org/dc/dcmitype/"/>
    <ds:schemaRef ds:uri="http://www.w3.org/XML/1998/namespace"/>
    <ds:schemaRef ds:uri="http://purl.org/dc/elements/1.1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051C4A6-7AAE-4BC8-AB3B-9954D120BA27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6B802A35-FC12-42E3-98FA-9A8A65D07F1D}"/>
</file>

<file path=customXml/itemProps5.xml><?xml version="1.0" encoding="utf-8"?>
<ds:datastoreItem xmlns:ds="http://schemas.openxmlformats.org/officeDocument/2006/customXml" ds:itemID="{4D1634E6-022C-4224-AE21-F6C5B6DE0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Table of Contents</vt:lpstr>
      <vt:lpstr>Tariff Charge Summary===&gt;</vt:lpstr>
      <vt:lpstr>Exhibit No.__(BDJ-Tariff)</vt:lpstr>
      <vt:lpstr>Rate Spread-Design====&gt;</vt:lpstr>
      <vt:lpstr>Exhibit No.__(BDJ-Rate Spread)</vt:lpstr>
      <vt:lpstr>Exhibit No.__(BDJ-Rate Des Sum)</vt:lpstr>
      <vt:lpstr>Exhibit No.__(BDJ-Prof-Prop)</vt:lpstr>
      <vt:lpstr>Exhibit No.__(BDJ-MYRP-SUM)</vt:lpstr>
      <vt:lpstr>Exhibit No.__(BDJ-141A)</vt:lpstr>
      <vt:lpstr>Exhibit No.__(BDJ-MYRP)</vt:lpstr>
      <vt:lpstr>Exhibit No.__(BDJ-141C)</vt:lpstr>
      <vt:lpstr>Exhibit No.__(BDJ-Res RD)</vt:lpstr>
      <vt:lpstr>Exhibit No.__(BDJ-SV RD)</vt:lpstr>
      <vt:lpstr>Exhibit No.__(BDJ-PV RD)</vt:lpstr>
      <vt:lpstr>Exhibit No.__(BDJ-CONJ  DEM)</vt:lpstr>
      <vt:lpstr>Exhibit No.__(BDJ-HV RD)</vt:lpstr>
      <vt:lpstr>Exhibit No.__(BDJ-TRANSP RD)</vt:lpstr>
      <vt:lpstr>Exhibit No.__(BDJ-LIGHT RD) </vt:lpstr>
      <vt:lpstr>RevReq&gt;&gt;&gt;</vt:lpstr>
      <vt:lpstr>Elec Rev Req for COS</vt:lpstr>
      <vt:lpstr>'Exhibit No.__(BDJ-141A)'!Print_Area</vt:lpstr>
      <vt:lpstr>'Exhibit No.__(BDJ-141C)'!Print_Area</vt:lpstr>
      <vt:lpstr>'Exhibit No.__(BDJ-CONJ  DEM)'!Print_Area</vt:lpstr>
      <vt:lpstr>'Exhibit No.__(BDJ-HV RD)'!Print_Area</vt:lpstr>
      <vt:lpstr>'Exhibit No.__(BDJ-LIGHT RD) '!Print_Area</vt:lpstr>
      <vt:lpstr>'Exhibit No.__(BDJ-MYRP)'!Print_Area</vt:lpstr>
      <vt:lpstr>'Exhibit No.__(BDJ-MYRP-SUM)'!Print_Area</vt:lpstr>
      <vt:lpstr>'Exhibit No.__(BDJ-Prof-Prop)'!Print_Area</vt:lpstr>
      <vt:lpstr>'Exhibit No.__(BDJ-PV RD)'!Print_Area</vt:lpstr>
      <vt:lpstr>'Exhibit No.__(BDJ-Rate Des Sum)'!Print_Area</vt:lpstr>
      <vt:lpstr>'Exhibit No.__(BDJ-Rate Spread)'!Print_Area</vt:lpstr>
      <vt:lpstr>'Exhibit No.__(BDJ-Res RD)'!Print_Area</vt:lpstr>
      <vt:lpstr>'Exhibit No.__(BDJ-SV RD)'!Print_Area</vt:lpstr>
      <vt:lpstr>'Exhibit No.__(BDJ-Tariff)'!Print_Area</vt:lpstr>
      <vt:lpstr>'Exhibit No.__(BDJ-TRANSP RD)'!Print_Area</vt:lpstr>
      <vt:lpstr>'Exhibit No.__(BDJ-141A)'!Print_Titles</vt:lpstr>
      <vt:lpstr>'Exhibit No.__(BDJ-141C)'!Print_Titles</vt:lpstr>
      <vt:lpstr>'Exhibit No.__(BDJ-HV RD)'!Print_Titles</vt:lpstr>
      <vt:lpstr>'Exhibit No.__(BDJ-LIGHT RD) '!Print_Titles</vt:lpstr>
      <vt:lpstr>'Exhibit No.__(BDJ-MYRP)'!Print_Titles</vt:lpstr>
      <vt:lpstr>'Exhibit No.__(BDJ-MYRP-SUM)'!Print_Titles</vt:lpstr>
      <vt:lpstr>'Exhibit No.__(BDJ-PV RD)'!Print_Titles</vt:lpstr>
      <vt:lpstr>'Exhibit No.__(BDJ-Rate Spread)'!Print_Titles</vt:lpstr>
      <vt:lpstr>'Exhibit No.__(BDJ-Res RD)'!Print_Titles</vt:lpstr>
      <vt:lpstr>'Exhibit No.__(BDJ-SV RD)'!Print_Titles</vt:lpstr>
      <vt:lpstr>'Exhibit No.__(BDJ-Tariff)'!Print_Titles</vt:lpstr>
      <vt:lpstr>'Exhibit No.__(BDJ-TRANSP RD)'!Print_Titles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Zakharova, Elena</cp:lastModifiedBy>
  <cp:lastPrinted>2022-08-29T01:38:25Z</cp:lastPrinted>
  <dcterms:created xsi:type="dcterms:W3CDTF">2016-04-04T22:09:28Z</dcterms:created>
  <dcterms:modified xsi:type="dcterms:W3CDTF">2024-10-16T20:34:38Z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0x0101006E56B4D1795A2E4DB2F0B01679ED314A00E06BFEDEBFC3E743938A70352858DBB5</vt:lpwstr>
  </property>
  <property fmtid="{D5CDD505-2E9C-101B-9397-08002B2CF9AE}" pid="3" name="_docset_NoMedatataSyncRequired">
    <vt:lpwstr>False</vt:lpwstr>
  </property>
  <property fmtid="{D5CDD505-2E9C-101B-9397-08002B2CF9AE}" pid="4" name="MSIP_Label_b689cc04-6351-41d8-9f1d-a834e5351c1d_Enabled">
    <vt:lpwstr>true</vt:lpwstr>
  </property>
  <property fmtid="{D5CDD505-2E9C-101B-9397-08002B2CF9AE}" pid="5" name="MSIP_Label_b689cc04-6351-41d8-9f1d-a834e5351c1d_SetDate">
    <vt:lpwstr>2024-10-16T13:04:03Z</vt:lpwstr>
  </property>
  <property fmtid="{D5CDD505-2E9C-101B-9397-08002B2CF9AE}" pid="6" name="MSIP_Label_b689cc04-6351-41d8-9f1d-a834e5351c1d_Method">
    <vt:lpwstr>Standard</vt:lpwstr>
  </property>
  <property fmtid="{D5CDD505-2E9C-101B-9397-08002B2CF9AE}" pid="7" name="MSIP_Label_b689cc04-6351-41d8-9f1d-a834e5351c1d_Name">
    <vt:lpwstr>Internal Use Only</vt:lpwstr>
  </property>
  <property fmtid="{D5CDD505-2E9C-101B-9397-08002B2CF9AE}" pid="8" name="MSIP_Label_b689cc04-6351-41d8-9f1d-a834e5351c1d_SiteId">
    <vt:lpwstr>58e8b525-6212-4087-a0d0-fa755583444b</vt:lpwstr>
  </property>
  <property fmtid="{D5CDD505-2E9C-101B-9397-08002B2CF9AE}" pid="9" name="MSIP_Label_b689cc04-6351-41d8-9f1d-a834e5351c1d_ActionId">
    <vt:lpwstr>2b29402b-6145-4907-b250-1821f9a5e413</vt:lpwstr>
  </property>
  <property fmtid="{D5CDD505-2E9C-101B-9397-08002B2CF9AE}" pid="10" name="MSIP_Label_b689cc04-6351-41d8-9f1d-a834e5351c1d_ContentBits">
    <vt:lpwstr>0</vt:lpwstr>
  </property>
</Properties>
</file>