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Txhous10fps03rf\orport01fps01\PUBLIC\Evan Burmester\WUTC\Commodity Rebate Filings\2024\Spokane\"/>
    </mc:Choice>
  </mc:AlternateContent>
  <xr:revisionPtr revIDLastSave="0" documentId="13_ncr:1_{76B56E2E-20C6-4D61-A507-A17130254CA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bate Calculation" sheetId="35" r:id="rId1"/>
    <sheet name="24 Month Rev &amp; Ton summary" sheetId="42" r:id="rId2"/>
    <sheet name="Tons &amp; Revenue" sheetId="33" r:id="rId3"/>
    <sheet name="Composition" sheetId="36" r:id="rId4"/>
    <sheet name="Prices" sheetId="37" r:id="rId5"/>
    <sheet name="Res'l &amp; MF Customers" sheetId="40" r:id="rId6"/>
    <sheet name="2024-2026 Budget" sheetId="50" r:id="rId7"/>
    <sheet name="Budget vs Actual" sheetId="48" r:id="rId8"/>
    <sheet name="2022-2024 Budget" sheetId="49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_xlnm.Print_Area" localSheetId="3">Composition!$A$1:$AA$20</definedName>
    <definedName name="_xlnm.Print_Area" localSheetId="4">Prices!#REF!</definedName>
    <definedName name="_xlnm.Print_Area" localSheetId="0">'Rebate Calculation'!$A$449:$G$509</definedName>
    <definedName name="_xlnm.Print_Area" localSheetId="5">'Res''l &amp; MF Customers'!$A$1:$P$26</definedName>
    <definedName name="_xlnm.Print_Area" localSheetId="2">'Tons &amp; Revenue'!$A$1:$P$264</definedName>
    <definedName name="_xlnm.Print_Titles" localSheetId="2">'Tons &amp; Revenue'!$1:$3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6" i="35" l="1"/>
  <c r="C43" i="35"/>
  <c r="C42" i="35"/>
  <c r="F13" i="35"/>
  <c r="E9" i="35"/>
  <c r="C10" i="35"/>
  <c r="F10" i="35" s="1"/>
  <c r="C9" i="35"/>
  <c r="F58" i="35"/>
  <c r="A58" i="35"/>
  <c r="F48" i="35"/>
  <c r="E43" i="35"/>
  <c r="E42" i="35"/>
  <c r="A41" i="35"/>
  <c r="E10" i="35"/>
  <c r="J23" i="33"/>
  <c r="K23" i="33" s="1"/>
  <c r="J24" i="33"/>
  <c r="K24" i="33" s="1"/>
  <c r="J25" i="33"/>
  <c r="K25" i="33" s="1"/>
  <c r="J26" i="33"/>
  <c r="K26" i="33" s="1"/>
  <c r="J27" i="33"/>
  <c r="K27" i="33"/>
  <c r="J28" i="33"/>
  <c r="K28" i="33" s="1"/>
  <c r="J29" i="33"/>
  <c r="K29" i="33" s="1"/>
  <c r="J30" i="33"/>
  <c r="K30" i="33" s="1"/>
  <c r="J31" i="33"/>
  <c r="K31" i="33"/>
  <c r="J32" i="33"/>
  <c r="K32" i="33" s="1"/>
  <c r="J33" i="33"/>
  <c r="K33" i="33" s="1"/>
  <c r="J34" i="33"/>
  <c r="K34" i="33" s="1"/>
  <c r="Q35" i="33"/>
  <c r="P35" i="33"/>
  <c r="O35" i="33"/>
  <c r="P34" i="33"/>
  <c r="Q34" i="33" s="1"/>
  <c r="N6" i="40"/>
  <c r="N7" i="40"/>
  <c r="N8" i="40"/>
  <c r="N9" i="40"/>
  <c r="N12" i="40"/>
  <c r="C44" i="35" l="1"/>
  <c r="F62" i="35" s="1"/>
  <c r="F52" i="35" s="1"/>
  <c r="F42" i="35"/>
  <c r="C11" i="35"/>
  <c r="F31" i="35" s="1"/>
  <c r="F21" i="35" s="1"/>
  <c r="F43" i="35"/>
  <c r="G63" i="35"/>
  <c r="F15" i="35"/>
  <c r="F59" i="35"/>
  <c r="F60" i="35" s="1"/>
  <c r="F27" i="35"/>
  <c r="F9" i="35"/>
  <c r="F11" i="35" s="1"/>
  <c r="F19" i="35" s="1"/>
  <c r="G23" i="35" s="1"/>
  <c r="R34" i="33"/>
  <c r="M40" i="40"/>
  <c r="M39" i="40"/>
  <c r="M38" i="40"/>
  <c r="M37" i="40"/>
  <c r="D26" i="50"/>
  <c r="D17" i="50" s="1"/>
  <c r="F16" i="48"/>
  <c r="X56" i="36"/>
  <c r="X53" i="36"/>
  <c r="X52" i="36"/>
  <c r="X51" i="36"/>
  <c r="X50" i="36"/>
  <c r="X49" i="36"/>
  <c r="X48" i="36"/>
  <c r="X47" i="36"/>
  <c r="X46" i="36"/>
  <c r="X45" i="36"/>
  <c r="X44" i="36"/>
  <c r="F34" i="33"/>
  <c r="K31" i="37"/>
  <c r="J31" i="37"/>
  <c r="I31" i="37"/>
  <c r="H31" i="37"/>
  <c r="G31" i="37"/>
  <c r="F31" i="37"/>
  <c r="E31" i="37"/>
  <c r="D31" i="37"/>
  <c r="C31" i="37"/>
  <c r="B31" i="37"/>
  <c r="F44" i="35" l="1"/>
  <c r="F50" i="35" s="1"/>
  <c r="G54" i="35" s="1"/>
  <c r="G65" i="35" s="1"/>
  <c r="F28" i="35"/>
  <c r="F29" i="35" s="1"/>
  <c r="G32" i="35"/>
  <c r="G34" i="35" s="1"/>
  <c r="F31" i="33"/>
  <c r="F32" i="33" l="1"/>
  <c r="F33" i="33" l="1"/>
  <c r="P33" i="33" l="1"/>
  <c r="Q33" i="33" s="1"/>
  <c r="P32" i="33"/>
  <c r="Q32" i="33" s="1"/>
  <c r="P31" i="33"/>
  <c r="Q31" i="33" s="1"/>
  <c r="P30" i="33"/>
  <c r="Q30" i="33" s="1"/>
  <c r="R30" i="33" s="1"/>
  <c r="P29" i="33"/>
  <c r="Q29" i="33" s="1"/>
  <c r="R29" i="33" s="1"/>
  <c r="V56" i="36"/>
  <c r="V52" i="36"/>
  <c r="V51" i="36"/>
  <c r="V50" i="36"/>
  <c r="V49" i="36"/>
  <c r="V48" i="36"/>
  <c r="V47" i="36"/>
  <c r="V46" i="36"/>
  <c r="V45" i="36"/>
  <c r="V44" i="36"/>
  <c r="K30" i="37"/>
  <c r="J30" i="37"/>
  <c r="I30" i="37"/>
  <c r="H30" i="37"/>
  <c r="G30" i="37"/>
  <c r="F30" i="37"/>
  <c r="E30" i="37"/>
  <c r="D30" i="37"/>
  <c r="C30" i="37"/>
  <c r="B30" i="37"/>
  <c r="L43" i="40" l="1"/>
  <c r="M43" i="40" s="1"/>
  <c r="L40" i="40"/>
  <c r="L39" i="40"/>
  <c r="L38" i="40"/>
  <c r="L37" i="40"/>
  <c r="K29" i="37"/>
  <c r="J29" i="37"/>
  <c r="I29" i="37"/>
  <c r="H29" i="37"/>
  <c r="G29" i="37"/>
  <c r="F29" i="37"/>
  <c r="E29" i="37"/>
  <c r="D29" i="37"/>
  <c r="C29" i="37"/>
  <c r="B29" i="37"/>
  <c r="T53" i="36"/>
  <c r="T52" i="36"/>
  <c r="T51" i="36"/>
  <c r="T50" i="36"/>
  <c r="T49" i="36"/>
  <c r="T48" i="36"/>
  <c r="T47" i="36"/>
  <c r="T46" i="36"/>
  <c r="T45" i="36"/>
  <c r="T44" i="36"/>
  <c r="T56" i="36"/>
  <c r="R56" i="36"/>
  <c r="R53" i="36"/>
  <c r="R52" i="36"/>
  <c r="R51" i="36"/>
  <c r="R50" i="36"/>
  <c r="R49" i="36"/>
  <c r="R48" i="36"/>
  <c r="R47" i="36"/>
  <c r="R46" i="36"/>
  <c r="R45" i="36"/>
  <c r="R44" i="36"/>
  <c r="K43" i="40"/>
  <c r="K40" i="40"/>
  <c r="K39" i="40"/>
  <c r="K38" i="40"/>
  <c r="K37" i="40"/>
  <c r="K28" i="37" l="1"/>
  <c r="J28" i="37"/>
  <c r="I28" i="37"/>
  <c r="H28" i="37"/>
  <c r="G28" i="37"/>
  <c r="F28" i="37"/>
  <c r="E28" i="37"/>
  <c r="D28" i="37"/>
  <c r="C28" i="37"/>
  <c r="B28" i="37"/>
  <c r="J43" i="40"/>
  <c r="J40" i="40"/>
  <c r="J39" i="40"/>
  <c r="J38" i="40"/>
  <c r="J37" i="40"/>
  <c r="P56" i="36" l="1"/>
  <c r="P53" i="36"/>
  <c r="P52" i="36"/>
  <c r="P51" i="36"/>
  <c r="P50" i="36"/>
  <c r="P49" i="36"/>
  <c r="P48" i="36"/>
  <c r="P47" i="36"/>
  <c r="P46" i="36"/>
  <c r="P45" i="36"/>
  <c r="P44" i="36"/>
  <c r="K27" i="37"/>
  <c r="J27" i="37"/>
  <c r="I27" i="37"/>
  <c r="H27" i="37"/>
  <c r="G27" i="37"/>
  <c r="F27" i="37"/>
  <c r="E27" i="37"/>
  <c r="D27" i="37"/>
  <c r="C27" i="37"/>
  <c r="B27" i="37"/>
  <c r="K26" i="37" l="1"/>
  <c r="J26" i="37"/>
  <c r="I26" i="37"/>
  <c r="H26" i="37"/>
  <c r="G26" i="37"/>
  <c r="F26" i="37"/>
  <c r="E26" i="37"/>
  <c r="D26" i="37"/>
  <c r="C26" i="37"/>
  <c r="B26" i="37"/>
  <c r="N56" i="36"/>
  <c r="N53" i="36"/>
  <c r="N52" i="36"/>
  <c r="N51" i="36"/>
  <c r="N50" i="36"/>
  <c r="N49" i="36"/>
  <c r="N48" i="36"/>
  <c r="N47" i="36"/>
  <c r="N46" i="36"/>
  <c r="N45" i="36"/>
  <c r="N44" i="36"/>
  <c r="F29" i="33"/>
  <c r="C12" i="40" l="1"/>
  <c r="C9" i="40"/>
  <c r="C8" i="40"/>
  <c r="C7" i="40"/>
  <c r="C6" i="40"/>
  <c r="D12" i="40"/>
  <c r="D9" i="40"/>
  <c r="D8" i="40"/>
  <c r="D7" i="40"/>
  <c r="D6" i="40"/>
  <c r="E12" i="40"/>
  <c r="E9" i="40"/>
  <c r="E8" i="40"/>
  <c r="E7" i="40"/>
  <c r="E6" i="40"/>
  <c r="F12" i="40"/>
  <c r="F9" i="40"/>
  <c r="F8" i="40"/>
  <c r="F7" i="40"/>
  <c r="F6" i="40"/>
  <c r="G12" i="40"/>
  <c r="G9" i="40"/>
  <c r="G8" i="40"/>
  <c r="G7" i="40"/>
  <c r="G6" i="40"/>
  <c r="H12" i="40"/>
  <c r="H9" i="40"/>
  <c r="H8" i="40"/>
  <c r="H7" i="40"/>
  <c r="H6" i="40"/>
  <c r="I12" i="40"/>
  <c r="I9" i="40"/>
  <c r="I8" i="40"/>
  <c r="I7" i="40"/>
  <c r="I6" i="40"/>
  <c r="J12" i="40"/>
  <c r="J9" i="40"/>
  <c r="J8" i="40"/>
  <c r="J7" i="40"/>
  <c r="J6" i="40"/>
  <c r="K12" i="40"/>
  <c r="K9" i="40"/>
  <c r="K8" i="40"/>
  <c r="K7" i="40"/>
  <c r="K6" i="40"/>
  <c r="L12" i="40"/>
  <c r="L9" i="40"/>
  <c r="L8" i="40"/>
  <c r="L7" i="40"/>
  <c r="L6" i="40"/>
  <c r="M12" i="40"/>
  <c r="M9" i="40"/>
  <c r="M8" i="40"/>
  <c r="M7" i="40"/>
  <c r="M6" i="40"/>
  <c r="C43" i="40"/>
  <c r="C40" i="40"/>
  <c r="C39" i="40"/>
  <c r="C38" i="40"/>
  <c r="C37" i="40"/>
  <c r="D43" i="40"/>
  <c r="D40" i="40"/>
  <c r="D39" i="40"/>
  <c r="D38" i="40"/>
  <c r="D37" i="40"/>
  <c r="E43" i="40"/>
  <c r="E40" i="40"/>
  <c r="E39" i="40"/>
  <c r="E38" i="40"/>
  <c r="E37" i="40"/>
  <c r="F43" i="40"/>
  <c r="F40" i="40"/>
  <c r="F39" i="40"/>
  <c r="F38" i="40"/>
  <c r="F37" i="40"/>
  <c r="G43" i="40"/>
  <c r="G40" i="40"/>
  <c r="G39" i="40"/>
  <c r="G38" i="40"/>
  <c r="G37" i="40"/>
  <c r="H43" i="40"/>
  <c r="H40" i="40"/>
  <c r="H39" i="40"/>
  <c r="H38" i="40"/>
  <c r="H37" i="40"/>
  <c r="I43" i="40"/>
  <c r="I40" i="40"/>
  <c r="I39" i="40"/>
  <c r="I38" i="40"/>
  <c r="I37" i="40"/>
  <c r="R246" i="33" l="1"/>
  <c r="S254" i="33"/>
  <c r="F26" i="33"/>
  <c r="F27" i="33" l="1"/>
  <c r="F28" i="33" l="1"/>
  <c r="Q28" i="33"/>
  <c r="Q27" i="33"/>
  <c r="Q26" i="33"/>
  <c r="P28" i="33"/>
  <c r="P27" i="33"/>
  <c r="P26" i="33"/>
  <c r="H41" i="40"/>
  <c r="L53" i="36"/>
  <c r="L52" i="36"/>
  <c r="L51" i="36"/>
  <c r="L50" i="36"/>
  <c r="L49" i="36"/>
  <c r="L48" i="36"/>
  <c r="L47" i="36"/>
  <c r="L46" i="36"/>
  <c r="L45" i="36"/>
  <c r="L44" i="36"/>
  <c r="J53" i="36"/>
  <c r="J52" i="36"/>
  <c r="J51" i="36"/>
  <c r="J50" i="36"/>
  <c r="J49" i="36"/>
  <c r="J48" i="36"/>
  <c r="J47" i="36"/>
  <c r="J46" i="36"/>
  <c r="J45" i="36"/>
  <c r="J44" i="36"/>
  <c r="L56" i="36"/>
  <c r="J56" i="36"/>
  <c r="H56" i="36"/>
  <c r="H53" i="36"/>
  <c r="H52" i="36"/>
  <c r="H51" i="36"/>
  <c r="H50" i="36"/>
  <c r="H49" i="36"/>
  <c r="H48" i="36"/>
  <c r="H47" i="36"/>
  <c r="H46" i="36"/>
  <c r="H45" i="36"/>
  <c r="H44" i="36"/>
  <c r="R43" i="40" l="1"/>
  <c r="F8" i="42" s="1"/>
  <c r="P25" i="33"/>
  <c r="Q25" i="33" s="1"/>
  <c r="P24" i="33"/>
  <c r="Q24" i="33" s="1"/>
  <c r="P23" i="33"/>
  <c r="Q23" i="33" s="1"/>
  <c r="G25" i="33"/>
  <c r="H25" i="33" s="1"/>
  <c r="G24" i="33"/>
  <c r="H24" i="33" s="1"/>
  <c r="G23" i="33"/>
  <c r="H23" i="33" s="1"/>
  <c r="E56" i="40" l="1"/>
  <c r="G21" i="33" l="1"/>
  <c r="X37" i="36"/>
  <c r="C12" i="33"/>
  <c r="C11" i="33"/>
  <c r="C10" i="33"/>
  <c r="C9" i="33"/>
  <c r="G9" i="33" l="1"/>
  <c r="G10" i="33"/>
  <c r="G11" i="33"/>
  <c r="G12" i="33"/>
  <c r="G13" i="33"/>
  <c r="G14" i="33"/>
  <c r="G15" i="33"/>
  <c r="F21" i="33" l="1"/>
  <c r="H13" i="33"/>
  <c r="H14" i="33"/>
  <c r="H15" i="33"/>
  <c r="C108" i="35" l="1"/>
  <c r="P20" i="33" l="1"/>
  <c r="Q20" i="33" s="1"/>
  <c r="P19" i="33"/>
  <c r="Q19" i="33" s="1"/>
  <c r="P18" i="33"/>
  <c r="Q18" i="33" s="1"/>
  <c r="P17" i="33"/>
  <c r="Q17" i="33" s="1"/>
  <c r="C76" i="35"/>
  <c r="C75" i="35"/>
  <c r="P16" i="33" l="1"/>
  <c r="Q16" i="33" s="1"/>
  <c r="P15" i="33"/>
  <c r="Q15" i="33" s="1"/>
  <c r="P14" i="33"/>
  <c r="Q14" i="33" s="1"/>
  <c r="P13" i="33"/>
  <c r="Q13" i="33" s="1"/>
  <c r="J40" i="36"/>
  <c r="L40" i="36"/>
  <c r="N40" i="36"/>
  <c r="P40" i="36"/>
  <c r="P37" i="36" l="1"/>
  <c r="N37" i="36" l="1"/>
  <c r="L37" i="36"/>
  <c r="J37" i="36"/>
  <c r="O21" i="33" l="1"/>
  <c r="P12" i="33"/>
  <c r="Q12" i="33" s="1"/>
  <c r="P11" i="33"/>
  <c r="Q11" i="33" s="1"/>
  <c r="P10" i="33"/>
  <c r="Q10" i="33" s="1"/>
  <c r="P9" i="33"/>
  <c r="Q9" i="33" s="1"/>
  <c r="D12" i="33"/>
  <c r="D11" i="33"/>
  <c r="D10" i="33"/>
  <c r="D9" i="33"/>
  <c r="D40" i="36"/>
  <c r="F40" i="36"/>
  <c r="H40" i="36"/>
  <c r="B40" i="36"/>
  <c r="C12" i="42"/>
  <c r="C10" i="42"/>
  <c r="C8" i="42"/>
  <c r="H37" i="36"/>
  <c r="F37" i="36"/>
  <c r="D37" i="36"/>
  <c r="B37" i="36"/>
  <c r="Q21" i="33" l="1"/>
  <c r="P21" i="33"/>
  <c r="H24" i="48"/>
  <c r="H25" i="48"/>
  <c r="D22" i="48"/>
  <c r="D23" i="48"/>
  <c r="D24" i="48"/>
  <c r="D25" i="48"/>
  <c r="A22" i="48"/>
  <c r="A23" i="48"/>
  <c r="A24" i="48"/>
  <c r="A25" i="48"/>
  <c r="A21" i="48"/>
  <c r="D21" i="48"/>
  <c r="D12" i="48"/>
  <c r="D9" i="48"/>
  <c r="D6" i="48"/>
  <c r="A124" i="35" l="1"/>
  <c r="A107" i="35"/>
  <c r="D16" i="49"/>
  <c r="D25" i="49"/>
  <c r="C77" i="35" l="1"/>
  <c r="F97" i="35" s="1"/>
  <c r="F87" i="35" s="1"/>
  <c r="H22" i="48"/>
  <c r="H21" i="48"/>
  <c r="F26" i="48"/>
  <c r="H23" i="48"/>
  <c r="D26" i="48" l="1"/>
  <c r="D16" i="48" s="1"/>
  <c r="H26" i="48"/>
  <c r="C96" i="33"/>
  <c r="D96" i="33"/>
  <c r="E96" i="33"/>
  <c r="I96" i="33"/>
  <c r="J96" i="33"/>
  <c r="K96" i="33"/>
  <c r="L96" i="33"/>
  <c r="M96" i="33"/>
  <c r="N96" i="33"/>
  <c r="O96" i="33"/>
  <c r="D34" i="33"/>
  <c r="L34" i="33"/>
  <c r="L33" i="33"/>
  <c r="D33" i="33"/>
  <c r="H16" i="48" l="1"/>
  <c r="C89" i="33"/>
  <c r="D89" i="33"/>
  <c r="E89" i="33"/>
  <c r="I89" i="33"/>
  <c r="J89" i="33"/>
  <c r="K89" i="33"/>
  <c r="L89" i="33"/>
  <c r="M89" i="33"/>
  <c r="N89" i="33"/>
  <c r="O89" i="33"/>
  <c r="C90" i="33"/>
  <c r="D90" i="33"/>
  <c r="E90" i="33"/>
  <c r="I90" i="33"/>
  <c r="J90" i="33"/>
  <c r="K90" i="33"/>
  <c r="L90" i="33"/>
  <c r="M90" i="33"/>
  <c r="N90" i="33"/>
  <c r="O90" i="33"/>
  <c r="C91" i="33"/>
  <c r="D91" i="33"/>
  <c r="E91" i="33"/>
  <c r="I91" i="33"/>
  <c r="J91" i="33"/>
  <c r="K91" i="33"/>
  <c r="L91" i="33"/>
  <c r="M91" i="33"/>
  <c r="N91" i="33"/>
  <c r="O91" i="33"/>
  <c r="C92" i="33"/>
  <c r="D92" i="33"/>
  <c r="E92" i="33"/>
  <c r="I92" i="33"/>
  <c r="J92" i="33"/>
  <c r="K92" i="33"/>
  <c r="L92" i="33"/>
  <c r="M92" i="33"/>
  <c r="N92" i="33"/>
  <c r="O92" i="33"/>
  <c r="C93" i="33"/>
  <c r="D93" i="33"/>
  <c r="E93" i="33"/>
  <c r="I93" i="33"/>
  <c r="J93" i="33"/>
  <c r="K93" i="33"/>
  <c r="L93" i="33"/>
  <c r="M93" i="33"/>
  <c r="N93" i="33"/>
  <c r="O93" i="33"/>
  <c r="C94" i="33"/>
  <c r="D94" i="33"/>
  <c r="E94" i="33"/>
  <c r="I94" i="33"/>
  <c r="J94" i="33"/>
  <c r="K94" i="33"/>
  <c r="L94" i="33"/>
  <c r="M94" i="33"/>
  <c r="N94" i="33"/>
  <c r="O94" i="33"/>
  <c r="C95" i="33"/>
  <c r="D95" i="33"/>
  <c r="E95" i="33"/>
  <c r="I95" i="33"/>
  <c r="J95" i="33"/>
  <c r="K95" i="33"/>
  <c r="L95" i="33"/>
  <c r="M95" i="33"/>
  <c r="N95" i="33"/>
  <c r="O95" i="33"/>
  <c r="C88" i="33"/>
  <c r="D88" i="33"/>
  <c r="E88" i="33"/>
  <c r="I88" i="33"/>
  <c r="J88" i="33"/>
  <c r="K88" i="33"/>
  <c r="L88" i="33"/>
  <c r="M88" i="33"/>
  <c r="N88" i="33"/>
  <c r="O88" i="33"/>
  <c r="L32" i="33" l="1"/>
  <c r="L31" i="33"/>
  <c r="L30" i="33"/>
  <c r="L29" i="33"/>
  <c r="L28" i="33"/>
  <c r="L27" i="33"/>
  <c r="L26" i="33"/>
  <c r="L25" i="33"/>
  <c r="D32" i="33"/>
  <c r="D31" i="33"/>
  <c r="D30" i="33"/>
  <c r="D29" i="33" l="1"/>
  <c r="D28" i="33"/>
  <c r="D27" i="33"/>
  <c r="D26" i="33"/>
  <c r="D85" i="33" l="1"/>
  <c r="E85" i="33"/>
  <c r="I85" i="33"/>
  <c r="J85" i="33"/>
  <c r="K85" i="33"/>
  <c r="L85" i="33"/>
  <c r="M85" i="33"/>
  <c r="N85" i="33"/>
  <c r="O85" i="33"/>
  <c r="D86" i="33"/>
  <c r="E86" i="33"/>
  <c r="I86" i="33"/>
  <c r="J86" i="33"/>
  <c r="K86" i="33"/>
  <c r="L86" i="33"/>
  <c r="M86" i="33"/>
  <c r="N86" i="33"/>
  <c r="O86" i="33"/>
  <c r="D87" i="33"/>
  <c r="E87" i="33"/>
  <c r="I87" i="33"/>
  <c r="J87" i="33"/>
  <c r="K87" i="33"/>
  <c r="L87" i="33"/>
  <c r="M87" i="33"/>
  <c r="N87" i="33"/>
  <c r="O87" i="33"/>
  <c r="C86" i="33"/>
  <c r="C87" i="33"/>
  <c r="C85" i="33"/>
  <c r="L24" i="33"/>
  <c r="L23" i="33"/>
  <c r="D25" i="33"/>
  <c r="D24" i="33"/>
  <c r="D23" i="33"/>
  <c r="A190" i="35" l="1"/>
  <c r="A173" i="35"/>
  <c r="N52" i="40"/>
  <c r="N56" i="40" s="1"/>
  <c r="C176" i="35" s="1"/>
  <c r="F194" i="35" s="1"/>
  <c r="F184" i="35" s="1"/>
  <c r="M52" i="40"/>
  <c r="M56" i="40" s="1"/>
  <c r="L52" i="40"/>
  <c r="L56" i="40" s="1"/>
  <c r="K52" i="40"/>
  <c r="K56" i="40" s="1"/>
  <c r="J52" i="40"/>
  <c r="J56" i="40" s="1"/>
  <c r="I52" i="40"/>
  <c r="I56" i="40" s="1"/>
  <c r="H52" i="40"/>
  <c r="H56" i="40" s="1"/>
  <c r="G52" i="40"/>
  <c r="G56" i="40" s="1"/>
  <c r="F52" i="40"/>
  <c r="F56" i="40" s="1"/>
  <c r="E52" i="40"/>
  <c r="D52" i="40"/>
  <c r="D56" i="40" s="1"/>
  <c r="C52" i="40"/>
  <c r="C56" i="40" s="1"/>
  <c r="N41" i="40"/>
  <c r="M41" i="40"/>
  <c r="L41" i="40"/>
  <c r="L45" i="40" s="1"/>
  <c r="L47" i="40" s="1"/>
  <c r="L49" i="40" s="1"/>
  <c r="I32" i="33" s="1"/>
  <c r="K41" i="40"/>
  <c r="J41" i="40"/>
  <c r="I41" i="40"/>
  <c r="H45" i="40"/>
  <c r="H47" i="40" s="1"/>
  <c r="H49" i="40" s="1"/>
  <c r="I28" i="33" s="1"/>
  <c r="G41" i="40"/>
  <c r="F41" i="40"/>
  <c r="E41" i="40"/>
  <c r="D41" i="40"/>
  <c r="D45" i="40" s="1"/>
  <c r="D47" i="40" s="1"/>
  <c r="D49" i="40" s="1"/>
  <c r="I24" i="33" s="1"/>
  <c r="C41" i="40"/>
  <c r="K32" i="37"/>
  <c r="J32" i="37"/>
  <c r="I32" i="37"/>
  <c r="H32" i="37"/>
  <c r="G32" i="37"/>
  <c r="F32" i="37"/>
  <c r="E32" i="37"/>
  <c r="D32" i="37"/>
  <c r="C32" i="37"/>
  <c r="B32" i="37"/>
  <c r="V54" i="36"/>
  <c r="T54" i="36"/>
  <c r="R54" i="36"/>
  <c r="P54" i="36"/>
  <c r="N54" i="36"/>
  <c r="L54" i="36"/>
  <c r="J54" i="36"/>
  <c r="J58" i="36" s="1"/>
  <c r="C27" i="33" s="1"/>
  <c r="H54" i="36"/>
  <c r="F54" i="36"/>
  <c r="D54" i="36"/>
  <c r="B54" i="36"/>
  <c r="Z53" i="36"/>
  <c r="Z52" i="36"/>
  <c r="Z51" i="36"/>
  <c r="Z50" i="36"/>
  <c r="Z49" i="36"/>
  <c r="Z48" i="36"/>
  <c r="Z47" i="36"/>
  <c r="Z46" i="36"/>
  <c r="X54" i="36"/>
  <c r="Z44" i="36"/>
  <c r="L35" i="33"/>
  <c r="D35" i="33"/>
  <c r="E27" i="33" l="1"/>
  <c r="G27" i="33"/>
  <c r="G51" i="36"/>
  <c r="M60" i="33" s="1"/>
  <c r="G47" i="36"/>
  <c r="I60" i="33" s="1"/>
  <c r="G49" i="36"/>
  <c r="J60" i="33" s="1"/>
  <c r="G50" i="36"/>
  <c r="L60" i="33" s="1"/>
  <c r="G53" i="36"/>
  <c r="O60" i="33" s="1"/>
  <c r="G45" i="36"/>
  <c r="D60" i="33" s="1"/>
  <c r="G52" i="36"/>
  <c r="N60" i="33" s="1"/>
  <c r="G48" i="36"/>
  <c r="K60" i="33" s="1"/>
  <c r="G44" i="36"/>
  <c r="C60" i="33" s="1"/>
  <c r="P60" i="33" s="1"/>
  <c r="G46" i="36"/>
  <c r="E60" i="33" s="1"/>
  <c r="E53" i="36"/>
  <c r="O59" i="33" s="1"/>
  <c r="E49" i="36"/>
  <c r="J59" i="33" s="1"/>
  <c r="E45" i="36"/>
  <c r="D59" i="33" s="1"/>
  <c r="E52" i="36"/>
  <c r="N59" i="33" s="1"/>
  <c r="E48" i="36"/>
  <c r="K59" i="33" s="1"/>
  <c r="E44" i="36"/>
  <c r="C59" i="33" s="1"/>
  <c r="E46" i="36"/>
  <c r="E59" i="33" s="1"/>
  <c r="E51" i="36"/>
  <c r="M59" i="33" s="1"/>
  <c r="E47" i="36"/>
  <c r="I59" i="33" s="1"/>
  <c r="E50" i="36"/>
  <c r="L59" i="33" s="1"/>
  <c r="D58" i="36"/>
  <c r="C24" i="33" s="1"/>
  <c r="E24" i="33" s="1"/>
  <c r="B58" i="36"/>
  <c r="C23" i="33" s="1"/>
  <c r="E23" i="33" s="1"/>
  <c r="C47" i="36"/>
  <c r="I58" i="33" s="1"/>
  <c r="C51" i="36"/>
  <c r="M58" i="33" s="1"/>
  <c r="C48" i="36"/>
  <c r="K58" i="33" s="1"/>
  <c r="C52" i="36"/>
  <c r="N58" i="33" s="1"/>
  <c r="C45" i="36"/>
  <c r="D58" i="33" s="1"/>
  <c r="C49" i="36"/>
  <c r="J58" i="33" s="1"/>
  <c r="C53" i="36"/>
  <c r="O58" i="33" s="1"/>
  <c r="C46" i="36"/>
  <c r="E58" i="33" s="1"/>
  <c r="C50" i="36"/>
  <c r="L58" i="33" s="1"/>
  <c r="C44" i="36"/>
  <c r="C58" i="33" s="1"/>
  <c r="P58" i="33" s="1"/>
  <c r="Y53" i="36"/>
  <c r="O69" i="33" s="1"/>
  <c r="Y49" i="36"/>
  <c r="J69" i="33" s="1"/>
  <c r="Y45" i="36"/>
  <c r="D69" i="33" s="1"/>
  <c r="Y47" i="36"/>
  <c r="I69" i="33" s="1"/>
  <c r="Y50" i="36"/>
  <c r="L69" i="33" s="1"/>
  <c r="Y52" i="36"/>
  <c r="N69" i="33" s="1"/>
  <c r="Y48" i="36"/>
  <c r="K69" i="33" s="1"/>
  <c r="Y44" i="36"/>
  <c r="Y51" i="36"/>
  <c r="M69" i="33" s="1"/>
  <c r="Y46" i="36"/>
  <c r="E69" i="33" s="1"/>
  <c r="V58" i="36"/>
  <c r="C33" i="33" s="1"/>
  <c r="E33" i="33" s="1"/>
  <c r="G33" i="33" s="1"/>
  <c r="H33" i="33" s="1"/>
  <c r="W51" i="36"/>
  <c r="M68" i="33" s="1"/>
  <c r="W47" i="36"/>
  <c r="I68" i="33" s="1"/>
  <c r="W46" i="36"/>
  <c r="E68" i="33" s="1"/>
  <c r="W49" i="36"/>
  <c r="J68" i="33" s="1"/>
  <c r="W45" i="36"/>
  <c r="D68" i="33" s="1"/>
  <c r="W48" i="36"/>
  <c r="K68" i="33" s="1"/>
  <c r="W44" i="36"/>
  <c r="C68" i="33" s="1"/>
  <c r="W50" i="36"/>
  <c r="L68" i="33" s="1"/>
  <c r="W53" i="36"/>
  <c r="O68" i="33" s="1"/>
  <c r="W52" i="36"/>
  <c r="N68" i="33" s="1"/>
  <c r="T58" i="36"/>
  <c r="C32" i="33" s="1"/>
  <c r="E32" i="33" s="1"/>
  <c r="U53" i="36"/>
  <c r="O67" i="33" s="1"/>
  <c r="U49" i="36"/>
  <c r="J67" i="33" s="1"/>
  <c r="U45" i="36"/>
  <c r="D67" i="33" s="1"/>
  <c r="U52" i="36"/>
  <c r="N67" i="33" s="1"/>
  <c r="U48" i="36"/>
  <c r="K67" i="33" s="1"/>
  <c r="U44" i="36"/>
  <c r="C67" i="33" s="1"/>
  <c r="U51" i="36"/>
  <c r="M67" i="33" s="1"/>
  <c r="U47" i="36"/>
  <c r="I67" i="33" s="1"/>
  <c r="U50" i="36"/>
  <c r="L67" i="33" s="1"/>
  <c r="U46" i="36"/>
  <c r="E67" i="33" s="1"/>
  <c r="S51" i="36"/>
  <c r="M66" i="33" s="1"/>
  <c r="S47" i="36"/>
  <c r="I66" i="33" s="1"/>
  <c r="S53" i="36"/>
  <c r="O66" i="33" s="1"/>
  <c r="S52" i="36"/>
  <c r="N66" i="33" s="1"/>
  <c r="S50" i="36"/>
  <c r="L66" i="33" s="1"/>
  <c r="S46" i="36"/>
  <c r="E66" i="33" s="1"/>
  <c r="S49" i="36"/>
  <c r="J66" i="33" s="1"/>
  <c r="S45" i="36"/>
  <c r="D66" i="33" s="1"/>
  <c r="S48" i="36"/>
  <c r="S44" i="36"/>
  <c r="C66" i="33" s="1"/>
  <c r="R58" i="36"/>
  <c r="C31" i="33" s="1"/>
  <c r="E31" i="33" s="1"/>
  <c r="P58" i="36"/>
  <c r="C30" i="33" s="1"/>
  <c r="E30" i="33" s="1"/>
  <c r="Q53" i="36"/>
  <c r="O65" i="33" s="1"/>
  <c r="Q49" i="36"/>
  <c r="J65" i="33" s="1"/>
  <c r="Q45" i="36"/>
  <c r="D65" i="33" s="1"/>
  <c r="Q50" i="36"/>
  <c r="L65" i="33" s="1"/>
  <c r="Q52" i="36"/>
  <c r="N65" i="33" s="1"/>
  <c r="Q48" i="36"/>
  <c r="K65" i="33" s="1"/>
  <c r="Q44" i="36"/>
  <c r="C65" i="33" s="1"/>
  <c r="Q51" i="36"/>
  <c r="M65" i="33" s="1"/>
  <c r="Q47" i="36"/>
  <c r="I65" i="33" s="1"/>
  <c r="Q46" i="36"/>
  <c r="E65" i="33" s="1"/>
  <c r="N58" i="36"/>
  <c r="C29" i="33" s="1"/>
  <c r="O52" i="36"/>
  <c r="N64" i="33" s="1"/>
  <c r="O48" i="36"/>
  <c r="K64" i="33" s="1"/>
  <c r="O44" i="36"/>
  <c r="C64" i="33" s="1"/>
  <c r="O49" i="36"/>
  <c r="J64" i="33" s="1"/>
  <c r="O51" i="36"/>
  <c r="M64" i="33" s="1"/>
  <c r="O47" i="36"/>
  <c r="I64" i="33" s="1"/>
  <c r="O53" i="36"/>
  <c r="O64" i="33" s="1"/>
  <c r="O50" i="36"/>
  <c r="L64" i="33" s="1"/>
  <c r="O46" i="36"/>
  <c r="E64" i="33" s="1"/>
  <c r="O45" i="36"/>
  <c r="D64" i="33" s="1"/>
  <c r="M50" i="36"/>
  <c r="L63" i="33" s="1"/>
  <c r="M46" i="36"/>
  <c r="E63" i="33" s="1"/>
  <c r="M48" i="36"/>
  <c r="K63" i="33" s="1"/>
  <c r="M44" i="36"/>
  <c r="C63" i="33" s="1"/>
  <c r="M51" i="36"/>
  <c r="M63" i="33" s="1"/>
  <c r="M53" i="36"/>
  <c r="O63" i="33" s="1"/>
  <c r="M49" i="36"/>
  <c r="J63" i="33" s="1"/>
  <c r="M45" i="36"/>
  <c r="D63" i="33" s="1"/>
  <c r="M52" i="36"/>
  <c r="N63" i="33" s="1"/>
  <c r="M47" i="36"/>
  <c r="I63" i="33" s="1"/>
  <c r="L58" i="36"/>
  <c r="C28" i="33" s="1"/>
  <c r="K52" i="36"/>
  <c r="N62" i="33" s="1"/>
  <c r="K48" i="36"/>
  <c r="K62" i="33" s="1"/>
  <c r="K44" i="36"/>
  <c r="C62" i="33" s="1"/>
  <c r="K49" i="36"/>
  <c r="J62" i="33" s="1"/>
  <c r="K51" i="36"/>
  <c r="M62" i="33" s="1"/>
  <c r="K47" i="36"/>
  <c r="I62" i="33" s="1"/>
  <c r="K45" i="36"/>
  <c r="D62" i="33" s="1"/>
  <c r="K50" i="36"/>
  <c r="L62" i="33" s="1"/>
  <c r="K46" i="36"/>
  <c r="E62" i="33" s="1"/>
  <c r="K53" i="36"/>
  <c r="O62" i="33" s="1"/>
  <c r="I50" i="36"/>
  <c r="L61" i="33" s="1"/>
  <c r="I46" i="36"/>
  <c r="E61" i="33" s="1"/>
  <c r="I52" i="36"/>
  <c r="N61" i="33" s="1"/>
  <c r="I44" i="36"/>
  <c r="C61" i="33" s="1"/>
  <c r="I51" i="36"/>
  <c r="M61" i="33" s="1"/>
  <c r="I53" i="36"/>
  <c r="O61" i="33" s="1"/>
  <c r="I49" i="36"/>
  <c r="J61" i="33" s="1"/>
  <c r="I45" i="36"/>
  <c r="D61" i="33" s="1"/>
  <c r="I48" i="36"/>
  <c r="K61" i="33" s="1"/>
  <c r="I47" i="36"/>
  <c r="I61" i="33" s="1"/>
  <c r="H58" i="36"/>
  <c r="C26" i="33" s="1"/>
  <c r="C143" i="35"/>
  <c r="F163" i="35" s="1"/>
  <c r="F153" i="35" s="1"/>
  <c r="P52" i="40"/>
  <c r="P56" i="40"/>
  <c r="E45" i="40"/>
  <c r="E47" i="40" s="1"/>
  <c r="E49" i="40" s="1"/>
  <c r="I25" i="33" s="1"/>
  <c r="I45" i="40"/>
  <c r="I47" i="40" s="1"/>
  <c r="I49" i="40" s="1"/>
  <c r="I29" i="33" s="1"/>
  <c r="M45" i="40"/>
  <c r="M47" i="40" s="1"/>
  <c r="M49" i="40" s="1"/>
  <c r="I33" i="33" s="1"/>
  <c r="P43" i="40"/>
  <c r="F6" i="48" s="1"/>
  <c r="D6" i="50" s="1"/>
  <c r="F45" i="40"/>
  <c r="F47" i="40" s="1"/>
  <c r="F49" i="40" s="1"/>
  <c r="I26" i="33" s="1"/>
  <c r="J45" i="40"/>
  <c r="J47" i="40" s="1"/>
  <c r="J49" i="40" s="1"/>
  <c r="I30" i="33" s="1"/>
  <c r="N45" i="40"/>
  <c r="N47" i="40" s="1"/>
  <c r="N49" i="40" s="1"/>
  <c r="I34" i="33" s="1"/>
  <c r="C45" i="40"/>
  <c r="C47" i="40" s="1"/>
  <c r="C49" i="40" s="1"/>
  <c r="I23" i="33" s="1"/>
  <c r="G45" i="40"/>
  <c r="G47" i="40" s="1"/>
  <c r="G49" i="40" s="1"/>
  <c r="I27" i="33" s="1"/>
  <c r="K45" i="40"/>
  <c r="K47" i="40" s="1"/>
  <c r="K49" i="40" s="1"/>
  <c r="I31" i="33" s="1"/>
  <c r="Z45" i="36"/>
  <c r="G54" i="36"/>
  <c r="F58" i="36"/>
  <c r="C25" i="33" s="1"/>
  <c r="E25" i="33" s="1"/>
  <c r="X58" i="36"/>
  <c r="C34" i="33" s="1"/>
  <c r="Z56" i="36"/>
  <c r="E34" i="33" l="1"/>
  <c r="G34" i="33"/>
  <c r="H34" i="33" s="1"/>
  <c r="M32" i="33"/>
  <c r="R32" i="33"/>
  <c r="W54" i="36"/>
  <c r="P68" i="33"/>
  <c r="P67" i="33"/>
  <c r="P64" i="33"/>
  <c r="E29" i="33"/>
  <c r="F30" i="33" s="1"/>
  <c r="G29" i="33"/>
  <c r="M24" i="33"/>
  <c r="R24" i="33"/>
  <c r="E28" i="33"/>
  <c r="G28" i="33"/>
  <c r="E26" i="33"/>
  <c r="G26" i="33"/>
  <c r="H26" i="33" s="1"/>
  <c r="H27" i="33"/>
  <c r="K54" i="36"/>
  <c r="P61" i="33"/>
  <c r="P59" i="33"/>
  <c r="E54" i="36"/>
  <c r="C54" i="36"/>
  <c r="P62" i="33"/>
  <c r="P65" i="33"/>
  <c r="L121" i="33"/>
  <c r="R23" i="33"/>
  <c r="P63" i="33"/>
  <c r="N121" i="33"/>
  <c r="J121" i="33"/>
  <c r="I121" i="33"/>
  <c r="C121" i="33"/>
  <c r="M30" i="33"/>
  <c r="M29" i="33"/>
  <c r="S54" i="36"/>
  <c r="K66" i="33"/>
  <c r="P66" i="33" s="1"/>
  <c r="K121" i="33"/>
  <c r="M121" i="33"/>
  <c r="E121" i="33"/>
  <c r="O121" i="33"/>
  <c r="D121" i="33"/>
  <c r="M34" i="33"/>
  <c r="Y54" i="36"/>
  <c r="C69" i="33"/>
  <c r="U54" i="36"/>
  <c r="Q54" i="36"/>
  <c r="O54" i="36"/>
  <c r="M54" i="36"/>
  <c r="C35" i="33"/>
  <c r="E35" i="33"/>
  <c r="I54" i="36"/>
  <c r="Z54" i="36"/>
  <c r="Z58" i="36" s="1"/>
  <c r="M31" i="33" l="1"/>
  <c r="R31" i="33"/>
  <c r="M33" i="33"/>
  <c r="R33" i="33"/>
  <c r="G30" i="33"/>
  <c r="H30" i="33" s="1"/>
  <c r="H29" i="33"/>
  <c r="N123" i="33"/>
  <c r="R25" i="33"/>
  <c r="M26" i="33"/>
  <c r="R26" i="33"/>
  <c r="M27" i="33"/>
  <c r="R27" i="33"/>
  <c r="H28" i="33"/>
  <c r="M28" i="33"/>
  <c r="R28" i="33"/>
  <c r="O131" i="33"/>
  <c r="N124" i="33"/>
  <c r="C130" i="33"/>
  <c r="M126" i="33"/>
  <c r="E125" i="33"/>
  <c r="L129" i="33"/>
  <c r="I126" i="33"/>
  <c r="O129" i="33"/>
  <c r="J128" i="33"/>
  <c r="D128" i="33"/>
  <c r="C122" i="33"/>
  <c r="M123" i="33"/>
  <c r="I123" i="33"/>
  <c r="P121" i="33"/>
  <c r="K128" i="33"/>
  <c r="L123" i="33"/>
  <c r="C128" i="33"/>
  <c r="E126" i="33"/>
  <c r="L126" i="33"/>
  <c r="N122" i="33"/>
  <c r="O126" i="33"/>
  <c r="I128" i="33"/>
  <c r="N129" i="33"/>
  <c r="K123" i="33"/>
  <c r="C125" i="33"/>
  <c r="D125" i="33"/>
  <c r="E123" i="33"/>
  <c r="N131" i="33"/>
  <c r="J122" i="33"/>
  <c r="K126" i="33"/>
  <c r="O127" i="33"/>
  <c r="J129" i="33"/>
  <c r="D123" i="33"/>
  <c r="L124" i="33"/>
  <c r="O122" i="33"/>
  <c r="M124" i="33"/>
  <c r="E131" i="33"/>
  <c r="L122" i="33"/>
  <c r="I125" i="33"/>
  <c r="N126" i="33"/>
  <c r="E128" i="33"/>
  <c r="D130" i="33"/>
  <c r="J123" i="33"/>
  <c r="K129" i="33"/>
  <c r="E122" i="33"/>
  <c r="O124" i="33"/>
  <c r="J126" i="33"/>
  <c r="N127" i="33"/>
  <c r="M129" i="33"/>
  <c r="C123" i="33"/>
  <c r="D131" i="33"/>
  <c r="I131" i="33"/>
  <c r="L131" i="33"/>
  <c r="K122" i="33"/>
  <c r="M122" i="33"/>
  <c r="N130" i="33"/>
  <c r="E129" i="33"/>
  <c r="L127" i="33"/>
  <c r="D126" i="33"/>
  <c r="K124" i="33"/>
  <c r="M130" i="33"/>
  <c r="D129" i="33"/>
  <c r="K127" i="33"/>
  <c r="C126" i="33"/>
  <c r="J124" i="33"/>
  <c r="L130" i="33"/>
  <c r="C129" i="33"/>
  <c r="J127" i="33"/>
  <c r="O125" i="33"/>
  <c r="I124" i="33"/>
  <c r="O130" i="33"/>
  <c r="I129" i="33"/>
  <c r="M127" i="33"/>
  <c r="N125" i="33"/>
  <c r="E124" i="33"/>
  <c r="M25" i="33"/>
  <c r="J131" i="33"/>
  <c r="K131" i="33"/>
  <c r="M131" i="33"/>
  <c r="D122" i="33"/>
  <c r="I122" i="33"/>
  <c r="J130" i="33"/>
  <c r="N128" i="33"/>
  <c r="E127" i="33"/>
  <c r="M125" i="33"/>
  <c r="D124" i="33"/>
  <c r="I130" i="33"/>
  <c r="M128" i="33"/>
  <c r="D127" i="33"/>
  <c r="L125" i="33"/>
  <c r="C124" i="33"/>
  <c r="E130" i="33"/>
  <c r="L128" i="33"/>
  <c r="C127" i="33"/>
  <c r="K125" i="33"/>
  <c r="O123" i="33"/>
  <c r="K130" i="33"/>
  <c r="O128" i="33"/>
  <c r="I127" i="33"/>
  <c r="J125" i="33"/>
  <c r="H6" i="48"/>
  <c r="E120" i="33"/>
  <c r="L120" i="33"/>
  <c r="D120" i="33"/>
  <c r="I120" i="33"/>
  <c r="M120" i="33"/>
  <c r="C120" i="33"/>
  <c r="J120" i="33"/>
  <c r="N120" i="33"/>
  <c r="K120" i="33"/>
  <c r="O120" i="33"/>
  <c r="J35" i="33"/>
  <c r="I35" i="33" s="1"/>
  <c r="P69" i="33"/>
  <c r="C131" i="33"/>
  <c r="M23" i="33"/>
  <c r="K35" i="33"/>
  <c r="R35" i="33" s="1"/>
  <c r="B150" i="33" s="1"/>
  <c r="M152" i="33" s="1"/>
  <c r="M220" i="33" l="1"/>
  <c r="M185" i="33"/>
  <c r="M250" i="33" s="1"/>
  <c r="M162" i="33"/>
  <c r="M230" i="33" s="1"/>
  <c r="J157" i="33"/>
  <c r="J225" i="33" s="1"/>
  <c r="K159" i="33"/>
  <c r="K227" i="33" s="1"/>
  <c r="D155" i="33"/>
  <c r="D223" i="33" s="1"/>
  <c r="K162" i="33"/>
  <c r="K230" i="33" s="1"/>
  <c r="I155" i="33"/>
  <c r="I223" i="33" s="1"/>
  <c r="D160" i="33"/>
  <c r="D228" i="33" s="1"/>
  <c r="K153" i="33"/>
  <c r="K221" i="33" s="1"/>
  <c r="O155" i="33"/>
  <c r="O223" i="33" s="1"/>
  <c r="L153" i="33"/>
  <c r="L221" i="33" s="1"/>
  <c r="K157" i="33"/>
  <c r="K225" i="33" s="1"/>
  <c r="I159" i="33"/>
  <c r="I227" i="33" s="1"/>
  <c r="C152" i="33"/>
  <c r="C220" i="33" s="1"/>
  <c r="I157" i="33"/>
  <c r="I225" i="33" s="1"/>
  <c r="D152" i="33"/>
  <c r="J159" i="33"/>
  <c r="J227" i="33" s="1"/>
  <c r="O161" i="33"/>
  <c r="O229" i="33" s="1"/>
  <c r="I156" i="33"/>
  <c r="I224" i="33" s="1"/>
  <c r="O160" i="33"/>
  <c r="O228" i="33" s="1"/>
  <c r="L159" i="33"/>
  <c r="L227" i="33" s="1"/>
  <c r="M156" i="33"/>
  <c r="M224" i="33" s="1"/>
  <c r="J162" i="33"/>
  <c r="J230" i="33" s="1"/>
  <c r="O156" i="33"/>
  <c r="O224" i="33" s="1"/>
  <c r="M161" i="33"/>
  <c r="M229" i="33" s="1"/>
  <c r="L162" i="33"/>
  <c r="L230" i="33" s="1"/>
  <c r="E153" i="33"/>
  <c r="E221" i="33" s="1"/>
  <c r="E162" i="33"/>
  <c r="E230" i="33" s="1"/>
  <c r="J153" i="33"/>
  <c r="J221" i="33" s="1"/>
  <c r="O157" i="33"/>
  <c r="O225" i="33" s="1"/>
  <c r="L160" i="33"/>
  <c r="L228" i="33" s="1"/>
  <c r="L152" i="33"/>
  <c r="K156" i="33"/>
  <c r="K224" i="33" s="1"/>
  <c r="M153" i="33"/>
  <c r="N160" i="33"/>
  <c r="N228" i="33" s="1"/>
  <c r="N154" i="33"/>
  <c r="N222" i="33" s="1"/>
  <c r="J156" i="33"/>
  <c r="J224" i="33" s="1"/>
  <c r="E161" i="33"/>
  <c r="E229" i="33" s="1"/>
  <c r="E158" i="33"/>
  <c r="E226" i="33" s="1"/>
  <c r="J158" i="33"/>
  <c r="J226" i="33" s="1"/>
  <c r="K155" i="33"/>
  <c r="K223" i="33" s="1"/>
  <c r="I162" i="33"/>
  <c r="I230" i="33" s="1"/>
  <c r="K160" i="33"/>
  <c r="K228" i="33" s="1"/>
  <c r="M155" i="33"/>
  <c r="M223" i="33" s="1"/>
  <c r="N162" i="33"/>
  <c r="N230" i="33" s="1"/>
  <c r="N153" i="33"/>
  <c r="N221" i="33" s="1"/>
  <c r="I154" i="33"/>
  <c r="I222" i="33" s="1"/>
  <c r="E156" i="33"/>
  <c r="E224" i="33" s="1"/>
  <c r="K152" i="33"/>
  <c r="K158" i="33"/>
  <c r="K226" i="33" s="1"/>
  <c r="O158" i="33"/>
  <c r="O226" i="33" s="1"/>
  <c r="O152" i="33"/>
  <c r="D153" i="33"/>
  <c r="D221" i="33" s="1"/>
  <c r="I158" i="33"/>
  <c r="I226" i="33" s="1"/>
  <c r="N159" i="33"/>
  <c r="N227" i="33" s="1"/>
  <c r="E155" i="33"/>
  <c r="E223" i="33" s="1"/>
  <c r="D157" i="33"/>
  <c r="D225" i="33" s="1"/>
  <c r="D162" i="33"/>
  <c r="D230" i="33" s="1"/>
  <c r="J154" i="33"/>
  <c r="J222" i="33" s="1"/>
  <c r="O153" i="33"/>
  <c r="O221" i="33" s="1"/>
  <c r="E154" i="33"/>
  <c r="E222" i="33" s="1"/>
  <c r="L157" i="33"/>
  <c r="L225" i="33" s="1"/>
  <c r="M154" i="33"/>
  <c r="M222" i="33" s="1"/>
  <c r="M157" i="33"/>
  <c r="M225" i="33" s="1"/>
  <c r="I152" i="33"/>
  <c r="N158" i="33"/>
  <c r="N226" i="33" s="1"/>
  <c r="O159" i="33"/>
  <c r="O227" i="33" s="1"/>
  <c r="L156" i="33"/>
  <c r="L224" i="33" s="1"/>
  <c r="J161" i="33"/>
  <c r="J229" i="33" s="1"/>
  <c r="N156" i="33"/>
  <c r="N224" i="33" s="1"/>
  <c r="L161" i="33"/>
  <c r="L229" i="33" s="1"/>
  <c r="L158" i="33"/>
  <c r="L226" i="33" s="1"/>
  <c r="C154" i="33"/>
  <c r="C222" i="33" s="1"/>
  <c r="D161" i="33"/>
  <c r="D229" i="33" s="1"/>
  <c r="L155" i="33"/>
  <c r="L223" i="33" s="1"/>
  <c r="D156" i="33"/>
  <c r="D224" i="33" s="1"/>
  <c r="E157" i="33"/>
  <c r="E225" i="33" s="1"/>
  <c r="C153" i="33"/>
  <c r="C221" i="33" s="1"/>
  <c r="C161" i="33"/>
  <c r="C229" i="33" s="1"/>
  <c r="P229" i="33" s="1"/>
  <c r="N152" i="33"/>
  <c r="C157" i="33"/>
  <c r="C225" i="33" s="1"/>
  <c r="J160" i="33"/>
  <c r="J228" i="33" s="1"/>
  <c r="K161" i="33"/>
  <c r="K229" i="33" s="1"/>
  <c r="D158" i="33"/>
  <c r="D226" i="33" s="1"/>
  <c r="I153" i="33"/>
  <c r="I221" i="33" s="1"/>
  <c r="M158" i="33"/>
  <c r="M226" i="33" s="1"/>
  <c r="J155" i="33"/>
  <c r="J223" i="33" s="1"/>
  <c r="E160" i="33"/>
  <c r="E228" i="33" s="1"/>
  <c r="M160" i="33"/>
  <c r="M228" i="33" s="1"/>
  <c r="E159" i="33"/>
  <c r="E227" i="33" s="1"/>
  <c r="D154" i="33"/>
  <c r="D222" i="33" s="1"/>
  <c r="C156" i="33"/>
  <c r="C224" i="33" s="1"/>
  <c r="C159" i="33"/>
  <c r="C227" i="33" s="1"/>
  <c r="D159" i="33"/>
  <c r="D227" i="33" s="1"/>
  <c r="N155" i="33"/>
  <c r="N223" i="33" s="1"/>
  <c r="J152" i="33"/>
  <c r="I161" i="33"/>
  <c r="I229" i="33" s="1"/>
  <c r="N157" i="33"/>
  <c r="N225" i="33" s="1"/>
  <c r="O154" i="33"/>
  <c r="O222" i="33" s="1"/>
  <c r="M159" i="33"/>
  <c r="M227" i="33" s="1"/>
  <c r="I160" i="33"/>
  <c r="I228" i="33" s="1"/>
  <c r="N161" i="33"/>
  <c r="N229" i="33" s="1"/>
  <c r="K154" i="33"/>
  <c r="K222" i="33" s="1"/>
  <c r="L154" i="33"/>
  <c r="L222" i="33" s="1"/>
  <c r="O162" i="33"/>
  <c r="O230" i="33" s="1"/>
  <c r="E152" i="33"/>
  <c r="O195" i="33"/>
  <c r="O260" i="33" s="1"/>
  <c r="D195" i="33"/>
  <c r="D260" i="33" s="1"/>
  <c r="P129" i="33"/>
  <c r="G31" i="33"/>
  <c r="H31" i="33" s="1"/>
  <c r="G32" i="33"/>
  <c r="H32" i="33" s="1"/>
  <c r="P130" i="33"/>
  <c r="C160" i="33"/>
  <c r="C228" i="33" s="1"/>
  <c r="P128" i="33"/>
  <c r="P127" i="33"/>
  <c r="P126" i="33"/>
  <c r="E195" i="33"/>
  <c r="E260" i="33" s="1"/>
  <c r="P125" i="33"/>
  <c r="P224" i="33"/>
  <c r="P124" i="33"/>
  <c r="P123" i="33"/>
  <c r="M195" i="33"/>
  <c r="M260" i="33" s="1"/>
  <c r="M221" i="33"/>
  <c r="P122" i="33"/>
  <c r="C158" i="33"/>
  <c r="C226" i="33" s="1"/>
  <c r="C155" i="33"/>
  <c r="C223" i="33" s="1"/>
  <c r="L195" i="33"/>
  <c r="L260" i="33" s="1"/>
  <c r="I195" i="33"/>
  <c r="I260" i="33" s="1"/>
  <c r="C190" i="33"/>
  <c r="C255" i="33" s="1"/>
  <c r="E186" i="33"/>
  <c r="E251" i="33" s="1"/>
  <c r="E194" i="33"/>
  <c r="E259" i="33" s="1"/>
  <c r="O192" i="33"/>
  <c r="O257" i="33" s="1"/>
  <c r="M192" i="33"/>
  <c r="M257" i="33" s="1"/>
  <c r="K190" i="33"/>
  <c r="K255" i="33" s="1"/>
  <c r="O187" i="33"/>
  <c r="O252" i="33" s="1"/>
  <c r="J187" i="33"/>
  <c r="J252" i="33" s="1"/>
  <c r="K186" i="33"/>
  <c r="K251" i="33" s="1"/>
  <c r="O188" i="33"/>
  <c r="O253" i="33" s="1"/>
  <c r="C189" i="33"/>
  <c r="C254" i="33" s="1"/>
  <c r="K189" i="33"/>
  <c r="K254" i="33" s="1"/>
  <c r="N151" i="33"/>
  <c r="N219" i="33" s="1"/>
  <c r="E188" i="33"/>
  <c r="E253" i="33" s="1"/>
  <c r="O194" i="33"/>
  <c r="O259" i="33" s="1"/>
  <c r="O189" i="33"/>
  <c r="O254" i="33" s="1"/>
  <c r="D193" i="33"/>
  <c r="D258" i="33" s="1"/>
  <c r="K188" i="33"/>
  <c r="K253" i="33" s="1"/>
  <c r="L191" i="33"/>
  <c r="L256" i="33" s="1"/>
  <c r="J151" i="33"/>
  <c r="J219" i="33" s="1"/>
  <c r="D151" i="33"/>
  <c r="D219" i="33" s="1"/>
  <c r="C187" i="33"/>
  <c r="C252" i="33" s="1"/>
  <c r="M193" i="33"/>
  <c r="M258" i="33" s="1"/>
  <c r="N191" i="33"/>
  <c r="N256" i="33" s="1"/>
  <c r="J190" i="33"/>
  <c r="J255" i="33" s="1"/>
  <c r="K193" i="33"/>
  <c r="K258" i="33" s="1"/>
  <c r="K192" i="33"/>
  <c r="K257" i="33" s="1"/>
  <c r="M190" i="33"/>
  <c r="M255" i="33" s="1"/>
  <c r="N193" i="33"/>
  <c r="N258" i="33" s="1"/>
  <c r="E189" i="33"/>
  <c r="E254" i="33" s="1"/>
  <c r="K194" i="33"/>
  <c r="K259" i="33" s="1"/>
  <c r="O151" i="33"/>
  <c r="O219" i="33" s="1"/>
  <c r="L151" i="33"/>
  <c r="L219" i="33" s="1"/>
  <c r="I194" i="33"/>
  <c r="I259" i="33" s="1"/>
  <c r="C151" i="33"/>
  <c r="C184" i="33" s="1"/>
  <c r="C249" i="33" s="1"/>
  <c r="P120" i="33"/>
  <c r="J191" i="33"/>
  <c r="J256" i="33" s="1"/>
  <c r="K191" i="33"/>
  <c r="K256" i="33" s="1"/>
  <c r="M194" i="33"/>
  <c r="M259" i="33" s="1"/>
  <c r="D190" i="33"/>
  <c r="D255" i="33" s="1"/>
  <c r="E193" i="33"/>
  <c r="E258" i="33" s="1"/>
  <c r="M186" i="33"/>
  <c r="M251" i="33" s="1"/>
  <c r="K151" i="33"/>
  <c r="K219" i="33" s="1"/>
  <c r="M151" i="33"/>
  <c r="M219" i="33" s="1"/>
  <c r="E151" i="33"/>
  <c r="E219" i="33" s="1"/>
  <c r="L188" i="33"/>
  <c r="L253" i="33" s="1"/>
  <c r="D187" i="33"/>
  <c r="D252" i="33" s="1"/>
  <c r="J193" i="33"/>
  <c r="J258" i="33" s="1"/>
  <c r="O191" i="33"/>
  <c r="O256" i="33" s="1"/>
  <c r="D194" i="33"/>
  <c r="D259" i="33" s="1"/>
  <c r="D189" i="33"/>
  <c r="D254" i="33" s="1"/>
  <c r="E192" i="33"/>
  <c r="E257" i="33" s="1"/>
  <c r="L187" i="33"/>
  <c r="L252" i="33" s="1"/>
  <c r="N190" i="33"/>
  <c r="N255" i="33" s="1"/>
  <c r="O193" i="33"/>
  <c r="O258" i="33" s="1"/>
  <c r="I189" i="33"/>
  <c r="I254" i="33" s="1"/>
  <c r="J192" i="33"/>
  <c r="J257" i="33" s="1"/>
  <c r="L186" i="33"/>
  <c r="L251" i="33" s="1"/>
  <c r="I151" i="33"/>
  <c r="I219" i="33" s="1"/>
  <c r="C162" i="33"/>
  <c r="C230" i="33" s="1"/>
  <c r="P131" i="33"/>
  <c r="M35" i="33"/>
  <c r="I186" i="33" l="1"/>
  <c r="I251" i="33" s="1"/>
  <c r="E187" i="33"/>
  <c r="E252" i="33" s="1"/>
  <c r="P227" i="33"/>
  <c r="M189" i="33"/>
  <c r="M254" i="33" s="1"/>
  <c r="M191" i="33"/>
  <c r="M256" i="33" s="1"/>
  <c r="N186" i="33"/>
  <c r="N251" i="33" s="1"/>
  <c r="P153" i="33"/>
  <c r="D192" i="33"/>
  <c r="D257" i="33" s="1"/>
  <c r="P152" i="33"/>
  <c r="N194" i="33"/>
  <c r="N259" i="33" s="1"/>
  <c r="C186" i="33"/>
  <c r="C251" i="33" s="1"/>
  <c r="K195" i="33"/>
  <c r="K260" i="33" s="1"/>
  <c r="C185" i="33"/>
  <c r="C250" i="33" s="1"/>
  <c r="N189" i="33"/>
  <c r="N254" i="33" s="1"/>
  <c r="L190" i="33"/>
  <c r="L255" i="33" s="1"/>
  <c r="O190" i="33"/>
  <c r="O255" i="33" s="1"/>
  <c r="I191" i="33"/>
  <c r="I256" i="33" s="1"/>
  <c r="P222" i="33"/>
  <c r="P225" i="33"/>
  <c r="L189" i="33"/>
  <c r="L254" i="33" s="1"/>
  <c r="C192" i="33"/>
  <c r="C257" i="33" s="1"/>
  <c r="D188" i="33"/>
  <c r="D253" i="33" s="1"/>
  <c r="M188" i="33"/>
  <c r="M253" i="33" s="1"/>
  <c r="N187" i="33"/>
  <c r="N252" i="33" s="1"/>
  <c r="I192" i="33"/>
  <c r="I257" i="33" s="1"/>
  <c r="D191" i="33"/>
  <c r="D256" i="33" s="1"/>
  <c r="J194" i="33"/>
  <c r="J259" i="33" s="1"/>
  <c r="D186" i="33"/>
  <c r="D251" i="33" s="1"/>
  <c r="I193" i="33"/>
  <c r="I258" i="33" s="1"/>
  <c r="J189" i="33"/>
  <c r="J254" i="33" s="1"/>
  <c r="P254" i="33" s="1"/>
  <c r="E190" i="33"/>
  <c r="E255" i="33" s="1"/>
  <c r="J186" i="33"/>
  <c r="J251" i="33" s="1"/>
  <c r="N195" i="33"/>
  <c r="N260" i="33" s="1"/>
  <c r="L192" i="33"/>
  <c r="L257" i="33" s="1"/>
  <c r="O186" i="33"/>
  <c r="O251" i="33" s="1"/>
  <c r="I187" i="33"/>
  <c r="I252" i="33" s="1"/>
  <c r="K187" i="33"/>
  <c r="K252" i="33" s="1"/>
  <c r="J195" i="33"/>
  <c r="J260" i="33" s="1"/>
  <c r="I188" i="33"/>
  <c r="I253" i="33" s="1"/>
  <c r="N192" i="33"/>
  <c r="N257" i="33" s="1"/>
  <c r="N188" i="33"/>
  <c r="N253" i="33" s="1"/>
  <c r="L193" i="33"/>
  <c r="L258" i="33" s="1"/>
  <c r="L194" i="33"/>
  <c r="L259" i="33" s="1"/>
  <c r="P223" i="33"/>
  <c r="O220" i="33"/>
  <c r="O231" i="33" s="1"/>
  <c r="O185" i="33"/>
  <c r="O250" i="33" s="1"/>
  <c r="P226" i="33"/>
  <c r="M187" i="33"/>
  <c r="M252" i="33" s="1"/>
  <c r="P252" i="33" s="1"/>
  <c r="I190" i="33"/>
  <c r="I255" i="33" s="1"/>
  <c r="P155" i="33"/>
  <c r="J188" i="33"/>
  <c r="J253" i="33" s="1"/>
  <c r="P228" i="33"/>
  <c r="E220" i="33"/>
  <c r="E231" i="33" s="1"/>
  <c r="E185" i="33"/>
  <c r="E250" i="33" s="1"/>
  <c r="P154" i="33"/>
  <c r="P157" i="33"/>
  <c r="P161" i="33"/>
  <c r="P159" i="33"/>
  <c r="I220" i="33"/>
  <c r="I231" i="33" s="1"/>
  <c r="I185" i="33"/>
  <c r="I250" i="33" s="1"/>
  <c r="K220" i="33"/>
  <c r="K231" i="33" s="1"/>
  <c r="K185" i="33"/>
  <c r="K250" i="33" s="1"/>
  <c r="C194" i="33"/>
  <c r="C259" i="33" s="1"/>
  <c r="N231" i="33"/>
  <c r="E191" i="33"/>
  <c r="E256" i="33" s="1"/>
  <c r="P156" i="33"/>
  <c r="P221" i="33"/>
  <c r="J220" i="33"/>
  <c r="J231" i="33" s="1"/>
  <c r="J185" i="33"/>
  <c r="J250" i="33" s="1"/>
  <c r="N220" i="33"/>
  <c r="N185" i="33"/>
  <c r="N250" i="33" s="1"/>
  <c r="L220" i="33"/>
  <c r="L231" i="33" s="1"/>
  <c r="L185" i="33"/>
  <c r="L250" i="33" s="1"/>
  <c r="D220" i="33"/>
  <c r="D231" i="33" s="1"/>
  <c r="D185" i="33"/>
  <c r="D250" i="33" s="1"/>
  <c r="M231" i="33"/>
  <c r="P160" i="33"/>
  <c r="C193" i="33"/>
  <c r="C258" i="33" s="1"/>
  <c r="C188" i="33"/>
  <c r="C253" i="33" s="1"/>
  <c r="P158" i="33"/>
  <c r="C191" i="33"/>
  <c r="C256" i="33" s="1"/>
  <c r="M184" i="33"/>
  <c r="M249" i="33" s="1"/>
  <c r="D184" i="33"/>
  <c r="D249" i="33" s="1"/>
  <c r="J184" i="33"/>
  <c r="J249" i="33" s="1"/>
  <c r="I184" i="33"/>
  <c r="I249" i="33" s="1"/>
  <c r="C219" i="33"/>
  <c r="P219" i="33" s="1"/>
  <c r="P151" i="33"/>
  <c r="Q152" i="33" s="1"/>
  <c r="Q153" i="33" s="1"/>
  <c r="O184" i="33"/>
  <c r="O249" i="33" s="1"/>
  <c r="E184" i="33"/>
  <c r="K184" i="33"/>
  <c r="K249" i="33" s="1"/>
  <c r="L184" i="33"/>
  <c r="L249" i="33" s="1"/>
  <c r="N184" i="33"/>
  <c r="N249" i="33" s="1"/>
  <c r="P230" i="33"/>
  <c r="C195" i="33"/>
  <c r="C260" i="33" s="1"/>
  <c r="M163" i="33"/>
  <c r="L163" i="33"/>
  <c r="D163" i="33"/>
  <c r="N163" i="33"/>
  <c r="O163" i="33"/>
  <c r="C163" i="33"/>
  <c r="E163" i="33"/>
  <c r="K163" i="33"/>
  <c r="I163" i="33"/>
  <c r="J163" i="33"/>
  <c r="P255" i="33" l="1"/>
  <c r="P258" i="33"/>
  <c r="P251" i="33"/>
  <c r="O261" i="33"/>
  <c r="P189" i="33"/>
  <c r="P257" i="33"/>
  <c r="M261" i="33"/>
  <c r="P186" i="33"/>
  <c r="I261" i="33"/>
  <c r="P187" i="33"/>
  <c r="P250" i="33"/>
  <c r="P259" i="33"/>
  <c r="P190" i="33"/>
  <c r="K261" i="33"/>
  <c r="D261" i="33"/>
  <c r="L261" i="33"/>
  <c r="P256" i="33"/>
  <c r="P220" i="33"/>
  <c r="P231" i="33" s="1"/>
  <c r="F190" i="35" s="1"/>
  <c r="J261" i="33"/>
  <c r="P192" i="33"/>
  <c r="N261" i="33"/>
  <c r="P253" i="33"/>
  <c r="S255" i="33" s="1"/>
  <c r="Q154" i="33"/>
  <c r="Q155" i="33" s="1"/>
  <c r="Q156" i="33" s="1"/>
  <c r="Q157" i="33" s="1"/>
  <c r="Q158" i="33" s="1"/>
  <c r="Q159" i="33" s="1"/>
  <c r="Q160" i="33" s="1"/>
  <c r="Q161" i="33" s="1"/>
  <c r="P193" i="33"/>
  <c r="P185" i="33"/>
  <c r="P188" i="33"/>
  <c r="P191" i="33"/>
  <c r="C231" i="33"/>
  <c r="E249" i="33"/>
  <c r="P184" i="33"/>
  <c r="F180" i="35"/>
  <c r="P260" i="33"/>
  <c r="C261" i="33"/>
  <c r="F191" i="35"/>
  <c r="F192" i="35" s="1"/>
  <c r="G195" i="35"/>
  <c r="E109" i="35" s="1"/>
  <c r="P162" i="33"/>
  <c r="Q185" i="33" l="1"/>
  <c r="Q186" i="33" s="1"/>
  <c r="Q187" i="33" s="1"/>
  <c r="Q162" i="33"/>
  <c r="Q188" i="33"/>
  <c r="Q189" i="33" s="1"/>
  <c r="Q190" i="33" s="1"/>
  <c r="Q191" i="33" s="1"/>
  <c r="Q192" i="33" s="1"/>
  <c r="Q193" i="33" s="1"/>
  <c r="E261" i="33"/>
  <c r="P249" i="33"/>
  <c r="P163" i="33"/>
  <c r="P194" i="33"/>
  <c r="C209" i="35"/>
  <c r="F229" i="35" s="1"/>
  <c r="P261" i="33" l="1"/>
  <c r="R254" i="33"/>
  <c r="T254" i="33" s="1"/>
  <c r="Q194" i="33"/>
  <c r="F219" i="35"/>
  <c r="D15" i="49" l="1"/>
  <c r="D17" i="49" s="1"/>
  <c r="D12" i="50"/>
  <c r="D15" i="50" s="1"/>
  <c r="D10" i="42"/>
  <c r="D8" i="42"/>
  <c r="C21" i="40" l="1"/>
  <c r="D21" i="40"/>
  <c r="E21" i="40"/>
  <c r="F21" i="40"/>
  <c r="G21" i="40"/>
  <c r="H21" i="40"/>
  <c r="I21" i="40"/>
  <c r="J21" i="40"/>
  <c r="K21" i="40"/>
  <c r="L21" i="40"/>
  <c r="M21" i="40"/>
  <c r="N21" i="40"/>
  <c r="F375" i="35" l="1"/>
  <c r="F346" i="35"/>
  <c r="E307" i="35" l="1"/>
  <c r="E274" i="35" l="1"/>
  <c r="D17" i="33" l="1"/>
  <c r="D16" i="33"/>
  <c r="D15" i="33" l="1"/>
  <c r="D14" i="33" l="1"/>
  <c r="H25" i="40" l="1"/>
  <c r="I25" i="40"/>
  <c r="J25" i="40"/>
  <c r="K25" i="40"/>
  <c r="L25" i="40"/>
  <c r="M25" i="40"/>
  <c r="N25" i="40"/>
  <c r="D25" i="40"/>
  <c r="E25" i="40"/>
  <c r="F25" i="40"/>
  <c r="G25" i="40"/>
  <c r="D13" i="33" l="1"/>
  <c r="C74" i="33" l="1"/>
  <c r="D74" i="33"/>
  <c r="E74" i="33"/>
  <c r="I74" i="33"/>
  <c r="J74" i="33"/>
  <c r="K74" i="33"/>
  <c r="L74" i="33"/>
  <c r="M74" i="33"/>
  <c r="N74" i="33"/>
  <c r="O74" i="33"/>
  <c r="C75" i="33"/>
  <c r="D75" i="33"/>
  <c r="E75" i="33"/>
  <c r="I75" i="33"/>
  <c r="J75" i="33"/>
  <c r="K75" i="33"/>
  <c r="L75" i="33"/>
  <c r="M75" i="33"/>
  <c r="N75" i="33"/>
  <c r="O75" i="33"/>
  <c r="C76" i="33"/>
  <c r="D76" i="33"/>
  <c r="E76" i="33"/>
  <c r="I76" i="33"/>
  <c r="J76" i="33"/>
  <c r="K76" i="33"/>
  <c r="L76" i="33"/>
  <c r="M76" i="33"/>
  <c r="N76" i="33"/>
  <c r="O76" i="33"/>
  <c r="C77" i="33"/>
  <c r="D77" i="33"/>
  <c r="E77" i="33"/>
  <c r="I77" i="33"/>
  <c r="J77" i="33"/>
  <c r="K77" i="33"/>
  <c r="L77" i="33"/>
  <c r="M77" i="33"/>
  <c r="N77" i="33"/>
  <c r="O77" i="33"/>
  <c r="C78" i="33"/>
  <c r="D78" i="33"/>
  <c r="E78" i="33"/>
  <c r="I78" i="33"/>
  <c r="J78" i="33"/>
  <c r="K78" i="33"/>
  <c r="L78" i="33"/>
  <c r="M78" i="33"/>
  <c r="N78" i="33"/>
  <c r="O78" i="33"/>
  <c r="C79" i="33"/>
  <c r="D79" i="33"/>
  <c r="E79" i="33"/>
  <c r="I79" i="33"/>
  <c r="J79" i="33"/>
  <c r="K79" i="33"/>
  <c r="L79" i="33"/>
  <c r="M79" i="33"/>
  <c r="N79" i="33"/>
  <c r="O79" i="33"/>
  <c r="C80" i="33"/>
  <c r="D80" i="33"/>
  <c r="E80" i="33"/>
  <c r="I80" i="33"/>
  <c r="J80" i="33"/>
  <c r="K80" i="33"/>
  <c r="L80" i="33"/>
  <c r="M80" i="33"/>
  <c r="N80" i="33"/>
  <c r="O80" i="33"/>
  <c r="C81" i="33"/>
  <c r="D81" i="33"/>
  <c r="E81" i="33"/>
  <c r="I81" i="33"/>
  <c r="J81" i="33"/>
  <c r="K81" i="33"/>
  <c r="L81" i="33"/>
  <c r="M81" i="33"/>
  <c r="N81" i="33"/>
  <c r="O81" i="33"/>
  <c r="C82" i="33"/>
  <c r="D82" i="33"/>
  <c r="E82" i="33"/>
  <c r="I82" i="33"/>
  <c r="J82" i="33"/>
  <c r="K82" i="33"/>
  <c r="L82" i="33"/>
  <c r="M82" i="33"/>
  <c r="N82" i="33"/>
  <c r="O82" i="33"/>
  <c r="C83" i="33"/>
  <c r="D83" i="33"/>
  <c r="E83" i="33"/>
  <c r="I83" i="33"/>
  <c r="J83" i="33"/>
  <c r="K83" i="33"/>
  <c r="L83" i="33"/>
  <c r="M83" i="33"/>
  <c r="N83" i="33"/>
  <c r="O83" i="33"/>
  <c r="C84" i="33"/>
  <c r="D84" i="33"/>
  <c r="E84" i="33"/>
  <c r="I84" i="33"/>
  <c r="J84" i="33"/>
  <c r="K84" i="33"/>
  <c r="L84" i="33"/>
  <c r="M84" i="33"/>
  <c r="N84" i="33"/>
  <c r="O84" i="33"/>
  <c r="L20" i="33"/>
  <c r="L19" i="33"/>
  <c r="L18" i="33"/>
  <c r="L17" i="33"/>
  <c r="L16" i="33"/>
  <c r="L15" i="33"/>
  <c r="L14" i="33"/>
  <c r="L13" i="33"/>
  <c r="L12" i="33"/>
  <c r="D20" i="33"/>
  <c r="D19" i="33"/>
  <c r="D18" i="33"/>
  <c r="P12" i="40" l="1"/>
  <c r="G8" i="42" s="1"/>
  <c r="G10" i="40" l="1"/>
  <c r="G14" i="40" s="1"/>
  <c r="G16" i="40" s="1"/>
  <c r="G18" i="40" s="1"/>
  <c r="I13" i="33" s="1"/>
  <c r="J13" i="33" s="1"/>
  <c r="K13" i="33" s="1"/>
  <c r="H10" i="40"/>
  <c r="H14" i="40" s="1"/>
  <c r="H16" i="40" s="1"/>
  <c r="H18" i="40" s="1"/>
  <c r="I14" i="33" s="1"/>
  <c r="J14" i="33" s="1"/>
  <c r="K14" i="33" s="1"/>
  <c r="I10" i="40"/>
  <c r="I14" i="40" s="1"/>
  <c r="I16" i="40" s="1"/>
  <c r="I18" i="40" s="1"/>
  <c r="I15" i="33" s="1"/>
  <c r="J15" i="33" s="1"/>
  <c r="K15" i="33" s="1"/>
  <c r="J10" i="40"/>
  <c r="J14" i="40" s="1"/>
  <c r="J16" i="40" s="1"/>
  <c r="J18" i="40" s="1"/>
  <c r="I16" i="33" s="1"/>
  <c r="J16" i="33" s="1"/>
  <c r="K16" i="33" s="1"/>
  <c r="K10" i="40"/>
  <c r="K14" i="40" s="1"/>
  <c r="K16" i="40" s="1"/>
  <c r="K18" i="40" s="1"/>
  <c r="I17" i="33" s="1"/>
  <c r="J17" i="33" s="1"/>
  <c r="K17" i="33" s="1"/>
  <c r="L10" i="40"/>
  <c r="L14" i="40" s="1"/>
  <c r="L16" i="40" s="1"/>
  <c r="L18" i="40" s="1"/>
  <c r="I18" i="33" s="1"/>
  <c r="J18" i="33" s="1"/>
  <c r="K18" i="33" s="1"/>
  <c r="M10" i="40"/>
  <c r="M14" i="40" s="1"/>
  <c r="M16" i="40" s="1"/>
  <c r="M18" i="40" s="1"/>
  <c r="I19" i="33" s="1"/>
  <c r="N10" i="40"/>
  <c r="N14" i="40" s="1"/>
  <c r="N16" i="40" s="1"/>
  <c r="N18" i="40" s="1"/>
  <c r="I20" i="33" s="1"/>
  <c r="Z37" i="36"/>
  <c r="X35" i="36"/>
  <c r="Y33" i="36" s="1"/>
  <c r="N57" i="33" s="1"/>
  <c r="V35" i="36"/>
  <c r="W34" i="36" s="1"/>
  <c r="O56" i="33" s="1"/>
  <c r="T35" i="36"/>
  <c r="U33" i="36" s="1"/>
  <c r="N55" i="33" s="1"/>
  <c r="R35" i="36"/>
  <c r="S34" i="36" s="1"/>
  <c r="O54" i="33" s="1"/>
  <c r="P35" i="36"/>
  <c r="P39" i="36" s="1"/>
  <c r="C16" i="33" s="1"/>
  <c r="N35" i="36"/>
  <c r="O34" i="36" s="1"/>
  <c r="O52" i="33" s="1"/>
  <c r="Z26" i="36"/>
  <c r="Z27" i="36"/>
  <c r="Z28" i="36"/>
  <c r="Z29" i="36"/>
  <c r="Z30" i="36"/>
  <c r="Z31" i="36"/>
  <c r="Z32" i="36"/>
  <c r="Z33" i="36"/>
  <c r="Z34" i="36"/>
  <c r="Z25" i="36"/>
  <c r="F274" i="35"/>
  <c r="E16" i="33" l="1"/>
  <c r="G16" i="33"/>
  <c r="Y34" i="36"/>
  <c r="O57" i="33" s="1"/>
  <c r="X39" i="36"/>
  <c r="Y26" i="36"/>
  <c r="D57" i="33" s="1"/>
  <c r="Y27" i="36"/>
  <c r="E57" i="33" s="1"/>
  <c r="Y30" i="36"/>
  <c r="J57" i="33" s="1"/>
  <c r="Y31" i="36"/>
  <c r="L57" i="33" s="1"/>
  <c r="Y28" i="36"/>
  <c r="I57" i="33" s="1"/>
  <c r="Y32" i="36"/>
  <c r="M57" i="33" s="1"/>
  <c r="Y25" i="36"/>
  <c r="C57" i="33" s="1"/>
  <c r="Y29" i="36"/>
  <c r="K57" i="33" s="1"/>
  <c r="V39" i="36"/>
  <c r="W27" i="36"/>
  <c r="E56" i="33" s="1"/>
  <c r="W31" i="36"/>
  <c r="L56" i="33" s="1"/>
  <c r="U27" i="36"/>
  <c r="E55" i="33" s="1"/>
  <c r="U30" i="36"/>
  <c r="J55" i="33" s="1"/>
  <c r="U31" i="36"/>
  <c r="L55" i="33" s="1"/>
  <c r="U26" i="36"/>
  <c r="D55" i="33" s="1"/>
  <c r="U34" i="36"/>
  <c r="O55" i="33" s="1"/>
  <c r="T39" i="36"/>
  <c r="U28" i="36"/>
  <c r="I55" i="33" s="1"/>
  <c r="U32" i="36"/>
  <c r="M55" i="33" s="1"/>
  <c r="U25" i="36"/>
  <c r="C55" i="33" s="1"/>
  <c r="U29" i="36"/>
  <c r="K55" i="33" s="1"/>
  <c r="S27" i="36"/>
  <c r="E54" i="33" s="1"/>
  <c r="R39" i="36"/>
  <c r="S31" i="36"/>
  <c r="L54" i="33" s="1"/>
  <c r="Q34" i="36"/>
  <c r="O53" i="33" s="1"/>
  <c r="Q25" i="36"/>
  <c r="C53" i="33" s="1"/>
  <c r="Q26" i="36"/>
  <c r="D53" i="33" s="1"/>
  <c r="Q28" i="36"/>
  <c r="I53" i="33" s="1"/>
  <c r="Q27" i="36"/>
  <c r="E53" i="33" s="1"/>
  <c r="Q29" i="36"/>
  <c r="K53" i="33" s="1"/>
  <c r="Q30" i="36"/>
  <c r="J53" i="33" s="1"/>
  <c r="Q31" i="36"/>
  <c r="L53" i="33" s="1"/>
  <c r="Q32" i="36"/>
  <c r="M53" i="33" s="1"/>
  <c r="Q33" i="36"/>
  <c r="N53" i="33" s="1"/>
  <c r="O27" i="36"/>
  <c r="E52" i="33" s="1"/>
  <c r="O31" i="36"/>
  <c r="L52" i="33" s="1"/>
  <c r="N39" i="36"/>
  <c r="C15" i="33" s="1"/>
  <c r="E15" i="33" s="1"/>
  <c r="O28" i="36"/>
  <c r="I52" i="33" s="1"/>
  <c r="O32" i="36"/>
  <c r="M52" i="33" s="1"/>
  <c r="S28" i="36"/>
  <c r="I54" i="33" s="1"/>
  <c r="S32" i="36"/>
  <c r="M54" i="33" s="1"/>
  <c r="W28" i="36"/>
  <c r="I56" i="33" s="1"/>
  <c r="W32" i="36"/>
  <c r="M56" i="33" s="1"/>
  <c r="O25" i="36"/>
  <c r="O29" i="36"/>
  <c r="K52" i="33" s="1"/>
  <c r="O33" i="36"/>
  <c r="N52" i="33" s="1"/>
  <c r="S25" i="36"/>
  <c r="C54" i="33" s="1"/>
  <c r="S29" i="36"/>
  <c r="K54" i="33" s="1"/>
  <c r="S33" i="36"/>
  <c r="N54" i="33" s="1"/>
  <c r="W25" i="36"/>
  <c r="C56" i="33" s="1"/>
  <c r="W29" i="36"/>
  <c r="K56" i="33" s="1"/>
  <c r="W33" i="36"/>
  <c r="N56" i="33" s="1"/>
  <c r="O26" i="36"/>
  <c r="D52" i="33" s="1"/>
  <c r="O30" i="36"/>
  <c r="J52" i="33" s="1"/>
  <c r="S26" i="36"/>
  <c r="D54" i="33" s="1"/>
  <c r="S30" i="36"/>
  <c r="J54" i="33" s="1"/>
  <c r="W26" i="36"/>
  <c r="D56" i="33" s="1"/>
  <c r="W30" i="36"/>
  <c r="J56" i="33" s="1"/>
  <c r="C276" i="35"/>
  <c r="F296" i="35" s="1"/>
  <c r="F286" i="35" s="1"/>
  <c r="C20" i="33" l="1"/>
  <c r="X40" i="36"/>
  <c r="C19" i="33"/>
  <c r="V40" i="36"/>
  <c r="C18" i="33"/>
  <c r="T40" i="36"/>
  <c r="C17" i="33"/>
  <c r="R40" i="36"/>
  <c r="H16" i="33"/>
  <c r="M16" i="33" s="1"/>
  <c r="M15" i="33"/>
  <c r="R15" i="33"/>
  <c r="P56" i="33"/>
  <c r="P55" i="33"/>
  <c r="P54" i="33"/>
  <c r="P53" i="33"/>
  <c r="P57" i="33"/>
  <c r="E111" i="33"/>
  <c r="L111" i="33"/>
  <c r="I111" i="33"/>
  <c r="M111" i="33"/>
  <c r="N111" i="33"/>
  <c r="K111" i="33"/>
  <c r="C111" i="33"/>
  <c r="J111" i="33"/>
  <c r="D111" i="33"/>
  <c r="O111" i="33"/>
  <c r="Y35" i="36"/>
  <c r="W35" i="36"/>
  <c r="U35" i="36"/>
  <c r="S35" i="36"/>
  <c r="Q35" i="36"/>
  <c r="O35" i="36"/>
  <c r="C52" i="33"/>
  <c r="P52" i="33" s="1"/>
  <c r="I110" i="33"/>
  <c r="M110" i="33"/>
  <c r="E110" i="33"/>
  <c r="J110" i="33"/>
  <c r="N110" i="33"/>
  <c r="L110" i="33"/>
  <c r="D110" i="33"/>
  <c r="K110" i="33"/>
  <c r="O110" i="33"/>
  <c r="E20" i="33" l="1"/>
  <c r="G20" i="33"/>
  <c r="E19" i="33"/>
  <c r="G19" i="33"/>
  <c r="E18" i="33"/>
  <c r="G18" i="33"/>
  <c r="E17" i="33"/>
  <c r="G17" i="33"/>
  <c r="R16" i="33"/>
  <c r="P111" i="33"/>
  <c r="C110" i="33"/>
  <c r="H20" i="33" l="1"/>
  <c r="J20" i="33" s="1"/>
  <c r="K20" i="33" s="1"/>
  <c r="F10" i="42" s="1"/>
  <c r="H19" i="33"/>
  <c r="J19" i="33" s="1"/>
  <c r="K19" i="33" s="1"/>
  <c r="H18" i="33"/>
  <c r="H17" i="33"/>
  <c r="P110" i="33"/>
  <c r="F349" i="35"/>
  <c r="R20" i="33" l="1"/>
  <c r="L115" i="33"/>
  <c r="O115" i="33"/>
  <c r="I115" i="33"/>
  <c r="D115" i="33"/>
  <c r="E115" i="33"/>
  <c r="K115" i="33"/>
  <c r="J115" i="33"/>
  <c r="C115" i="33"/>
  <c r="M115" i="33"/>
  <c r="M20" i="33"/>
  <c r="N115" i="33"/>
  <c r="R19" i="33"/>
  <c r="C114" i="33"/>
  <c r="L114" i="33"/>
  <c r="K114" i="33"/>
  <c r="J114" i="33"/>
  <c r="O114" i="33"/>
  <c r="N114" i="33"/>
  <c r="M114" i="33"/>
  <c r="M19" i="33"/>
  <c r="E114" i="33"/>
  <c r="D114" i="33"/>
  <c r="I114" i="33"/>
  <c r="R18" i="33"/>
  <c r="N113" i="33"/>
  <c r="E113" i="33"/>
  <c r="C113" i="33"/>
  <c r="P113" i="33" s="1"/>
  <c r="K113" i="33"/>
  <c r="I113" i="33"/>
  <c r="J113" i="33"/>
  <c r="M18" i="33"/>
  <c r="D113" i="33"/>
  <c r="L113" i="33"/>
  <c r="O113" i="33"/>
  <c r="M113" i="33"/>
  <c r="R17" i="33"/>
  <c r="N112" i="33"/>
  <c r="L112" i="33"/>
  <c r="D112" i="33"/>
  <c r="K112" i="33"/>
  <c r="O112" i="33"/>
  <c r="M17" i="33"/>
  <c r="I112" i="33"/>
  <c r="E112" i="33"/>
  <c r="J112" i="33"/>
  <c r="M112" i="33"/>
  <c r="C112" i="33"/>
  <c r="F429" i="35"/>
  <c r="F428" i="35"/>
  <c r="C430" i="35"/>
  <c r="C404" i="35"/>
  <c r="F417" i="35" s="1"/>
  <c r="G418" i="35" s="1"/>
  <c r="F403" i="35"/>
  <c r="F402" i="35"/>
  <c r="P115" i="33" l="1"/>
  <c r="P114" i="33"/>
  <c r="P112" i="33"/>
  <c r="F324" i="35"/>
  <c r="F325" i="35" s="1"/>
  <c r="F430" i="35"/>
  <c r="F434" i="35" s="1"/>
  <c r="F404" i="35"/>
  <c r="F408" i="35" s="1"/>
  <c r="F436" i="35"/>
  <c r="F443" i="35"/>
  <c r="G444" i="35" s="1"/>
  <c r="F410" i="35"/>
  <c r="D12" i="42" l="1"/>
  <c r="D14" i="42" s="1"/>
  <c r="C14" i="42"/>
  <c r="G438" i="35"/>
  <c r="F293" i="35"/>
  <c r="F294" i="35" s="1"/>
  <c r="G297" i="35"/>
  <c r="E208" i="35" s="1"/>
  <c r="G412" i="35"/>
  <c r="G420" i="35" s="1"/>
  <c r="G446" i="35"/>
  <c r="F208" i="35" l="1"/>
  <c r="E141" i="35"/>
  <c r="F141" i="35" s="1"/>
  <c r="D15" i="48"/>
  <c r="J35" i="36"/>
  <c r="D17" i="48" l="1"/>
  <c r="K31" i="36"/>
  <c r="L50" i="33" s="1"/>
  <c r="K27" i="36"/>
  <c r="E50" i="33" s="1"/>
  <c r="K28" i="36"/>
  <c r="I50" i="33" s="1"/>
  <c r="K34" i="36"/>
  <c r="O50" i="33" s="1"/>
  <c r="K30" i="36"/>
  <c r="J50" i="33" s="1"/>
  <c r="K26" i="36"/>
  <c r="D50" i="33" s="1"/>
  <c r="K32" i="36"/>
  <c r="M50" i="33" s="1"/>
  <c r="K33" i="36"/>
  <c r="N50" i="33" s="1"/>
  <c r="K29" i="36"/>
  <c r="K50" i="33" s="1"/>
  <c r="K25" i="36"/>
  <c r="C50" i="33" s="1"/>
  <c r="H8" i="42" l="1"/>
  <c r="P50" i="33"/>
  <c r="J73" i="33"/>
  <c r="K73" i="33"/>
  <c r="L73" i="33"/>
  <c r="M73" i="33"/>
  <c r="N73" i="33"/>
  <c r="O73" i="33"/>
  <c r="D73" i="33"/>
  <c r="E73" i="33"/>
  <c r="I73" i="33"/>
  <c r="C73" i="33"/>
  <c r="L11" i="33"/>
  <c r="L10" i="33"/>
  <c r="L9" i="33"/>
  <c r="I132" i="33" l="1"/>
  <c r="I196" i="33"/>
  <c r="I265" i="33" s="1"/>
  <c r="J132" i="33"/>
  <c r="J196" i="33"/>
  <c r="J265" i="33" s="1"/>
  <c r="K132" i="33"/>
  <c r="K196" i="33"/>
  <c r="K265" i="33" s="1"/>
  <c r="E132" i="33"/>
  <c r="E196" i="33"/>
  <c r="M132" i="33"/>
  <c r="M196" i="33"/>
  <c r="M265" i="33" s="1"/>
  <c r="C196" i="33"/>
  <c r="O132" i="33"/>
  <c r="O196" i="33"/>
  <c r="N132" i="33"/>
  <c r="N196" i="33"/>
  <c r="N265" i="33" s="1"/>
  <c r="D132" i="33"/>
  <c r="D196" i="33"/>
  <c r="L132" i="33"/>
  <c r="L196" i="33"/>
  <c r="L265" i="33" s="1"/>
  <c r="C132" i="33"/>
  <c r="F472" i="35"/>
  <c r="Z6" i="36"/>
  <c r="Z7" i="36"/>
  <c r="AC7" i="36" s="1"/>
  <c r="Z8" i="36"/>
  <c r="AC8" i="36" s="1"/>
  <c r="Z9" i="36"/>
  <c r="AC9" i="36" s="1"/>
  <c r="Z10" i="36"/>
  <c r="Z11" i="36"/>
  <c r="AC11" i="36" s="1"/>
  <c r="Z12" i="36"/>
  <c r="AC12" i="36" s="1"/>
  <c r="Z13" i="36"/>
  <c r="AC13" i="36" s="1"/>
  <c r="Z14" i="36"/>
  <c r="Z15" i="36"/>
  <c r="AC15" i="36" s="1"/>
  <c r="B16" i="36"/>
  <c r="C7" i="36" s="1"/>
  <c r="D16" i="36"/>
  <c r="E13" i="36" s="1"/>
  <c r="F16" i="36"/>
  <c r="G9" i="36" s="1"/>
  <c r="H16" i="36"/>
  <c r="I11" i="36" s="1"/>
  <c r="J16" i="36"/>
  <c r="K7" i="36" s="1"/>
  <c r="L16" i="36"/>
  <c r="M8" i="36" s="1"/>
  <c r="L18" i="36"/>
  <c r="F20" i="36"/>
  <c r="G18" i="36" s="1"/>
  <c r="P195" i="33" l="1"/>
  <c r="P132" i="33"/>
  <c r="B20" i="36"/>
  <c r="C18" i="36" s="1"/>
  <c r="C12" i="36"/>
  <c r="J20" i="36"/>
  <c r="K18" i="36" s="1"/>
  <c r="K9" i="36"/>
  <c r="D20" i="36"/>
  <c r="E18" i="36" s="1"/>
  <c r="G15" i="36"/>
  <c r="G14" i="36"/>
  <c r="C9" i="36"/>
  <c r="K8" i="36"/>
  <c r="G7" i="36"/>
  <c r="G6" i="36"/>
  <c r="L20" i="36"/>
  <c r="M18" i="36" s="1"/>
  <c r="K13" i="36"/>
  <c r="C8" i="36"/>
  <c r="C13" i="36"/>
  <c r="K12" i="36"/>
  <c r="G11" i="36"/>
  <c r="G10" i="36"/>
  <c r="M13" i="36"/>
  <c r="M9" i="36"/>
  <c r="I7" i="36"/>
  <c r="E14" i="36"/>
  <c r="I12" i="36"/>
  <c r="E10" i="36"/>
  <c r="H20" i="36"/>
  <c r="I18" i="36" s="1"/>
  <c r="Z18" i="36"/>
  <c r="Z16" i="36"/>
  <c r="AA14" i="36" s="1"/>
  <c r="M15" i="36"/>
  <c r="E15" i="36"/>
  <c r="AC14" i="36"/>
  <c r="K14" i="36"/>
  <c r="C14" i="36"/>
  <c r="I13" i="36"/>
  <c r="G12" i="36"/>
  <c r="M11" i="36"/>
  <c r="E11" i="36"/>
  <c r="AC10" i="36"/>
  <c r="K10" i="36"/>
  <c r="C10" i="36"/>
  <c r="I9" i="36"/>
  <c r="G8" i="36"/>
  <c r="M7" i="36"/>
  <c r="E7" i="36"/>
  <c r="AC6" i="36"/>
  <c r="K6" i="36"/>
  <c r="C6" i="36"/>
  <c r="E9" i="36"/>
  <c r="M14" i="36"/>
  <c r="M10" i="36"/>
  <c r="I8" i="36"/>
  <c r="M6" i="36"/>
  <c r="E6" i="36"/>
  <c r="K15" i="36"/>
  <c r="C15" i="36"/>
  <c r="I14" i="36"/>
  <c r="G13" i="36"/>
  <c r="M12" i="36"/>
  <c r="E12" i="36"/>
  <c r="K11" i="36"/>
  <c r="C11" i="36"/>
  <c r="I10" i="36"/>
  <c r="E8" i="36"/>
  <c r="I6" i="36"/>
  <c r="I15" i="36"/>
  <c r="P196" i="33" l="1"/>
  <c r="P265" i="33" s="1"/>
  <c r="Q195" i="33"/>
  <c r="P133" i="33"/>
  <c r="O133" i="33"/>
  <c r="E133" i="33"/>
  <c r="D133" i="33"/>
  <c r="J133" i="33"/>
  <c r="K133" i="33"/>
  <c r="N133" i="33"/>
  <c r="I133" i="33"/>
  <c r="L133" i="33"/>
  <c r="M133" i="33"/>
  <c r="C133" i="33"/>
  <c r="AC16" i="36"/>
  <c r="K16" i="36"/>
  <c r="AA10" i="36"/>
  <c r="AA6" i="36"/>
  <c r="Z20" i="36"/>
  <c r="AA18" i="36" s="1"/>
  <c r="AC18" i="36"/>
  <c r="I16" i="36"/>
  <c r="E16" i="36"/>
  <c r="M16" i="36"/>
  <c r="C16" i="36"/>
  <c r="G16" i="36"/>
  <c r="AA8" i="36"/>
  <c r="AA7" i="36"/>
  <c r="AA9" i="36"/>
  <c r="AA12" i="36"/>
  <c r="AA11" i="36"/>
  <c r="AA15" i="36"/>
  <c r="AA13" i="36"/>
  <c r="AA16" i="36" l="1"/>
  <c r="C343" i="35"/>
  <c r="F341" i="35"/>
  <c r="K17" i="37" l="1"/>
  <c r="J17" i="37"/>
  <c r="I17" i="37"/>
  <c r="H17" i="37"/>
  <c r="G17" i="37"/>
  <c r="F17" i="37"/>
  <c r="E17" i="37"/>
  <c r="D17" i="37"/>
  <c r="C17" i="37"/>
  <c r="B17" i="37"/>
  <c r="L35" i="36"/>
  <c r="J39" i="36"/>
  <c r="C13" i="33" s="1"/>
  <c r="E13" i="33" s="1"/>
  <c r="H35" i="36"/>
  <c r="F35" i="36"/>
  <c r="D35" i="36"/>
  <c r="B35" i="36"/>
  <c r="M13" i="33" l="1"/>
  <c r="R13" i="33"/>
  <c r="C108" i="33"/>
  <c r="J108" i="33"/>
  <c r="N108" i="33"/>
  <c r="M108" i="33"/>
  <c r="D108" i="33"/>
  <c r="K108" i="33"/>
  <c r="O108" i="33"/>
  <c r="E108" i="33"/>
  <c r="L108" i="33"/>
  <c r="I108" i="33"/>
  <c r="M33" i="36"/>
  <c r="N51" i="33" s="1"/>
  <c r="M29" i="36"/>
  <c r="K51" i="33" s="1"/>
  <c r="M25" i="36"/>
  <c r="C51" i="33" s="1"/>
  <c r="M32" i="36"/>
  <c r="M51" i="33" s="1"/>
  <c r="M28" i="36"/>
  <c r="I51" i="33" s="1"/>
  <c r="M30" i="36"/>
  <c r="J51" i="33" s="1"/>
  <c r="M31" i="36"/>
  <c r="L51" i="33" s="1"/>
  <c r="M27" i="36"/>
  <c r="E51" i="33" s="1"/>
  <c r="M26" i="36"/>
  <c r="D51" i="33" s="1"/>
  <c r="M34" i="36"/>
  <c r="O51" i="33" s="1"/>
  <c r="F39" i="36"/>
  <c r="E11" i="33" s="1"/>
  <c r="H11" i="33" s="1"/>
  <c r="G31" i="36"/>
  <c r="L48" i="33" s="1"/>
  <c r="G27" i="36"/>
  <c r="E48" i="33" s="1"/>
  <c r="G32" i="36"/>
  <c r="M48" i="33" s="1"/>
  <c r="G34" i="36"/>
  <c r="O48" i="33" s="1"/>
  <c r="G30" i="36"/>
  <c r="J48" i="33" s="1"/>
  <c r="G26" i="36"/>
  <c r="D48" i="33" s="1"/>
  <c r="G28" i="36"/>
  <c r="I48" i="33" s="1"/>
  <c r="G33" i="36"/>
  <c r="N48" i="33" s="1"/>
  <c r="G29" i="36"/>
  <c r="K48" i="33" s="1"/>
  <c r="G25" i="36"/>
  <c r="C48" i="33" s="1"/>
  <c r="H39" i="36"/>
  <c r="E12" i="33" s="1"/>
  <c r="H12" i="33" s="1"/>
  <c r="I33" i="36"/>
  <c r="N49" i="33" s="1"/>
  <c r="I29" i="36"/>
  <c r="K49" i="33" s="1"/>
  <c r="I25" i="36"/>
  <c r="C49" i="33" s="1"/>
  <c r="I32" i="36"/>
  <c r="M49" i="33" s="1"/>
  <c r="I28" i="36"/>
  <c r="I49" i="33" s="1"/>
  <c r="I30" i="36"/>
  <c r="J49" i="33" s="1"/>
  <c r="I31" i="36"/>
  <c r="L49" i="33" s="1"/>
  <c r="I27" i="36"/>
  <c r="E49" i="33" s="1"/>
  <c r="I34" i="36"/>
  <c r="O49" i="33" s="1"/>
  <c r="I26" i="36"/>
  <c r="D49" i="33" s="1"/>
  <c r="D39" i="36"/>
  <c r="E10" i="33" s="1"/>
  <c r="H10" i="33" s="1"/>
  <c r="E33" i="36"/>
  <c r="N47" i="33" s="1"/>
  <c r="E29" i="36"/>
  <c r="K47" i="33" s="1"/>
  <c r="E25" i="36"/>
  <c r="C47" i="33" s="1"/>
  <c r="E32" i="36"/>
  <c r="M47" i="33" s="1"/>
  <c r="E28" i="36"/>
  <c r="I47" i="33" s="1"/>
  <c r="E30" i="36"/>
  <c r="J47" i="33" s="1"/>
  <c r="E31" i="36"/>
  <c r="L47" i="33" s="1"/>
  <c r="E27" i="36"/>
  <c r="E47" i="33" s="1"/>
  <c r="E34" i="36"/>
  <c r="O47" i="33" s="1"/>
  <c r="E26" i="36"/>
  <c r="D47" i="33" s="1"/>
  <c r="B39" i="36"/>
  <c r="E9" i="33" s="1"/>
  <c r="H9" i="33" s="1"/>
  <c r="C31" i="36"/>
  <c r="L46" i="33" s="1"/>
  <c r="C27" i="36"/>
  <c r="E46" i="33" s="1"/>
  <c r="C32" i="36"/>
  <c r="M46" i="33" s="1"/>
  <c r="C34" i="36"/>
  <c r="O46" i="33" s="1"/>
  <c r="C30" i="36"/>
  <c r="J46" i="33" s="1"/>
  <c r="C26" i="36"/>
  <c r="D46" i="33" s="1"/>
  <c r="C33" i="36"/>
  <c r="N46" i="33" s="1"/>
  <c r="C29" i="36"/>
  <c r="K46" i="33" s="1"/>
  <c r="C25" i="36"/>
  <c r="C46" i="33" s="1"/>
  <c r="C28" i="36"/>
  <c r="I46" i="33" s="1"/>
  <c r="Z35" i="36"/>
  <c r="L39" i="36"/>
  <c r="C14" i="33" s="1"/>
  <c r="E14" i="33" s="1"/>
  <c r="H21" i="33" l="1"/>
  <c r="M14" i="33"/>
  <c r="R14" i="33"/>
  <c r="AA29" i="36"/>
  <c r="AA50" i="36"/>
  <c r="AA51" i="36"/>
  <c r="AA53" i="36"/>
  <c r="AA47" i="36"/>
  <c r="AA44" i="36"/>
  <c r="AA46" i="36"/>
  <c r="AA48" i="36"/>
  <c r="AA52" i="36"/>
  <c r="AA49" i="36"/>
  <c r="AA45" i="36"/>
  <c r="P47" i="33"/>
  <c r="P48" i="33"/>
  <c r="P51" i="33"/>
  <c r="C109" i="33"/>
  <c r="J109" i="33"/>
  <c r="N109" i="33"/>
  <c r="D109" i="33"/>
  <c r="K109" i="33"/>
  <c r="O109" i="33"/>
  <c r="M109" i="33"/>
  <c r="E109" i="33"/>
  <c r="L109" i="33"/>
  <c r="I109" i="33"/>
  <c r="P108" i="33"/>
  <c r="P49" i="33"/>
  <c r="AA31" i="36"/>
  <c r="AA30" i="36"/>
  <c r="AA25" i="36"/>
  <c r="P46" i="33"/>
  <c r="AA28" i="36"/>
  <c r="AA33" i="36"/>
  <c r="AA32" i="36"/>
  <c r="AA27" i="36"/>
  <c r="AA34" i="36"/>
  <c r="AA26" i="36"/>
  <c r="Z39" i="36"/>
  <c r="Z40" i="36" s="1"/>
  <c r="AA54" i="36" l="1"/>
  <c r="P109" i="33"/>
  <c r="F10" i="40"/>
  <c r="E10" i="40"/>
  <c r="D10" i="40"/>
  <c r="C10" i="40"/>
  <c r="L21" i="33" l="1"/>
  <c r="C459" i="35" l="1"/>
  <c r="F465" i="35" s="1"/>
  <c r="E35" i="36" l="1"/>
  <c r="K35" i="36"/>
  <c r="C35" i="36"/>
  <c r="M35" i="36"/>
  <c r="I35" i="36"/>
  <c r="G35" i="36"/>
  <c r="AA35" i="36" l="1"/>
  <c r="C553" i="35" l="1"/>
  <c r="C525" i="35"/>
  <c r="F525" i="35" l="1"/>
  <c r="F378" i="35"/>
  <c r="C25" i="40"/>
  <c r="C242" i="35" s="1"/>
  <c r="F260" i="35" s="1"/>
  <c r="P21" i="40"/>
  <c r="F14" i="40"/>
  <c r="F16" i="40" s="1"/>
  <c r="F18" i="40" s="1"/>
  <c r="I12" i="33" s="1"/>
  <c r="J12" i="33" s="1"/>
  <c r="K12" i="33" s="1"/>
  <c r="E14" i="40"/>
  <c r="E16" i="40" s="1"/>
  <c r="E18" i="40" s="1"/>
  <c r="D14" i="40"/>
  <c r="D16" i="40" s="1"/>
  <c r="D18" i="40" s="1"/>
  <c r="I10" i="33" s="1"/>
  <c r="J10" i="33" s="1"/>
  <c r="K10" i="33" s="1"/>
  <c r="C14" i="40"/>
  <c r="C16" i="40" s="1"/>
  <c r="C18" i="40" s="1"/>
  <c r="I9" i="33" s="1"/>
  <c r="J9" i="33" s="1"/>
  <c r="K9" i="33" s="1"/>
  <c r="R9" i="33" l="1"/>
  <c r="M12" i="33"/>
  <c r="R12" i="33"/>
  <c r="M10" i="33"/>
  <c r="R10" i="33"/>
  <c r="M9" i="33"/>
  <c r="C309" i="35"/>
  <c r="F327" i="35" s="1"/>
  <c r="F307" i="35"/>
  <c r="C105" i="33"/>
  <c r="J105" i="33"/>
  <c r="N105" i="33"/>
  <c r="M105" i="33"/>
  <c r="D105" i="33"/>
  <c r="K105" i="33"/>
  <c r="O105" i="33"/>
  <c r="E105" i="33"/>
  <c r="L105" i="33"/>
  <c r="I105" i="33"/>
  <c r="I11" i="33"/>
  <c r="J11" i="33" s="1"/>
  <c r="K11" i="33" s="1"/>
  <c r="J107" i="33"/>
  <c r="C107" i="33"/>
  <c r="K107" i="33"/>
  <c r="N107" i="33"/>
  <c r="D107" i="33"/>
  <c r="E107" i="33"/>
  <c r="I107" i="33"/>
  <c r="L107" i="33"/>
  <c r="M107" i="33"/>
  <c r="O107" i="33"/>
  <c r="C488" i="35"/>
  <c r="F553" i="35"/>
  <c r="M11" i="33" l="1"/>
  <c r="R11" i="33"/>
  <c r="E106" i="33"/>
  <c r="L106" i="33"/>
  <c r="I106" i="33"/>
  <c r="M106" i="33"/>
  <c r="D106" i="33"/>
  <c r="O106" i="33"/>
  <c r="C106" i="33"/>
  <c r="J106" i="33"/>
  <c r="N106" i="33"/>
  <c r="K106" i="33"/>
  <c r="P105" i="33"/>
  <c r="F317" i="35"/>
  <c r="G328" i="35"/>
  <c r="E241" i="35" s="1"/>
  <c r="P25" i="40"/>
  <c r="C109" i="35" s="1"/>
  <c r="P107" i="33"/>
  <c r="C372" i="35"/>
  <c r="F370" i="35"/>
  <c r="F494" i="35"/>
  <c r="C110" i="35" l="1"/>
  <c r="F128" i="35" s="1"/>
  <c r="F118" i="35" s="1"/>
  <c r="F109" i="35"/>
  <c r="F241" i="35"/>
  <c r="E174" i="35"/>
  <c r="F174" i="35" s="1"/>
  <c r="P106" i="33"/>
  <c r="C548" i="35"/>
  <c r="C520" i="35"/>
  <c r="F528" i="35" l="1"/>
  <c r="F535" i="35"/>
  <c r="F556" i="35"/>
  <c r="F563" i="35"/>
  <c r="C604" i="35" l="1"/>
  <c r="F610" i="35" s="1"/>
  <c r="C578" i="35"/>
  <c r="F584" i="35" l="1"/>
  <c r="F591" i="35"/>
  <c r="F617" i="35"/>
  <c r="C658" i="35" l="1"/>
  <c r="F664" i="35" l="1"/>
  <c r="F671" i="35"/>
  <c r="C632" i="35"/>
  <c r="F645" i="35" s="1"/>
  <c r="F638" i="35" l="1"/>
  <c r="F778" i="35" l="1"/>
  <c r="G780" i="35" s="1"/>
  <c r="C766" i="35"/>
  <c r="F772" i="35" s="1"/>
  <c r="G774" i="35" s="1"/>
  <c r="F765" i="35"/>
  <c r="F764" i="35"/>
  <c r="E710" i="35"/>
  <c r="F752" i="35"/>
  <c r="G754" i="35" s="1"/>
  <c r="E685" i="35" s="1"/>
  <c r="E630" i="35" s="1"/>
  <c r="F630" i="35" s="1"/>
  <c r="C740" i="35"/>
  <c r="F739" i="35"/>
  <c r="F738" i="35"/>
  <c r="E684" i="35"/>
  <c r="F766" i="35" l="1"/>
  <c r="F740" i="35"/>
  <c r="F744" i="35" s="1"/>
  <c r="G782" i="35"/>
  <c r="E711" i="35"/>
  <c r="E656" i="35" s="1"/>
  <c r="F656" i="35" s="1"/>
  <c r="F746" i="35"/>
  <c r="G748" i="35" l="1"/>
  <c r="G757" i="35" s="1"/>
  <c r="D21" i="33"/>
  <c r="F711" i="35" l="1"/>
  <c r="F684" i="35"/>
  <c r="C686" i="35"/>
  <c r="F699" i="35" s="1"/>
  <c r="F685" i="35"/>
  <c r="F686" i="35" l="1"/>
  <c r="C712" i="35"/>
  <c r="F710" i="35"/>
  <c r="F712" i="35" s="1"/>
  <c r="F692" i="35"/>
  <c r="F718" i="35" l="1"/>
  <c r="F725" i="35"/>
  <c r="J104" i="33" l="1"/>
  <c r="K104" i="33"/>
  <c r="O104" i="33"/>
  <c r="M104" i="33"/>
  <c r="D104" i="33"/>
  <c r="N104" i="33"/>
  <c r="C104" i="33"/>
  <c r="L104" i="33"/>
  <c r="I104" i="33"/>
  <c r="E104" i="33"/>
  <c r="P104" i="33" l="1"/>
  <c r="Q105" i="33" l="1"/>
  <c r="Q106" i="33" s="1"/>
  <c r="Q107" i="33" s="1"/>
  <c r="Q108" i="33" s="1"/>
  <c r="Q109" i="33" s="1"/>
  <c r="Q110" i="33" s="1"/>
  <c r="Q111" i="33" s="1"/>
  <c r="Q112" i="33" s="1"/>
  <c r="Q113" i="33" s="1"/>
  <c r="Q114" i="33" s="1"/>
  <c r="Q115" i="33" s="1"/>
  <c r="F385" i="35"/>
  <c r="F386" i="35" s="1"/>
  <c r="G389" i="35"/>
  <c r="E308" i="35" s="1"/>
  <c r="G502" i="35"/>
  <c r="G666" i="35"/>
  <c r="F670" i="35"/>
  <c r="G672" i="35" s="1"/>
  <c r="E603" i="35" s="1"/>
  <c r="F308" i="35" l="1"/>
  <c r="F309" i="35" s="1"/>
  <c r="E240" i="35"/>
  <c r="F240" i="35" s="1"/>
  <c r="F242" i="35" s="1"/>
  <c r="F356" i="35"/>
  <c r="F357" i="35" s="1"/>
  <c r="F371" i="35"/>
  <c r="F372" i="35" s="1"/>
  <c r="F376" i="35" s="1"/>
  <c r="F603" i="35"/>
  <c r="E546" i="35"/>
  <c r="F546" i="35" s="1"/>
  <c r="G674" i="35"/>
  <c r="F644" i="35"/>
  <c r="G646" i="35" s="1"/>
  <c r="E577" i="35" s="1"/>
  <c r="G640" i="35"/>
  <c r="F724" i="35"/>
  <c r="G726" i="35" s="1"/>
  <c r="E657" i="35" s="1"/>
  <c r="F716" i="35"/>
  <c r="G720" i="35" s="1"/>
  <c r="F577" i="35" l="1"/>
  <c r="E518" i="35"/>
  <c r="F518" i="35" s="1"/>
  <c r="F657" i="35"/>
  <c r="F658" i="35" s="1"/>
  <c r="E602" i="35"/>
  <c r="F602" i="35" s="1"/>
  <c r="F604" i="35" s="1"/>
  <c r="G649" i="35"/>
  <c r="F690" i="35"/>
  <c r="G694" i="35" s="1"/>
  <c r="F698" i="35"/>
  <c r="G700" i="35" s="1"/>
  <c r="E631" i="35" s="1"/>
  <c r="G728" i="35"/>
  <c r="F631" i="35" l="1"/>
  <c r="F632" i="35" s="1"/>
  <c r="E576" i="35"/>
  <c r="F576" i="35" s="1"/>
  <c r="F578" i="35" s="1"/>
  <c r="G703" i="35"/>
  <c r="C21" i="33" l="1"/>
  <c r="E21" i="33" l="1"/>
  <c r="J21" i="33" l="1"/>
  <c r="J116" i="33" l="1"/>
  <c r="K116" i="33"/>
  <c r="O116" i="33"/>
  <c r="K21" i="33"/>
  <c r="E116" i="33"/>
  <c r="C116" i="33"/>
  <c r="R21" i="33" l="1"/>
  <c r="B135" i="33" s="1"/>
  <c r="F9" i="48"/>
  <c r="D9" i="50" s="1"/>
  <c r="L145" i="33"/>
  <c r="I145" i="33"/>
  <c r="I143" i="33"/>
  <c r="J146" i="33"/>
  <c r="E145" i="33"/>
  <c r="M143" i="33"/>
  <c r="N147" i="33"/>
  <c r="N146" i="33"/>
  <c r="K143" i="33"/>
  <c r="D143" i="33"/>
  <c r="L147" i="33"/>
  <c r="J144" i="33"/>
  <c r="N144" i="33"/>
  <c r="K146" i="33"/>
  <c r="O144" i="33"/>
  <c r="C146" i="33"/>
  <c r="I147" i="33"/>
  <c r="K142" i="33"/>
  <c r="J142" i="33"/>
  <c r="E142" i="33"/>
  <c r="N142" i="33"/>
  <c r="M142" i="33"/>
  <c r="E147" i="33"/>
  <c r="K145" i="33"/>
  <c r="E144" i="33"/>
  <c r="M146" i="33"/>
  <c r="J145" i="33"/>
  <c r="D142" i="33"/>
  <c r="E146" i="33"/>
  <c r="J147" i="33"/>
  <c r="M145" i="33"/>
  <c r="D147" i="33"/>
  <c r="N143" i="33"/>
  <c r="L146" i="33"/>
  <c r="N145" i="33"/>
  <c r="L144" i="33"/>
  <c r="M147" i="33"/>
  <c r="I142" i="33"/>
  <c r="J143" i="33"/>
  <c r="D144" i="33"/>
  <c r="D146" i="33"/>
  <c r="C143" i="33"/>
  <c r="L143" i="33"/>
  <c r="K147" i="33"/>
  <c r="O145" i="33"/>
  <c r="I146" i="33"/>
  <c r="E143" i="33"/>
  <c r="D145" i="33"/>
  <c r="M144" i="33"/>
  <c r="K144" i="33"/>
  <c r="L142" i="33"/>
  <c r="O143" i="33"/>
  <c r="O147" i="33"/>
  <c r="O146" i="33"/>
  <c r="I144" i="33"/>
  <c r="O142" i="33"/>
  <c r="C142" i="33"/>
  <c r="C147" i="33"/>
  <c r="C145" i="33"/>
  <c r="C144" i="33"/>
  <c r="I140" i="33"/>
  <c r="L140" i="33"/>
  <c r="M140" i="33"/>
  <c r="K140" i="33"/>
  <c r="N140" i="33"/>
  <c r="J140" i="33"/>
  <c r="O140" i="33"/>
  <c r="E140" i="33"/>
  <c r="D140" i="33"/>
  <c r="C140" i="33"/>
  <c r="K141" i="33"/>
  <c r="E141" i="33"/>
  <c r="M141" i="33"/>
  <c r="L141" i="33"/>
  <c r="O141" i="33"/>
  <c r="J141" i="33"/>
  <c r="D141" i="33"/>
  <c r="N141" i="33"/>
  <c r="I141" i="33"/>
  <c r="C141" i="33"/>
  <c r="O137" i="33"/>
  <c r="C137" i="33"/>
  <c r="J137" i="33"/>
  <c r="L139" i="33"/>
  <c r="M139" i="33"/>
  <c r="N137" i="33"/>
  <c r="E137" i="33"/>
  <c r="N139" i="33"/>
  <c r="I139" i="33"/>
  <c r="D139" i="33"/>
  <c r="D137" i="33"/>
  <c r="L137" i="33"/>
  <c r="I137" i="33"/>
  <c r="K139" i="33"/>
  <c r="J139" i="33"/>
  <c r="M137" i="33"/>
  <c r="K137" i="33"/>
  <c r="C139" i="33"/>
  <c r="E139" i="33"/>
  <c r="O139" i="33"/>
  <c r="D138" i="33"/>
  <c r="C138" i="33"/>
  <c r="L138" i="33"/>
  <c r="M138" i="33"/>
  <c r="K138" i="33"/>
  <c r="N138" i="33"/>
  <c r="O138" i="33"/>
  <c r="J138" i="33"/>
  <c r="E138" i="33"/>
  <c r="I138" i="33"/>
  <c r="L136" i="33"/>
  <c r="K136" i="33"/>
  <c r="D136" i="33"/>
  <c r="E136" i="33"/>
  <c r="O136" i="33"/>
  <c r="M136" i="33"/>
  <c r="J136" i="33"/>
  <c r="C136" i="33"/>
  <c r="N136" i="33"/>
  <c r="I136" i="33"/>
  <c r="M21" i="33"/>
  <c r="G10" i="42"/>
  <c r="H10" i="42" s="1"/>
  <c r="I116" i="33"/>
  <c r="N116" i="33"/>
  <c r="D116" i="33"/>
  <c r="L116" i="33"/>
  <c r="M116" i="33"/>
  <c r="P116" i="33"/>
  <c r="M148" i="33" l="1"/>
  <c r="D148" i="33"/>
  <c r="C148" i="33"/>
  <c r="J148" i="33"/>
  <c r="I205" i="33"/>
  <c r="I168" i="33"/>
  <c r="O208" i="33"/>
  <c r="O171" i="33"/>
  <c r="O238" i="33" s="1"/>
  <c r="J210" i="33"/>
  <c r="J173" i="33"/>
  <c r="J240" i="33" s="1"/>
  <c r="O212" i="33"/>
  <c r="O175" i="33"/>
  <c r="O242" i="33" s="1"/>
  <c r="D179" i="33"/>
  <c r="D246" i="33" s="1"/>
  <c r="D216" i="33"/>
  <c r="J213" i="33"/>
  <c r="J176" i="33"/>
  <c r="J243" i="33" s="1"/>
  <c r="O205" i="33"/>
  <c r="O168" i="33"/>
  <c r="O235" i="33" s="1"/>
  <c r="O207" i="33"/>
  <c r="O170" i="33"/>
  <c r="O237" i="33" s="1"/>
  <c r="L207" i="33"/>
  <c r="L170" i="33"/>
  <c r="L237" i="33" s="1"/>
  <c r="E208" i="33"/>
  <c r="E171" i="33"/>
  <c r="E238" i="33" s="1"/>
  <c r="J208" i="33"/>
  <c r="J171" i="33"/>
  <c r="J238" i="33" s="1"/>
  <c r="D206" i="33"/>
  <c r="D169" i="33"/>
  <c r="D236" i="33" s="1"/>
  <c r="E206" i="33"/>
  <c r="E169" i="33"/>
  <c r="E236" i="33" s="1"/>
  <c r="J206" i="33"/>
  <c r="J169" i="33"/>
  <c r="J236" i="33" s="1"/>
  <c r="I210" i="33"/>
  <c r="I173" i="33"/>
  <c r="I240" i="33" s="1"/>
  <c r="O210" i="33"/>
  <c r="O173" i="33"/>
  <c r="O240" i="33" s="1"/>
  <c r="K210" i="33"/>
  <c r="K173" i="33"/>
  <c r="K240" i="33" s="1"/>
  <c r="O209" i="33"/>
  <c r="O172" i="33"/>
  <c r="O239" i="33" s="1"/>
  <c r="M209" i="33"/>
  <c r="M172" i="33"/>
  <c r="M239" i="33" s="1"/>
  <c r="C177" i="33"/>
  <c r="C214" i="33"/>
  <c r="P145" i="33"/>
  <c r="I213" i="33"/>
  <c r="I176" i="33"/>
  <c r="I243" i="33" s="1"/>
  <c r="L211" i="33"/>
  <c r="L174" i="33"/>
  <c r="L241" i="33" s="1"/>
  <c r="E212" i="33"/>
  <c r="E175" i="33"/>
  <c r="E242" i="33" s="1"/>
  <c r="L212" i="33"/>
  <c r="L175" i="33"/>
  <c r="L242" i="33" s="1"/>
  <c r="J212" i="33"/>
  <c r="J175" i="33"/>
  <c r="J242" i="33" s="1"/>
  <c r="N214" i="33"/>
  <c r="N177" i="33"/>
  <c r="N244" i="33" s="1"/>
  <c r="M177" i="33"/>
  <c r="M244" i="33" s="1"/>
  <c r="M214" i="33"/>
  <c r="J214" i="33"/>
  <c r="J177" i="33"/>
  <c r="J244" i="33" s="1"/>
  <c r="E216" i="33"/>
  <c r="E179" i="33"/>
  <c r="E246" i="33" s="1"/>
  <c r="J211" i="33"/>
  <c r="J174" i="33"/>
  <c r="J241" i="33" s="1"/>
  <c r="O213" i="33"/>
  <c r="O176" i="33"/>
  <c r="O243" i="33" s="1"/>
  <c r="L216" i="33"/>
  <c r="L179" i="33"/>
  <c r="L246" i="33" s="1"/>
  <c r="N179" i="33"/>
  <c r="N246" i="33" s="1"/>
  <c r="N216" i="33"/>
  <c r="I212" i="33"/>
  <c r="I175" i="33"/>
  <c r="I242" i="33" s="1"/>
  <c r="K205" i="33"/>
  <c r="K168" i="33"/>
  <c r="K235" i="33" s="1"/>
  <c r="M207" i="33"/>
  <c r="M170" i="33"/>
  <c r="M237" i="33" s="1"/>
  <c r="L206" i="33"/>
  <c r="L169" i="33"/>
  <c r="L236" i="33" s="1"/>
  <c r="L208" i="33"/>
  <c r="L171" i="33"/>
  <c r="L238" i="33" s="1"/>
  <c r="E210" i="33"/>
  <c r="E173" i="33"/>
  <c r="E240" i="33" s="1"/>
  <c r="K209" i="33"/>
  <c r="K172" i="33"/>
  <c r="K239" i="33" s="1"/>
  <c r="O211" i="33"/>
  <c r="O174" i="33"/>
  <c r="O241" i="33" s="1"/>
  <c r="K179" i="33"/>
  <c r="K246" i="33" s="1"/>
  <c r="K216" i="33"/>
  <c r="L213" i="33"/>
  <c r="L176" i="33"/>
  <c r="L243" i="33" s="1"/>
  <c r="K177" i="33"/>
  <c r="K244" i="33" s="1"/>
  <c r="K214" i="33"/>
  <c r="C178" i="33"/>
  <c r="C215" i="33"/>
  <c r="P146" i="33"/>
  <c r="N178" i="33"/>
  <c r="N245" i="33" s="1"/>
  <c r="N215" i="33"/>
  <c r="L205" i="33"/>
  <c r="L168" i="33"/>
  <c r="I148" i="33"/>
  <c r="P136" i="33"/>
  <c r="C205" i="33"/>
  <c r="C168" i="33"/>
  <c r="E205" i="33"/>
  <c r="E168" i="33"/>
  <c r="E235" i="33" s="1"/>
  <c r="I207" i="33"/>
  <c r="I170" i="33"/>
  <c r="I237" i="33" s="1"/>
  <c r="N207" i="33"/>
  <c r="N170" i="33"/>
  <c r="N237" i="33" s="1"/>
  <c r="C170" i="33"/>
  <c r="P138" i="33"/>
  <c r="C207" i="33"/>
  <c r="P139" i="33"/>
  <c r="C171" i="33"/>
  <c r="C208" i="33"/>
  <c r="K208" i="33"/>
  <c r="K171" i="33"/>
  <c r="K238" i="33" s="1"/>
  <c r="D208" i="33"/>
  <c r="D171" i="33"/>
  <c r="D238" i="33" s="1"/>
  <c r="N206" i="33"/>
  <c r="N169" i="33"/>
  <c r="N236" i="33" s="1"/>
  <c r="C206" i="33"/>
  <c r="C169" i="33"/>
  <c r="P137" i="33"/>
  <c r="N210" i="33"/>
  <c r="N173" i="33"/>
  <c r="N240" i="33" s="1"/>
  <c r="L210" i="33"/>
  <c r="L173" i="33"/>
  <c r="L240" i="33" s="1"/>
  <c r="C172" i="33"/>
  <c r="P140" i="33"/>
  <c r="C209" i="33"/>
  <c r="J209" i="33"/>
  <c r="J172" i="33"/>
  <c r="J239" i="33" s="1"/>
  <c r="L209" i="33"/>
  <c r="L172" i="33"/>
  <c r="L239" i="33" s="1"/>
  <c r="C216" i="33"/>
  <c r="C179" i="33"/>
  <c r="P147" i="33"/>
  <c r="O215" i="33"/>
  <c r="O178" i="33"/>
  <c r="O245" i="33" s="1"/>
  <c r="K213" i="33"/>
  <c r="K176" i="33"/>
  <c r="K243" i="33" s="1"/>
  <c r="I178" i="33"/>
  <c r="I245" i="33" s="1"/>
  <c r="I215" i="33"/>
  <c r="C175" i="33"/>
  <c r="C212" i="33"/>
  <c r="P143" i="33"/>
  <c r="I211" i="33"/>
  <c r="I174" i="33"/>
  <c r="I241" i="33" s="1"/>
  <c r="L178" i="33"/>
  <c r="L245" i="33" s="1"/>
  <c r="L215" i="33"/>
  <c r="J179" i="33"/>
  <c r="J246" i="33" s="1"/>
  <c r="J216" i="33"/>
  <c r="M178" i="33"/>
  <c r="M245" i="33" s="1"/>
  <c r="M215" i="33"/>
  <c r="M211" i="33"/>
  <c r="M174" i="33"/>
  <c r="M241" i="33" s="1"/>
  <c r="K211" i="33"/>
  <c r="K174" i="33"/>
  <c r="K241" i="33" s="1"/>
  <c r="K215" i="33"/>
  <c r="K178" i="33"/>
  <c r="K245" i="33" s="1"/>
  <c r="D212" i="33"/>
  <c r="D175" i="33"/>
  <c r="D242" i="33" s="1"/>
  <c r="M212" i="33"/>
  <c r="M175" i="33"/>
  <c r="M242" i="33" s="1"/>
  <c r="I177" i="33"/>
  <c r="I244" i="33" s="1"/>
  <c r="I214" i="33"/>
  <c r="M205" i="33"/>
  <c r="M168" i="33"/>
  <c r="J207" i="33"/>
  <c r="J170" i="33"/>
  <c r="J237" i="33" s="1"/>
  <c r="M206" i="33"/>
  <c r="M169" i="33"/>
  <c r="M236" i="33" s="1"/>
  <c r="N208" i="33"/>
  <c r="N171" i="33"/>
  <c r="N238" i="33" s="1"/>
  <c r="P141" i="33"/>
  <c r="C173" i="33"/>
  <c r="C210" i="33"/>
  <c r="E209" i="33"/>
  <c r="E172" i="33"/>
  <c r="E239" i="33" s="1"/>
  <c r="C176" i="33"/>
  <c r="P144" i="33"/>
  <c r="C213" i="33"/>
  <c r="D214" i="33"/>
  <c r="D177" i="33"/>
  <c r="D244" i="33" s="1"/>
  <c r="D213" i="33"/>
  <c r="D176" i="33"/>
  <c r="D243" i="33" s="1"/>
  <c r="D211" i="33"/>
  <c r="D174" i="33"/>
  <c r="D241" i="33" s="1"/>
  <c r="E211" i="33"/>
  <c r="E174" i="33"/>
  <c r="E241" i="33" s="1"/>
  <c r="J178" i="33"/>
  <c r="J245" i="33" s="1"/>
  <c r="J215" i="33"/>
  <c r="N205" i="33"/>
  <c r="N168" i="33"/>
  <c r="N235" i="33" s="1"/>
  <c r="L148" i="33"/>
  <c r="N148" i="33"/>
  <c r="J205" i="33"/>
  <c r="J168" i="33"/>
  <c r="J235" i="33" s="1"/>
  <c r="D205" i="33"/>
  <c r="D168" i="33"/>
  <c r="E207" i="33"/>
  <c r="E170" i="33"/>
  <c r="E237" i="33" s="1"/>
  <c r="K207" i="33"/>
  <c r="K170" i="33"/>
  <c r="K237" i="33" s="1"/>
  <c r="D207" i="33"/>
  <c r="D170" i="33"/>
  <c r="D237" i="33" s="1"/>
  <c r="K206" i="33"/>
  <c r="K169" i="33"/>
  <c r="K236" i="33" s="1"/>
  <c r="I169" i="33"/>
  <c r="I236" i="33" s="1"/>
  <c r="I206" i="33"/>
  <c r="I208" i="33"/>
  <c r="I171" i="33"/>
  <c r="I238" i="33" s="1"/>
  <c r="M208" i="33"/>
  <c r="M171" i="33"/>
  <c r="M238" i="33" s="1"/>
  <c r="O206" i="33"/>
  <c r="O169" i="33"/>
  <c r="O236" i="33" s="1"/>
  <c r="D210" i="33"/>
  <c r="D173" i="33"/>
  <c r="D240" i="33" s="1"/>
  <c r="M210" i="33"/>
  <c r="M173" i="33"/>
  <c r="M240" i="33" s="1"/>
  <c r="D209" i="33"/>
  <c r="D172" i="33"/>
  <c r="D239" i="33" s="1"/>
  <c r="N209" i="33"/>
  <c r="N172" i="33"/>
  <c r="N239" i="33" s="1"/>
  <c r="I209" i="33"/>
  <c r="I172" i="33"/>
  <c r="I239" i="33" s="1"/>
  <c r="C174" i="33"/>
  <c r="C211" i="33"/>
  <c r="P142" i="33"/>
  <c r="O179" i="33"/>
  <c r="O246" i="33" s="1"/>
  <c r="O216" i="33"/>
  <c r="M213" i="33"/>
  <c r="M176" i="33"/>
  <c r="M243" i="33" s="1"/>
  <c r="O177" i="33"/>
  <c r="O244" i="33" s="1"/>
  <c r="O214" i="33"/>
  <c r="D215" i="33"/>
  <c r="D178" i="33"/>
  <c r="D245" i="33" s="1"/>
  <c r="M216" i="33"/>
  <c r="M179" i="33"/>
  <c r="M246" i="33" s="1"/>
  <c r="N212" i="33"/>
  <c r="N175" i="33"/>
  <c r="N242" i="33" s="1"/>
  <c r="E178" i="33"/>
  <c r="E245" i="33" s="1"/>
  <c r="E215" i="33"/>
  <c r="E213" i="33"/>
  <c r="E176" i="33"/>
  <c r="E243" i="33" s="1"/>
  <c r="N211" i="33"/>
  <c r="N174" i="33"/>
  <c r="N241" i="33" s="1"/>
  <c r="I216" i="33"/>
  <c r="I179" i="33"/>
  <c r="I246" i="33" s="1"/>
  <c r="N213" i="33"/>
  <c r="N176" i="33"/>
  <c r="N243" i="33" s="1"/>
  <c r="K212" i="33"/>
  <c r="K175" i="33"/>
  <c r="K242" i="33" s="1"/>
  <c r="E177" i="33"/>
  <c r="E244" i="33" s="1"/>
  <c r="E214" i="33"/>
  <c r="L214" i="33"/>
  <c r="L177" i="33"/>
  <c r="L244" i="33" s="1"/>
  <c r="P117" i="33"/>
  <c r="K148" i="33"/>
  <c r="O148" i="33"/>
  <c r="M117" i="33"/>
  <c r="N117" i="33"/>
  <c r="O117" i="33"/>
  <c r="L117" i="33"/>
  <c r="E148" i="33"/>
  <c r="D117" i="33"/>
  <c r="J117" i="33"/>
  <c r="I117" i="33"/>
  <c r="C117" i="33"/>
  <c r="K117" i="33"/>
  <c r="E117" i="33"/>
  <c r="P215" i="33" l="1"/>
  <c r="P216" i="33"/>
  <c r="P214" i="33"/>
  <c r="P213" i="33"/>
  <c r="P212" i="33"/>
  <c r="P211" i="33"/>
  <c r="P210" i="33"/>
  <c r="K180" i="33"/>
  <c r="J217" i="33"/>
  <c r="J247" i="33"/>
  <c r="N217" i="33"/>
  <c r="O217" i="33"/>
  <c r="P206" i="33"/>
  <c r="N247" i="33"/>
  <c r="P208" i="33"/>
  <c r="P148" i="33"/>
  <c r="K217" i="33"/>
  <c r="P209" i="33"/>
  <c r="E217" i="33"/>
  <c r="C180" i="33"/>
  <c r="C217" i="33"/>
  <c r="E180" i="33"/>
  <c r="C236" i="33"/>
  <c r="P236" i="33" s="1"/>
  <c r="P169" i="33"/>
  <c r="L235" i="33"/>
  <c r="L247" i="33" s="1"/>
  <c r="L180" i="33"/>
  <c r="P171" i="33"/>
  <c r="C238" i="33"/>
  <c r="P238" i="33" s="1"/>
  <c r="P170" i="33"/>
  <c r="C237" i="33"/>
  <c r="P237" i="33" s="1"/>
  <c r="P205" i="33"/>
  <c r="L217" i="33"/>
  <c r="K247" i="33"/>
  <c r="C244" i="33"/>
  <c r="P244" i="33" s="1"/>
  <c r="P177" i="33"/>
  <c r="C235" i="33"/>
  <c r="P168" i="33"/>
  <c r="O180" i="33"/>
  <c r="D235" i="33"/>
  <c r="D247" i="33" s="1"/>
  <c r="D180" i="33"/>
  <c r="C243" i="33"/>
  <c r="P243" i="33" s="1"/>
  <c r="P176" i="33"/>
  <c r="C240" i="33"/>
  <c r="P240" i="33" s="1"/>
  <c r="P173" i="33"/>
  <c r="M235" i="33"/>
  <c r="M247" i="33" s="1"/>
  <c r="M180" i="33"/>
  <c r="P175" i="33"/>
  <c r="C242" i="33"/>
  <c r="P242" i="33" s="1"/>
  <c r="R255" i="33" s="1"/>
  <c r="P179" i="33"/>
  <c r="C246" i="33"/>
  <c r="P246" i="33" s="1"/>
  <c r="C239" i="33"/>
  <c r="P239" i="33" s="1"/>
  <c r="P172" i="33"/>
  <c r="E247" i="33"/>
  <c r="Q137" i="33"/>
  <c r="Q138" i="33" s="1"/>
  <c r="Q139" i="33" s="1"/>
  <c r="Q140" i="33" s="1"/>
  <c r="Q141" i="33" s="1"/>
  <c r="Q142" i="33" s="1"/>
  <c r="Q143" i="33" s="1"/>
  <c r="Q144" i="33" s="1"/>
  <c r="Q145" i="33" s="1"/>
  <c r="Q146" i="33" s="1"/>
  <c r="Q147" i="33" s="1"/>
  <c r="C245" i="33"/>
  <c r="P245" i="33" s="1"/>
  <c r="P178" i="33"/>
  <c r="O247" i="33"/>
  <c r="I235" i="33"/>
  <c r="I247" i="33" s="1"/>
  <c r="I180" i="33"/>
  <c r="N180" i="33"/>
  <c r="C241" i="33"/>
  <c r="P241" i="33" s="1"/>
  <c r="P174" i="33"/>
  <c r="D217" i="33"/>
  <c r="M217" i="33"/>
  <c r="P207" i="33"/>
  <c r="I217" i="33"/>
  <c r="H9" i="48"/>
  <c r="F159" i="35"/>
  <c r="F147" i="35"/>
  <c r="J180" i="33"/>
  <c r="J264" i="33" l="1"/>
  <c r="K264" i="33"/>
  <c r="N264" i="33"/>
  <c r="P217" i="33"/>
  <c r="F112" i="35" s="1"/>
  <c r="E264" i="33"/>
  <c r="Q206" i="33"/>
  <c r="Q207" i="33" s="1"/>
  <c r="Q208" i="33" s="1"/>
  <c r="Q209" i="33" s="1"/>
  <c r="Q210" i="33" s="1"/>
  <c r="Q211" i="33" s="1"/>
  <c r="Q212" i="33" s="1"/>
  <c r="Q213" i="33" s="1"/>
  <c r="Q214" i="33" s="1"/>
  <c r="Q215" i="33" s="1"/>
  <c r="Q216" i="33" s="1"/>
  <c r="Q219" i="33" s="1"/>
  <c r="Q220" i="33" s="1"/>
  <c r="Q221" i="33" s="1"/>
  <c r="Q222" i="33" s="1"/>
  <c r="Q223" i="33" s="1"/>
  <c r="Q224" i="33" s="1"/>
  <c r="Q225" i="33" s="1"/>
  <c r="Q226" i="33" s="1"/>
  <c r="Q227" i="33" s="1"/>
  <c r="Q228" i="33" s="1"/>
  <c r="Q229" i="33" s="1"/>
  <c r="Q230" i="33" s="1"/>
  <c r="M264" i="33"/>
  <c r="Q169" i="33"/>
  <c r="Q170" i="33" s="1"/>
  <c r="Q171" i="33" s="1"/>
  <c r="Q172" i="33" s="1"/>
  <c r="Q173" i="33" s="1"/>
  <c r="Q174" i="33" s="1"/>
  <c r="Q175" i="33" s="1"/>
  <c r="Q176" i="33" s="1"/>
  <c r="Q177" i="33" s="1"/>
  <c r="Q178" i="33" s="1"/>
  <c r="Q179" i="33" s="1"/>
  <c r="I264" i="33"/>
  <c r="P180" i="33"/>
  <c r="L264" i="33"/>
  <c r="C247" i="33"/>
  <c r="C264" i="33" s="1"/>
  <c r="D264" i="33"/>
  <c r="P235" i="33"/>
  <c r="Q236" i="33" s="1"/>
  <c r="Q237" i="33" s="1"/>
  <c r="Q238" i="33" s="1"/>
  <c r="O264" i="33"/>
  <c r="F256" i="35"/>
  <c r="G164" i="35"/>
  <c r="E76" i="35" s="1"/>
  <c r="F76" i="35" s="1"/>
  <c r="F160" i="35"/>
  <c r="F161" i="35" s="1"/>
  <c r="F313" i="35"/>
  <c r="F315" i="35" s="1"/>
  <c r="G319" i="35" s="1"/>
  <c r="G330" i="35" s="1"/>
  <c r="G380" i="35"/>
  <c r="G391" i="35" s="1"/>
  <c r="F534" i="35"/>
  <c r="G536" i="35" s="1"/>
  <c r="F608" i="35"/>
  <c r="G612" i="35" s="1"/>
  <c r="F562" i="35"/>
  <c r="G564" i="35" s="1"/>
  <c r="F487" i="35" s="1"/>
  <c r="F616" i="35"/>
  <c r="G618" i="35" s="1"/>
  <c r="F124" i="35" l="1"/>
  <c r="F114" i="35"/>
  <c r="P247" i="33"/>
  <c r="Q239" i="33"/>
  <c r="Q240" i="33" s="1"/>
  <c r="Q241" i="33" s="1"/>
  <c r="Q242" i="33" s="1"/>
  <c r="F246" i="35"/>
  <c r="F248" i="35" s="1"/>
  <c r="G252" i="35" s="1"/>
  <c r="F257" i="35"/>
  <c r="F258" i="35" s="1"/>
  <c r="G261" i="35"/>
  <c r="F280" i="35"/>
  <c r="F458" i="35"/>
  <c r="G620" i="35"/>
  <c r="E547" i="35"/>
  <c r="F582" i="35"/>
  <c r="G586" i="35" s="1"/>
  <c r="F590" i="35"/>
  <c r="G592" i="35" s="1"/>
  <c r="E519" i="35" s="1"/>
  <c r="F125" i="35" l="1"/>
  <c r="F126" i="35" s="1"/>
  <c r="G129" i="35"/>
  <c r="P264" i="33"/>
  <c r="F79" i="35"/>
  <c r="Q243" i="33"/>
  <c r="Q244" i="33" s="1"/>
  <c r="Q245" i="33" s="1"/>
  <c r="Q246" i="33" s="1"/>
  <c r="S246" i="33" s="1"/>
  <c r="G263" i="35"/>
  <c r="F213" i="35"/>
  <c r="F225" i="35"/>
  <c r="F547" i="35"/>
  <c r="F548" i="35" s="1"/>
  <c r="F552" i="35" s="1"/>
  <c r="F554" i="35" s="1"/>
  <c r="G558" i="35" s="1"/>
  <c r="G566" i="35" s="1"/>
  <c r="F486" i="35"/>
  <c r="F488" i="35" s="1"/>
  <c r="F492" i="35" s="1"/>
  <c r="F519" i="35"/>
  <c r="F520" i="35" s="1"/>
  <c r="F524" i="35" s="1"/>
  <c r="F526" i="35" s="1"/>
  <c r="G530" i="35" s="1"/>
  <c r="G539" i="35" s="1"/>
  <c r="F457" i="35"/>
  <c r="F459" i="35" s="1"/>
  <c r="F463" i="35" s="1"/>
  <c r="G467" i="35" s="1"/>
  <c r="G595" i="35"/>
  <c r="Q249" i="33" l="1"/>
  <c r="Q250" i="33" s="1"/>
  <c r="Q251" i="33" s="1"/>
  <c r="Q252" i="33" s="1"/>
  <c r="Q253" i="33" s="1"/>
  <c r="Q254" i="33" s="1"/>
  <c r="F81" i="35"/>
  <c r="F93" i="35"/>
  <c r="F175" i="35"/>
  <c r="F176" i="35" s="1"/>
  <c r="F182" i="35" s="1"/>
  <c r="G186" i="35" s="1"/>
  <c r="G197" i="35" s="1"/>
  <c r="E108" i="35"/>
  <c r="F108" i="35" s="1"/>
  <c r="F110" i="35" s="1"/>
  <c r="F116" i="35" s="1"/>
  <c r="G120" i="35" s="1"/>
  <c r="G131" i="35" s="1"/>
  <c r="F226" i="35"/>
  <c r="F227" i="35" s="1"/>
  <c r="G230" i="35"/>
  <c r="G360" i="35"/>
  <c r="G473" i="35"/>
  <c r="G496" i="35"/>
  <c r="G504" i="35" s="1"/>
  <c r="Q255" i="33" l="1"/>
  <c r="Q256" i="33" s="1"/>
  <c r="Q257" i="33" s="1"/>
  <c r="Q258" i="33" s="1"/>
  <c r="Q259" i="33" s="1"/>
  <c r="F94" i="35"/>
  <c r="F95" i="35" s="1"/>
  <c r="G98" i="35"/>
  <c r="F142" i="35"/>
  <c r="F143" i="35" s="1"/>
  <c r="F151" i="35" s="1"/>
  <c r="G155" i="35" s="1"/>
  <c r="G166" i="35" s="1"/>
  <c r="E75" i="35"/>
  <c r="F75" i="35" s="1"/>
  <c r="F77" i="35" s="1"/>
  <c r="F342" i="35"/>
  <c r="E275" i="35"/>
  <c r="G475" i="35"/>
  <c r="G508" i="35"/>
  <c r="Q260" i="33" l="1"/>
  <c r="F12" i="48" s="1"/>
  <c r="F12" i="42"/>
  <c r="G12" i="42" s="1"/>
  <c r="H12" i="42" s="1"/>
  <c r="F85" i="35"/>
  <c r="G89" i="35" s="1"/>
  <c r="G100" i="35" s="1"/>
  <c r="F275" i="35"/>
  <c r="F276" i="35" s="1"/>
  <c r="E280" i="35" s="1"/>
  <c r="G280" i="35" s="1"/>
  <c r="E207" i="35"/>
  <c r="F207" i="35" s="1"/>
  <c r="F209" i="35" s="1"/>
  <c r="F217" i="35" s="1"/>
  <c r="G221" i="35" s="1"/>
  <c r="G232" i="35" s="1"/>
  <c r="F284" i="35"/>
  <c r="G288" i="35" s="1"/>
  <c r="G299" i="35" s="1"/>
  <c r="F343" i="35"/>
  <c r="F347" i="35" s="1"/>
  <c r="G479" i="35"/>
  <c r="F14" i="42" l="1"/>
  <c r="G14" i="42" s="1"/>
  <c r="H14" i="42" s="1"/>
  <c r="F15" i="48"/>
  <c r="H12" i="48"/>
  <c r="G351" i="35"/>
  <c r="G362" i="35" s="1"/>
  <c r="H15" i="48" l="1"/>
  <c r="H17" i="48" s="1"/>
  <c r="F17" i="48"/>
  <c r="D16" i="50" s="1"/>
  <c r="D18" i="5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Weinstein, Mike</author>
  </authors>
  <commentList>
    <comment ref="B13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Weinstein, Mike:</t>
        </r>
        <r>
          <rPr>
            <sz val="9"/>
            <color indexed="81"/>
            <rFont val="Tahoma"/>
            <family val="2"/>
          </rPr>
          <t xml:space="preserve">
This is the estimated percentage of single stream tonnages collected applicable to MF households based on the total container volumes.</t>
        </r>
      </text>
    </comment>
    <comment ref="B150" authorId="0" shapeId="0" xr:uid="{7AAB619D-748D-44C1-B030-AA9AD4994065}">
      <text>
        <r>
          <rPr>
            <b/>
            <sz val="9"/>
            <color indexed="81"/>
            <rFont val="Tahoma"/>
            <family val="2"/>
          </rPr>
          <t>Weinstein, Mike:</t>
        </r>
        <r>
          <rPr>
            <sz val="9"/>
            <color indexed="81"/>
            <rFont val="Tahoma"/>
            <family val="2"/>
          </rPr>
          <t xml:space="preserve">
This is the estimated percentage of single stream tonnages collected applicable to MF households based on the total container volumes.</t>
        </r>
      </text>
    </comment>
  </commentList>
</comments>
</file>

<file path=xl/sharedStrings.xml><?xml version="1.0" encoding="utf-8"?>
<sst xmlns="http://schemas.openxmlformats.org/spreadsheetml/2006/main" count="1058" uniqueCount="203">
  <si>
    <t>HDPE</t>
  </si>
  <si>
    <t>PET</t>
  </si>
  <si>
    <t>May</t>
  </si>
  <si>
    <t>Total</t>
  </si>
  <si>
    <t>%</t>
  </si>
  <si>
    <t>Customers</t>
  </si>
  <si>
    <t>Credits</t>
  </si>
  <si>
    <t>Dec</t>
  </si>
  <si>
    <t>Mar</t>
  </si>
  <si>
    <t>Apr</t>
  </si>
  <si>
    <t>Feb</t>
  </si>
  <si>
    <t>Glass</t>
  </si>
  <si>
    <t>Tons</t>
  </si>
  <si>
    <t>Commodity</t>
  </si>
  <si>
    <t>Less:</t>
  </si>
  <si>
    <t>Non-Reg.</t>
  </si>
  <si>
    <t>Regulated</t>
  </si>
  <si>
    <t>Aluminum</t>
  </si>
  <si>
    <t>Tin</t>
  </si>
  <si>
    <t>OCC</t>
  </si>
  <si>
    <t>Yards</t>
  </si>
  <si>
    <t>Residential</t>
  </si>
  <si>
    <t>Credit</t>
  </si>
  <si>
    <t>Actual Commodity Revenue (adj. to reflect current customers)</t>
  </si>
  <si>
    <t>Owe Customer (company)</t>
  </si>
  <si>
    <t>Total Customers</t>
  </si>
  <si>
    <t>Commodity Adjustment</t>
  </si>
  <si>
    <t>Projected Value</t>
  </si>
  <si>
    <t>Residential Commodity Adjustment</t>
  </si>
  <si>
    <t>Multi-family</t>
  </si>
  <si>
    <t>Multi-family Commodity Adjustment</t>
  </si>
  <si>
    <t>WM of Spokane</t>
  </si>
  <si>
    <t>Res'l</t>
  </si>
  <si>
    <t>SS</t>
  </si>
  <si>
    <t>Single stream commodity composition percentage</t>
  </si>
  <si>
    <t>Newspaper</t>
  </si>
  <si>
    <t>Baled</t>
  </si>
  <si>
    <t>UBC</t>
  </si>
  <si>
    <t>Steel Cans</t>
  </si>
  <si>
    <t>Mixed</t>
  </si>
  <si>
    <t>ONP</t>
  </si>
  <si>
    <t>MP</t>
  </si>
  <si>
    <t>Natural</t>
  </si>
  <si>
    <t>Colored</t>
  </si>
  <si>
    <t>Plastics</t>
  </si>
  <si>
    <t xml:space="preserve">Residue </t>
  </si>
  <si>
    <t>Net</t>
  </si>
  <si>
    <t>Materials Composition:</t>
  </si>
  <si>
    <t>Price per ton:</t>
  </si>
  <si>
    <t>Total Tonnage by Commodity:</t>
  </si>
  <si>
    <t>MF Tonnage by Commodity:</t>
  </si>
  <si>
    <t>Res'l Tonnage by Commodity:</t>
  </si>
  <si>
    <t>MF Revenue by Commodity:</t>
  </si>
  <si>
    <t>Res'l Revenue by Commodity:</t>
  </si>
  <si>
    <t>2014 - 2015 Rebate Calculation</t>
  </si>
  <si>
    <t>2013 - 2014 Rebate Calculation</t>
  </si>
  <si>
    <t>WM Spokane</t>
  </si>
  <si>
    <t>June - July projected value without adjustment factor</t>
  </si>
  <si>
    <t>Aug. - May projected value without adjustment factor</t>
  </si>
  <si>
    <t>Projected Revenue June 2013 - May 2014</t>
  </si>
  <si>
    <t>Projected Revenue June 2014 - May 2015</t>
  </si>
  <si>
    <t>Month</t>
  </si>
  <si>
    <t>Inbound</t>
  </si>
  <si>
    <t>Residential &amp; MF Regulated Recycling Tonnages and Revenue</t>
  </si>
  <si>
    <t>Mix Paper</t>
  </si>
  <si>
    <t>HDPE Natl</t>
  </si>
  <si>
    <t>HDPE Col</t>
  </si>
  <si>
    <t>#3 - 7</t>
  </si>
  <si>
    <t>Residue</t>
  </si>
  <si>
    <t>Price/ton schedule</t>
  </si>
  <si>
    <t>ONP 6</t>
  </si>
  <si>
    <t>Mixed Paper</t>
  </si>
  <si>
    <t>Alum.</t>
  </si>
  <si>
    <t>HDPE Natural</t>
  </si>
  <si>
    <t>HDPE Colored</t>
  </si>
  <si>
    <t>Plastics 3-7</t>
  </si>
  <si>
    <t>Projected Revenue June 2015 - May 2016</t>
  </si>
  <si>
    <t>2015 - 2016 Rebate Calculation</t>
  </si>
  <si>
    <t>Deer Park</t>
  </si>
  <si>
    <t>Airway Heights</t>
  </si>
  <si>
    <t>Liberty Lake</t>
  </si>
  <si>
    <t>Spokane Valley</t>
  </si>
  <si>
    <t>2016 - 2017 Rebate Calculation</t>
  </si>
  <si>
    <t>Projected Revenue June 2016 - May 2017</t>
  </si>
  <si>
    <t>WUTC</t>
  </si>
  <si>
    <t>Total non-regulated</t>
  </si>
  <si>
    <t>Jurisdiction:</t>
  </si>
  <si>
    <t>% Regulated</t>
  </si>
  <si>
    <t>% Non-Regulated</t>
  </si>
  <si>
    <t>MF Rebate per yard</t>
  </si>
  <si>
    <t>WUTC recycling subscription MSW Yards</t>
  </si>
  <si>
    <t>Regulated MF Rebate per billing</t>
  </si>
  <si>
    <t>Residential &amp; MF Regulated Customers</t>
  </si>
  <si>
    <t>Total with Residue</t>
  </si>
  <si>
    <t>2017 - 2018 Rebate Calculation</t>
  </si>
  <si>
    <t>Tin Cans</t>
  </si>
  <si>
    <t>Projected Revenue June 2017 - May 2018</t>
  </si>
  <si>
    <t xml:space="preserve">Average Revenue/ton </t>
  </si>
  <si>
    <t>Net amount Owed Customer (company)</t>
  </si>
  <si>
    <t>Owed to Customer (company)</t>
  </si>
  <si>
    <t>Less: Error in rebate Aug - Sept. 2016 ($1.78 to $1.44)</t>
  </si>
  <si>
    <t>Less: Error in rebate Aug - Sept. 2016 ($0.28 - $0.23)</t>
  </si>
  <si>
    <t>2018 - 2019 Rebate Calculation</t>
  </si>
  <si>
    <t>Projected Value to Rebate to Customers</t>
  </si>
  <si>
    <t>Budget</t>
  </si>
  <si>
    <t>Customer Counts:</t>
  </si>
  <si>
    <t>Tonnage:</t>
  </si>
  <si>
    <t>Revenues:</t>
  </si>
  <si>
    <t>Expenditures Budget:</t>
  </si>
  <si>
    <t xml:space="preserve">Estimated Revenue Sharing retained by Company </t>
  </si>
  <si>
    <t>Detailed Expenditures:</t>
  </si>
  <si>
    <t>Tasks As Outlined In RSA</t>
  </si>
  <si>
    <t>Total RSA Task Fees (excluding capital)</t>
  </si>
  <si>
    <t>Net Residential Commodity Adjustment</t>
  </si>
  <si>
    <t>Average</t>
  </si>
  <si>
    <t>lbs./</t>
  </si>
  <si>
    <t>Customer/</t>
  </si>
  <si>
    <t>Multi-Family Commodity Adjustment</t>
  </si>
  <si>
    <t>Residential and Multi-Family WUTC tonnage (2 years)</t>
  </si>
  <si>
    <t>Less: Recycling Incentive</t>
  </si>
  <si>
    <t>Spokane County Revenue Sharing Budget</t>
  </si>
  <si>
    <r>
      <t xml:space="preserve">Projected Revenue June 2018 - </t>
    </r>
    <r>
      <rPr>
        <b/>
        <u/>
        <sz val="12"/>
        <color rgb="FF0070C0"/>
        <rFont val="Arial"/>
        <family val="2"/>
      </rPr>
      <t>November 2018</t>
    </r>
    <r>
      <rPr>
        <b/>
        <u/>
        <sz val="12"/>
        <rFont val="Arial"/>
        <family val="2"/>
      </rPr>
      <t xml:space="preserve"> (based on most recent </t>
    </r>
    <r>
      <rPr>
        <b/>
        <u/>
        <sz val="12"/>
        <color rgb="FF0070C0"/>
        <rFont val="Arial"/>
        <family val="2"/>
      </rPr>
      <t>6</t>
    </r>
    <r>
      <rPr>
        <b/>
        <u/>
        <sz val="12"/>
        <rFont val="Arial"/>
        <family val="2"/>
      </rPr>
      <t xml:space="preserve"> months due to "China Sword")</t>
    </r>
  </si>
  <si>
    <t>June - July. projected value without adjustment factor</t>
  </si>
  <si>
    <t>Tonnage</t>
  </si>
  <si>
    <t>Actual</t>
  </si>
  <si>
    <t>Inc.</t>
  </si>
  <si>
    <t>(Dec.)</t>
  </si>
  <si>
    <t>Diff.</t>
  </si>
  <si>
    <t>Revenue per ton</t>
  </si>
  <si>
    <t>Budget vs. Actual Comparison</t>
  </si>
  <si>
    <t>Commodity Revenue</t>
  </si>
  <si>
    <t xml:space="preserve">Actual Commodity Revenue </t>
  </si>
  <si>
    <t>Projected Revenue July 2018 - November 2018</t>
  </si>
  <si>
    <t>Aug. - Nov. projected value without adjustment factor</t>
  </si>
  <si>
    <r>
      <t>Projected Revenue December 2018 - May</t>
    </r>
    <r>
      <rPr>
        <b/>
        <u/>
        <sz val="12"/>
        <color rgb="FF0070C0"/>
        <rFont val="Arial"/>
        <family val="2"/>
      </rPr>
      <t xml:space="preserve"> 2019</t>
    </r>
    <r>
      <rPr>
        <b/>
        <u/>
        <sz val="12"/>
        <rFont val="Arial"/>
        <family val="2"/>
      </rPr>
      <t xml:space="preserve"> (based on most recent </t>
    </r>
    <r>
      <rPr>
        <b/>
        <u/>
        <sz val="12"/>
        <color rgb="FF0070C0"/>
        <rFont val="Arial"/>
        <family val="2"/>
      </rPr>
      <t>6</t>
    </r>
    <r>
      <rPr>
        <b/>
        <u/>
        <sz val="12"/>
        <rFont val="Arial"/>
        <family val="2"/>
      </rPr>
      <t xml:space="preserve"> months due to "China Sword")</t>
    </r>
  </si>
  <si>
    <t>Projected Revenue December 2018 - June 2019</t>
  </si>
  <si>
    <t>Less: % Retained per RSA</t>
  </si>
  <si>
    <t>Total Credits</t>
  </si>
  <si>
    <t>Total Projected Customers</t>
  </si>
  <si>
    <t xml:space="preserve">Dec. - Jan. projected value </t>
  </si>
  <si>
    <t xml:space="preserve">Feb. - May projected value </t>
  </si>
  <si>
    <r>
      <t>Projected Revenue June 2019 - May</t>
    </r>
    <r>
      <rPr>
        <b/>
        <u/>
        <sz val="12"/>
        <color rgb="FF0070C0"/>
        <rFont val="Arial"/>
        <family val="2"/>
      </rPr>
      <t xml:space="preserve"> 2020</t>
    </r>
    <r>
      <rPr>
        <b/>
        <u/>
        <sz val="12"/>
        <rFont val="Arial"/>
        <family val="2"/>
      </rPr>
      <t xml:space="preserve"> (based on most recent </t>
    </r>
    <r>
      <rPr>
        <b/>
        <u/>
        <sz val="12"/>
        <color rgb="FF0070C0"/>
        <rFont val="Arial"/>
        <family val="2"/>
      </rPr>
      <t>6</t>
    </r>
    <r>
      <rPr>
        <b/>
        <u/>
        <sz val="12"/>
        <rFont val="Arial"/>
        <family val="2"/>
      </rPr>
      <t xml:space="preserve"> months average)</t>
    </r>
  </si>
  <si>
    <t>2019 - 2020 Rebate Calculation</t>
  </si>
  <si>
    <t>Projected Revenue June 2019 - May 2020</t>
  </si>
  <si>
    <t xml:space="preserve">Jun. - Jul. projected value </t>
  </si>
  <si>
    <t xml:space="preserve">Aug. - May projected value </t>
  </si>
  <si>
    <r>
      <t>Projected Revenue June 2020 - May</t>
    </r>
    <r>
      <rPr>
        <b/>
        <u/>
        <sz val="12"/>
        <color rgb="FF0070C0"/>
        <rFont val="Arial"/>
        <family val="2"/>
      </rPr>
      <t xml:space="preserve"> 2021</t>
    </r>
    <r>
      <rPr>
        <b/>
        <u/>
        <sz val="12"/>
        <rFont val="Arial"/>
        <family val="2"/>
      </rPr>
      <t xml:space="preserve"> (based on most recent </t>
    </r>
    <r>
      <rPr>
        <b/>
        <u/>
        <sz val="12"/>
        <color rgb="FF0070C0"/>
        <rFont val="Arial"/>
        <family val="2"/>
      </rPr>
      <t>6</t>
    </r>
    <r>
      <rPr>
        <b/>
        <u/>
        <sz val="12"/>
        <rFont val="Arial"/>
        <family val="2"/>
      </rPr>
      <t xml:space="preserve"> months average)</t>
    </r>
  </si>
  <si>
    <t>Jun</t>
  </si>
  <si>
    <t>Jul</t>
  </si>
  <si>
    <t>Aug</t>
  </si>
  <si>
    <t>Sep</t>
  </si>
  <si>
    <t>Oct</t>
  </si>
  <si>
    <t>Nov</t>
  </si>
  <si>
    <t>MRB</t>
  </si>
  <si>
    <t>VW2</t>
  </si>
  <si>
    <t>VWS</t>
  </si>
  <si>
    <t>VWT</t>
  </si>
  <si>
    <t>VWU</t>
  </si>
  <si>
    <t>Revenue less 50% retention</t>
  </si>
  <si>
    <t>Add: Amount underspent (net of incentive)</t>
  </si>
  <si>
    <t>Total Two Year Projected Commodity Revenue (based on most recent 6 months average commodity values )</t>
  </si>
  <si>
    <t>Task 1 - Knowledge Sharing</t>
  </si>
  <si>
    <t>VWM</t>
  </si>
  <si>
    <t>Pro-Rata</t>
  </si>
  <si>
    <t>mos.</t>
  </si>
  <si>
    <t>2021 - 2022 Rebate Calculation</t>
  </si>
  <si>
    <t>Projected Revenue June 2020 - May 2020</t>
  </si>
  <si>
    <r>
      <t>Projected Revenue June 2021 - May</t>
    </r>
    <r>
      <rPr>
        <b/>
        <u/>
        <sz val="12"/>
        <color rgb="FF0070C0"/>
        <rFont val="Arial"/>
        <family val="2"/>
      </rPr>
      <t xml:space="preserve"> 2022</t>
    </r>
    <r>
      <rPr>
        <b/>
        <u/>
        <sz val="12"/>
        <rFont val="Arial"/>
        <family val="2"/>
      </rPr>
      <t xml:space="preserve"> (based on most recent 12 months average)</t>
    </r>
  </si>
  <si>
    <t>2022 - 2023 Rebate Calculation</t>
  </si>
  <si>
    <r>
      <t>Projected Revenue June 2022 - May</t>
    </r>
    <r>
      <rPr>
        <b/>
        <u/>
        <sz val="12"/>
        <color rgb="FF0070C0"/>
        <rFont val="Arial"/>
        <family val="2"/>
      </rPr>
      <t xml:space="preserve"> 2023</t>
    </r>
    <r>
      <rPr>
        <b/>
        <u/>
        <sz val="12"/>
        <rFont val="Arial"/>
        <family val="2"/>
      </rPr>
      <t xml:space="preserve"> (based on most recent 12 months average)</t>
    </r>
  </si>
  <si>
    <t>Projected Revenue June 2022 - May 2022</t>
  </si>
  <si>
    <t>Diff</t>
  </si>
  <si>
    <t xml:space="preserve">Total Two Year Projected Commodity Revenue </t>
  </si>
  <si>
    <t>August 1 2022 - July 31, 2024</t>
  </si>
  <si>
    <t>Task 2 - Equitable Outreach</t>
  </si>
  <si>
    <t>Task 3 - Community Events - Reducing Contamination and Waste</t>
  </si>
  <si>
    <t>Task 4 - Focused Education for Younger Minds</t>
  </si>
  <si>
    <t>Task 5 - Multifamily recycling and Reduction of Contamination</t>
  </si>
  <si>
    <t>Total RSA Budgeted Expenses</t>
  </si>
  <si>
    <t>2023 - 2024 Rebate Calculation</t>
  </si>
  <si>
    <t>Jun. 2022</t>
  </si>
  <si>
    <t>Jan. 2023</t>
  </si>
  <si>
    <t>Jun. 2023</t>
  </si>
  <si>
    <t>Jan. 2024</t>
  </si>
  <si>
    <t>(8/22-7/24)</t>
  </si>
  <si>
    <t>Per Enspire</t>
  </si>
  <si>
    <t>Smart Composition</t>
  </si>
  <si>
    <t>MF Tons</t>
  </si>
  <si>
    <t>MF</t>
  </si>
  <si>
    <t xml:space="preserve"> </t>
  </si>
  <si>
    <t>Projected Revenue June 2023 - May 2023</t>
  </si>
  <si>
    <r>
      <t>Projected Revenue June 2023 - May</t>
    </r>
    <r>
      <rPr>
        <b/>
        <u/>
        <sz val="12"/>
        <color rgb="FF0070C0"/>
        <rFont val="Arial"/>
        <family val="2"/>
      </rPr>
      <t xml:space="preserve"> 2024</t>
    </r>
    <r>
      <rPr>
        <b/>
        <u/>
        <sz val="12"/>
        <rFont val="Arial"/>
        <family val="2"/>
      </rPr>
      <t xml:space="preserve"> (based on most recent 12 months average)</t>
    </r>
  </si>
  <si>
    <t>n/a</t>
  </si>
  <si>
    <t>Spokane</t>
  </si>
  <si>
    <t>Net SS</t>
  </si>
  <si>
    <t>WM</t>
  </si>
  <si>
    <t>Total SS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</si>
  <si>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</si>
  <si>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2022-2024 Budget</t>
  </si>
  <si>
    <t>Carried over balance from previous RSA</t>
  </si>
  <si>
    <t>August 1, 2024 - July 31, 2026</t>
  </si>
  <si>
    <t>2024 - 2025 Rebate Calculation</t>
  </si>
  <si>
    <r>
      <t>Projected Revenue June 2024 - May</t>
    </r>
    <r>
      <rPr>
        <b/>
        <u/>
        <sz val="12"/>
        <color rgb="FF0070C0"/>
        <rFont val="Arial"/>
        <family val="2"/>
      </rPr>
      <t xml:space="preserve"> 2025</t>
    </r>
    <r>
      <rPr>
        <b/>
        <u/>
        <sz val="12"/>
        <rFont val="Arial"/>
        <family val="2"/>
      </rPr>
      <t xml:space="preserve"> (based on most recent 12 months average)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</si>
</sst>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_(* #,##0.0_);_(* \(#,##0.0\);_(* &quot;-&quot;??_);_(@_)"/>
  </numFmts>
  <fonts count="6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b/>
      <u val="doubleAccounting"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2"/>
      <color indexed="12"/>
      <name val="Arial"/>
      <family val="2"/>
    </font>
    <font>
      <u val="singleAccounting"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12"/>
      <color theme="1"/>
      <name val="Arial"/>
      <family val="2"/>
    </font>
    <font>
      <b/>
      <sz val="12"/>
      <color indexed="10"/>
      <name val="Arial"/>
      <family val="2"/>
    </font>
    <font>
      <i/>
      <u/>
      <sz val="12"/>
      <name val="Arial"/>
      <family val="2"/>
    </font>
    <font>
      <b/>
      <u val="singleAccounting"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i/>
      <u val="double"/>
      <sz val="8"/>
      <name val="Arial"/>
      <family val="2"/>
    </font>
    <font>
      <b/>
      <i/>
      <u val="doubleAccounting"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 val="double"/>
      <sz val="10"/>
      <name val="Arial"/>
      <family val="2"/>
    </font>
    <font>
      <u val="singleAccounting"/>
      <sz val="9"/>
      <color theme="1"/>
      <name val="Arial"/>
      <family val="2"/>
    </font>
    <font>
      <b/>
      <u val="doubleAccounting"/>
      <sz val="9"/>
      <color theme="1"/>
      <name val="Arial"/>
      <family val="2"/>
    </font>
    <font>
      <u val="singleAccounting"/>
      <sz val="9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 val="singleAccounting"/>
      <sz val="12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u val="singleAccounting"/>
      <sz val="12"/>
      <name val="Arial"/>
      <family val="2"/>
    </font>
    <font>
      <b/>
      <u val="doubleAccounting"/>
      <sz val="12"/>
      <name val="Arial"/>
      <family val="2"/>
    </font>
    <font>
      <sz val="10"/>
      <color theme="3" tint="0.39997558519241921"/>
      <name val="Arial"/>
      <family val="2"/>
    </font>
    <font>
      <sz val="12"/>
      <color rgb="FF0070C0"/>
      <name val="Arial"/>
      <family val="2"/>
    </font>
    <font>
      <u val="singleAccounting"/>
      <sz val="12"/>
      <color rgb="FF0070C0"/>
      <name val="Arial"/>
      <family val="2"/>
    </font>
    <font>
      <b/>
      <u/>
      <sz val="12"/>
      <color rgb="FF0070C0"/>
      <name val="Arial"/>
      <family val="2"/>
    </font>
    <font>
      <b/>
      <sz val="10"/>
      <color rgb="FFFF0000"/>
      <name val="Arial"/>
      <family val="2"/>
    </font>
    <font>
      <b/>
      <u val="singleAccounting"/>
      <sz val="12"/>
      <color rgb="FF0070C0"/>
      <name val="Arial"/>
      <family val="2"/>
    </font>
    <font>
      <b/>
      <sz val="12"/>
      <color theme="1"/>
      <name val="Arial"/>
      <family val="2"/>
    </font>
    <font>
      <b/>
      <u/>
      <sz val="10"/>
      <color theme="1"/>
      <name val="Arial"/>
      <family val="2"/>
    </font>
    <font>
      <b/>
      <u val="doubleAccounting"/>
      <sz val="10"/>
      <color theme="1"/>
      <name val="Arial"/>
      <family val="2"/>
    </font>
    <font>
      <b/>
      <i/>
      <u val="double"/>
      <sz val="10"/>
      <color theme="1"/>
      <name val="Arial"/>
      <family val="2"/>
    </font>
    <font>
      <b/>
      <sz val="10"/>
      <color theme="1"/>
      <name val="Arial"/>
      <family val="2"/>
    </font>
    <font>
      <b/>
      <u val="doubleAccounting"/>
      <sz val="10"/>
      <color rgb="FF00B050"/>
      <name val="Arial"/>
      <family val="2"/>
    </font>
    <font>
      <u val="doubleAccounting"/>
      <sz val="12"/>
      <color theme="1"/>
      <name val="Arial"/>
      <family val="2"/>
    </font>
    <font>
      <b/>
      <u val="singleAccounting"/>
      <sz val="12"/>
      <color theme="1"/>
      <name val="Arial"/>
      <family val="2"/>
    </font>
    <font>
      <b/>
      <u val="doubleAccounting"/>
      <sz val="12"/>
      <color theme="1"/>
      <name val="Arial"/>
      <family val="2"/>
    </font>
    <font>
      <u val="doubleAccounting"/>
      <sz val="12"/>
      <name val="Arial"/>
      <family val="2"/>
    </font>
    <font>
      <sz val="11"/>
      <name val="Calibri"/>
      <family val="2"/>
      <scheme val="minor"/>
    </font>
    <font>
      <b/>
      <u/>
      <sz val="10"/>
      <color rgb="FFFF0000"/>
      <name val="Arial"/>
      <family val="2"/>
    </font>
    <font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mediumGray">
        <fgColor indexed="22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0">
    <xf numFmtId="0" fontId="0" fillId="0" borderId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24" fillId="0" borderId="8">
      <alignment horizontal="center"/>
    </xf>
    <xf numFmtId="3" fontId="23" fillId="0" borderId="0" applyFont="0" applyFill="0" applyBorder="0" applyAlignment="0" applyProtection="0"/>
    <xf numFmtId="0" fontId="23" fillId="3" borderId="0" applyNumberFormat="0" applyFon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09">
    <xf numFmtId="0" fontId="0" fillId="0" borderId="0" xfId="0"/>
    <xf numFmtId="0" fontId="3" fillId="0" borderId="0" xfId="0" applyFont="1"/>
    <xf numFmtId="43" fontId="0" fillId="0" borderId="0" xfId="1" applyFo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0" fillId="0" borderId="0" xfId="0" applyNumberFormat="1"/>
    <xf numFmtId="43" fontId="6" fillId="0" borderId="0" xfId="0" applyNumberFormat="1" applyFont="1"/>
    <xf numFmtId="43" fontId="7" fillId="0" borderId="0" xfId="0" applyNumberFormat="1" applyFont="1"/>
    <xf numFmtId="165" fontId="0" fillId="0" borderId="0" xfId="3" applyNumberFormat="1" applyFont="1"/>
    <xf numFmtId="165" fontId="6" fillId="0" borderId="0" xfId="3" applyNumberFormat="1" applyFont="1"/>
    <xf numFmtId="165" fontId="7" fillId="0" borderId="0" xfId="3" applyNumberFormat="1" applyFont="1"/>
    <xf numFmtId="43" fontId="6" fillId="0" borderId="0" xfId="1" applyFont="1"/>
    <xf numFmtId="164" fontId="0" fillId="0" borderId="0" xfId="0" applyNumberFormat="1"/>
    <xf numFmtId="164" fontId="7" fillId="0" borderId="0" xfId="0" applyNumberFormat="1" applyFont="1"/>
    <xf numFmtId="43" fontId="7" fillId="0" borderId="0" xfId="1" applyFont="1"/>
    <xf numFmtId="43" fontId="4" fillId="0" borderId="0" xfId="1" applyFont="1" applyAlignment="1">
      <alignment horizontal="center"/>
    </xf>
    <xf numFmtId="0" fontId="0" fillId="0" borderId="0" xfId="0" applyAlignment="1">
      <alignment horizontal="center"/>
    </xf>
    <xf numFmtId="44" fontId="0" fillId="0" borderId="0" xfId="0" applyNumberFormat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14" fillId="0" borderId="0" xfId="0" applyFont="1"/>
    <xf numFmtId="0" fontId="2" fillId="0" borderId="0" xfId="5"/>
    <xf numFmtId="0" fontId="3" fillId="0" borderId="0" xfId="5" applyFont="1" applyAlignment="1">
      <alignment horizontal="center"/>
    </xf>
    <xf numFmtId="0" fontId="4" fillId="0" borderId="0" xfId="5" applyFont="1" applyAlignment="1">
      <alignment horizontal="center"/>
    </xf>
    <xf numFmtId="10" fontId="0" fillId="0" borderId="0" xfId="0" applyNumberFormat="1"/>
    <xf numFmtId="43" fontId="3" fillId="0" borderId="0" xfId="1" applyFont="1" applyAlignment="1">
      <alignment horizontal="center"/>
    </xf>
    <xf numFmtId="10" fontId="16" fillId="0" borderId="0" xfId="0" applyNumberFormat="1" applyFont="1"/>
    <xf numFmtId="44" fontId="16" fillId="0" borderId="0" xfId="0" applyNumberFormat="1" applyFont="1"/>
    <xf numFmtId="0" fontId="4" fillId="0" borderId="0" xfId="5" applyFont="1" applyFill="1" applyAlignment="1">
      <alignment horizontal="center"/>
    </xf>
    <xf numFmtId="0" fontId="14" fillId="2" borderId="2" xfId="0" applyFont="1" applyFill="1" applyBorder="1"/>
    <xf numFmtId="0" fontId="9" fillId="2" borderId="3" xfId="0" applyFont="1" applyFill="1" applyBorder="1"/>
    <xf numFmtId="0" fontId="17" fillId="2" borderId="3" xfId="0" applyFont="1" applyFill="1" applyBorder="1"/>
    <xf numFmtId="0" fontId="17" fillId="2" borderId="4" xfId="0" applyFont="1" applyFill="1" applyBorder="1"/>
    <xf numFmtId="0" fontId="8" fillId="2" borderId="5" xfId="0" applyFont="1" applyFill="1" applyBorder="1"/>
    <xf numFmtId="0" fontId="8" fillId="2" borderId="0" xfId="0" applyFont="1" applyFill="1" applyBorder="1"/>
    <xf numFmtId="0" fontId="18" fillId="2" borderId="0" xfId="0" applyFont="1" applyFill="1" applyBorder="1"/>
    <xf numFmtId="0" fontId="17" fillId="2" borderId="0" xfId="0" applyFont="1" applyFill="1" applyBorder="1"/>
    <xf numFmtId="0" fontId="17" fillId="2" borderId="6" xfId="0" applyFont="1" applyFill="1" applyBorder="1"/>
    <xf numFmtId="15" fontId="8" fillId="2" borderId="5" xfId="0" applyNumberFormat="1" applyFont="1" applyFill="1" applyBorder="1"/>
    <xf numFmtId="15" fontId="8" fillId="2" borderId="0" xfId="0" applyNumberFormat="1" applyFont="1" applyFill="1" applyBorder="1"/>
    <xf numFmtId="0" fontId="17" fillId="2" borderId="5" xfId="0" applyFont="1" applyFill="1" applyBorder="1"/>
    <xf numFmtId="0" fontId="8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10" xfId="0" applyFont="1" applyFill="1" applyBorder="1"/>
    <xf numFmtId="0" fontId="17" fillId="2" borderId="0" xfId="0" applyFont="1" applyFill="1" applyBorder="1" applyAlignment="1">
      <alignment horizontal="center"/>
    </xf>
    <xf numFmtId="41" fontId="17" fillId="2" borderId="0" xfId="0" applyNumberFormat="1" applyFont="1" applyFill="1" applyBorder="1"/>
    <xf numFmtId="44" fontId="11" fillId="2" borderId="0" xfId="7" applyFont="1" applyFill="1" applyBorder="1"/>
    <xf numFmtId="0" fontId="9" fillId="2" borderId="5" xfId="0" applyFont="1" applyFill="1" applyBorder="1"/>
    <xf numFmtId="0" fontId="9" fillId="2" borderId="0" xfId="0" applyFont="1" applyFill="1" applyBorder="1"/>
    <xf numFmtId="41" fontId="12" fillId="2" borderId="0" xfId="0" applyNumberFormat="1" applyFont="1" applyFill="1" applyBorder="1"/>
    <xf numFmtId="44" fontId="9" fillId="2" borderId="6" xfId="7" applyFont="1" applyFill="1" applyBorder="1"/>
    <xf numFmtId="165" fontId="9" fillId="2" borderId="0" xfId="7" applyNumberFormat="1" applyFont="1" applyFill="1" applyBorder="1"/>
    <xf numFmtId="165" fontId="9" fillId="2" borderId="0" xfId="3" applyNumberFormat="1" applyFont="1" applyFill="1" applyBorder="1"/>
    <xf numFmtId="44" fontId="12" fillId="2" borderId="6" xfId="7" applyNumberFormat="1" applyFont="1" applyFill="1" applyBorder="1"/>
    <xf numFmtId="44" fontId="12" fillId="2" borderId="6" xfId="7" applyFont="1" applyFill="1" applyBorder="1"/>
    <xf numFmtId="44" fontId="12" fillId="2" borderId="6" xfId="3" applyFont="1" applyFill="1" applyBorder="1"/>
    <xf numFmtId="44" fontId="8" fillId="2" borderId="11" xfId="7" applyNumberFormat="1" applyFont="1" applyFill="1" applyBorder="1"/>
    <xf numFmtId="44" fontId="8" fillId="2" borderId="11" xfId="7" applyFont="1" applyFill="1" applyBorder="1"/>
    <xf numFmtId="41" fontId="15" fillId="2" borderId="0" xfId="0" applyNumberFormat="1" applyFont="1" applyFill="1" applyBorder="1"/>
    <xf numFmtId="44" fontId="9" fillId="2" borderId="0" xfId="7" applyFont="1" applyFill="1" applyBorder="1"/>
    <xf numFmtId="44" fontId="2" fillId="0" borderId="0" xfId="0" applyNumberFormat="1" applyFont="1"/>
    <xf numFmtId="0" fontId="2" fillId="0" borderId="0" xfId="0" applyFont="1"/>
    <xf numFmtId="0" fontId="9" fillId="2" borderId="6" xfId="0" applyFont="1" applyFill="1" applyBorder="1"/>
    <xf numFmtId="0" fontId="8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41" fontId="9" fillId="2" borderId="0" xfId="0" applyNumberFormat="1" applyFont="1" applyFill="1" applyBorder="1"/>
    <xf numFmtId="44" fontId="11" fillId="2" borderId="0" xfId="3" applyFont="1" applyFill="1" applyBorder="1"/>
    <xf numFmtId="5" fontId="9" fillId="2" borderId="0" xfId="0" applyNumberFormat="1" applyFont="1" applyFill="1" applyBorder="1"/>
    <xf numFmtId="44" fontId="9" fillId="2" borderId="6" xfId="3" applyNumberFormat="1" applyFont="1" applyFill="1" applyBorder="1"/>
    <xf numFmtId="44" fontId="8" fillId="2" borderId="11" xfId="3" applyFont="1" applyFill="1" applyBorder="1"/>
    <xf numFmtId="0" fontId="9" fillId="2" borderId="7" xfId="0" applyFont="1" applyFill="1" applyBorder="1"/>
    <xf numFmtId="0" fontId="9" fillId="2" borderId="8" xfId="0" applyFont="1" applyFill="1" applyBorder="1"/>
    <xf numFmtId="0" fontId="9" fillId="2" borderId="9" xfId="0" applyFont="1" applyFill="1" applyBorder="1"/>
    <xf numFmtId="164" fontId="0" fillId="0" borderId="0" xfId="1" applyNumberFormat="1" applyFont="1" applyFill="1"/>
    <xf numFmtId="44" fontId="0" fillId="0" borderId="0" xfId="3" applyFont="1"/>
    <xf numFmtId="10" fontId="16" fillId="0" borderId="0" xfId="4" applyNumberFormat="1" applyFont="1" applyAlignment="1">
      <alignment horizontal="center"/>
    </xf>
    <xf numFmtId="0" fontId="5" fillId="0" borderId="0" xfId="0" applyFont="1" applyAlignment="1">
      <alignment horizontal="center"/>
    </xf>
    <xf numFmtId="43" fontId="0" fillId="0" borderId="0" xfId="0" applyNumberFormat="1" applyAlignment="1">
      <alignment horizontal="center"/>
    </xf>
    <xf numFmtId="10" fontId="25" fillId="0" borderId="0" xfId="4" applyNumberFormat="1" applyFont="1"/>
    <xf numFmtId="44" fontId="26" fillId="0" borderId="0" xfId="3" applyFont="1"/>
    <xf numFmtId="10" fontId="25" fillId="0" borderId="0" xfId="1" applyNumberFormat="1" applyFont="1"/>
    <xf numFmtId="0" fontId="27" fillId="0" borderId="0" xfId="0" applyFont="1" applyFill="1"/>
    <xf numFmtId="0" fontId="28" fillId="0" borderId="0" xfId="0" applyFont="1"/>
    <xf numFmtId="0" fontId="28" fillId="0" borderId="0" xfId="0" applyFont="1" applyBorder="1"/>
    <xf numFmtId="0" fontId="29" fillId="0" borderId="0" xfId="0" applyFont="1" applyBorder="1"/>
    <xf numFmtId="0" fontId="29" fillId="0" borderId="1" xfId="0" applyFont="1" applyBorder="1" applyAlignment="1">
      <alignment horizontal="center"/>
    </xf>
    <xf numFmtId="43" fontId="30" fillId="0" borderId="0" xfId="1" applyFont="1" applyBorder="1" applyAlignment="1" applyProtection="1">
      <alignment horizontal="right"/>
      <protection locked="0"/>
    </xf>
    <xf numFmtId="166" fontId="28" fillId="0" borderId="0" xfId="4" applyNumberFormat="1" applyFont="1" applyBorder="1"/>
    <xf numFmtId="0" fontId="27" fillId="0" borderId="0" xfId="0" applyFont="1" applyBorder="1"/>
    <xf numFmtId="43" fontId="27" fillId="0" borderId="12" xfId="1" applyFont="1" applyBorder="1"/>
    <xf numFmtId="0" fontId="29" fillId="0" borderId="0" xfId="0" applyFont="1" applyFill="1" applyBorder="1"/>
    <xf numFmtId="0" fontId="28" fillId="0" borderId="0" xfId="0" applyFont="1" applyFill="1" applyBorder="1"/>
    <xf numFmtId="0" fontId="29" fillId="0" borderId="0" xfId="0" applyFont="1" applyFill="1" applyBorder="1" applyAlignment="1">
      <alignment horizontal="center"/>
    </xf>
    <xf numFmtId="0" fontId="29" fillId="2" borderId="1" xfId="0" applyFont="1" applyFill="1" applyBorder="1" applyAlignment="1" applyProtection="1">
      <alignment horizontal="center"/>
    </xf>
    <xf numFmtId="0" fontId="29" fillId="2" borderId="1" xfId="0" applyFont="1" applyFill="1" applyBorder="1" applyAlignment="1">
      <alignment horizontal="center"/>
    </xf>
    <xf numFmtId="17" fontId="29" fillId="0" borderId="0" xfId="0" applyNumberFormat="1" applyFont="1" applyFill="1" applyBorder="1" applyAlignment="1">
      <alignment horizontal="right"/>
    </xf>
    <xf numFmtId="44" fontId="30" fillId="0" borderId="0" xfId="3" applyFont="1" applyFill="1" applyBorder="1" applyProtection="1">
      <protection locked="0"/>
    </xf>
    <xf numFmtId="0" fontId="3" fillId="0" borderId="0" xfId="5" applyFont="1" applyFill="1" applyAlignment="1">
      <alignment horizontal="center"/>
    </xf>
    <xf numFmtId="166" fontId="31" fillId="0" borderId="0" xfId="4" applyNumberFormat="1" applyFont="1"/>
    <xf numFmtId="0" fontId="4" fillId="0" borderId="0" xfId="0" applyFont="1" applyAlignment="1">
      <alignment horizontal="center"/>
    </xf>
    <xf numFmtId="166" fontId="27" fillId="0" borderId="12" xfId="4" applyNumberFormat="1" applyFont="1" applyBorder="1"/>
    <xf numFmtId="0" fontId="0" fillId="0" borderId="0" xfId="0" applyFill="1"/>
    <xf numFmtId="0" fontId="3" fillId="0" borderId="0" xfId="0" applyFont="1" applyFill="1"/>
    <xf numFmtId="0" fontId="2" fillId="0" borderId="0" xfId="0" applyFont="1" applyFill="1"/>
    <xf numFmtId="17" fontId="4" fillId="0" borderId="0" xfId="0" applyNumberFormat="1" applyFont="1"/>
    <xf numFmtId="0" fontId="5" fillId="0" borderId="0" xfId="0" applyFont="1"/>
    <xf numFmtId="164" fontId="6" fillId="0" borderId="0" xfId="1" applyNumberFormat="1" applyFont="1" applyFill="1"/>
    <xf numFmtId="164" fontId="3" fillId="0" borderId="0" xfId="0" applyNumberFormat="1" applyFont="1" applyFill="1"/>
    <xf numFmtId="0" fontId="4" fillId="0" borderId="0" xfId="0" applyFont="1" applyFill="1"/>
    <xf numFmtId="164" fontId="4" fillId="0" borderId="0" xfId="0" applyNumberFormat="1" applyFont="1" applyFill="1"/>
    <xf numFmtId="164" fontId="20" fillId="0" borderId="0" xfId="0" applyNumberFormat="1" applyFont="1" applyFill="1"/>
    <xf numFmtId="166" fontId="0" fillId="0" borderId="0" xfId="4" applyNumberFormat="1" applyFont="1"/>
    <xf numFmtId="166" fontId="31" fillId="0" borderId="0" xfId="0" applyNumberFormat="1" applyFont="1"/>
    <xf numFmtId="44" fontId="20" fillId="0" borderId="0" xfId="0" applyNumberFormat="1" applyFont="1"/>
    <xf numFmtId="0" fontId="31" fillId="0" borderId="0" xfId="0" applyFont="1"/>
    <xf numFmtId="164" fontId="31" fillId="0" borderId="0" xfId="1" applyNumberFormat="1" applyFont="1"/>
    <xf numFmtId="164" fontId="31" fillId="0" borderId="0" xfId="0" applyNumberFormat="1" applyFont="1"/>
    <xf numFmtId="41" fontId="0" fillId="0" borderId="0" xfId="0" applyNumberFormat="1"/>
    <xf numFmtId="44" fontId="3" fillId="0" borderId="0" xfId="3" applyFont="1"/>
    <xf numFmtId="10" fontId="30" fillId="0" borderId="0" xfId="4" applyNumberFormat="1" applyFont="1" applyBorder="1" applyAlignment="1">
      <alignment horizontal="right"/>
    </xf>
    <xf numFmtId="43" fontId="30" fillId="0" borderId="0" xfId="1" applyFont="1" applyBorder="1" applyProtection="1">
      <protection locked="0"/>
    </xf>
    <xf numFmtId="0" fontId="27" fillId="0" borderId="0" xfId="0" applyFont="1"/>
    <xf numFmtId="0" fontId="0" fillId="0" borderId="0" xfId="0" applyNumberFormat="1"/>
    <xf numFmtId="43" fontId="33" fillId="0" borderId="0" xfId="0" applyNumberFormat="1" applyFont="1" applyBorder="1"/>
    <xf numFmtId="43" fontId="34" fillId="0" borderId="0" xfId="1" applyFont="1" applyBorder="1" applyAlignment="1" applyProtection="1">
      <alignment horizontal="right"/>
      <protection locked="0"/>
    </xf>
    <xf numFmtId="166" fontId="32" fillId="0" borderId="0" xfId="4" applyNumberFormat="1" applyFont="1" applyBorder="1"/>
    <xf numFmtId="0" fontId="35" fillId="0" borderId="0" xfId="0" applyFont="1"/>
    <xf numFmtId="0" fontId="36" fillId="0" borderId="0" xfId="0" applyFont="1"/>
    <xf numFmtId="44" fontId="17" fillId="2" borderId="0" xfId="3" applyFont="1" applyFill="1" applyBorder="1"/>
    <xf numFmtId="165" fontId="17" fillId="2" borderId="0" xfId="3" applyNumberFormat="1" applyFont="1" applyFill="1" applyBorder="1"/>
    <xf numFmtId="165" fontId="12" fillId="2" borderId="0" xfId="3" applyNumberFormat="1" applyFont="1" applyFill="1" applyBorder="1"/>
    <xf numFmtId="165" fontId="37" fillId="2" borderId="0" xfId="3" applyNumberFormat="1" applyFont="1" applyFill="1" applyBorder="1"/>
    <xf numFmtId="0" fontId="17" fillId="2" borderId="5" xfId="0" applyFont="1" applyFill="1" applyBorder="1" applyAlignment="1">
      <alignment horizontal="center"/>
    </xf>
    <xf numFmtId="44" fontId="9" fillId="2" borderId="0" xfId="3" applyFont="1" applyFill="1" applyBorder="1"/>
    <xf numFmtId="0" fontId="32" fillId="0" borderId="0" xfId="0" applyFont="1"/>
    <xf numFmtId="43" fontId="28" fillId="0" borderId="0" xfId="1" applyFont="1"/>
    <xf numFmtId="43" fontId="27" fillId="0" borderId="0" xfId="0" applyNumberFormat="1" applyFont="1"/>
    <xf numFmtId="9" fontId="15" fillId="2" borderId="0" xfId="4" applyFont="1" applyFill="1" applyBorder="1"/>
    <xf numFmtId="0" fontId="38" fillId="0" borderId="0" xfId="0" applyFont="1" applyBorder="1"/>
    <xf numFmtId="0" fontId="0" fillId="0" borderId="0" xfId="0" applyBorder="1"/>
    <xf numFmtId="0" fontId="39" fillId="0" borderId="0" xfId="0" quotePrefix="1" applyFont="1" applyAlignment="1">
      <alignment wrapText="1"/>
    </xf>
    <xf numFmtId="0" fontId="40" fillId="0" borderId="0" xfId="0" applyFont="1" applyAlignment="1">
      <alignment horizontal="right" wrapText="1"/>
    </xf>
    <xf numFmtId="0" fontId="41" fillId="0" borderId="0" xfId="0" applyFont="1" applyAlignment="1">
      <alignment horizontal="center" wrapText="1"/>
    </xf>
    <xf numFmtId="166" fontId="2" fillId="0" borderId="0" xfId="4" applyNumberFormat="1" applyFont="1"/>
    <xf numFmtId="164" fontId="2" fillId="0" borderId="0" xfId="1" applyNumberFormat="1" applyFont="1" applyFill="1"/>
    <xf numFmtId="43" fontId="32" fillId="0" borderId="0" xfId="1" applyFont="1"/>
    <xf numFmtId="166" fontId="5" fillId="0" borderId="0" xfId="4" applyNumberFormat="1" applyFont="1"/>
    <xf numFmtId="44" fontId="8" fillId="2" borderId="6" xfId="7" applyNumberFormat="1" applyFont="1" applyFill="1" applyBorder="1"/>
    <xf numFmtId="0" fontId="10" fillId="2" borderId="5" xfId="0" applyFont="1" applyFill="1" applyBorder="1"/>
    <xf numFmtId="44" fontId="42" fillId="2" borderId="6" xfId="7" applyNumberFormat="1" applyFont="1" applyFill="1" applyBorder="1"/>
    <xf numFmtId="44" fontId="43" fillId="2" borderId="6" xfId="7" applyNumberFormat="1" applyFont="1" applyFill="1" applyBorder="1"/>
    <xf numFmtId="44" fontId="27" fillId="0" borderId="0" xfId="0" applyNumberFormat="1" applyFont="1" applyBorder="1"/>
    <xf numFmtId="164" fontId="0" fillId="0" borderId="0" xfId="1" applyNumberFormat="1" applyFont="1"/>
    <xf numFmtId="164" fontId="6" fillId="0" borderId="0" xfId="1" applyNumberFormat="1" applyFont="1"/>
    <xf numFmtId="164" fontId="7" fillId="0" borderId="0" xfId="1" applyNumberFormat="1" applyFont="1"/>
    <xf numFmtId="165" fontId="0" fillId="0" borderId="0" xfId="0" applyNumberFormat="1"/>
    <xf numFmtId="9" fontId="0" fillId="0" borderId="0" xfId="4" applyFont="1"/>
    <xf numFmtId="165" fontId="44" fillId="0" borderId="0" xfId="0" applyNumberFormat="1" applyFont="1"/>
    <xf numFmtId="41" fontId="44" fillId="0" borderId="0" xfId="0" applyNumberFormat="1" applyFont="1"/>
    <xf numFmtId="44" fontId="44" fillId="0" borderId="0" xfId="3" applyFont="1"/>
    <xf numFmtId="165" fontId="45" fillId="2" borderId="0" xfId="7" applyNumberFormat="1" applyFont="1" applyFill="1" applyBorder="1"/>
    <xf numFmtId="41" fontId="46" fillId="2" borderId="0" xfId="0" applyNumberFormat="1" applyFont="1" applyFill="1" applyBorder="1"/>
    <xf numFmtId="165" fontId="45" fillId="2" borderId="0" xfId="3" applyNumberFormat="1" applyFont="1" applyFill="1" applyBorder="1"/>
    <xf numFmtId="164" fontId="46" fillId="2" borderId="0" xfId="1" applyNumberFormat="1" applyFont="1" applyFill="1" applyBorder="1"/>
    <xf numFmtId="44" fontId="8" fillId="4" borderId="6" xfId="7" applyNumberFormat="1" applyFont="1" applyFill="1" applyBorder="1"/>
    <xf numFmtId="164" fontId="3" fillId="0" borderId="0" xfId="1" applyNumberFormat="1" applyFont="1"/>
    <xf numFmtId="164" fontId="3" fillId="0" borderId="0" xfId="1" applyNumberFormat="1" applyFont="1" applyAlignment="1">
      <alignment horizontal="center"/>
    </xf>
    <xf numFmtId="164" fontId="4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43" fontId="30" fillId="0" borderId="0" xfId="1" applyFont="1"/>
    <xf numFmtId="9" fontId="15" fillId="2" borderId="0" xfId="4" applyFont="1" applyFill="1" applyBorder="1" applyAlignment="1">
      <alignment horizontal="center"/>
    </xf>
    <xf numFmtId="165" fontId="46" fillId="2" borderId="0" xfId="7" applyNumberFormat="1" applyFont="1" applyFill="1" applyBorder="1"/>
    <xf numFmtId="165" fontId="49" fillId="2" borderId="0" xfId="7" applyNumberFormat="1" applyFont="1" applyFill="1" applyBorder="1"/>
    <xf numFmtId="0" fontId="50" fillId="2" borderId="5" xfId="0" applyFont="1" applyFill="1" applyBorder="1"/>
    <xf numFmtId="41" fontId="50" fillId="2" borderId="0" xfId="0" applyNumberFormat="1" applyFont="1" applyFill="1" applyBorder="1"/>
    <xf numFmtId="165" fontId="50" fillId="2" borderId="0" xfId="3" applyNumberFormat="1" applyFont="1" applyFill="1" applyBorder="1"/>
    <xf numFmtId="43" fontId="34" fillId="0" borderId="0" xfId="1" applyFont="1"/>
    <xf numFmtId="44" fontId="43" fillId="4" borderId="6" xfId="7" applyNumberFormat="1" applyFont="1" applyFill="1" applyBorder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Border="1" applyAlignme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48" fillId="0" borderId="0" xfId="0" applyFont="1" applyAlignment="1">
      <alignment wrapText="1"/>
    </xf>
    <xf numFmtId="0" fontId="48" fillId="0" borderId="0" xfId="0" applyFont="1" applyAlignment="1">
      <alignment horizontal="right" wrapText="1"/>
    </xf>
    <xf numFmtId="44" fontId="3" fillId="0" borderId="0" xfId="3" applyFont="1" applyAlignment="1">
      <alignment horizontal="center"/>
    </xf>
    <xf numFmtId="44" fontId="20" fillId="0" borderId="0" xfId="3" applyFont="1" applyAlignment="1">
      <alignment horizontal="center"/>
    </xf>
    <xf numFmtId="0" fontId="51" fillId="0" borderId="0" xfId="0" applyFont="1" applyBorder="1"/>
    <xf numFmtId="0" fontId="51" fillId="0" borderId="0" xfId="0" applyFont="1" applyBorder="1" applyAlignment="1">
      <alignment horizontal="center"/>
    </xf>
    <xf numFmtId="164" fontId="52" fillId="0" borderId="0" xfId="0" applyNumberFormat="1" applyFont="1" applyBorder="1" applyAlignment="1">
      <alignment horizontal="center"/>
    </xf>
    <xf numFmtId="166" fontId="53" fillId="0" borderId="0" xfId="4" applyNumberFormat="1" applyFont="1" applyAlignment="1"/>
    <xf numFmtId="0" fontId="54" fillId="0" borderId="0" xfId="0" applyFont="1" applyFill="1" applyBorder="1"/>
    <xf numFmtId="164" fontId="52" fillId="0" borderId="0" xfId="0" applyNumberFormat="1" applyFont="1" applyBorder="1" applyAlignment="1"/>
    <xf numFmtId="0" fontId="54" fillId="0" borderId="0" xfId="0" applyFont="1" applyAlignment="1">
      <alignment wrapText="1"/>
    </xf>
    <xf numFmtId="165" fontId="5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6" fontId="48" fillId="0" borderId="0" xfId="4" applyNumberFormat="1" applyFont="1" applyAlignment="1">
      <alignment horizontal="center" wrapText="1"/>
    </xf>
    <xf numFmtId="165" fontId="54" fillId="0" borderId="0" xfId="3" applyNumberFormat="1" applyFont="1" applyAlignment="1">
      <alignment horizontal="right"/>
    </xf>
    <xf numFmtId="0" fontId="54" fillId="0" borderId="0" xfId="0" applyFont="1" applyBorder="1" applyAlignment="1">
      <alignment wrapText="1"/>
    </xf>
    <xf numFmtId="9" fontId="48" fillId="0" borderId="0" xfId="4" applyFont="1" applyAlignment="1">
      <alignment horizontal="center" wrapText="1"/>
    </xf>
    <xf numFmtId="165" fontId="51" fillId="0" borderId="0" xfId="3" applyNumberFormat="1" applyFont="1" applyBorder="1" applyAlignment="1">
      <alignment horizontal="center"/>
    </xf>
    <xf numFmtId="165" fontId="52" fillId="0" borderId="0" xfId="4" applyNumberFormat="1" applyFont="1" applyBorder="1" applyAlignment="1">
      <alignment horizontal="center"/>
    </xf>
    <xf numFmtId="0" fontId="3" fillId="0" borderId="0" xfId="0" applyFont="1" applyAlignment="1">
      <alignment wrapText="1"/>
    </xf>
    <xf numFmtId="165" fontId="20" fillId="0" borderId="0" xfId="3" applyNumberFormat="1" applyFont="1" applyAlignment="1">
      <alignment horizontal="right"/>
    </xf>
    <xf numFmtId="0" fontId="3" fillId="0" borderId="0" xfId="0" applyFont="1" applyAlignment="1">
      <alignment horizontal="right" wrapText="1"/>
    </xf>
    <xf numFmtId="165" fontId="55" fillId="0" borderId="0" xfId="3" applyNumberFormat="1" applyFont="1" applyAlignment="1">
      <alignment horizontal="right"/>
    </xf>
    <xf numFmtId="0" fontId="51" fillId="0" borderId="0" xfId="0" applyFont="1" applyBorder="1" applyAlignment="1"/>
    <xf numFmtId="0" fontId="16" fillId="0" borderId="0" xfId="0" applyFont="1" applyAlignment="1">
      <alignment horizontal="right" wrapText="1"/>
    </xf>
    <xf numFmtId="165" fontId="2" fillId="0" borderId="0" xfId="3" applyNumberFormat="1" applyFont="1" applyAlignment="1">
      <alignment horizontal="right"/>
    </xf>
    <xf numFmtId="0" fontId="48" fillId="0" borderId="0" xfId="0" applyFont="1" applyBorder="1" applyAlignment="1">
      <alignment horizontal="right" wrapText="1"/>
    </xf>
    <xf numFmtId="165" fontId="6" fillId="0" borderId="0" xfId="3" applyNumberFormat="1" applyFont="1" applyAlignment="1">
      <alignment horizontal="right"/>
    </xf>
    <xf numFmtId="6" fontId="3" fillId="0" borderId="0" xfId="3" applyNumberFormat="1" applyFont="1" applyAlignment="1">
      <alignment horizontal="right" wrapText="1"/>
    </xf>
    <xf numFmtId="6" fontId="3" fillId="0" borderId="0" xfId="3" applyNumberFormat="1" applyFont="1" applyAlignment="1">
      <alignment horizontal="right"/>
    </xf>
    <xf numFmtId="165" fontId="7" fillId="0" borderId="0" xfId="3" applyNumberFormat="1" applyFont="1" applyAlignment="1">
      <alignment horizontal="right"/>
    </xf>
    <xf numFmtId="44" fontId="28" fillId="0" borderId="0" xfId="3" applyFont="1" applyBorder="1"/>
    <xf numFmtId="17" fontId="29" fillId="2" borderId="0" xfId="0" applyNumberFormat="1" applyFont="1" applyFill="1" applyBorder="1" applyAlignment="1">
      <alignment horizontal="center"/>
    </xf>
    <xf numFmtId="43" fontId="32" fillId="0" borderId="0" xfId="1" applyFont="1" applyBorder="1"/>
    <xf numFmtId="0" fontId="30" fillId="0" borderId="0" xfId="0" applyFont="1"/>
    <xf numFmtId="0" fontId="17" fillId="2" borderId="0" xfId="0" applyFont="1" applyFill="1"/>
    <xf numFmtId="165" fontId="17" fillId="2" borderId="0" xfId="3" applyNumberFormat="1" applyFont="1" applyFill="1"/>
    <xf numFmtId="0" fontId="9" fillId="2" borderId="0" xfId="0" applyFont="1" applyFill="1"/>
    <xf numFmtId="41" fontId="17" fillId="2" borderId="0" xfId="0" applyNumberFormat="1" applyFont="1" applyFill="1"/>
    <xf numFmtId="165" fontId="37" fillId="2" borderId="0" xfId="3" applyNumberFormat="1" applyFont="1" applyFill="1"/>
    <xf numFmtId="165" fontId="58" fillId="2" borderId="0" xfId="3" applyNumberFormat="1" applyFont="1" applyFill="1" applyBorder="1"/>
    <xf numFmtId="41" fontId="58" fillId="2" borderId="0" xfId="0" applyNumberFormat="1" applyFont="1" applyFill="1" applyBorder="1"/>
    <xf numFmtId="41" fontId="59" fillId="2" borderId="0" xfId="0" applyNumberFormat="1" applyFont="1" applyFill="1" applyBorder="1"/>
    <xf numFmtId="0" fontId="56" fillId="2" borderId="0" xfId="0" applyFont="1" applyFill="1" applyBorder="1"/>
    <xf numFmtId="41" fontId="43" fillId="2" borderId="0" xfId="0" applyNumberFormat="1" applyFont="1" applyFill="1" applyBorder="1"/>
    <xf numFmtId="0" fontId="43" fillId="2" borderId="0" xfId="0" applyFont="1" applyFill="1" applyBorder="1"/>
    <xf numFmtId="165" fontId="43" fillId="2" borderId="0" xfId="3" applyNumberFormat="1" applyFont="1" applyFill="1" applyBorder="1"/>
    <xf numFmtId="165" fontId="57" fillId="2" borderId="0" xfId="3" applyNumberFormat="1" applyFont="1" applyFill="1" applyBorder="1"/>
    <xf numFmtId="0" fontId="8" fillId="2" borderId="7" xfId="0" applyFont="1" applyFill="1" applyBorder="1"/>
    <xf numFmtId="0" fontId="8" fillId="2" borderId="8" xfId="0" applyFont="1" applyFill="1" applyBorder="1"/>
    <xf numFmtId="0" fontId="17" fillId="2" borderId="8" xfId="0" applyFont="1" applyFill="1" applyBorder="1"/>
    <xf numFmtId="44" fontId="8" fillId="2" borderId="9" xfId="7" applyNumberFormat="1" applyFont="1" applyFill="1" applyBorder="1"/>
    <xf numFmtId="165" fontId="56" fillId="2" borderId="0" xfId="3" applyNumberFormat="1" applyFont="1" applyFill="1"/>
    <xf numFmtId="0" fontId="50" fillId="2" borderId="0" xfId="0" applyFont="1" applyFill="1" applyBorder="1"/>
    <xf numFmtId="0" fontId="50" fillId="2" borderId="6" xfId="0" applyFont="1" applyFill="1" applyBorder="1"/>
    <xf numFmtId="0" fontId="60" fillId="0" borderId="0" xfId="0" applyFont="1" applyAlignment="1">
      <alignment wrapText="1"/>
    </xf>
    <xf numFmtId="165" fontId="3" fillId="0" borderId="0" xfId="0" applyNumberFormat="1" applyFont="1"/>
    <xf numFmtId="165" fontId="17" fillId="2" borderId="0" xfId="0" applyNumberFormat="1" applyFont="1" applyFill="1"/>
    <xf numFmtId="165" fontId="17" fillId="2" borderId="6" xfId="0" applyNumberFormat="1" applyFont="1" applyFill="1" applyBorder="1"/>
    <xf numFmtId="165" fontId="37" fillId="4" borderId="0" xfId="3" applyNumberFormat="1" applyFont="1" applyFill="1"/>
    <xf numFmtId="164" fontId="4" fillId="0" borderId="0" xfId="1" applyNumberFormat="1" applyFont="1" applyAlignment="1">
      <alignment horizontal="left"/>
    </xf>
    <xf numFmtId="164" fontId="61" fillId="0" borderId="0" xfId="1" applyNumberFormat="1" applyFont="1" applyAlignment="1">
      <alignment horizontal="left"/>
    </xf>
    <xf numFmtId="44" fontId="34" fillId="0" borderId="0" xfId="0" applyNumberFormat="1" applyFont="1" applyBorder="1"/>
    <xf numFmtId="43" fontId="34" fillId="0" borderId="0" xfId="1" applyFont="1" applyBorder="1"/>
    <xf numFmtId="43" fontId="29" fillId="0" borderId="12" xfId="1" applyFont="1" applyBorder="1"/>
    <xf numFmtId="167" fontId="0" fillId="0" borderId="0" xfId="1" applyNumberFormat="1" applyFont="1"/>
    <xf numFmtId="0" fontId="16" fillId="0" borderId="0" xfId="0" applyFont="1"/>
    <xf numFmtId="0" fontId="38" fillId="0" borderId="0" xfId="0" applyFont="1"/>
    <xf numFmtId="0" fontId="51" fillId="0" borderId="0" xfId="0" applyFont="1" applyAlignment="1">
      <alignment horizontal="center"/>
    </xf>
    <xf numFmtId="0" fontId="51" fillId="0" borderId="0" xfId="0" applyFont="1"/>
    <xf numFmtId="0" fontId="54" fillId="0" borderId="0" xfId="0" applyFont="1"/>
    <xf numFmtId="164" fontId="52" fillId="0" borderId="0" xfId="0" applyNumberFormat="1" applyFont="1" applyAlignment="1">
      <alignment horizontal="center"/>
    </xf>
    <xf numFmtId="164" fontId="52" fillId="0" borderId="0" xfId="0" applyNumberFormat="1" applyFont="1"/>
    <xf numFmtId="165" fontId="3" fillId="0" borderId="0" xfId="3" applyNumberFormat="1" applyFont="1"/>
    <xf numFmtId="165" fontId="2" fillId="0" borderId="0" xfId="3" applyNumberFormat="1" applyFont="1"/>
    <xf numFmtId="166" fontId="62" fillId="0" borderId="0" xfId="4" applyNumberFormat="1" applyFont="1"/>
    <xf numFmtId="166" fontId="28" fillId="0" borderId="0" xfId="4" applyNumberFormat="1" applyFont="1"/>
    <xf numFmtId="43" fontId="2" fillId="0" borderId="0" xfId="1" applyFont="1" applyAlignment="1">
      <alignment horizontal="center"/>
    </xf>
    <xf numFmtId="43" fontId="3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center"/>
    </xf>
    <xf numFmtId="44" fontId="16" fillId="0" borderId="0" xfId="3" applyFont="1"/>
    <xf numFmtId="44" fontId="34" fillId="0" borderId="0" xfId="3" applyFont="1" applyFill="1" applyBorder="1" applyProtection="1">
      <protection locked="0"/>
    </xf>
    <xf numFmtId="43" fontId="6" fillId="0" borderId="0" xfId="1" applyFont="1" applyAlignment="1">
      <alignment horizontal="center"/>
    </xf>
    <xf numFmtId="43" fontId="6" fillId="0" borderId="0" xfId="0" applyNumberFormat="1" applyFont="1" applyAlignment="1">
      <alignment horizontal="center"/>
    </xf>
    <xf numFmtId="0" fontId="3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43" fontId="0" fillId="4" borderId="0" xfId="0" applyNumberFormat="1" applyFill="1"/>
    <xf numFmtId="43" fontId="0" fillId="4" borderId="0" xfId="1" applyFont="1" applyFill="1"/>
    <xf numFmtId="166" fontId="0" fillId="4" borderId="0" xfId="4" applyNumberFormat="1" applyFont="1" applyFill="1"/>
    <xf numFmtId="43" fontId="6" fillId="4" borderId="0" xfId="0" applyNumberFormat="1" applyFont="1" applyFill="1"/>
    <xf numFmtId="43" fontId="7" fillId="4" borderId="0" xfId="1" applyFont="1" applyFill="1"/>
    <xf numFmtId="0" fontId="0" fillId="4" borderId="0" xfId="0" applyFill="1"/>
    <xf numFmtId="0" fontId="2" fillId="4" borderId="0" xfId="5" applyFill="1"/>
    <xf numFmtId="0" fontId="3" fillId="4" borderId="0" xfId="5" applyFont="1" applyFill="1" applyAlignment="1">
      <alignment horizontal="center"/>
    </xf>
    <xf numFmtId="0" fontId="4" fillId="4" borderId="0" xfId="5" applyFont="1" applyFill="1" applyAlignment="1">
      <alignment horizontal="center"/>
    </xf>
    <xf numFmtId="10" fontId="0" fillId="4" borderId="0" xfId="0" applyNumberFormat="1" applyFill="1"/>
    <xf numFmtId="44" fontId="0" fillId="4" borderId="0" xfId="0" applyNumberFormat="1" applyFill="1"/>
    <xf numFmtId="0" fontId="2" fillId="4" borderId="0" xfId="0" applyFont="1" applyFill="1"/>
    <xf numFmtId="43" fontId="6" fillId="4" borderId="0" xfId="1" applyFont="1" applyFill="1"/>
    <xf numFmtId="10" fontId="25" fillId="4" borderId="0" xfId="4" applyNumberFormat="1" applyFont="1" applyFill="1"/>
    <xf numFmtId="10" fontId="25" fillId="4" borderId="0" xfId="1" applyNumberFormat="1" applyFont="1" applyFill="1"/>
    <xf numFmtId="165" fontId="0" fillId="4" borderId="0" xfId="3" applyNumberFormat="1" applyFont="1" applyFill="1"/>
    <xf numFmtId="165" fontId="6" fillId="4" borderId="0" xfId="3" applyNumberFormat="1" applyFont="1" applyFill="1"/>
    <xf numFmtId="165" fontId="7" fillId="4" borderId="0" xfId="3" applyNumberFormat="1" applyFont="1" applyFill="1"/>
    <xf numFmtId="44" fontId="26" fillId="4" borderId="0" xfId="3" applyFont="1" applyFill="1"/>
    <xf numFmtId="166" fontId="7" fillId="4" borderId="0" xfId="4" applyNumberFormat="1" applyFont="1" applyFill="1"/>
    <xf numFmtId="166" fontId="6" fillId="4" borderId="0" xfId="4" applyNumberFormat="1" applyFont="1" applyFill="1"/>
    <xf numFmtId="43" fontId="30" fillId="0" borderId="0" xfId="1" applyFont="1" applyBorder="1" applyAlignment="1">
      <alignment horizontal="right"/>
    </xf>
    <xf numFmtId="43" fontId="32" fillId="0" borderId="0" xfId="0" applyNumberFormat="1" applyFont="1"/>
    <xf numFmtId="164" fontId="2" fillId="0" borderId="0" xfId="1" applyNumberFormat="1" applyFont="1"/>
    <xf numFmtId="165" fontId="2" fillId="0" borderId="0" xfId="0" applyNumberFormat="1" applyFont="1"/>
    <xf numFmtId="164" fontId="20" fillId="0" borderId="0" xfId="1" applyNumberFormat="1" applyFont="1" applyFill="1"/>
    <xf numFmtId="44" fontId="20" fillId="0" borderId="0" xfId="3" applyFont="1" applyAlignment="1">
      <alignment horizontal="center" wrapText="1"/>
    </xf>
    <xf numFmtId="0" fontId="3" fillId="0" borderId="0" xfId="0" applyFont="1" applyBorder="1"/>
    <xf numFmtId="43" fontId="0" fillId="0" borderId="0" xfId="1" applyNumberFormat="1" applyFont="1"/>
    <xf numFmtId="0" fontId="19" fillId="2" borderId="5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9" fillId="2" borderId="6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19" fillId="2" borderId="3" xfId="0" applyFont="1" applyFill="1" applyBorder="1" applyAlignment="1">
      <alignment horizontal="center"/>
    </xf>
    <xf numFmtId="0" fontId="19" fillId="2" borderId="4" xfId="0" applyFont="1" applyFill="1" applyBorder="1" applyAlignment="1">
      <alignment horizontal="center"/>
    </xf>
    <xf numFmtId="0" fontId="3" fillId="0" borderId="1" xfId="5" applyFont="1" applyBorder="1" applyAlignment="1">
      <alignment horizontal="center"/>
    </xf>
    <xf numFmtId="17" fontId="29" fillId="2" borderId="0" xfId="0" applyNumberFormat="1" applyFont="1" applyFill="1" applyBorder="1" applyAlignment="1">
      <alignment horizontal="center"/>
    </xf>
    <xf numFmtId="14" fontId="0" fillId="0" borderId="0" xfId="0" applyNumberFormat="1"/>
  </cellXfs>
  <cellStyles count="20">
    <cellStyle name="Comma" xfId="1" builtinId="3"/>
    <cellStyle name="Comma 10" xfId="15" xr:uid="{00000000-0005-0000-0000-000001000000}"/>
    <cellStyle name="Comma 2" xfId="18" xr:uid="{47FD33DA-9B16-45C6-9651-DE83A2574855}"/>
    <cellStyle name="Comma 3" xfId="2" xr:uid="{00000000-0005-0000-0000-000002000000}"/>
    <cellStyle name="Currency" xfId="3" builtinId="4"/>
    <cellStyle name="Currency 2" xfId="7" xr:uid="{00000000-0005-0000-0000-000004000000}"/>
    <cellStyle name="Currency 2 6 2 2" xfId="17" xr:uid="{4569FD3E-A105-4853-B874-8A1AA2DF8635}"/>
    <cellStyle name="Normal" xfId="0" builtinId="0"/>
    <cellStyle name="Normal 21" xfId="14" xr:uid="{00000000-0005-0000-0000-000006000000}"/>
    <cellStyle name="Normal 3" xfId="5" xr:uid="{00000000-0005-0000-0000-000007000000}"/>
    <cellStyle name="Percent" xfId="4" builtinId="5"/>
    <cellStyle name="Percent 13" xfId="16" xr:uid="{00000000-0005-0000-0000-000009000000}"/>
    <cellStyle name="Percent 2" xfId="19" xr:uid="{B4109315-16C4-409F-8E91-6C317839CD3B}"/>
    <cellStyle name="Percent 4" xfId="6" xr:uid="{00000000-0005-0000-0000-00000A000000}"/>
    <cellStyle name="PSChar" xfId="8" xr:uid="{00000000-0005-0000-0000-00000B000000}"/>
    <cellStyle name="PSDate" xfId="9" xr:uid="{00000000-0005-0000-0000-00000C000000}"/>
    <cellStyle name="PSDec" xfId="10" xr:uid="{00000000-0005-0000-0000-00000D000000}"/>
    <cellStyle name="PSHeading" xfId="11" xr:uid="{00000000-0005-0000-0000-00000E000000}"/>
    <cellStyle name="PSInt" xfId="12" xr:uid="{00000000-0005-0000-0000-00000F000000}"/>
    <cellStyle name="PSSpacer" xfId="13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34" Type="http://schemas.openxmlformats.org/officeDocument/2006/relationships/externalLink" Target="externalLinks/externalLink25.xml"/><Relationship Id="rId42" Type="http://schemas.openxmlformats.org/officeDocument/2006/relationships/externalLink" Target="externalLinks/externalLink33.xml"/><Relationship Id="rId47" Type="http://schemas.openxmlformats.org/officeDocument/2006/relationships/sharedStrings" Target="sharedStrings.xml"/><Relationship Id="rId50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24.xml"/><Relationship Id="rId38" Type="http://schemas.openxmlformats.org/officeDocument/2006/relationships/externalLink" Target="externalLinks/externalLink29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0.xml"/><Relationship Id="rId41" Type="http://schemas.openxmlformats.org/officeDocument/2006/relationships/externalLink" Target="externalLinks/externalLink3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externalLink" Target="externalLinks/externalLink23.xml"/><Relationship Id="rId37" Type="http://schemas.openxmlformats.org/officeDocument/2006/relationships/externalLink" Target="externalLinks/externalLink28.xml"/><Relationship Id="rId40" Type="http://schemas.openxmlformats.org/officeDocument/2006/relationships/externalLink" Target="externalLinks/externalLink31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36" Type="http://schemas.openxmlformats.org/officeDocument/2006/relationships/externalLink" Target="externalLinks/externalLink27.xml"/><Relationship Id="rId49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externalLink" Target="externalLinks/externalLink22.xml"/><Relationship Id="rId44" Type="http://schemas.openxmlformats.org/officeDocument/2006/relationships/externalLink" Target="externalLinks/externalLink35.xml"/><Relationship Id="rId52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externalLink" Target="externalLinks/externalLink21.xml"/><Relationship Id="rId35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34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409575</xdr:colOff>
      <xdr:row>0</xdr:row>
      <xdr:rowOff>123825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>
          <a:off x="1181100" y="1933575"/>
          <a:ext cx="409575" cy="13906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600075</xdr:colOff>
      <xdr:row>4</xdr:row>
      <xdr:rowOff>0</xdr:rowOff>
    </xdr:from>
    <xdr:to>
      <xdr:col>2</xdr:col>
      <xdr:colOff>409575</xdr:colOff>
      <xdr:row>18</xdr:row>
      <xdr:rowOff>0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6B44CD38-EDD0-4A93-875A-A2107CC0B0EA}"/>
            </a:ext>
          </a:extLst>
        </xdr:cNvPr>
        <xdr:cNvSpPr>
          <a:spLocks noChangeShapeType="1"/>
        </xdr:cNvSpPr>
      </xdr:nvSpPr>
      <xdr:spPr bwMode="auto">
        <a:xfrm>
          <a:off x="1181100" y="1809750"/>
          <a:ext cx="409575" cy="13906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600075</xdr:colOff>
      <xdr:row>0</xdr:row>
      <xdr:rowOff>133350</xdr:rowOff>
    </xdr:from>
    <xdr:to>
      <xdr:col>2</xdr:col>
      <xdr:colOff>409575</xdr:colOff>
      <xdr:row>10</xdr:row>
      <xdr:rowOff>85725</xdr:rowOff>
    </xdr:to>
    <xdr:sp macro="" textlink="">
      <xdr:nvSpPr>
        <xdr:cNvPr id="8" name="Line 5">
          <a:extLst>
            <a:ext uri="{FF2B5EF4-FFF2-40B4-BE49-F238E27FC236}">
              <a16:creationId xmlns:a16="http://schemas.microsoft.com/office/drawing/2014/main" id="{240B0E61-95BF-4667-A83E-7A170F410638}"/>
            </a:ext>
          </a:extLst>
        </xdr:cNvPr>
        <xdr:cNvSpPr>
          <a:spLocks noChangeShapeType="1"/>
        </xdr:cNvSpPr>
      </xdr:nvSpPr>
      <xdr:spPr bwMode="auto">
        <a:xfrm>
          <a:off x="1181100" y="438150"/>
          <a:ext cx="409575" cy="16287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2</xdr:col>
      <xdr:colOff>0</xdr:colOff>
      <xdr:row>2</xdr:row>
      <xdr:rowOff>19050</xdr:rowOff>
    </xdr:from>
    <xdr:to>
      <xdr:col>2</xdr:col>
      <xdr:colOff>409575</xdr:colOff>
      <xdr:row>11</xdr:row>
      <xdr:rowOff>133350</xdr:rowOff>
    </xdr:to>
    <xdr:sp macro="" textlink="">
      <xdr:nvSpPr>
        <xdr:cNvPr id="9" name="Line 5">
          <a:extLst>
            <a:ext uri="{FF2B5EF4-FFF2-40B4-BE49-F238E27FC236}">
              <a16:creationId xmlns:a16="http://schemas.microsoft.com/office/drawing/2014/main" id="{A6BCEA4A-4E19-4CD7-B202-ADCA3964338F}"/>
            </a:ext>
          </a:extLst>
        </xdr:cNvPr>
        <xdr:cNvSpPr>
          <a:spLocks noChangeShapeType="1"/>
        </xdr:cNvSpPr>
      </xdr:nvSpPr>
      <xdr:spPr bwMode="auto">
        <a:xfrm>
          <a:off x="1181100" y="323850"/>
          <a:ext cx="409575" cy="14763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8</xdr:col>
      <xdr:colOff>647700</xdr:colOff>
      <xdr:row>4</xdr:row>
      <xdr:rowOff>0</xdr:rowOff>
    </xdr:from>
    <xdr:to>
      <xdr:col>9</xdr:col>
      <xdr:colOff>457200</xdr:colOff>
      <xdr:row>17</xdr:row>
      <xdr:rowOff>76200</xdr:rowOff>
    </xdr:to>
    <xdr:sp macro="" textlink="">
      <xdr:nvSpPr>
        <xdr:cNvPr id="10" name="Line 5">
          <a:extLst>
            <a:ext uri="{FF2B5EF4-FFF2-40B4-BE49-F238E27FC236}">
              <a16:creationId xmlns:a16="http://schemas.microsoft.com/office/drawing/2014/main" id="{F836954D-B1FE-4ACC-98C4-2BFAD304054A}"/>
            </a:ext>
          </a:extLst>
        </xdr:cNvPr>
        <xdr:cNvSpPr>
          <a:spLocks noChangeShapeType="1"/>
        </xdr:cNvSpPr>
      </xdr:nvSpPr>
      <xdr:spPr bwMode="auto">
        <a:xfrm>
          <a:off x="5495925" y="1495425"/>
          <a:ext cx="590550" cy="16287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600075</xdr:colOff>
      <xdr:row>19</xdr:row>
      <xdr:rowOff>0</xdr:rowOff>
    </xdr:from>
    <xdr:to>
      <xdr:col>2</xdr:col>
      <xdr:colOff>409575</xdr:colOff>
      <xdr:row>33</xdr:row>
      <xdr:rowOff>0</xdr:rowOff>
    </xdr:to>
    <xdr:sp macro="" textlink="">
      <xdr:nvSpPr>
        <xdr:cNvPr id="11" name="Line 5">
          <a:extLst>
            <a:ext uri="{FF2B5EF4-FFF2-40B4-BE49-F238E27FC236}">
              <a16:creationId xmlns:a16="http://schemas.microsoft.com/office/drawing/2014/main" id="{7F1ADE75-E796-4044-8C63-B186C67AE951}"/>
            </a:ext>
          </a:extLst>
        </xdr:cNvPr>
        <xdr:cNvSpPr>
          <a:spLocks noChangeShapeType="1"/>
        </xdr:cNvSpPr>
      </xdr:nvSpPr>
      <xdr:spPr bwMode="auto">
        <a:xfrm>
          <a:off x="1181100" y="609600"/>
          <a:ext cx="409575" cy="21145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8</xdr:col>
      <xdr:colOff>647700</xdr:colOff>
      <xdr:row>19</xdr:row>
      <xdr:rowOff>0</xdr:rowOff>
    </xdr:from>
    <xdr:to>
      <xdr:col>9</xdr:col>
      <xdr:colOff>457200</xdr:colOff>
      <xdr:row>32</xdr:row>
      <xdr:rowOff>76200</xdr:rowOff>
    </xdr:to>
    <xdr:sp macro="" textlink="">
      <xdr:nvSpPr>
        <xdr:cNvPr id="12" name="Line 5">
          <a:extLst>
            <a:ext uri="{FF2B5EF4-FFF2-40B4-BE49-F238E27FC236}">
              <a16:creationId xmlns:a16="http://schemas.microsoft.com/office/drawing/2014/main" id="{8743E2E0-B509-436F-8CC8-97C68EFAB38A}"/>
            </a:ext>
          </a:extLst>
        </xdr:cNvPr>
        <xdr:cNvSpPr>
          <a:spLocks noChangeShapeType="1"/>
        </xdr:cNvSpPr>
      </xdr:nvSpPr>
      <xdr:spPr bwMode="auto">
        <a:xfrm>
          <a:off x="5819775" y="609600"/>
          <a:ext cx="590550" cy="20383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xhous10fps01\WAKIRK03FPS01\Group\Finance\ACCT\Recycling%20Accounting%20Analysis\2023%20Recycling%20Acctg%20Analysis\09-2023\2023%20SMaRT%20Passback_Sept%20Recy%20Analysis%20Copy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xhous10fps01\WAKIRK03FPS01\Group\Finance\ACCT\Recycling%20Accounting%20Analysis\2024%20Recycling%20Acctg%20Analysis\03-2024\K133-LGM-9000M-WA0021%20-%20JMK%20Residential%20Passback%2003.2024.xlsx" TargetMode="External"/><Relationship Id="rId1" Type="http://schemas.openxmlformats.org/officeDocument/2006/relationships/externalLinkPath" Target="file:///\\Txhous10fps01\WAKIRK03FPS01\Group\Finance\ACCT\Recycling%20Accounting%20Analysis\2024%20Recycling%20Acctg%20Analysis\03-2024\K133-LGM-9000M-WA0021%20-%20JMK%20Residential%20Passback%2003.2024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xhous10fps01\WAKIRK03FPS01\Group\Finance\ACCT\Recycling%20Accounting%20Analysis\2024%20Recycling%20Acctg%20Analysis\04-2024\K133-LGM-9000M-WA0021%20-%20JMK%20Residential%20Passback%2004.2024.xlsx" TargetMode="External"/><Relationship Id="rId1" Type="http://schemas.openxmlformats.org/officeDocument/2006/relationships/externalLinkPath" Target="file:///\\Txhous10fps01\WAKIRK03FPS01\Group\Finance\ACCT\Recycling%20Accounting%20Analysis\2024%20Recycling%20Acctg%20Analysis\04-2024\K133-LGM-9000M-WA0021%20-%20JMK%20Residential%20Passback%2004.2024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xhous10fps01\WAKIRK03FPS01\Group\Finance\ACCT\Recycling%20Accounting%20Analysis\2024%20Recycling%20Acctg%20Analysis\05-2024\K133-LGM-9000M-WA0021%20-%20JMK%20Residential%20Passback%2005.2024.xlsx" TargetMode="External"/><Relationship Id="rId1" Type="http://schemas.openxmlformats.org/officeDocument/2006/relationships/externalLinkPath" Target="file:///\\Txhous10fps01\WAKIRK03FPS01\Group\Finance\ACCT\Recycling%20Accounting%20Analysis\2024%20Recycling%20Acctg%20Analysis\05-2024\K133-LGM-9000M-WA0021%20-%20JMK%20Residential%20Passback%2005.202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Source%20Data/Customer%20Counts/SPO%20CC%20June%2022.csv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Source%20Data/Customer%20Counts/SPO%20CC%20July%2022.csv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Source%20Data/Customer%20Counts/SPO%20CC%20August%2022.csv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Source%20Data/Customer%20Counts/SPO%20CC%20September%2022.csv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Source%20Data/Customer%20Counts/SPO%20CC%20October%2022.csv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Source%20Data/Customer%20Counts/SPO%20CC%20November%2022.csv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Source%20Data/Customer%20Counts/SPO%20CC%20December%2022.csv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xhous10fps01\WAKIRK03FPS01\Group\Finance\ACCT\Recycling%20Accounting%20Analysis\2023%20Recycling%20Acctg%20Analysis\10-2023\2023%20SMaRT%20Passback_Oct%20Recy%20Analysis%20Copy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Source%20Data/Customer%20Counts/SPO%20CC%20January%2023.csv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Source%20Data/Customer%20Counts/SPO%20CC%20February%2023.csv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Source%20Data/Customer%20Counts/SPO%20CC%20March%2023.csv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Source%20Data/Customer%20Counts/SPO%20CC%20April%2023.csv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Source%20Data/Customer%20Counts/SPO%20CC%20May%2023.csv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Source%20Data/Customer%20Counts/SPO%20CC%20June%2023.csv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Source%20Data/Customer%20Counts/SPO%20CC%20July%2023.csv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Source%20Data/Customer%20Counts/SPO%20CC%20August%2023.csv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Source%20Data/Customer%20Counts/SPO%20CC%20September%2023.csv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Source%20Data/Customer%20Counts/SPO%20CC%20October%2023.csv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xhous10fps01\WAKIRK03FPS01\Group\Finance\ACCT\Recycling%20Accounting%20Analysis\2023%20Recycling%20Acctg%20Analysis\11-2023\2023%20SMaRT%20Passback_Nov%20Recy%20Analysis%20Copy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Source%20Data/Customer%20Counts/SPO%20CC%20November%2023.csv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Source%20Data/Customer%20Counts/SPO%20CC%20December%2023.csv" TargetMode="External"/></Relationships>
</file>

<file path=xl/externalLinks/_rels/externalLink3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xhous10fps03rf\orport01fps01\PUBLIC\Evan%20Burmester\WUTC\Commodity%20Rebate%20Filings\2024\Spokane\Source%20Data\Customer%20Counts\SPO%20CC%20January%2024.xlsx" TargetMode="External"/><Relationship Id="rId1" Type="http://schemas.openxmlformats.org/officeDocument/2006/relationships/externalLinkPath" Target="Source%20Data/Customer%20Counts/SPO%20CC%20January%2024.xlsx" TargetMode="External"/></Relationships>
</file>

<file path=xl/externalLinks/_rels/externalLink3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xhous10fps03rf\orport01fps01\PUBLIC\Evan%20Burmester\WUTC\Commodity%20Rebate%20Filings\2024\Spokane\Source%20Data\Customer%20Counts\SPO%20CC%20February%2024.xlsx" TargetMode="External"/><Relationship Id="rId1" Type="http://schemas.openxmlformats.org/officeDocument/2006/relationships/externalLinkPath" Target="Source%20Data/Customer%20Counts/SPO%20CC%20February%2024.xlsx" TargetMode="External"/></Relationships>
</file>

<file path=xl/externalLinks/_rels/externalLink3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xhous10fps03rf\orport01fps01\PUBLIC\Evan%20Burmester\WUTC\Commodity%20Rebate%20Filings\2024\Spokane\Source%20Data\Customer%20Counts\SPO%20CC%20March%2024.csv" TargetMode="External"/><Relationship Id="rId1" Type="http://schemas.openxmlformats.org/officeDocument/2006/relationships/externalLinkPath" Target="Source%20Data/Customer%20Counts/SPO%20CC%20March%2024.csv" TargetMode="External"/></Relationships>
</file>

<file path=xl/externalLinks/_rels/externalLink3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xhous10fps03rf\orport01fps01\PUBLIC\Evan%20Burmester\WUTC\Commodity%20Rebate%20Filings\2024\Spokane\Source%20Data\Customer%20Counts\SPO%20CC%20April%2024.csv" TargetMode="External"/><Relationship Id="rId1" Type="http://schemas.openxmlformats.org/officeDocument/2006/relationships/externalLinkPath" Target="Source%20Data/Customer%20Counts/SPO%20CC%20April%2024.csv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xhous10fps01\WAKIRK03FPS01\Group\Finance\ACCT\Recycling%20Accounting%20Analysis\2023%20Recycling%20Acctg%20Analysis\12-2023\2023%20SMaRT%20Passback_Dec%20Recycling%20Analysis%20Copy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burmest\Downloads\2023%20CRC%20Passback_3.2024.xlsx" TargetMode="External"/><Relationship Id="rId1" Type="http://schemas.openxmlformats.org/officeDocument/2006/relationships/externalLinkPath" Target="file:///C:\Users\eburmest\Downloads\2023%20CRC%20Passback_3.2024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burmest\Downloads\2023%20CRC%20Passback_4.2024.xlsx" TargetMode="External"/><Relationship Id="rId1" Type="http://schemas.openxmlformats.org/officeDocument/2006/relationships/externalLinkPath" Target="file:///C:\Users\eburmest\Downloads\2023%20CRC%20Passback_4.2024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burmest\AppData\Local\Microsoft\Windows\INetCache\Content.Outlook\IC4FR9HZ\2023%20CRC%20Passback_5.2024.xlsx" TargetMode="External"/><Relationship Id="rId1" Type="http://schemas.openxmlformats.org/officeDocument/2006/relationships/externalLinkPath" Target="file:///C:\Users\eburmest\AppData\Local\Microsoft\Windows\INetCache\Content.Outlook\IC4FR9HZ\2023%20CRC%20Passback_5.202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burmest\AppData\Local\Microsoft\Windows\INetCache\Content.Outlook\UGAOJRTF\SMaRT%20Passback_Jan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burmest\AppData\Local\Microsoft\Windows\INetCache\Content.Outlook\IC4FR9HZ\K133-LGM-9000M-WA0021%20-%20JMK%20Residential%20Passback%2002.2024.xlsx" TargetMode="External"/><Relationship Id="rId1" Type="http://schemas.openxmlformats.org/officeDocument/2006/relationships/externalLinkPath" Target="file:///C:\Users\eburmest\AppData\Local\Microsoft\Windows\INetCache\Content.Outlook\IC4FR9HZ\K133-LGM-9000M-WA0021%20-%20JMK%20Residential%20Passback%2002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ation"/>
      <sheetName val="Composition"/>
      <sheetName val="Inbound Pivot"/>
      <sheetName val="RMT Inbound"/>
      <sheetName val="Prices"/>
      <sheetName val="Journal Entry"/>
      <sheetName val="OPUS Data"/>
      <sheetName val="OPUS PIVOT"/>
    </sheetNames>
    <sheetDataSet>
      <sheetData sheetId="0">
        <row r="2">
          <cell r="F2">
            <v>900.23200000000031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lculation"/>
      <sheetName val="Composition"/>
      <sheetName val="Fastlane RETI Inbound - CRC"/>
      <sheetName val="RMT Inbound"/>
      <sheetName val="Prices"/>
      <sheetName val="Journal Entry"/>
      <sheetName val="SMART Data"/>
      <sheetName val="SMART Consolidated"/>
      <sheetName val="Process"/>
    </sheetNames>
    <sheetDataSet>
      <sheetData sheetId="0"/>
      <sheetData sheetId="1"/>
      <sheetData sheetId="2"/>
      <sheetData sheetId="3"/>
      <sheetData sheetId="4">
        <row r="6">
          <cell r="C6">
            <v>67.63</v>
          </cell>
          <cell r="D6">
            <v>175.48</v>
          </cell>
          <cell r="E6">
            <v>1325.07</v>
          </cell>
          <cell r="F6">
            <v>194.68</v>
          </cell>
          <cell r="G6">
            <v>-28.49</v>
          </cell>
          <cell r="H6">
            <v>150</v>
          </cell>
          <cell r="J6">
            <v>560</v>
          </cell>
          <cell r="K6">
            <v>340</v>
          </cell>
          <cell r="L6">
            <v>-187.5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lculation"/>
      <sheetName val="Composition"/>
      <sheetName val="Fastlane RETI Inbound - CRC"/>
      <sheetName val="RMT Inbound"/>
      <sheetName val="Prices"/>
      <sheetName val="Journal Entry"/>
      <sheetName val="SMART Data"/>
      <sheetName val="SMART Consolidated"/>
      <sheetName val="Process"/>
    </sheetNames>
    <sheetDataSet>
      <sheetData sheetId="0"/>
      <sheetData sheetId="1"/>
      <sheetData sheetId="2"/>
      <sheetData sheetId="3"/>
      <sheetData sheetId="4">
        <row r="7">
          <cell r="B7">
            <v>0</v>
          </cell>
          <cell r="C7">
            <v>81.92</v>
          </cell>
          <cell r="D7">
            <v>150.25</v>
          </cell>
          <cell r="E7">
            <v>1538.59</v>
          </cell>
          <cell r="F7">
            <v>193.42</v>
          </cell>
          <cell r="G7">
            <v>-27.25</v>
          </cell>
          <cell r="H7">
            <v>171.08</v>
          </cell>
          <cell r="J7">
            <v>560</v>
          </cell>
          <cell r="K7">
            <v>340</v>
          </cell>
          <cell r="L7">
            <v>-187.5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lculation"/>
      <sheetName val="Composition"/>
      <sheetName val="Fastlane RETI Inbound - CRC"/>
      <sheetName val="RMT Inbound"/>
      <sheetName val="Prices"/>
      <sheetName val="Journal Entry"/>
      <sheetName val="SMART Data"/>
      <sheetName val="SMART Consolidated"/>
      <sheetName val="Process"/>
    </sheetNames>
    <sheetDataSet>
      <sheetData sheetId="0">
        <row r="4">
          <cell r="R4">
            <v>0</v>
          </cell>
        </row>
      </sheetData>
      <sheetData sheetId="1" refreshError="1"/>
      <sheetData sheetId="2" refreshError="1"/>
      <sheetData sheetId="3" refreshError="1"/>
      <sheetData sheetId="4">
        <row r="8">
          <cell r="B8">
            <v>0</v>
          </cell>
          <cell r="C8">
            <v>91.75</v>
          </cell>
          <cell r="D8">
            <v>180.01</v>
          </cell>
          <cell r="E8">
            <v>1579.12</v>
          </cell>
          <cell r="F8">
            <v>198</v>
          </cell>
          <cell r="G8">
            <v>-26.1</v>
          </cell>
          <cell r="H8">
            <v>210</v>
          </cell>
          <cell r="J8">
            <v>600</v>
          </cell>
          <cell r="K8">
            <v>346.65</v>
          </cell>
          <cell r="L8">
            <v>-187.5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O CC June 22"/>
    </sheetNames>
    <sheetDataSet>
      <sheetData sheetId="0">
        <row r="3">
          <cell r="C3">
            <v>917</v>
          </cell>
          <cell r="D3">
            <v>1512</v>
          </cell>
          <cell r="E3">
            <v>3989</v>
          </cell>
          <cell r="G3">
            <v>26964</v>
          </cell>
          <cell r="H3">
            <v>26175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O CC July 22"/>
    </sheetNames>
    <sheetDataSet>
      <sheetData sheetId="0">
        <row r="3">
          <cell r="C3">
            <v>917</v>
          </cell>
          <cell r="D3">
            <v>1512</v>
          </cell>
          <cell r="E3">
            <v>4011</v>
          </cell>
          <cell r="G3">
            <v>27016</v>
          </cell>
          <cell r="H3">
            <v>26174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O CC August 22"/>
    </sheetNames>
    <sheetDataSet>
      <sheetData sheetId="0">
        <row r="3">
          <cell r="C3">
            <v>907</v>
          </cell>
          <cell r="D3">
            <v>1515</v>
          </cell>
          <cell r="E3">
            <v>4032</v>
          </cell>
          <cell r="G3">
            <v>27005</v>
          </cell>
          <cell r="H3">
            <v>26253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O CC September 22"/>
    </sheetNames>
    <sheetDataSet>
      <sheetData sheetId="0">
        <row r="3">
          <cell r="C3">
            <v>907</v>
          </cell>
          <cell r="D3">
            <v>1523</v>
          </cell>
          <cell r="E3">
            <v>4025</v>
          </cell>
          <cell r="G3">
            <v>27031</v>
          </cell>
          <cell r="H3">
            <v>26268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O CC October 22"/>
    </sheetNames>
    <sheetDataSet>
      <sheetData sheetId="0">
        <row r="3">
          <cell r="C3">
            <v>908</v>
          </cell>
          <cell r="D3">
            <v>1517</v>
          </cell>
          <cell r="E3">
            <v>4012</v>
          </cell>
          <cell r="G3">
            <v>26983</v>
          </cell>
          <cell r="H3">
            <v>26198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O CC November 22"/>
    </sheetNames>
    <sheetDataSet>
      <sheetData sheetId="0">
        <row r="3">
          <cell r="C3">
            <v>913</v>
          </cell>
          <cell r="D3">
            <v>1515</v>
          </cell>
          <cell r="E3">
            <v>4006</v>
          </cell>
          <cell r="G3">
            <v>26970</v>
          </cell>
          <cell r="H3">
            <v>26179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O CC December 22"/>
    </sheetNames>
    <sheetDataSet>
      <sheetData sheetId="0">
        <row r="3">
          <cell r="C3">
            <v>907</v>
          </cell>
          <cell r="D3">
            <v>1514</v>
          </cell>
          <cell r="E3">
            <v>4000</v>
          </cell>
          <cell r="G3">
            <v>26907</v>
          </cell>
          <cell r="H3">
            <v>26137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ation"/>
      <sheetName val="Composition"/>
      <sheetName val="Inbound Pivot"/>
      <sheetName val="RMT Inbound"/>
      <sheetName val="Prices"/>
      <sheetName val="Journal Entry"/>
      <sheetName val="OPUS Data"/>
      <sheetName val="OPUS PIVOT"/>
    </sheetNames>
    <sheetDataSet>
      <sheetData sheetId="0">
        <row r="2">
          <cell r="F2">
            <v>930.71799999999973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O CC January 23"/>
    </sheetNames>
    <sheetDataSet>
      <sheetData sheetId="0">
        <row r="3">
          <cell r="C3">
            <v>914</v>
          </cell>
          <cell r="E3">
            <v>1515</v>
          </cell>
          <cell r="F3">
            <v>3970</v>
          </cell>
          <cell r="H3">
            <v>26901</v>
          </cell>
          <cell r="I3">
            <v>26112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O CC February 23"/>
    </sheetNames>
    <sheetDataSet>
      <sheetData sheetId="0">
        <row r="3">
          <cell r="C3">
            <v>916</v>
          </cell>
          <cell r="D3">
            <v>1511</v>
          </cell>
          <cell r="E3">
            <v>4010</v>
          </cell>
          <cell r="G3">
            <v>26856</v>
          </cell>
          <cell r="H3">
            <v>26243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O CC March 23"/>
    </sheetNames>
    <sheetDataSet>
      <sheetData sheetId="0">
        <row r="3">
          <cell r="C3">
            <v>924</v>
          </cell>
          <cell r="D3">
            <v>1509</v>
          </cell>
          <cell r="E3">
            <v>4056</v>
          </cell>
          <cell r="G3">
            <v>27037</v>
          </cell>
          <cell r="H3">
            <v>26430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O CC April 23"/>
    </sheetNames>
    <sheetDataSet>
      <sheetData sheetId="0">
        <row r="3">
          <cell r="C3">
            <v>910</v>
          </cell>
          <cell r="D3">
            <v>1528</v>
          </cell>
          <cell r="E3">
            <v>4081</v>
          </cell>
          <cell r="G3">
            <v>27108</v>
          </cell>
          <cell r="H3">
            <v>26326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O CC May 23"/>
    </sheetNames>
    <sheetDataSet>
      <sheetData sheetId="0">
        <row r="3">
          <cell r="C3">
            <v>909</v>
          </cell>
          <cell r="D3">
            <v>1632</v>
          </cell>
          <cell r="E3">
            <v>4124</v>
          </cell>
          <cell r="G3">
            <v>27209</v>
          </cell>
          <cell r="H3">
            <v>26415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O CC June 23"/>
    </sheetNames>
    <sheetDataSet>
      <sheetData sheetId="0">
        <row r="3">
          <cell r="C3">
            <v>907</v>
          </cell>
          <cell r="D3">
            <v>1649</v>
          </cell>
          <cell r="E3">
            <v>4126</v>
          </cell>
          <cell r="G3">
            <v>27210</v>
          </cell>
          <cell r="H3">
            <v>26448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O CC July 23"/>
    </sheetNames>
    <sheetDataSet>
      <sheetData sheetId="0">
        <row r="3">
          <cell r="C3">
            <v>911</v>
          </cell>
          <cell r="D3">
            <v>1646</v>
          </cell>
          <cell r="E3">
            <v>4127</v>
          </cell>
          <cell r="G3">
            <v>27192</v>
          </cell>
          <cell r="H3">
            <v>26373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O CC August 23"/>
    </sheetNames>
    <sheetDataSet>
      <sheetData sheetId="0">
        <row r="3">
          <cell r="C3">
            <v>922</v>
          </cell>
          <cell r="D3">
            <v>1655</v>
          </cell>
          <cell r="E3">
            <v>4135</v>
          </cell>
          <cell r="G3">
            <v>27250</v>
          </cell>
          <cell r="H3">
            <v>26502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O CC September 23"/>
    </sheetNames>
    <sheetDataSet>
      <sheetData sheetId="0">
        <row r="3">
          <cell r="C3">
            <v>913</v>
          </cell>
          <cell r="D3">
            <v>1665</v>
          </cell>
          <cell r="E3">
            <v>4166</v>
          </cell>
          <cell r="G3">
            <v>27273</v>
          </cell>
          <cell r="H3">
            <v>26536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O CC October 23"/>
    </sheetNames>
    <sheetDataSet>
      <sheetData sheetId="0">
        <row r="3">
          <cell r="C3">
            <v>905</v>
          </cell>
          <cell r="D3">
            <v>1668</v>
          </cell>
          <cell r="F3">
            <v>4143</v>
          </cell>
          <cell r="H3">
            <v>27165</v>
          </cell>
          <cell r="I3">
            <v>26481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ation"/>
      <sheetName val="Composition"/>
      <sheetName val="Inbound Pivot"/>
      <sheetName val="RMT Inbound"/>
      <sheetName val="Prices"/>
      <sheetName val="Journal Entry"/>
      <sheetName val="OPUS Data"/>
      <sheetName val="OPUS PIVOT"/>
    </sheetNames>
    <sheetDataSet>
      <sheetData sheetId="0">
        <row r="2">
          <cell r="F2">
            <v>1016.5859999999998</v>
          </cell>
        </row>
      </sheetData>
      <sheetData sheetId="1">
        <row r="6">
          <cell r="B6">
            <v>319.600166</v>
          </cell>
          <cell r="R6">
            <v>245.42851299999998</v>
          </cell>
          <cell r="T6">
            <v>250.103307</v>
          </cell>
          <cell r="V6">
            <v>256.95650799999999</v>
          </cell>
        </row>
        <row r="7">
          <cell r="R7">
            <v>0</v>
          </cell>
          <cell r="T7">
            <v>0</v>
          </cell>
          <cell r="V7">
            <v>0</v>
          </cell>
        </row>
        <row r="8">
          <cell r="R8">
            <v>799.80054899999993</v>
          </cell>
          <cell r="T8">
            <v>755.25141399999995</v>
          </cell>
          <cell r="V8">
            <v>705.40970099999993</v>
          </cell>
        </row>
        <row r="9">
          <cell r="R9">
            <v>29.151760999999997</v>
          </cell>
          <cell r="T9">
            <v>31.242987999999997</v>
          </cell>
          <cell r="V9">
            <v>27.465659999999996</v>
          </cell>
        </row>
        <row r="10">
          <cell r="R10">
            <v>177.842028</v>
          </cell>
          <cell r="T10">
            <v>181.87882299999998</v>
          </cell>
          <cell r="V10">
            <v>184.01992199999998</v>
          </cell>
        </row>
        <row r="11">
          <cell r="R11">
            <v>58.629239999999996</v>
          </cell>
          <cell r="T11">
            <v>52.921796000000001</v>
          </cell>
          <cell r="V11">
            <v>48.064904999999996</v>
          </cell>
        </row>
        <row r="12">
          <cell r="R12">
            <v>8.6315270000000002</v>
          </cell>
          <cell r="T12">
            <v>14.983881999999999</v>
          </cell>
          <cell r="V12">
            <v>13.275068999999998</v>
          </cell>
        </row>
        <row r="13">
          <cell r="R13">
            <v>14.005873999999999</v>
          </cell>
          <cell r="T13">
            <v>11.955224999999999</v>
          </cell>
          <cell r="V13">
            <v>9.9181549999999987</v>
          </cell>
        </row>
        <row r="14">
          <cell r="R14">
            <v>0</v>
          </cell>
          <cell r="T14">
            <v>0</v>
          </cell>
          <cell r="V14">
            <v>0</v>
          </cell>
        </row>
        <row r="17">
          <cell r="R17">
            <v>45.274801999999994</v>
          </cell>
          <cell r="T17">
            <v>34.590451000000002</v>
          </cell>
          <cell r="V17">
            <v>29.449290999999999</v>
          </cell>
        </row>
        <row r="19">
          <cell r="R19">
            <v>238.91415299999997</v>
          </cell>
          <cell r="T19">
            <v>249.62509799999998</v>
          </cell>
          <cell r="V19">
            <v>240.01935099999997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O CC November 23"/>
    </sheetNames>
    <sheetDataSet>
      <sheetData sheetId="0">
        <row r="3">
          <cell r="C3">
            <v>897</v>
          </cell>
          <cell r="E3">
            <v>1669</v>
          </cell>
          <cell r="G3">
            <v>4140</v>
          </cell>
          <cell r="I3">
            <v>27134</v>
          </cell>
          <cell r="J3">
            <v>26440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O CC December 23"/>
    </sheetNames>
    <sheetDataSet>
      <sheetData sheetId="0">
        <row r="3">
          <cell r="C3">
            <v>910</v>
          </cell>
          <cell r="D3">
            <v>1663</v>
          </cell>
          <cell r="E3">
            <v>4165</v>
          </cell>
          <cell r="G3">
            <v>27079</v>
          </cell>
          <cell r="H3">
            <v>26499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icingDashboard - QUANTITY per"/>
    </sheetNames>
    <sheetDataSet>
      <sheetData sheetId="0">
        <row r="3">
          <cell r="C3">
            <v>912</v>
          </cell>
          <cell r="D3">
            <v>1664</v>
          </cell>
          <cell r="E3">
            <v>4164</v>
          </cell>
          <cell r="G3">
            <v>27030</v>
          </cell>
          <cell r="H3">
            <v>26415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icingDashboard - QUANTITY per"/>
    </sheetNames>
    <sheetDataSet>
      <sheetData sheetId="0">
        <row r="3">
          <cell r="C3">
            <v>925</v>
          </cell>
          <cell r="D3">
            <v>1657</v>
          </cell>
          <cell r="E3">
            <v>4171</v>
          </cell>
          <cell r="G3">
            <v>27052</v>
          </cell>
          <cell r="H3">
            <v>26489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PO CC March 24"/>
    </sheetNames>
    <sheetDataSet>
      <sheetData sheetId="0">
        <row r="4">
          <cell r="C4">
            <v>928</v>
          </cell>
          <cell r="D4">
            <v>1634</v>
          </cell>
          <cell r="E4">
            <v>4217</v>
          </cell>
          <cell r="G4">
            <v>27187</v>
          </cell>
          <cell r="H4">
            <v>26564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PO CC April 24"/>
    </sheetNames>
    <sheetDataSet>
      <sheetData sheetId="0" refreshError="1">
        <row r="3">
          <cell r="C3">
            <v>934</v>
          </cell>
          <cell r="D3">
            <v>1630</v>
          </cell>
          <cell r="E3">
            <v>4290</v>
          </cell>
          <cell r="H3">
            <v>26580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ation"/>
      <sheetName val="Composition"/>
      <sheetName val="Inbound Pivot"/>
      <sheetName val="RMT Inbound"/>
      <sheetName val="Prices"/>
      <sheetName val="Journal Entry"/>
      <sheetName val="OPUS Data"/>
      <sheetName val="OPUS PIVOT"/>
    </sheetNames>
    <sheetDataSet>
      <sheetData sheetId="0">
        <row r="2">
          <cell r="F2">
            <v>1055.9880000000005</v>
          </cell>
        </row>
      </sheetData>
      <sheetData sheetId="1">
        <row r="6">
          <cell r="V6">
            <v>256.95650799999999</v>
          </cell>
          <cell r="X6">
            <v>284.58733799999999</v>
          </cell>
        </row>
        <row r="7">
          <cell r="X7">
            <v>0</v>
          </cell>
        </row>
        <row r="8">
          <cell r="X8">
            <v>760.37382000000002</v>
          </cell>
        </row>
        <row r="9">
          <cell r="X9">
            <v>31.979928000000001</v>
          </cell>
        </row>
        <row r="10">
          <cell r="X10">
            <v>195.79200599999999</v>
          </cell>
        </row>
        <row r="11">
          <cell r="X11">
            <v>52.222542000000004</v>
          </cell>
        </row>
        <row r="12">
          <cell r="X12">
            <v>15.309539999999998</v>
          </cell>
        </row>
        <row r="13">
          <cell r="X13">
            <v>9.5259359999999997</v>
          </cell>
        </row>
        <row r="14">
          <cell r="X14">
            <v>0</v>
          </cell>
        </row>
        <row r="17">
          <cell r="X17">
            <v>37.253214</v>
          </cell>
        </row>
        <row r="19">
          <cell r="X19">
            <v>302.44846799999999</v>
          </cell>
        </row>
      </sheetData>
      <sheetData sheetId="2"/>
      <sheetData sheetId="3"/>
      <sheetData sheetId="4">
        <row r="14">
          <cell r="B14">
            <v>50</v>
          </cell>
        </row>
        <row r="15">
          <cell r="B15">
            <v>60.63</v>
          </cell>
          <cell r="C15">
            <v>0</v>
          </cell>
          <cell r="D15">
            <v>101.53</v>
          </cell>
          <cell r="E15">
            <v>1422.93</v>
          </cell>
          <cell r="F15">
            <v>243.57</v>
          </cell>
          <cell r="G15">
            <v>-60.5</v>
          </cell>
          <cell r="H15">
            <v>143.30000000000001</v>
          </cell>
          <cell r="J15">
            <v>617.16</v>
          </cell>
          <cell r="K15">
            <v>352.74</v>
          </cell>
          <cell r="L15">
            <v>-205</v>
          </cell>
        </row>
      </sheetData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lculation"/>
      <sheetName val="Composition"/>
      <sheetName val="Fastlane RETI Inbound"/>
      <sheetName val="Prices"/>
      <sheetName val="Journal Entry"/>
      <sheetName val="Opus Info"/>
      <sheetName val="OPUS Data 3.2024"/>
      <sheetName val="OPUS PIVOT - Eastern WA"/>
    </sheetNames>
    <sheetDataSet>
      <sheetData sheetId="0"/>
      <sheetData sheetId="1">
        <row r="6">
          <cell r="D6">
            <v>296.33</v>
          </cell>
          <cell r="F6">
            <v>819.9</v>
          </cell>
        </row>
        <row r="7">
          <cell r="D7">
            <v>3340.49</v>
          </cell>
          <cell r="F7">
            <v>2319.38</v>
          </cell>
        </row>
        <row r="8">
          <cell r="D8">
            <v>1999.8300000000002</v>
          </cell>
          <cell r="F8">
            <v>2050.4450000000002</v>
          </cell>
        </row>
        <row r="9">
          <cell r="D9">
            <v>163.2235</v>
          </cell>
          <cell r="F9">
            <v>164.964</v>
          </cell>
        </row>
        <row r="10">
          <cell r="D10">
            <v>2306.9699999999998</v>
          </cell>
          <cell r="F10">
            <v>1481.9550000000002</v>
          </cell>
        </row>
        <row r="11">
          <cell r="D11">
            <v>314.61</v>
          </cell>
          <cell r="F11">
            <v>337.18500000000006</v>
          </cell>
        </row>
        <row r="12">
          <cell r="D12">
            <v>54.39</v>
          </cell>
          <cell r="F12">
            <v>48.17</v>
          </cell>
        </row>
        <row r="13">
          <cell r="D13">
            <v>68.62</v>
          </cell>
          <cell r="F13">
            <v>79.28</v>
          </cell>
        </row>
        <row r="15">
          <cell r="D15">
            <v>22.912499999999994</v>
          </cell>
          <cell r="F15">
            <v>68.867500000000007</v>
          </cell>
        </row>
        <row r="16">
          <cell r="D16">
            <v>30.439999999999998</v>
          </cell>
          <cell r="F16">
            <v>22.729999999999997</v>
          </cell>
        </row>
        <row r="19">
          <cell r="D19">
            <v>158.19000000000003</v>
          </cell>
          <cell r="F19">
            <v>139.94</v>
          </cell>
        </row>
        <row r="20">
          <cell r="D20">
            <v>1131.1199999999999</v>
          </cell>
          <cell r="F20">
            <v>1717.6399999999999</v>
          </cell>
        </row>
      </sheetData>
      <sheetData sheetId="2"/>
      <sheetData sheetId="3"/>
      <sheetData sheetId="4"/>
      <sheetData sheetId="5"/>
      <sheetData sheetId="6"/>
      <sheetData sheetId="7">
        <row r="9">
          <cell r="D9">
            <v>953.27999999999975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lculation"/>
      <sheetName val="Composition"/>
      <sheetName val="Fastlane RETI Inbound"/>
      <sheetName val="Prices"/>
      <sheetName val="Journal Entry"/>
      <sheetName val="Opus Info"/>
      <sheetName val="OPUS Data 4.2024"/>
      <sheetName val="OPUS PIVOT - Eastern WA"/>
    </sheetNames>
    <sheetDataSet>
      <sheetData sheetId="0" refreshError="1"/>
      <sheetData sheetId="1">
        <row r="6">
          <cell r="H6">
            <v>1714.72</v>
          </cell>
        </row>
        <row r="7">
          <cell r="H7">
            <v>1560.01</v>
          </cell>
        </row>
        <row r="8">
          <cell r="H8">
            <v>2346.75</v>
          </cell>
        </row>
        <row r="9">
          <cell r="H9">
            <v>192.3</v>
          </cell>
        </row>
        <row r="10">
          <cell r="H10">
            <v>1601.49</v>
          </cell>
        </row>
        <row r="11">
          <cell r="H11">
            <v>343.04</v>
          </cell>
        </row>
        <row r="12">
          <cell r="H12">
            <v>50.92</v>
          </cell>
        </row>
        <row r="13">
          <cell r="H13">
            <v>85.07</v>
          </cell>
        </row>
        <row r="15">
          <cell r="H15">
            <v>61.29</v>
          </cell>
        </row>
        <row r="16">
          <cell r="H16">
            <v>31.7</v>
          </cell>
        </row>
        <row r="18">
          <cell r="H18">
            <v>99.48</v>
          </cell>
        </row>
        <row r="19">
          <cell r="H19">
            <v>193.47</v>
          </cell>
        </row>
        <row r="20">
          <cell r="H20">
            <v>1852.1</v>
          </cell>
        </row>
      </sheetData>
      <sheetData sheetId="2" refreshError="1"/>
      <sheetData sheetId="3">
        <row r="7">
          <cell r="B7">
            <v>86.37</v>
          </cell>
        </row>
      </sheetData>
      <sheetData sheetId="4" refreshError="1"/>
      <sheetData sheetId="5" refreshError="1"/>
      <sheetData sheetId="6" refreshError="1"/>
      <sheetData sheetId="7">
        <row r="7">
          <cell r="D7">
            <v>1001.8699999999997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lculation"/>
      <sheetName val="Composition"/>
      <sheetName val="Fastlane RETI Inbound"/>
      <sheetName val="Prices"/>
      <sheetName val="Journal Entry"/>
      <sheetName val="Opus Info"/>
      <sheetName val="OPUS Data 5.2024"/>
      <sheetName val="OPUS PIVOT - Eastern WA"/>
    </sheetNames>
    <sheetDataSet>
      <sheetData sheetId="0"/>
      <sheetData sheetId="1">
        <row r="6">
          <cell r="J6">
            <v>1672.05</v>
          </cell>
        </row>
        <row r="7">
          <cell r="J7">
            <v>1606</v>
          </cell>
        </row>
        <row r="8">
          <cell r="J8">
            <v>2275.81</v>
          </cell>
        </row>
        <row r="9">
          <cell r="J9">
            <v>187.55</v>
          </cell>
        </row>
        <row r="10">
          <cell r="J10">
            <v>1544.3</v>
          </cell>
        </row>
        <row r="11">
          <cell r="J11">
            <v>424.04</v>
          </cell>
        </row>
        <row r="12">
          <cell r="J12">
            <v>56.12</v>
          </cell>
        </row>
        <row r="13">
          <cell r="J13">
            <v>117.24</v>
          </cell>
        </row>
        <row r="15">
          <cell r="J15">
            <v>75.150000000000006</v>
          </cell>
        </row>
        <row r="16">
          <cell r="J16">
            <v>35.19</v>
          </cell>
        </row>
        <row r="18">
          <cell r="J18">
            <v>85.3</v>
          </cell>
        </row>
        <row r="19">
          <cell r="J19">
            <v>161.9</v>
          </cell>
        </row>
        <row r="20">
          <cell r="J20">
            <v>2007.27</v>
          </cell>
        </row>
      </sheetData>
      <sheetData sheetId="2"/>
      <sheetData sheetId="3"/>
      <sheetData sheetId="4"/>
      <sheetData sheetId="5"/>
      <sheetData sheetId="6"/>
      <sheetData sheetId="7">
        <row r="9">
          <cell r="C9">
            <v>996.08000000000038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ation"/>
      <sheetName val="Composition"/>
      <sheetName val="Inbound Pivot"/>
      <sheetName val="RMT Inbound"/>
      <sheetName val="Prices"/>
      <sheetName val="Pivot"/>
      <sheetName val="Inbound Tons By Period"/>
      <sheetName val="Journal Entry"/>
      <sheetName val="OPUS Data"/>
      <sheetName val="OPUS PIVOT"/>
    </sheetNames>
    <sheetDataSet>
      <sheetData sheetId="0" refreshError="1"/>
      <sheetData sheetId="1">
        <row r="6">
          <cell r="B6">
            <v>0</v>
          </cell>
        </row>
        <row r="7">
          <cell r="B7">
            <v>268.97435000000002</v>
          </cell>
        </row>
        <row r="8">
          <cell r="B8">
            <v>674.23905500000001</v>
          </cell>
        </row>
        <row r="9">
          <cell r="B9">
            <v>27.949289999999998</v>
          </cell>
        </row>
        <row r="10">
          <cell r="B10">
            <v>160.03222500000001</v>
          </cell>
        </row>
        <row r="11">
          <cell r="B11">
            <v>44.778970000000001</v>
          </cell>
        </row>
        <row r="12">
          <cell r="B12">
            <v>12.622260000000001</v>
          </cell>
        </row>
        <row r="13">
          <cell r="B13">
            <v>8.1143100000000015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33.058300000000003</v>
          </cell>
        </row>
        <row r="18">
          <cell r="B18">
            <v>6.6116600000000005</v>
          </cell>
        </row>
        <row r="19">
          <cell r="B19">
            <v>265.66852000000006</v>
          </cell>
        </row>
      </sheetData>
      <sheetData sheetId="2" refreshError="1"/>
      <sheetData sheetId="3" refreshError="1"/>
      <sheetData sheetId="4">
        <row r="4">
          <cell r="B4">
            <v>0</v>
          </cell>
          <cell r="C4">
            <v>46.61</v>
          </cell>
          <cell r="D4">
            <v>104.12</v>
          </cell>
          <cell r="E4">
            <v>1198.5899999999999</v>
          </cell>
          <cell r="F4">
            <v>208.69</v>
          </cell>
          <cell r="G4">
            <v>-60.55</v>
          </cell>
          <cell r="H4">
            <v>150</v>
          </cell>
          <cell r="J4">
            <v>590.4</v>
          </cell>
          <cell r="K4">
            <v>279.89</v>
          </cell>
          <cell r="L4">
            <v>-205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lculation"/>
      <sheetName val="Composition"/>
      <sheetName val="Fastlane RETI Inbound - CRC"/>
      <sheetName val="RMT Inbound"/>
      <sheetName val="Prices"/>
      <sheetName val="Journal Entry"/>
      <sheetName val="SMART Data"/>
      <sheetName val="SMART Consolidated"/>
      <sheetName val="Process"/>
    </sheetNames>
    <sheetDataSet>
      <sheetData sheetId="0"/>
      <sheetData sheetId="1">
        <row r="6">
          <cell r="D6">
            <v>0</v>
          </cell>
        </row>
      </sheetData>
      <sheetData sheetId="2"/>
      <sheetData sheetId="3"/>
      <sheetData sheetId="4">
        <row r="5">
          <cell r="B5">
            <v>0</v>
          </cell>
          <cell r="C5">
            <v>66.48</v>
          </cell>
          <cell r="D5">
            <v>157.72999999999999</v>
          </cell>
          <cell r="E5">
            <v>1319.47</v>
          </cell>
          <cell r="F5">
            <v>220.58</v>
          </cell>
          <cell r="G5">
            <v>-28.95</v>
          </cell>
          <cell r="H5">
            <v>150</v>
          </cell>
          <cell r="J5">
            <v>543.30999999999995</v>
          </cell>
          <cell r="K5">
            <v>340</v>
          </cell>
          <cell r="L5">
            <v>-187.5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83"/>
  <sheetViews>
    <sheetView tabSelected="1" topLeftCell="A111" zoomScale="90" zoomScaleNormal="90" workbookViewId="0">
      <selection activeCell="H15" sqref="H15"/>
    </sheetView>
  </sheetViews>
  <sheetFormatPr defaultRowHeight="12.75" x14ac:dyDescent="0.2"/>
  <cols>
    <col min="1" max="1" width="73.140625" bestFit="1" customWidth="1"/>
    <col min="3" max="3" width="13.42578125" bestFit="1" customWidth="1"/>
    <col min="5" max="5" width="15.5703125" bestFit="1" customWidth="1"/>
    <col min="6" max="6" width="14.28515625" bestFit="1" customWidth="1"/>
    <col min="7" max="7" width="12.42578125" bestFit="1" customWidth="1"/>
    <col min="8" max="8" width="30.42578125" customWidth="1"/>
    <col min="9" max="9" width="8.42578125" bestFit="1" customWidth="1"/>
    <col min="10" max="10" width="63.42578125" customWidth="1"/>
    <col min="11" max="11" width="2.42578125" customWidth="1"/>
    <col min="12" max="12" width="13.42578125" bestFit="1" customWidth="1"/>
    <col min="13" max="13" width="13.42578125" customWidth="1"/>
    <col min="14" max="14" width="14" bestFit="1" customWidth="1"/>
    <col min="15" max="15" width="14.28515625" bestFit="1" customWidth="1"/>
    <col min="16" max="16" width="8.42578125" bestFit="1" customWidth="1"/>
    <col min="17" max="17" width="63.42578125" customWidth="1"/>
    <col min="18" max="18" width="3.28515625" customWidth="1"/>
    <col min="19" max="19" width="13.42578125" bestFit="1" customWidth="1"/>
    <col min="20" max="20" width="13.42578125" customWidth="1"/>
    <col min="21" max="21" width="14" bestFit="1" customWidth="1"/>
    <col min="22" max="22" width="12.28515625" bestFit="1" customWidth="1"/>
    <col min="23" max="23" width="11.5703125" bestFit="1" customWidth="1"/>
  </cols>
  <sheetData>
    <row r="1" spans="1:7" ht="23.25" x14ac:dyDescent="0.35">
      <c r="A1" s="31" t="s">
        <v>56</v>
      </c>
      <c r="B1" s="32"/>
      <c r="C1" s="33"/>
      <c r="D1" s="33"/>
      <c r="E1" s="33"/>
      <c r="F1" s="33"/>
      <c r="G1" s="34"/>
    </row>
    <row r="2" spans="1:7" ht="15.75" x14ac:dyDescent="0.25">
      <c r="A2" s="35" t="s">
        <v>201</v>
      </c>
      <c r="B2" s="36"/>
      <c r="C2" s="37"/>
      <c r="D2" s="37"/>
      <c r="E2" s="38"/>
      <c r="F2" s="38"/>
      <c r="G2" s="39"/>
    </row>
    <row r="3" spans="1:7" ht="15.75" x14ac:dyDescent="0.25">
      <c r="A3" s="40"/>
      <c r="B3" s="41"/>
      <c r="C3" s="38"/>
      <c r="D3" s="38"/>
      <c r="E3" s="38"/>
      <c r="F3" s="38"/>
      <c r="G3" s="39"/>
    </row>
    <row r="4" spans="1:7" ht="15" x14ac:dyDescent="0.2">
      <c r="A4" s="300" t="s">
        <v>21</v>
      </c>
      <c r="B4" s="301"/>
      <c r="C4" s="301"/>
      <c r="D4" s="301"/>
      <c r="E4" s="301"/>
      <c r="F4" s="301"/>
      <c r="G4" s="302"/>
    </row>
    <row r="5" spans="1:7" ht="15" x14ac:dyDescent="0.2">
      <c r="A5" s="42"/>
      <c r="B5" s="38"/>
      <c r="C5" s="38"/>
      <c r="D5" s="38"/>
      <c r="E5" s="38"/>
      <c r="F5" s="38"/>
      <c r="G5" s="39"/>
    </row>
    <row r="6" spans="1:7" ht="15.75" x14ac:dyDescent="0.25">
      <c r="A6" s="42"/>
      <c r="B6" s="38"/>
      <c r="C6" s="43"/>
      <c r="D6" s="43"/>
      <c r="E6" s="43" t="s">
        <v>13</v>
      </c>
      <c r="F6" s="43" t="s">
        <v>3</v>
      </c>
      <c r="G6" s="39"/>
    </row>
    <row r="7" spans="1:7" ht="15.75" x14ac:dyDescent="0.25">
      <c r="A7" s="42"/>
      <c r="B7" s="38"/>
      <c r="C7" s="44" t="s">
        <v>5</v>
      </c>
      <c r="D7" s="44"/>
      <c r="E7" s="44" t="s">
        <v>22</v>
      </c>
      <c r="F7" s="44" t="s">
        <v>6</v>
      </c>
      <c r="G7" s="39"/>
    </row>
    <row r="8" spans="1:7" ht="15.75" x14ac:dyDescent="0.25">
      <c r="A8" s="45" t="s">
        <v>190</v>
      </c>
      <c r="B8" s="36"/>
      <c r="C8" s="46"/>
      <c r="D8" s="46"/>
      <c r="E8" s="46"/>
      <c r="F8" s="46"/>
      <c r="G8" s="39"/>
    </row>
    <row r="9" spans="1:7" ht="15.75" x14ac:dyDescent="0.25">
      <c r="A9" s="42" t="s">
        <v>144</v>
      </c>
      <c r="B9" s="38"/>
      <c r="C9" s="47">
        <f>'Res''l &amp; MF Customers'!C43+'Res''l &amp; MF Customers'!D43</f>
        <v>54402</v>
      </c>
      <c r="D9" s="47"/>
      <c r="E9" s="48">
        <f>E76</f>
        <v>2.72</v>
      </c>
      <c r="F9" s="131">
        <f>C9*E9</f>
        <v>147973.44</v>
      </c>
      <c r="G9" s="39"/>
    </row>
    <row r="10" spans="1:7" ht="17.25" x14ac:dyDescent="0.35">
      <c r="A10" s="49" t="s">
        <v>145</v>
      </c>
      <c r="B10" s="50"/>
      <c r="C10" s="51">
        <f>SUM('Res''l &amp; MF Customers'!E43:N43)</f>
        <v>271752</v>
      </c>
      <c r="D10" s="51"/>
      <c r="E10" s="48">
        <f>+G98</f>
        <v>1.54</v>
      </c>
      <c r="F10" s="132">
        <f>C10*E10</f>
        <v>418498.08</v>
      </c>
      <c r="G10" s="39"/>
    </row>
    <row r="11" spans="1:7" ht="18" x14ac:dyDescent="0.4">
      <c r="A11" s="175" t="s">
        <v>137</v>
      </c>
      <c r="B11" s="38"/>
      <c r="C11" s="226">
        <f>SUM(C9:C10)</f>
        <v>326154</v>
      </c>
      <c r="D11" s="227"/>
      <c r="E11" s="228"/>
      <c r="F11" s="225">
        <f>SUM(F9:F10)</f>
        <v>566471.52</v>
      </c>
      <c r="G11" s="39"/>
    </row>
    <row r="12" spans="1:7" ht="15" x14ac:dyDescent="0.2">
      <c r="A12" s="42"/>
      <c r="B12" s="38"/>
      <c r="C12" s="38"/>
      <c r="D12" s="38"/>
      <c r="E12" s="38"/>
      <c r="F12" s="38"/>
      <c r="G12" s="39"/>
    </row>
    <row r="13" spans="1:7" ht="18" x14ac:dyDescent="0.4">
      <c r="A13" s="35" t="s">
        <v>131</v>
      </c>
      <c r="B13" s="38"/>
      <c r="C13" s="38"/>
      <c r="D13" s="38"/>
      <c r="E13" s="38"/>
      <c r="F13" s="225">
        <f>'Tons &amp; Revenue'!P261</f>
        <v>808888.02267112012</v>
      </c>
      <c r="G13" s="39"/>
    </row>
    <row r="14" spans="1:7" ht="18" x14ac:dyDescent="0.4">
      <c r="A14" s="35"/>
      <c r="B14" s="38"/>
      <c r="C14" s="38"/>
      <c r="D14" s="38"/>
      <c r="E14" s="38"/>
      <c r="F14" s="225"/>
      <c r="G14" s="39"/>
    </row>
    <row r="15" spans="1:7" ht="17.25" x14ac:dyDescent="0.35">
      <c r="A15" s="49" t="s">
        <v>158</v>
      </c>
      <c r="B15" s="220"/>
      <c r="C15" s="220"/>
      <c r="D15" s="220"/>
      <c r="E15" s="242"/>
      <c r="F15" s="237">
        <f>+F13*50%</f>
        <v>404444.01133556006</v>
      </c>
      <c r="G15" s="243"/>
    </row>
    <row r="16" spans="1:7" ht="17.25" x14ac:dyDescent="0.35">
      <c r="A16" s="49"/>
      <c r="B16" s="220"/>
      <c r="C16" s="220"/>
      <c r="D16" s="220"/>
      <c r="E16" s="220"/>
      <c r="F16" s="237"/>
      <c r="G16" s="39"/>
    </row>
    <row r="17" spans="1:7" ht="15" x14ac:dyDescent="0.2">
      <c r="A17" s="49" t="s">
        <v>159</v>
      </c>
      <c r="B17" s="220"/>
      <c r="C17" s="220"/>
      <c r="D17" s="220"/>
      <c r="E17" s="220" t="s">
        <v>192</v>
      </c>
      <c r="F17" s="221"/>
      <c r="G17" s="39"/>
    </row>
    <row r="18" spans="1:7" ht="17.25" x14ac:dyDescent="0.35">
      <c r="A18" s="49"/>
      <c r="B18" s="220"/>
      <c r="C18" s="220"/>
      <c r="D18" s="220"/>
      <c r="E18" s="220"/>
      <c r="F18" s="224"/>
      <c r="G18" s="39"/>
    </row>
    <row r="19" spans="1:7" ht="15.75" x14ac:dyDescent="0.25">
      <c r="A19" s="175" t="s">
        <v>24</v>
      </c>
      <c r="B19" s="238"/>
      <c r="C19" s="238"/>
      <c r="D19" s="238"/>
      <c r="E19" s="238"/>
      <c r="F19" s="177">
        <f>F13-F11-F15</f>
        <v>-162027.50866443996</v>
      </c>
      <c r="G19" s="239"/>
    </row>
    <row r="20" spans="1:7" ht="15" x14ac:dyDescent="0.2">
      <c r="A20" s="42"/>
      <c r="B20" s="38"/>
      <c r="C20" s="38"/>
      <c r="D20" s="38"/>
      <c r="E20" s="38"/>
      <c r="F20" s="223"/>
      <c r="G20" s="39"/>
    </row>
    <row r="21" spans="1:7" ht="15" x14ac:dyDescent="0.2">
      <c r="A21" s="42" t="s">
        <v>25</v>
      </c>
      <c r="B21" s="38"/>
      <c r="C21" s="38"/>
      <c r="D21" s="38"/>
      <c r="E21" s="38"/>
      <c r="F21" s="47">
        <f>+F31</f>
        <v>326154</v>
      </c>
      <c r="G21" s="39"/>
    </row>
    <row r="22" spans="1:7" ht="15" x14ac:dyDescent="0.2">
      <c r="A22" s="42"/>
      <c r="B22" s="38"/>
      <c r="C22" s="38"/>
      <c r="D22" s="38"/>
      <c r="E22" s="38"/>
      <c r="F22" s="38"/>
      <c r="G22" s="39"/>
    </row>
    <row r="23" spans="1:7" ht="15" x14ac:dyDescent="0.2">
      <c r="A23" s="42" t="s">
        <v>26</v>
      </c>
      <c r="B23" s="38"/>
      <c r="C23" s="38"/>
      <c r="D23" s="38"/>
      <c r="E23" s="38"/>
      <c r="F23" s="61"/>
      <c r="G23" s="52">
        <f>ROUND(F19/F21,2)</f>
        <v>-0.5</v>
      </c>
    </row>
    <row r="24" spans="1:7" ht="15" x14ac:dyDescent="0.2">
      <c r="A24" s="42"/>
      <c r="B24" s="38"/>
      <c r="C24" s="38"/>
      <c r="D24" s="38"/>
      <c r="E24" s="38"/>
      <c r="F24" s="38"/>
      <c r="G24" s="52"/>
    </row>
    <row r="25" spans="1:7" ht="15" x14ac:dyDescent="0.2">
      <c r="A25" s="42"/>
      <c r="B25" s="38"/>
      <c r="C25" s="38"/>
      <c r="D25" s="38"/>
      <c r="E25" s="38"/>
      <c r="F25" s="38"/>
      <c r="G25" s="52"/>
    </row>
    <row r="26" spans="1:7" ht="15" x14ac:dyDescent="0.2">
      <c r="A26" s="42"/>
      <c r="B26" s="38"/>
      <c r="C26" s="38"/>
      <c r="D26" s="38"/>
      <c r="E26" s="38"/>
      <c r="F26" s="38"/>
      <c r="G26" s="52"/>
    </row>
    <row r="27" spans="1:7" ht="15.75" x14ac:dyDescent="0.25">
      <c r="A27" s="150" t="s">
        <v>202</v>
      </c>
      <c r="B27" s="36"/>
      <c r="C27" s="38"/>
      <c r="D27" s="38"/>
      <c r="E27" s="38"/>
      <c r="F27" s="162">
        <f>+F13</f>
        <v>808888.02267112012</v>
      </c>
      <c r="G27" s="52"/>
    </row>
    <row r="28" spans="1:7" ht="17.25" x14ac:dyDescent="0.35">
      <c r="A28" s="49" t="s">
        <v>136</v>
      </c>
      <c r="B28" s="36"/>
      <c r="C28" s="38"/>
      <c r="D28" s="38"/>
      <c r="E28" s="172">
        <v>0.5</v>
      </c>
      <c r="F28" s="173">
        <f>-F27*E28</f>
        <v>-404444.01133556006</v>
      </c>
      <c r="G28" s="52"/>
    </row>
    <row r="29" spans="1:7" ht="20.25" x14ac:dyDescent="0.55000000000000004">
      <c r="A29" s="49"/>
      <c r="B29" s="36"/>
      <c r="C29" s="38"/>
      <c r="D29" s="38"/>
      <c r="E29" s="172"/>
      <c r="F29" s="174">
        <f>+F28+F27</f>
        <v>404444.01133556006</v>
      </c>
      <c r="G29" s="52"/>
    </row>
    <row r="30" spans="1:7" ht="17.25" x14ac:dyDescent="0.35">
      <c r="A30" s="49"/>
      <c r="B30" s="36"/>
      <c r="C30" s="38"/>
      <c r="D30" s="38"/>
      <c r="E30" s="172"/>
      <c r="F30" s="173"/>
      <c r="G30" s="52"/>
    </row>
    <row r="31" spans="1:7" ht="17.25" x14ac:dyDescent="0.35">
      <c r="A31" s="42" t="s">
        <v>138</v>
      </c>
      <c r="B31" s="38"/>
      <c r="C31" s="38"/>
      <c r="D31" s="38"/>
      <c r="E31" s="38"/>
      <c r="F31" s="163">
        <f>+C11</f>
        <v>326154</v>
      </c>
      <c r="G31" s="52"/>
    </row>
    <row r="32" spans="1:7" ht="17.25" x14ac:dyDescent="0.35">
      <c r="A32" s="42" t="s">
        <v>103</v>
      </c>
      <c r="B32" s="38"/>
      <c r="C32" s="38"/>
      <c r="D32" s="38"/>
      <c r="E32" s="38"/>
      <c r="F32" s="38"/>
      <c r="G32" s="55">
        <f>ROUND(+F27/F31,2)</f>
        <v>2.48</v>
      </c>
    </row>
    <row r="33" spans="1:7" ht="15" x14ac:dyDescent="0.2">
      <c r="A33" s="42"/>
      <c r="B33" s="38"/>
      <c r="C33" s="38"/>
      <c r="D33" s="38"/>
      <c r="E33" s="38"/>
      <c r="F33" s="38"/>
      <c r="G33" s="52"/>
    </row>
    <row r="34" spans="1:7" ht="18" x14ac:dyDescent="0.4">
      <c r="A34" s="35" t="s">
        <v>28</v>
      </c>
      <c r="B34" s="36"/>
      <c r="C34" s="38"/>
      <c r="D34" s="38"/>
      <c r="E34" s="38"/>
      <c r="F34" s="38"/>
      <c r="G34" s="179">
        <f>SUM(G23:G32)</f>
        <v>1.98</v>
      </c>
    </row>
    <row r="35" spans="1:7" ht="15.75" x14ac:dyDescent="0.25">
      <c r="A35" s="35"/>
      <c r="B35" s="36"/>
      <c r="C35" s="38"/>
      <c r="D35" s="38"/>
      <c r="E35" s="38"/>
      <c r="F35" s="38"/>
      <c r="G35" s="149"/>
    </row>
    <row r="36" spans="1:7" ht="13.5" thickBot="1" x14ac:dyDescent="0.25">
      <c r="A36" s="19"/>
      <c r="B36" s="20"/>
      <c r="C36" s="20"/>
      <c r="D36" s="20"/>
      <c r="E36" s="20"/>
      <c r="F36" s="20"/>
      <c r="G36" s="21"/>
    </row>
    <row r="37" spans="1:7" ht="15" x14ac:dyDescent="0.2">
      <c r="A37" s="303" t="s">
        <v>29</v>
      </c>
      <c r="B37" s="304"/>
      <c r="C37" s="304"/>
      <c r="D37" s="304"/>
      <c r="E37" s="304"/>
      <c r="F37" s="304"/>
      <c r="G37" s="305"/>
    </row>
    <row r="38" spans="1:7" ht="15" x14ac:dyDescent="0.2">
      <c r="A38" s="49"/>
      <c r="B38" s="50"/>
      <c r="C38" s="50"/>
      <c r="D38" s="50"/>
      <c r="E38" s="50"/>
      <c r="F38" s="50"/>
      <c r="G38" s="64"/>
    </row>
    <row r="39" spans="1:7" ht="15.75" x14ac:dyDescent="0.25">
      <c r="A39" s="49"/>
      <c r="B39" s="50"/>
      <c r="C39" s="43"/>
      <c r="D39" s="43"/>
      <c r="E39" s="43" t="s">
        <v>13</v>
      </c>
      <c r="F39" s="43" t="s">
        <v>3</v>
      </c>
      <c r="G39" s="64"/>
    </row>
    <row r="40" spans="1:7" ht="15.75" x14ac:dyDescent="0.25">
      <c r="A40" s="49"/>
      <c r="B40" s="50"/>
      <c r="C40" s="65" t="s">
        <v>20</v>
      </c>
      <c r="D40" s="65"/>
      <c r="E40" s="65" t="s">
        <v>22</v>
      </c>
      <c r="F40" s="65" t="s">
        <v>6</v>
      </c>
      <c r="G40" s="64"/>
    </row>
    <row r="41" spans="1:7" ht="15.75" x14ac:dyDescent="0.25">
      <c r="A41" s="45" t="str">
        <f>+A8</f>
        <v>Projected Revenue June 2023 - May 2023</v>
      </c>
      <c r="B41" s="36"/>
      <c r="C41" s="66"/>
      <c r="D41" s="66"/>
      <c r="E41" s="66"/>
      <c r="F41" s="66"/>
      <c r="G41" s="64"/>
    </row>
    <row r="42" spans="1:7" ht="15.75" x14ac:dyDescent="0.25">
      <c r="A42" s="42" t="s">
        <v>144</v>
      </c>
      <c r="B42" s="50"/>
      <c r="C42" s="67">
        <f>'Res''l &amp; MF Customers'!C56+'Res''l &amp; MF Customers'!D56</f>
        <v>4245.6888888888889</v>
      </c>
      <c r="D42" s="67"/>
      <c r="E42" s="68">
        <f>+E109</f>
        <v>0.44</v>
      </c>
      <c r="F42" s="54">
        <f>E42*C42</f>
        <v>1868.103111111111</v>
      </c>
      <c r="G42" s="64"/>
    </row>
    <row r="43" spans="1:7" ht="17.25" x14ac:dyDescent="0.35">
      <c r="A43" s="49" t="s">
        <v>145</v>
      </c>
      <c r="B43" s="50"/>
      <c r="C43" s="51">
        <f>SUM('Res''l &amp; MF Customers'!E56:N56)</f>
        <v>26310.717948717946</v>
      </c>
      <c r="D43" s="51"/>
      <c r="E43" s="68">
        <f>+G129</f>
        <v>0.53</v>
      </c>
      <c r="F43" s="132">
        <f>E43*C43</f>
        <v>13944.680512820512</v>
      </c>
      <c r="G43" s="64"/>
    </row>
    <row r="44" spans="1:7" ht="18" x14ac:dyDescent="0.4">
      <c r="A44" s="42" t="s">
        <v>3</v>
      </c>
      <c r="B44" s="50"/>
      <c r="C44" s="229">
        <f>SUM(C42:C43)</f>
        <v>30556.406837606835</v>
      </c>
      <c r="D44" s="229"/>
      <c r="E44" s="230"/>
      <c r="F44" s="231">
        <f>SUM(F42:F43)</f>
        <v>15812.783623931624</v>
      </c>
      <c r="G44" s="64"/>
    </row>
    <row r="45" spans="1:7" ht="15" x14ac:dyDescent="0.2">
      <c r="A45" s="42"/>
      <c r="B45" s="50"/>
      <c r="C45" s="50"/>
      <c r="D45" s="50"/>
      <c r="E45" s="50"/>
      <c r="F45" s="54"/>
      <c r="G45" s="64"/>
    </row>
    <row r="46" spans="1:7" ht="18" x14ac:dyDescent="0.4">
      <c r="A46" s="35" t="s">
        <v>131</v>
      </c>
      <c r="B46" s="38"/>
      <c r="C46" s="38"/>
      <c r="D46" s="38"/>
      <c r="E46" s="38"/>
      <c r="F46" s="225">
        <f>'Tons &amp; Revenue'!P231</f>
        <v>23302.862027160816</v>
      </c>
      <c r="G46" s="64"/>
    </row>
    <row r="47" spans="1:7" ht="15.75" x14ac:dyDescent="0.25">
      <c r="A47" s="35"/>
      <c r="B47" s="38"/>
      <c r="C47" s="38"/>
      <c r="D47" s="38"/>
      <c r="E47" s="38"/>
      <c r="F47" s="131"/>
      <c r="G47" s="64"/>
    </row>
    <row r="48" spans="1:7" ht="20.25" x14ac:dyDescent="0.55000000000000004">
      <c r="A48" s="35" t="s">
        <v>158</v>
      </c>
      <c r="B48" s="38"/>
      <c r="C48" s="38"/>
      <c r="D48" s="38"/>
      <c r="E48" s="38"/>
      <c r="F48" s="232">
        <f>F46*50%</f>
        <v>11651.431013580408</v>
      </c>
      <c r="G48" s="64"/>
    </row>
    <row r="49" spans="1:7" ht="17.25" x14ac:dyDescent="0.35">
      <c r="A49" s="35"/>
      <c r="B49" s="38"/>
      <c r="C49" s="38"/>
      <c r="D49" s="38"/>
      <c r="E49" s="38"/>
      <c r="F49" s="133"/>
      <c r="G49" s="64"/>
    </row>
    <row r="50" spans="1:7" ht="15" x14ac:dyDescent="0.2">
      <c r="A50" s="42" t="s">
        <v>24</v>
      </c>
      <c r="B50" s="38"/>
      <c r="C50" s="38"/>
      <c r="D50" s="38"/>
      <c r="E50" s="38"/>
      <c r="F50" s="47">
        <f>F48-F44</f>
        <v>-4161.3526103512158</v>
      </c>
      <c r="G50" s="64"/>
    </row>
    <row r="51" spans="1:7" ht="17.25" x14ac:dyDescent="0.35">
      <c r="A51" s="42"/>
      <c r="B51" s="38"/>
      <c r="C51" s="130"/>
      <c r="D51" s="38"/>
      <c r="E51" s="38"/>
      <c r="F51" s="133"/>
      <c r="G51" s="64"/>
    </row>
    <row r="52" spans="1:7" ht="15" x14ac:dyDescent="0.2">
      <c r="A52" s="42" t="s">
        <v>25</v>
      </c>
      <c r="B52" s="50"/>
      <c r="C52" s="50"/>
      <c r="D52" s="50"/>
      <c r="E52" s="50"/>
      <c r="F52" s="67">
        <f>+F62</f>
        <v>30556.406837606835</v>
      </c>
      <c r="G52" s="64"/>
    </row>
    <row r="53" spans="1:7" ht="15" x14ac:dyDescent="0.2">
      <c r="A53" s="42"/>
      <c r="B53" s="50"/>
      <c r="C53" s="50"/>
      <c r="D53" s="50"/>
      <c r="E53" s="50"/>
      <c r="F53" s="50"/>
      <c r="G53" s="64"/>
    </row>
    <row r="54" spans="1:7" ht="15" x14ac:dyDescent="0.2">
      <c r="A54" s="42" t="s">
        <v>26</v>
      </c>
      <c r="B54" s="50"/>
      <c r="C54" s="50"/>
      <c r="D54" s="50"/>
      <c r="E54" s="50"/>
      <c r="F54" s="50"/>
      <c r="G54" s="52">
        <f>ROUND(F50/F52,2)</f>
        <v>-0.14000000000000001</v>
      </c>
    </row>
    <row r="55" spans="1:7" ht="15" x14ac:dyDescent="0.2">
      <c r="A55" s="42"/>
      <c r="B55" s="50"/>
      <c r="C55" s="50"/>
      <c r="D55" s="50"/>
      <c r="E55" s="50"/>
      <c r="F55" s="50"/>
      <c r="G55" s="70"/>
    </row>
    <row r="56" spans="1:7" ht="15" x14ac:dyDescent="0.2">
      <c r="A56" s="42"/>
      <c r="B56" s="50"/>
      <c r="C56" s="50"/>
      <c r="D56" s="50"/>
      <c r="E56" s="50"/>
      <c r="F56" s="67"/>
      <c r="G56" s="64"/>
    </row>
    <row r="57" spans="1:7" ht="15.75" x14ac:dyDescent="0.25">
      <c r="A57" s="42"/>
      <c r="B57" s="36"/>
      <c r="C57" s="50"/>
      <c r="D57" s="50"/>
      <c r="E57" s="50"/>
      <c r="F57" s="67"/>
      <c r="G57" s="64"/>
    </row>
    <row r="58" spans="1:7" ht="15.75" x14ac:dyDescent="0.25">
      <c r="A58" s="150" t="str">
        <f>+A27</f>
        <v>Projected Revenue June 2024 - May 2025 (based on most recent 12 months average)</v>
      </c>
      <c r="B58" s="50"/>
      <c r="C58" s="50"/>
      <c r="D58" s="50"/>
      <c r="E58" s="50"/>
      <c r="F58" s="164">
        <f>+F46</f>
        <v>23302.862027160816</v>
      </c>
      <c r="G58" s="64"/>
    </row>
    <row r="59" spans="1:7" ht="17.25" x14ac:dyDescent="0.35">
      <c r="A59" s="49" t="s">
        <v>136</v>
      </c>
      <c r="B59" s="36"/>
      <c r="C59" s="38"/>
      <c r="D59" s="38"/>
      <c r="E59" s="172">
        <v>0.5</v>
      </c>
      <c r="F59" s="173">
        <f>-F58*E59</f>
        <v>-11651.431013580408</v>
      </c>
      <c r="G59" s="52"/>
    </row>
    <row r="60" spans="1:7" ht="20.25" x14ac:dyDescent="0.55000000000000004">
      <c r="A60" s="49"/>
      <c r="B60" s="36"/>
      <c r="C60" s="38"/>
      <c r="D60" s="38"/>
      <c r="E60" s="172"/>
      <c r="F60" s="174">
        <f>+F59+F58</f>
        <v>11651.431013580408</v>
      </c>
      <c r="G60" s="52"/>
    </row>
    <row r="61" spans="1:7" ht="17.25" x14ac:dyDescent="0.35">
      <c r="A61" s="49"/>
      <c r="B61" s="36"/>
      <c r="C61" s="38"/>
      <c r="D61" s="38"/>
      <c r="E61" s="172"/>
      <c r="F61" s="173"/>
      <c r="G61" s="52"/>
    </row>
    <row r="62" spans="1:7" ht="17.25" x14ac:dyDescent="0.35">
      <c r="A62" s="42" t="s">
        <v>138</v>
      </c>
      <c r="B62" s="38"/>
      <c r="C62" s="38"/>
      <c r="D62" s="38"/>
      <c r="E62" s="38"/>
      <c r="F62" s="163">
        <f>+C44</f>
        <v>30556.406837606835</v>
      </c>
      <c r="G62" s="52"/>
    </row>
    <row r="63" spans="1:7" ht="17.25" x14ac:dyDescent="0.35">
      <c r="A63" s="42" t="s">
        <v>103</v>
      </c>
      <c r="B63" s="38"/>
      <c r="C63" s="38"/>
      <c r="D63" s="38"/>
      <c r="E63" s="38"/>
      <c r="F63" s="38"/>
      <c r="G63" s="55">
        <f>ROUND(+F58/F62,2)</f>
        <v>0.76</v>
      </c>
    </row>
    <row r="64" spans="1:7" ht="15" x14ac:dyDescent="0.2">
      <c r="A64" s="42"/>
      <c r="B64" s="38"/>
      <c r="C64" s="38"/>
      <c r="D64" s="38"/>
      <c r="E64" s="38"/>
      <c r="F64" s="38"/>
      <c r="G64" s="52"/>
    </row>
    <row r="65" spans="1:7" ht="18" x14ac:dyDescent="0.4">
      <c r="A65" s="35" t="s">
        <v>117</v>
      </c>
      <c r="B65" s="36"/>
      <c r="C65" s="38"/>
      <c r="D65" s="38"/>
      <c r="E65" s="38"/>
      <c r="F65" s="38"/>
      <c r="G65" s="179">
        <f>SUM(G54:G63)</f>
        <v>0.62</v>
      </c>
    </row>
    <row r="66" spans="1:7" ht="16.5" thickBot="1" x14ac:dyDescent="0.3">
      <c r="A66" s="233"/>
      <c r="B66" s="234"/>
      <c r="C66" s="235"/>
      <c r="D66" s="235"/>
      <c r="E66" s="235"/>
      <c r="F66" s="235"/>
      <c r="G66" s="236"/>
    </row>
    <row r="67" spans="1:7" ht="23.25" x14ac:dyDescent="0.35">
      <c r="A67" s="31" t="s">
        <v>56</v>
      </c>
      <c r="B67" s="32"/>
      <c r="C67" s="33"/>
      <c r="D67" s="33"/>
      <c r="E67" s="33"/>
      <c r="F67" s="33"/>
      <c r="G67" s="34"/>
    </row>
    <row r="68" spans="1:7" ht="15.75" x14ac:dyDescent="0.25">
      <c r="A68" s="35" t="s">
        <v>179</v>
      </c>
      <c r="B68" s="36"/>
      <c r="C68" s="37"/>
      <c r="D68" s="37"/>
      <c r="E68" s="38"/>
      <c r="F68" s="38"/>
      <c r="G68" s="39"/>
    </row>
    <row r="69" spans="1:7" ht="15.75" x14ac:dyDescent="0.25">
      <c r="A69" s="40"/>
      <c r="B69" s="41"/>
      <c r="C69" s="38"/>
      <c r="D69" s="38"/>
      <c r="E69" s="38"/>
      <c r="F69" s="38"/>
      <c r="G69" s="39"/>
    </row>
    <row r="70" spans="1:7" ht="15" x14ac:dyDescent="0.2">
      <c r="A70" s="300" t="s">
        <v>21</v>
      </c>
      <c r="B70" s="301"/>
      <c r="C70" s="301"/>
      <c r="D70" s="301"/>
      <c r="E70" s="301"/>
      <c r="F70" s="301"/>
      <c r="G70" s="302"/>
    </row>
    <row r="71" spans="1:7" ht="15" x14ac:dyDescent="0.2">
      <c r="A71" s="42"/>
      <c r="B71" s="38"/>
      <c r="C71" s="38"/>
      <c r="D71" s="38"/>
      <c r="E71" s="38"/>
      <c r="F71" s="38"/>
      <c r="G71" s="39"/>
    </row>
    <row r="72" spans="1:7" ht="15.75" x14ac:dyDescent="0.25">
      <c r="A72" s="42"/>
      <c r="B72" s="38"/>
      <c r="C72" s="43"/>
      <c r="D72" s="43"/>
      <c r="E72" s="43" t="s">
        <v>13</v>
      </c>
      <c r="F72" s="43" t="s">
        <v>3</v>
      </c>
      <c r="G72" s="39"/>
    </row>
    <row r="73" spans="1:7" ht="15.75" x14ac:dyDescent="0.25">
      <c r="A73" s="42"/>
      <c r="B73" s="38"/>
      <c r="C73" s="44" t="s">
        <v>5</v>
      </c>
      <c r="D73" s="44"/>
      <c r="E73" s="44" t="s">
        <v>22</v>
      </c>
      <c r="F73" s="44" t="s">
        <v>6</v>
      </c>
      <c r="G73" s="39"/>
    </row>
    <row r="74" spans="1:7" ht="15.75" x14ac:dyDescent="0.25">
      <c r="A74" s="45" t="s">
        <v>190</v>
      </c>
      <c r="B74" s="36"/>
      <c r="C74" s="46"/>
      <c r="D74" s="46"/>
      <c r="E74" s="46"/>
      <c r="F74" s="46"/>
      <c r="G74" s="39"/>
    </row>
    <row r="75" spans="1:7" ht="15.75" x14ac:dyDescent="0.25">
      <c r="A75" s="42" t="s">
        <v>144</v>
      </c>
      <c r="B75" s="38"/>
      <c r="C75" s="47">
        <f>'Res''l &amp; MF Customers'!C12+'Res''l &amp; MF Customers'!D12</f>
        <v>53980</v>
      </c>
      <c r="D75" s="47"/>
      <c r="E75" s="48">
        <f>+E142</f>
        <v>1.45</v>
      </c>
      <c r="F75" s="131">
        <f>C75*E75</f>
        <v>78271</v>
      </c>
      <c r="G75" s="39"/>
    </row>
    <row r="76" spans="1:7" ht="17.25" x14ac:dyDescent="0.35">
      <c r="A76" s="49" t="s">
        <v>145</v>
      </c>
      <c r="B76" s="50"/>
      <c r="C76" s="51">
        <f>SUM('Res''l &amp; MF Customers'!E12:N12)</f>
        <v>270007</v>
      </c>
      <c r="D76" s="51"/>
      <c r="E76" s="48">
        <f>+G164</f>
        <v>2.72</v>
      </c>
      <c r="F76" s="132">
        <f>C76*E76</f>
        <v>734419.04</v>
      </c>
      <c r="G76" s="39"/>
    </row>
    <row r="77" spans="1:7" ht="18" x14ac:dyDescent="0.4">
      <c r="A77" s="175" t="s">
        <v>137</v>
      </c>
      <c r="B77" s="38"/>
      <c r="C77" s="226">
        <f>SUM(C75:C76)</f>
        <v>323987</v>
      </c>
      <c r="D77" s="227"/>
      <c r="E77" s="228"/>
      <c r="F77" s="225">
        <f>SUM(F75:F76)</f>
        <v>812690.04</v>
      </c>
      <c r="G77" s="39"/>
    </row>
    <row r="78" spans="1:7" ht="15" x14ac:dyDescent="0.2">
      <c r="A78" s="42"/>
      <c r="B78" s="38"/>
      <c r="C78" s="38"/>
      <c r="D78" s="38"/>
      <c r="E78" s="38"/>
      <c r="F78" s="38"/>
      <c r="G78" s="39"/>
    </row>
    <row r="79" spans="1:7" ht="18" x14ac:dyDescent="0.4">
      <c r="A79" s="35" t="s">
        <v>131</v>
      </c>
      <c r="B79" s="38"/>
      <c r="C79" s="38"/>
      <c r="D79" s="38"/>
      <c r="E79" s="38"/>
      <c r="F79" s="225">
        <f>+'Tons &amp; Revenue'!P247</f>
        <v>498132.37782813667</v>
      </c>
      <c r="G79" s="39"/>
    </row>
    <row r="80" spans="1:7" ht="18" x14ac:dyDescent="0.4">
      <c r="A80" s="35"/>
      <c r="B80" s="38"/>
      <c r="C80" s="38"/>
      <c r="D80" s="38"/>
      <c r="E80" s="38"/>
      <c r="F80" s="225"/>
      <c r="G80" s="39"/>
    </row>
    <row r="81" spans="1:7" ht="17.25" x14ac:dyDescent="0.35">
      <c r="A81" s="49" t="s">
        <v>158</v>
      </c>
      <c r="B81" s="220"/>
      <c r="C81" s="220"/>
      <c r="D81" s="220"/>
      <c r="E81" s="242"/>
      <c r="F81" s="237">
        <f>+F79*50%</f>
        <v>249066.18891406833</v>
      </c>
      <c r="G81" s="243"/>
    </row>
    <row r="82" spans="1:7" ht="17.25" x14ac:dyDescent="0.35">
      <c r="A82" s="49"/>
      <c r="B82" s="220"/>
      <c r="C82" s="220"/>
      <c r="D82" s="220"/>
      <c r="E82" s="220"/>
      <c r="F82" s="237"/>
      <c r="G82" s="39"/>
    </row>
    <row r="83" spans="1:7" ht="15" x14ac:dyDescent="0.2">
      <c r="A83" s="49" t="s">
        <v>159</v>
      </c>
      <c r="B83" s="220"/>
      <c r="C83" s="220"/>
      <c r="D83" s="220"/>
      <c r="E83" s="220" t="s">
        <v>192</v>
      </c>
      <c r="F83" s="221"/>
      <c r="G83" s="39"/>
    </row>
    <row r="84" spans="1:7" ht="17.25" x14ac:dyDescent="0.35">
      <c r="A84" s="49"/>
      <c r="B84" s="220"/>
      <c r="C84" s="220"/>
      <c r="D84" s="220"/>
      <c r="E84" s="220"/>
      <c r="F84" s="224"/>
      <c r="G84" s="39"/>
    </row>
    <row r="85" spans="1:7" ht="15.75" x14ac:dyDescent="0.25">
      <c r="A85" s="175" t="s">
        <v>24</v>
      </c>
      <c r="B85" s="238"/>
      <c r="C85" s="238"/>
      <c r="D85" s="238"/>
      <c r="E85" s="238"/>
      <c r="F85" s="177">
        <f>F79-F77-F81</f>
        <v>-563623.85108593176</v>
      </c>
      <c r="G85" s="239"/>
    </row>
    <row r="86" spans="1:7" ht="15" x14ac:dyDescent="0.2">
      <c r="A86" s="42"/>
      <c r="B86" s="38"/>
      <c r="C86" s="38"/>
      <c r="D86" s="38"/>
      <c r="E86" s="38"/>
      <c r="F86" s="223"/>
      <c r="G86" s="39"/>
    </row>
    <row r="87" spans="1:7" ht="15" x14ac:dyDescent="0.2">
      <c r="A87" s="42" t="s">
        <v>25</v>
      </c>
      <c r="B87" s="38"/>
      <c r="C87" s="38"/>
      <c r="D87" s="38"/>
      <c r="E87" s="38"/>
      <c r="F87" s="47">
        <f>+F97</f>
        <v>323987</v>
      </c>
      <c r="G87" s="39"/>
    </row>
    <row r="88" spans="1:7" ht="15" x14ac:dyDescent="0.2">
      <c r="A88" s="42"/>
      <c r="B88" s="38"/>
      <c r="C88" s="38"/>
      <c r="D88" s="38"/>
      <c r="E88" s="38"/>
      <c r="F88" s="38"/>
      <c r="G88" s="39"/>
    </row>
    <row r="89" spans="1:7" ht="15" x14ac:dyDescent="0.2">
      <c r="A89" s="42" t="s">
        <v>26</v>
      </c>
      <c r="B89" s="38"/>
      <c r="C89" s="38"/>
      <c r="D89" s="38"/>
      <c r="E89" s="38"/>
      <c r="F89" s="61"/>
      <c r="G89" s="52">
        <f>ROUND(F85/F87,2)</f>
        <v>-1.74</v>
      </c>
    </row>
    <row r="90" spans="1:7" ht="15" x14ac:dyDescent="0.2">
      <c r="A90" s="42"/>
      <c r="B90" s="38"/>
      <c r="C90" s="38"/>
      <c r="D90" s="38"/>
      <c r="E90" s="38"/>
      <c r="F90" s="38"/>
      <c r="G90" s="52"/>
    </row>
    <row r="91" spans="1:7" ht="15" x14ac:dyDescent="0.2">
      <c r="A91" s="42"/>
      <c r="B91" s="38"/>
      <c r="C91" s="38"/>
      <c r="D91" s="38"/>
      <c r="E91" s="38"/>
      <c r="F91" s="38"/>
      <c r="G91" s="52"/>
    </row>
    <row r="92" spans="1:7" ht="15" x14ac:dyDescent="0.2">
      <c r="A92" s="42"/>
      <c r="B92" s="38"/>
      <c r="C92" s="38"/>
      <c r="D92" s="38"/>
      <c r="E92" s="38"/>
      <c r="F92" s="38"/>
      <c r="G92" s="52"/>
    </row>
    <row r="93" spans="1:7" ht="15.75" x14ac:dyDescent="0.25">
      <c r="A93" s="150" t="s">
        <v>191</v>
      </c>
      <c r="B93" s="36"/>
      <c r="C93" s="38"/>
      <c r="D93" s="38"/>
      <c r="E93" s="38"/>
      <c r="F93" s="162">
        <f>+F79</f>
        <v>498132.37782813667</v>
      </c>
      <c r="G93" s="52"/>
    </row>
    <row r="94" spans="1:7" ht="17.25" x14ac:dyDescent="0.35">
      <c r="A94" s="49" t="s">
        <v>136</v>
      </c>
      <c r="B94" s="36"/>
      <c r="C94" s="38"/>
      <c r="D94" s="38"/>
      <c r="E94" s="172">
        <v>0.5</v>
      </c>
      <c r="F94" s="173">
        <f>-F93*E94</f>
        <v>-249066.18891406833</v>
      </c>
      <c r="G94" s="52"/>
    </row>
    <row r="95" spans="1:7" ht="20.25" x14ac:dyDescent="0.55000000000000004">
      <c r="A95" s="49"/>
      <c r="B95" s="36"/>
      <c r="C95" s="38"/>
      <c r="D95" s="38"/>
      <c r="E95" s="172"/>
      <c r="F95" s="174">
        <f>+F94+F93</f>
        <v>249066.18891406833</v>
      </c>
      <c r="G95" s="52"/>
    </row>
    <row r="96" spans="1:7" ht="17.25" x14ac:dyDescent="0.35">
      <c r="A96" s="49"/>
      <c r="B96" s="36"/>
      <c r="C96" s="38"/>
      <c r="D96" s="38"/>
      <c r="E96" s="172"/>
      <c r="F96" s="173"/>
      <c r="G96" s="52"/>
    </row>
    <row r="97" spans="1:7" ht="17.25" x14ac:dyDescent="0.35">
      <c r="A97" s="42" t="s">
        <v>138</v>
      </c>
      <c r="B97" s="38"/>
      <c r="C97" s="38"/>
      <c r="D97" s="38"/>
      <c r="E97" s="38"/>
      <c r="F97" s="163">
        <f>+C77</f>
        <v>323987</v>
      </c>
      <c r="G97" s="52"/>
    </row>
    <row r="98" spans="1:7" ht="17.25" x14ac:dyDescent="0.35">
      <c r="A98" s="42" t="s">
        <v>103</v>
      </c>
      <c r="B98" s="38"/>
      <c r="C98" s="38"/>
      <c r="D98" s="38"/>
      <c r="E98" s="38"/>
      <c r="F98" s="38"/>
      <c r="G98" s="55">
        <f>ROUND(+F93/F97,2)</f>
        <v>1.54</v>
      </c>
    </row>
    <row r="99" spans="1:7" ht="15" x14ac:dyDescent="0.2">
      <c r="A99" s="42"/>
      <c r="B99" s="38"/>
      <c r="C99" s="38"/>
      <c r="D99" s="38"/>
      <c r="E99" s="38"/>
      <c r="F99" s="38"/>
      <c r="G99" s="52"/>
    </row>
    <row r="100" spans="1:7" ht="18" x14ac:dyDescent="0.4">
      <c r="A100" s="35" t="s">
        <v>28</v>
      </c>
      <c r="B100" s="36"/>
      <c r="C100" s="38"/>
      <c r="D100" s="38"/>
      <c r="E100" s="38"/>
      <c r="F100" s="38"/>
      <c r="G100" s="179">
        <f>SUM(G89:G98)</f>
        <v>-0.19999999999999996</v>
      </c>
    </row>
    <row r="101" spans="1:7" ht="15.75" x14ac:dyDescent="0.25">
      <c r="A101" s="35"/>
      <c r="B101" s="36"/>
      <c r="C101" s="38"/>
      <c r="D101" s="38"/>
      <c r="E101" s="38"/>
      <c r="F101" s="38"/>
      <c r="G101" s="149"/>
    </row>
    <row r="102" spans="1:7" ht="13.5" thickBot="1" x14ac:dyDescent="0.25">
      <c r="A102" s="19"/>
      <c r="B102" s="20"/>
      <c r="C102" s="20"/>
      <c r="D102" s="20"/>
      <c r="E102" s="20"/>
      <c r="F102" s="20"/>
      <c r="G102" s="21"/>
    </row>
    <row r="103" spans="1:7" ht="15" x14ac:dyDescent="0.2">
      <c r="A103" s="303" t="s">
        <v>29</v>
      </c>
      <c r="B103" s="304"/>
      <c r="C103" s="304"/>
      <c r="D103" s="304"/>
      <c r="E103" s="304"/>
      <c r="F103" s="304"/>
      <c r="G103" s="305"/>
    </row>
    <row r="104" spans="1:7" ht="15" x14ac:dyDescent="0.2">
      <c r="A104" s="49"/>
      <c r="B104" s="50"/>
      <c r="C104" s="50"/>
      <c r="D104" s="50"/>
      <c r="E104" s="50"/>
      <c r="F104" s="50"/>
      <c r="G104" s="64"/>
    </row>
    <row r="105" spans="1:7" ht="15.75" x14ac:dyDescent="0.25">
      <c r="A105" s="49"/>
      <c r="B105" s="50"/>
      <c r="C105" s="43"/>
      <c r="D105" s="43"/>
      <c r="E105" s="43" t="s">
        <v>13</v>
      </c>
      <c r="F105" s="43" t="s">
        <v>3</v>
      </c>
      <c r="G105" s="64"/>
    </row>
    <row r="106" spans="1:7" ht="15.75" x14ac:dyDescent="0.25">
      <c r="A106" s="49"/>
      <c r="B106" s="50"/>
      <c r="C106" s="65" t="s">
        <v>20</v>
      </c>
      <c r="D106" s="65"/>
      <c r="E106" s="65" t="s">
        <v>22</v>
      </c>
      <c r="F106" s="65" t="s">
        <v>6</v>
      </c>
      <c r="G106" s="64"/>
    </row>
    <row r="107" spans="1:7" ht="15.75" x14ac:dyDescent="0.25">
      <c r="A107" s="45" t="str">
        <f>+A74</f>
        <v>Projected Revenue June 2023 - May 2023</v>
      </c>
      <c r="B107" s="36"/>
      <c r="C107" s="66"/>
      <c r="D107" s="66"/>
      <c r="E107" s="66"/>
      <c r="F107" s="66"/>
      <c r="G107" s="64"/>
    </row>
    <row r="108" spans="1:7" ht="15.75" x14ac:dyDescent="0.25">
      <c r="A108" s="42" t="s">
        <v>144</v>
      </c>
      <c r="B108" s="50"/>
      <c r="C108" s="67">
        <f>+'Res''l &amp; MF Customers'!C25+'Res''l &amp; MF Customers'!D25</f>
        <v>4562.666666666667</v>
      </c>
      <c r="D108" s="67"/>
      <c r="E108" s="68">
        <f>+E175</f>
        <v>0.22</v>
      </c>
      <c r="F108" s="54">
        <f>E108*C108</f>
        <v>1003.7866666666667</v>
      </c>
      <c r="G108" s="64"/>
    </row>
    <row r="109" spans="1:7" ht="17.25" x14ac:dyDescent="0.35">
      <c r="A109" s="49" t="s">
        <v>145</v>
      </c>
      <c r="B109" s="50"/>
      <c r="C109" s="51">
        <f>+'Res''l &amp; MF Customers'!P25-C108</f>
        <v>20001.866666666665</v>
      </c>
      <c r="D109" s="51"/>
      <c r="E109" s="68">
        <f>+G195</f>
        <v>0.44</v>
      </c>
      <c r="F109" s="132">
        <f>E109*C109</f>
        <v>8800.8213333333333</v>
      </c>
      <c r="G109" s="64"/>
    </row>
    <row r="110" spans="1:7" ht="18" x14ac:dyDescent="0.4">
      <c r="A110" s="42" t="s">
        <v>3</v>
      </c>
      <c r="B110" s="50"/>
      <c r="C110" s="229">
        <f>SUM(C108:C109)</f>
        <v>24564.533333333333</v>
      </c>
      <c r="D110" s="229"/>
      <c r="E110" s="230"/>
      <c r="F110" s="231">
        <f>SUM(F108:F109)</f>
        <v>9804.6080000000002</v>
      </c>
      <c r="G110" s="64"/>
    </row>
    <row r="111" spans="1:7" ht="15" x14ac:dyDescent="0.2">
      <c r="A111" s="42"/>
      <c r="B111" s="50"/>
      <c r="C111" s="50"/>
      <c r="D111" s="50"/>
      <c r="E111" s="50"/>
      <c r="F111" s="54"/>
      <c r="G111" s="64"/>
    </row>
    <row r="112" spans="1:7" ht="18" x14ac:dyDescent="0.4">
      <c r="A112" s="35" t="s">
        <v>131</v>
      </c>
      <c r="B112" s="38"/>
      <c r="C112" s="38"/>
      <c r="D112" s="38"/>
      <c r="E112" s="38"/>
      <c r="F112" s="225">
        <f>+'Tons &amp; Revenue'!P217</f>
        <v>12933.552743220554</v>
      </c>
      <c r="G112" s="64"/>
    </row>
    <row r="113" spans="1:7" ht="15.75" x14ac:dyDescent="0.25">
      <c r="A113" s="35"/>
      <c r="B113" s="38"/>
      <c r="C113" s="38"/>
      <c r="D113" s="38"/>
      <c r="E113" s="38"/>
      <c r="F113" s="131"/>
      <c r="G113" s="64"/>
    </row>
    <row r="114" spans="1:7" ht="20.25" x14ac:dyDescent="0.55000000000000004">
      <c r="A114" s="35" t="s">
        <v>158</v>
      </c>
      <c r="B114" s="38"/>
      <c r="C114" s="38"/>
      <c r="D114" s="38"/>
      <c r="E114" s="38"/>
      <c r="F114" s="232">
        <f>F112*50%</f>
        <v>6466.7763716102772</v>
      </c>
      <c r="G114" s="64"/>
    </row>
    <row r="115" spans="1:7" ht="17.25" x14ac:dyDescent="0.35">
      <c r="A115" s="35"/>
      <c r="B115" s="38"/>
      <c r="C115" s="38"/>
      <c r="D115" s="38"/>
      <c r="E115" s="38"/>
      <c r="F115" s="133"/>
      <c r="G115" s="64"/>
    </row>
    <row r="116" spans="1:7" ht="15" x14ac:dyDescent="0.2">
      <c r="A116" s="42" t="s">
        <v>24</v>
      </c>
      <c r="B116" s="38"/>
      <c r="C116" s="38"/>
      <c r="D116" s="38"/>
      <c r="E116" s="38"/>
      <c r="F116" s="47">
        <f>F114-F110</f>
        <v>-3337.8316283897229</v>
      </c>
      <c r="G116" s="64"/>
    </row>
    <row r="117" spans="1:7" ht="17.25" x14ac:dyDescent="0.35">
      <c r="A117" s="42"/>
      <c r="B117" s="38"/>
      <c r="C117" s="130"/>
      <c r="D117" s="38"/>
      <c r="E117" s="38"/>
      <c r="F117" s="133"/>
      <c r="G117" s="64"/>
    </row>
    <row r="118" spans="1:7" ht="15" x14ac:dyDescent="0.2">
      <c r="A118" s="42" t="s">
        <v>25</v>
      </c>
      <c r="B118" s="50"/>
      <c r="C118" s="50"/>
      <c r="D118" s="50"/>
      <c r="E118" s="50"/>
      <c r="F118" s="67">
        <f>+F128</f>
        <v>24564.533333333333</v>
      </c>
      <c r="G118" s="64"/>
    </row>
    <row r="119" spans="1:7" ht="15" x14ac:dyDescent="0.2">
      <c r="A119" s="42"/>
      <c r="B119" s="50"/>
      <c r="C119" s="50"/>
      <c r="D119" s="50"/>
      <c r="E119" s="50"/>
      <c r="F119" s="50"/>
      <c r="G119" s="64"/>
    </row>
    <row r="120" spans="1:7" ht="15" x14ac:dyDescent="0.2">
      <c r="A120" s="42" t="s">
        <v>26</v>
      </c>
      <c r="B120" s="50"/>
      <c r="C120" s="50"/>
      <c r="D120" s="50"/>
      <c r="E120" s="50"/>
      <c r="F120" s="50"/>
      <c r="G120" s="52">
        <f>ROUND(F116/F118,2)</f>
        <v>-0.14000000000000001</v>
      </c>
    </row>
    <row r="121" spans="1:7" ht="15" x14ac:dyDescent="0.2">
      <c r="A121" s="42"/>
      <c r="B121" s="50"/>
      <c r="C121" s="50"/>
      <c r="D121" s="50"/>
      <c r="E121" s="50"/>
      <c r="F121" s="50"/>
      <c r="G121" s="70"/>
    </row>
    <row r="122" spans="1:7" ht="15" x14ac:dyDescent="0.2">
      <c r="A122" s="42"/>
      <c r="B122" s="50"/>
      <c r="C122" s="50"/>
      <c r="D122" s="50"/>
      <c r="E122" s="50"/>
      <c r="F122" s="67"/>
      <c r="G122" s="64"/>
    </row>
    <row r="123" spans="1:7" ht="15.75" x14ac:dyDescent="0.25">
      <c r="A123" s="42"/>
      <c r="B123" s="36"/>
      <c r="C123" s="50"/>
      <c r="D123" s="50"/>
      <c r="E123" s="50"/>
      <c r="F123" s="67"/>
      <c r="G123" s="64"/>
    </row>
    <row r="124" spans="1:7" ht="15.75" x14ac:dyDescent="0.25">
      <c r="A124" s="150" t="str">
        <f>+A93</f>
        <v>Projected Revenue June 2023 - May 2024 (based on most recent 12 months average)</v>
      </c>
      <c r="B124" s="50"/>
      <c r="C124" s="50"/>
      <c r="D124" s="50"/>
      <c r="E124" s="50"/>
      <c r="F124" s="164">
        <f>+F112</f>
        <v>12933.552743220554</v>
      </c>
      <c r="G124" s="64"/>
    </row>
    <row r="125" spans="1:7" ht="17.25" x14ac:dyDescent="0.35">
      <c r="A125" s="49" t="s">
        <v>136</v>
      </c>
      <c r="B125" s="36"/>
      <c r="C125" s="38"/>
      <c r="D125" s="38"/>
      <c r="E125" s="172">
        <v>0.5</v>
      </c>
      <c r="F125" s="173">
        <f>-F124*E125</f>
        <v>-6466.7763716102772</v>
      </c>
      <c r="G125" s="52"/>
    </row>
    <row r="126" spans="1:7" ht="20.25" x14ac:dyDescent="0.55000000000000004">
      <c r="A126" s="49"/>
      <c r="B126" s="36"/>
      <c r="C126" s="38"/>
      <c r="D126" s="38"/>
      <c r="E126" s="172"/>
      <c r="F126" s="174">
        <f>+F125+F124</f>
        <v>6466.7763716102772</v>
      </c>
      <c r="G126" s="52"/>
    </row>
    <row r="127" spans="1:7" ht="17.25" x14ac:dyDescent="0.35">
      <c r="A127" s="49"/>
      <c r="B127" s="36"/>
      <c r="C127" s="38"/>
      <c r="D127" s="38"/>
      <c r="E127" s="172"/>
      <c r="F127" s="173"/>
      <c r="G127" s="52"/>
    </row>
    <row r="128" spans="1:7" ht="17.25" x14ac:dyDescent="0.35">
      <c r="A128" s="42" t="s">
        <v>138</v>
      </c>
      <c r="B128" s="38"/>
      <c r="C128" s="38"/>
      <c r="D128" s="38"/>
      <c r="E128" s="38"/>
      <c r="F128" s="163">
        <f>+C110</f>
        <v>24564.533333333333</v>
      </c>
      <c r="G128" s="52"/>
    </row>
    <row r="129" spans="1:7" ht="17.25" x14ac:dyDescent="0.35">
      <c r="A129" s="42" t="s">
        <v>103</v>
      </c>
      <c r="B129" s="38"/>
      <c r="C129" s="38"/>
      <c r="D129" s="38"/>
      <c r="E129" s="38"/>
      <c r="F129" s="38"/>
      <c r="G129" s="55">
        <f>ROUND(+F124/F128,2)</f>
        <v>0.53</v>
      </c>
    </row>
    <row r="130" spans="1:7" ht="15" x14ac:dyDescent="0.2">
      <c r="A130" s="42"/>
      <c r="B130" s="38"/>
      <c r="C130" s="38"/>
      <c r="D130" s="38"/>
      <c r="E130" s="38"/>
      <c r="F130" s="38"/>
      <c r="G130" s="52"/>
    </row>
    <row r="131" spans="1:7" ht="18" x14ac:dyDescent="0.4">
      <c r="A131" s="35" t="s">
        <v>117</v>
      </c>
      <c r="B131" s="36"/>
      <c r="C131" s="38"/>
      <c r="D131" s="38"/>
      <c r="E131" s="38"/>
      <c r="F131" s="38"/>
      <c r="G131" s="179">
        <f>SUM(G120:G129)</f>
        <v>0.39</v>
      </c>
    </row>
    <row r="132" spans="1:7" ht="16.5" thickBot="1" x14ac:dyDescent="0.3">
      <c r="A132" s="233"/>
      <c r="B132" s="234"/>
      <c r="C132" s="235"/>
      <c r="D132" s="235"/>
      <c r="E132" s="235"/>
      <c r="F132" s="235"/>
      <c r="G132" s="236"/>
    </row>
    <row r="133" spans="1:7" ht="23.25" x14ac:dyDescent="0.35">
      <c r="A133" s="31" t="s">
        <v>56</v>
      </c>
      <c r="B133" s="32"/>
      <c r="C133" s="33"/>
      <c r="D133" s="33"/>
      <c r="E133" s="33"/>
      <c r="F133" s="33"/>
      <c r="G133" s="34"/>
    </row>
    <row r="134" spans="1:7" ht="15.75" x14ac:dyDescent="0.25">
      <c r="A134" s="35" t="s">
        <v>168</v>
      </c>
      <c r="B134" s="36"/>
      <c r="C134" s="37"/>
      <c r="D134" s="37"/>
      <c r="E134" s="38"/>
      <c r="F134" s="38"/>
      <c r="G134" s="39"/>
    </row>
    <row r="135" spans="1:7" ht="15.75" x14ac:dyDescent="0.25">
      <c r="A135" s="40"/>
      <c r="B135" s="41"/>
      <c r="C135" s="38"/>
      <c r="D135" s="38"/>
      <c r="E135" s="38"/>
      <c r="F135" s="38"/>
      <c r="G135" s="39"/>
    </row>
    <row r="136" spans="1:7" ht="15" x14ac:dyDescent="0.2">
      <c r="A136" s="300" t="s">
        <v>21</v>
      </c>
      <c r="B136" s="301"/>
      <c r="C136" s="301"/>
      <c r="D136" s="301"/>
      <c r="E136" s="301"/>
      <c r="F136" s="301"/>
      <c r="G136" s="302"/>
    </row>
    <row r="137" spans="1:7" ht="15" x14ac:dyDescent="0.2">
      <c r="A137" s="42"/>
      <c r="B137" s="38"/>
      <c r="C137" s="38"/>
      <c r="D137" s="38"/>
      <c r="E137" s="38"/>
      <c r="F137" s="38"/>
      <c r="G137" s="39"/>
    </row>
    <row r="138" spans="1:7" ht="15.75" x14ac:dyDescent="0.25">
      <c r="A138" s="42"/>
      <c r="B138" s="38"/>
      <c r="C138" s="43"/>
      <c r="D138" s="43"/>
      <c r="E138" s="43" t="s">
        <v>13</v>
      </c>
      <c r="F138" s="43" t="s">
        <v>3</v>
      </c>
      <c r="G138" s="39"/>
    </row>
    <row r="139" spans="1:7" ht="15.75" x14ac:dyDescent="0.25">
      <c r="A139" s="42"/>
      <c r="B139" s="38"/>
      <c r="C139" s="44" t="s">
        <v>5</v>
      </c>
      <c r="D139" s="44"/>
      <c r="E139" s="44" t="s">
        <v>22</v>
      </c>
      <c r="F139" s="44" t="s">
        <v>6</v>
      </c>
      <c r="G139" s="39"/>
    </row>
    <row r="140" spans="1:7" ht="15.75" x14ac:dyDescent="0.25">
      <c r="A140" s="45" t="s">
        <v>170</v>
      </c>
      <c r="B140" s="36"/>
      <c r="C140" s="46"/>
      <c r="D140" s="46"/>
      <c r="E140" s="46"/>
      <c r="F140" s="46"/>
      <c r="G140" s="39"/>
    </row>
    <row r="141" spans="1:7" ht="15.75" x14ac:dyDescent="0.25">
      <c r="A141" s="42" t="s">
        <v>144</v>
      </c>
      <c r="B141" s="38"/>
      <c r="C141" s="47">
        <v>53091</v>
      </c>
      <c r="D141" s="47"/>
      <c r="E141" s="48">
        <f>+E208</f>
        <v>1.06</v>
      </c>
      <c r="F141" s="131">
        <f>C141*E141</f>
        <v>56276.460000000006</v>
      </c>
      <c r="G141" s="39"/>
    </row>
    <row r="142" spans="1:7" ht="17.25" x14ac:dyDescent="0.35">
      <c r="A142" s="49" t="s">
        <v>145</v>
      </c>
      <c r="B142" s="50"/>
      <c r="C142" s="51">
        <v>266532</v>
      </c>
      <c r="D142" s="51"/>
      <c r="E142" s="48">
        <v>1.45</v>
      </c>
      <c r="F142" s="132">
        <f>C142*E142</f>
        <v>386471.39999999997</v>
      </c>
      <c r="G142" s="39"/>
    </row>
    <row r="143" spans="1:7" ht="18" x14ac:dyDescent="0.4">
      <c r="A143" s="175" t="s">
        <v>137</v>
      </c>
      <c r="B143" s="38"/>
      <c r="C143" s="226">
        <f>SUM(C141:C142)</f>
        <v>319623</v>
      </c>
      <c r="D143" s="227"/>
      <c r="E143" s="228"/>
      <c r="F143" s="225">
        <f>SUM(F141:F142)</f>
        <v>442747.86</v>
      </c>
      <c r="G143" s="39"/>
    </row>
    <row r="144" spans="1:7" ht="15" x14ac:dyDescent="0.2">
      <c r="A144" s="42"/>
      <c r="B144" s="38"/>
      <c r="C144" s="38"/>
      <c r="D144" s="38"/>
      <c r="E144" s="38"/>
      <c r="F144" s="38"/>
      <c r="G144" s="39"/>
    </row>
    <row r="145" spans="1:7" ht="18" x14ac:dyDescent="0.4">
      <c r="A145" s="35" t="s">
        <v>131</v>
      </c>
      <c r="B145" s="38"/>
      <c r="C145" s="38"/>
      <c r="D145" s="38"/>
      <c r="E145" s="38"/>
      <c r="F145" s="225">
        <v>868265</v>
      </c>
      <c r="G145" s="39"/>
    </row>
    <row r="146" spans="1:7" ht="18" x14ac:dyDescent="0.4">
      <c r="A146" s="35"/>
      <c r="B146" s="38"/>
      <c r="C146" s="38"/>
      <c r="D146" s="38"/>
      <c r="E146" s="38"/>
      <c r="F146" s="225"/>
      <c r="G146" s="39"/>
    </row>
    <row r="147" spans="1:7" ht="17.25" x14ac:dyDescent="0.35">
      <c r="A147" s="49" t="s">
        <v>158</v>
      </c>
      <c r="B147" s="220"/>
      <c r="C147" s="220"/>
      <c r="D147" s="220"/>
      <c r="E147" s="242"/>
      <c r="F147" s="237">
        <f>+F145*50%</f>
        <v>434132.5</v>
      </c>
      <c r="G147" s="243"/>
    </row>
    <row r="148" spans="1:7" ht="17.25" x14ac:dyDescent="0.35">
      <c r="A148" s="49"/>
      <c r="B148" s="220"/>
      <c r="C148" s="220"/>
      <c r="D148" s="220"/>
      <c r="E148" s="220"/>
      <c r="F148" s="237"/>
      <c r="G148" s="39"/>
    </row>
    <row r="149" spans="1:7" ht="15" x14ac:dyDescent="0.2">
      <c r="A149" s="49" t="s">
        <v>159</v>
      </c>
      <c r="B149" s="220"/>
      <c r="C149" s="220"/>
      <c r="D149" s="220"/>
      <c r="E149" s="220"/>
      <c r="F149" s="221">
        <v>92</v>
      </c>
      <c r="G149" s="39"/>
    </row>
    <row r="150" spans="1:7" ht="17.25" x14ac:dyDescent="0.35">
      <c r="A150" s="49"/>
      <c r="B150" s="220"/>
      <c r="C150" s="220"/>
      <c r="D150" s="220"/>
      <c r="E150" s="220"/>
      <c r="F150" s="224"/>
      <c r="G150" s="39"/>
    </row>
    <row r="151" spans="1:7" ht="15.75" x14ac:dyDescent="0.25">
      <c r="A151" s="175" t="s">
        <v>24</v>
      </c>
      <c r="B151" s="238"/>
      <c r="C151" s="238"/>
      <c r="D151" s="238"/>
      <c r="E151" s="238"/>
      <c r="F151" s="177">
        <f>F145-F143-F147+F149</f>
        <v>-8523.359999999986</v>
      </c>
      <c r="G151" s="239"/>
    </row>
    <row r="152" spans="1:7" ht="15" x14ac:dyDescent="0.2">
      <c r="A152" s="42"/>
      <c r="B152" s="38"/>
      <c r="C152" s="38"/>
      <c r="D152" s="38"/>
      <c r="E152" s="38"/>
      <c r="F152" s="223"/>
      <c r="G152" s="39"/>
    </row>
    <row r="153" spans="1:7" ht="15" x14ac:dyDescent="0.2">
      <c r="A153" s="42" t="s">
        <v>25</v>
      </c>
      <c r="B153" s="38"/>
      <c r="C153" s="38"/>
      <c r="D153" s="38"/>
      <c r="E153" s="38"/>
      <c r="F153" s="47">
        <f>+F163</f>
        <v>319623</v>
      </c>
      <c r="G153" s="39"/>
    </row>
    <row r="154" spans="1:7" ht="15" x14ac:dyDescent="0.2">
      <c r="A154" s="42"/>
      <c r="B154" s="38"/>
      <c r="C154" s="38"/>
      <c r="D154" s="38"/>
      <c r="E154" s="38"/>
      <c r="F154" s="38"/>
      <c r="G154" s="39"/>
    </row>
    <row r="155" spans="1:7" ht="15" x14ac:dyDescent="0.2">
      <c r="A155" s="42" t="s">
        <v>26</v>
      </c>
      <c r="B155" s="38"/>
      <c r="C155" s="38"/>
      <c r="D155" s="38"/>
      <c r="E155" s="38"/>
      <c r="F155" s="61"/>
      <c r="G155" s="52">
        <f>ROUND(F151/F153,2)</f>
        <v>-0.03</v>
      </c>
    </row>
    <row r="156" spans="1:7" ht="15" x14ac:dyDescent="0.2">
      <c r="A156" s="42"/>
      <c r="B156" s="38"/>
      <c r="C156" s="38"/>
      <c r="D156" s="38"/>
      <c r="E156" s="38"/>
      <c r="F156" s="38"/>
      <c r="G156" s="52"/>
    </row>
    <row r="157" spans="1:7" ht="15" x14ac:dyDescent="0.2">
      <c r="A157" s="42"/>
      <c r="B157" s="38"/>
      <c r="C157" s="38"/>
      <c r="D157" s="38"/>
      <c r="E157" s="38"/>
      <c r="F157" s="38"/>
      <c r="G157" s="52"/>
    </row>
    <row r="158" spans="1:7" ht="15" x14ac:dyDescent="0.2">
      <c r="A158" s="42"/>
      <c r="B158" s="38"/>
      <c r="C158" s="38"/>
      <c r="D158" s="38"/>
      <c r="E158" s="38"/>
      <c r="F158" s="38"/>
      <c r="G158" s="52"/>
    </row>
    <row r="159" spans="1:7" ht="15.75" x14ac:dyDescent="0.25">
      <c r="A159" s="150" t="s">
        <v>169</v>
      </c>
      <c r="B159" s="36"/>
      <c r="C159" s="38"/>
      <c r="D159" s="38"/>
      <c r="E159" s="38"/>
      <c r="F159" s="162">
        <f>+F145</f>
        <v>868265</v>
      </c>
      <c r="G159" s="52"/>
    </row>
    <row r="160" spans="1:7" ht="17.25" x14ac:dyDescent="0.35">
      <c r="A160" s="49" t="s">
        <v>136</v>
      </c>
      <c r="B160" s="36"/>
      <c r="C160" s="38"/>
      <c r="D160" s="38"/>
      <c r="E160" s="172">
        <v>0.5</v>
      </c>
      <c r="F160" s="173">
        <f>-F159*E160</f>
        <v>-434132.5</v>
      </c>
      <c r="G160" s="52"/>
    </row>
    <row r="161" spans="1:7" ht="20.25" x14ac:dyDescent="0.55000000000000004">
      <c r="A161" s="49"/>
      <c r="B161" s="36"/>
      <c r="C161" s="38"/>
      <c r="D161" s="38"/>
      <c r="E161" s="172"/>
      <c r="F161" s="174">
        <f>+F160+F159</f>
        <v>434132.5</v>
      </c>
      <c r="G161" s="52"/>
    </row>
    <row r="162" spans="1:7" ht="17.25" x14ac:dyDescent="0.35">
      <c r="A162" s="49"/>
      <c r="B162" s="36"/>
      <c r="C162" s="38"/>
      <c r="D162" s="38"/>
      <c r="E162" s="172"/>
      <c r="F162" s="173"/>
      <c r="G162" s="52"/>
    </row>
    <row r="163" spans="1:7" ht="17.25" x14ac:dyDescent="0.35">
      <c r="A163" s="42" t="s">
        <v>138</v>
      </c>
      <c r="B163" s="38"/>
      <c r="C163" s="38"/>
      <c r="D163" s="38"/>
      <c r="E163" s="38"/>
      <c r="F163" s="163">
        <f>+C143</f>
        <v>319623</v>
      </c>
      <c r="G163" s="52"/>
    </row>
    <row r="164" spans="1:7" ht="17.25" x14ac:dyDescent="0.35">
      <c r="A164" s="42" t="s">
        <v>103</v>
      </c>
      <c r="B164" s="38"/>
      <c r="C164" s="38"/>
      <c r="D164" s="38"/>
      <c r="E164" s="38"/>
      <c r="F164" s="38"/>
      <c r="G164" s="55">
        <f>ROUND(+F159/F163,2)</f>
        <v>2.72</v>
      </c>
    </row>
    <row r="165" spans="1:7" ht="15" x14ac:dyDescent="0.2">
      <c r="A165" s="42"/>
      <c r="B165" s="38"/>
      <c r="C165" s="38"/>
      <c r="D165" s="38"/>
      <c r="E165" s="38"/>
      <c r="F165" s="38"/>
      <c r="G165" s="52"/>
    </row>
    <row r="166" spans="1:7" ht="18" x14ac:dyDescent="0.4">
      <c r="A166" s="35" t="s">
        <v>28</v>
      </c>
      <c r="B166" s="36"/>
      <c r="C166" s="38"/>
      <c r="D166" s="38"/>
      <c r="E166" s="38"/>
      <c r="F166" s="38"/>
      <c r="G166" s="179">
        <f>SUM(G155:G164)</f>
        <v>2.6900000000000004</v>
      </c>
    </row>
    <row r="167" spans="1:7" ht="15.75" x14ac:dyDescent="0.25">
      <c r="A167" s="35"/>
      <c r="B167" s="36"/>
      <c r="C167" s="38"/>
      <c r="D167" s="38"/>
      <c r="E167" s="38"/>
      <c r="F167" s="38"/>
      <c r="G167" s="149"/>
    </row>
    <row r="168" spans="1:7" ht="13.5" thickBot="1" x14ac:dyDescent="0.25">
      <c r="A168" s="19"/>
      <c r="B168" s="20"/>
      <c r="C168" s="20"/>
      <c r="D168" s="20"/>
      <c r="E168" s="20"/>
      <c r="F168" s="20"/>
      <c r="G168" s="21"/>
    </row>
    <row r="169" spans="1:7" ht="15" x14ac:dyDescent="0.2">
      <c r="A169" s="303" t="s">
        <v>29</v>
      </c>
      <c r="B169" s="304"/>
      <c r="C169" s="304"/>
      <c r="D169" s="304"/>
      <c r="E169" s="304"/>
      <c r="F169" s="304"/>
      <c r="G169" s="305"/>
    </row>
    <row r="170" spans="1:7" ht="15" x14ac:dyDescent="0.2">
      <c r="A170" s="49"/>
      <c r="B170" s="50"/>
      <c r="C170" s="50"/>
      <c r="D170" s="50"/>
      <c r="E170" s="50"/>
      <c r="F170" s="50"/>
      <c r="G170" s="64"/>
    </row>
    <row r="171" spans="1:7" ht="15.75" x14ac:dyDescent="0.25">
      <c r="A171" s="49"/>
      <c r="B171" s="50"/>
      <c r="C171" s="43"/>
      <c r="D171" s="43"/>
      <c r="E171" s="43" t="s">
        <v>13</v>
      </c>
      <c r="F171" s="43" t="s">
        <v>3</v>
      </c>
      <c r="G171" s="64"/>
    </row>
    <row r="172" spans="1:7" ht="15.75" x14ac:dyDescent="0.25">
      <c r="A172" s="49"/>
      <c r="B172" s="50"/>
      <c r="C172" s="65" t="s">
        <v>20</v>
      </c>
      <c r="D172" s="65"/>
      <c r="E172" s="65" t="s">
        <v>22</v>
      </c>
      <c r="F172" s="65" t="s">
        <v>6</v>
      </c>
      <c r="G172" s="64"/>
    </row>
    <row r="173" spans="1:7" ht="15.75" x14ac:dyDescent="0.25">
      <c r="A173" s="45" t="str">
        <f>+A140</f>
        <v>Projected Revenue June 2022 - May 2022</v>
      </c>
      <c r="B173" s="36"/>
      <c r="C173" s="66"/>
      <c r="D173" s="66"/>
      <c r="E173" s="66"/>
      <c r="F173" s="66"/>
      <c r="G173" s="64"/>
    </row>
    <row r="174" spans="1:7" ht="15.75" x14ac:dyDescent="0.25">
      <c r="A174" s="42" t="s">
        <v>144</v>
      </c>
      <c r="B174" s="50"/>
      <c r="C174" s="67">
        <v>4504</v>
      </c>
      <c r="D174" s="67"/>
      <c r="E174" s="68">
        <f>+E241</f>
        <v>0.17</v>
      </c>
      <c r="F174" s="54">
        <f>E174*C174</f>
        <v>765.68000000000006</v>
      </c>
      <c r="G174" s="64"/>
    </row>
    <row r="175" spans="1:7" ht="17.25" x14ac:dyDescent="0.35">
      <c r="A175" s="49" t="s">
        <v>145</v>
      </c>
      <c r="B175" s="50"/>
      <c r="C175" s="51">
        <v>22395</v>
      </c>
      <c r="D175" s="51"/>
      <c r="E175" s="68">
        <v>0.22</v>
      </c>
      <c r="F175" s="132">
        <f>E175*C175</f>
        <v>4926.8999999999996</v>
      </c>
      <c r="G175" s="64"/>
    </row>
    <row r="176" spans="1:7" ht="18" x14ac:dyDescent="0.4">
      <c r="A176" s="42" t="s">
        <v>3</v>
      </c>
      <c r="B176" s="50"/>
      <c r="C176" s="229">
        <f>SUM(C174:C175)</f>
        <v>26899</v>
      </c>
      <c r="D176" s="229"/>
      <c r="E176" s="230"/>
      <c r="F176" s="231">
        <f>SUM(F174:F175)</f>
        <v>5692.58</v>
      </c>
      <c r="G176" s="64"/>
    </row>
    <row r="177" spans="1:7" ht="15" x14ac:dyDescent="0.2">
      <c r="A177" s="42"/>
      <c r="B177" s="50"/>
      <c r="C177" s="50"/>
      <c r="D177" s="50"/>
      <c r="E177" s="50"/>
      <c r="F177" s="54"/>
      <c r="G177" s="64"/>
    </row>
    <row r="178" spans="1:7" ht="18" x14ac:dyDescent="0.4">
      <c r="A178" s="35" t="s">
        <v>131</v>
      </c>
      <c r="B178" s="38"/>
      <c r="C178" s="38"/>
      <c r="D178" s="38"/>
      <c r="E178" s="38"/>
      <c r="F178" s="225">
        <v>11882</v>
      </c>
      <c r="G178" s="64"/>
    </row>
    <row r="179" spans="1:7" ht="15.75" x14ac:dyDescent="0.25">
      <c r="A179" s="35"/>
      <c r="B179" s="38"/>
      <c r="C179" s="38"/>
      <c r="D179" s="38"/>
      <c r="E179" s="38"/>
      <c r="F179" s="131"/>
      <c r="G179" s="64"/>
    </row>
    <row r="180" spans="1:7" ht="20.25" x14ac:dyDescent="0.55000000000000004">
      <c r="A180" s="35" t="s">
        <v>158</v>
      </c>
      <c r="B180" s="38"/>
      <c r="C180" s="38"/>
      <c r="D180" s="38"/>
      <c r="E180" s="38"/>
      <c r="F180" s="232">
        <f>F178*50%</f>
        <v>5941</v>
      </c>
      <c r="G180" s="64"/>
    </row>
    <row r="181" spans="1:7" ht="17.25" x14ac:dyDescent="0.35">
      <c r="A181" s="35"/>
      <c r="B181" s="38"/>
      <c r="C181" s="38"/>
      <c r="D181" s="38"/>
      <c r="E181" s="38"/>
      <c r="F181" s="133"/>
      <c r="G181" s="64"/>
    </row>
    <row r="182" spans="1:7" ht="15" x14ac:dyDescent="0.2">
      <c r="A182" s="42" t="s">
        <v>24</v>
      </c>
      <c r="B182" s="38"/>
      <c r="C182" s="38"/>
      <c r="D182" s="38"/>
      <c r="E182" s="38"/>
      <c r="F182" s="47">
        <f>F180-F176</f>
        <v>248.42000000000007</v>
      </c>
      <c r="G182" s="64"/>
    </row>
    <row r="183" spans="1:7" ht="17.25" x14ac:dyDescent="0.35">
      <c r="A183" s="42"/>
      <c r="B183" s="38"/>
      <c r="C183" s="130"/>
      <c r="D183" s="38"/>
      <c r="E183" s="38"/>
      <c r="F183" s="133"/>
      <c r="G183" s="64"/>
    </row>
    <row r="184" spans="1:7" ht="15" x14ac:dyDescent="0.2">
      <c r="A184" s="42" t="s">
        <v>25</v>
      </c>
      <c r="B184" s="50"/>
      <c r="C184" s="50"/>
      <c r="D184" s="50"/>
      <c r="E184" s="50"/>
      <c r="F184" s="67">
        <f>+F194</f>
        <v>26899</v>
      </c>
      <c r="G184" s="64"/>
    </row>
    <row r="185" spans="1:7" ht="15" x14ac:dyDescent="0.2">
      <c r="A185" s="42"/>
      <c r="B185" s="50"/>
      <c r="C185" s="50"/>
      <c r="D185" s="50"/>
      <c r="E185" s="50"/>
      <c r="F185" s="50"/>
      <c r="G185" s="64"/>
    </row>
    <row r="186" spans="1:7" ht="15" x14ac:dyDescent="0.2">
      <c r="A186" s="42" t="s">
        <v>26</v>
      </c>
      <c r="B186" s="50"/>
      <c r="C186" s="50"/>
      <c r="D186" s="50"/>
      <c r="E186" s="50"/>
      <c r="F186" s="50"/>
      <c r="G186" s="52">
        <f>ROUND(F182/F184,2)</f>
        <v>0.01</v>
      </c>
    </row>
    <row r="187" spans="1:7" ht="15" x14ac:dyDescent="0.2">
      <c r="A187" s="42"/>
      <c r="B187" s="50"/>
      <c r="C187" s="50"/>
      <c r="D187" s="50"/>
      <c r="E187" s="50"/>
      <c r="F187" s="50"/>
      <c r="G187" s="70"/>
    </row>
    <row r="188" spans="1:7" ht="15" x14ac:dyDescent="0.2">
      <c r="A188" s="42"/>
      <c r="B188" s="50"/>
      <c r="C188" s="50"/>
      <c r="D188" s="50"/>
      <c r="E188" s="50"/>
      <c r="F188" s="67"/>
      <c r="G188" s="64"/>
    </row>
    <row r="189" spans="1:7" ht="15.75" x14ac:dyDescent="0.25">
      <c r="A189" s="42"/>
      <c r="B189" s="36"/>
      <c r="C189" s="50"/>
      <c r="D189" s="50"/>
      <c r="E189" s="50"/>
      <c r="F189" s="67"/>
      <c r="G189" s="64"/>
    </row>
    <row r="190" spans="1:7" ht="15.75" x14ac:dyDescent="0.25">
      <c r="A190" s="150" t="str">
        <f>+A159</f>
        <v>Projected Revenue June 2022 - May 2023 (based on most recent 12 months average)</v>
      </c>
      <c r="B190" s="50"/>
      <c r="C190" s="50"/>
      <c r="D190" s="50"/>
      <c r="E190" s="50"/>
      <c r="F190" s="164">
        <f>+F178</f>
        <v>11882</v>
      </c>
      <c r="G190" s="64"/>
    </row>
    <row r="191" spans="1:7" ht="17.25" x14ac:dyDescent="0.35">
      <c r="A191" s="49" t="s">
        <v>136</v>
      </c>
      <c r="B191" s="36"/>
      <c r="C191" s="38"/>
      <c r="D191" s="38"/>
      <c r="E191" s="172">
        <v>0.5</v>
      </c>
      <c r="F191" s="173">
        <f>-F190*E191</f>
        <v>-5941</v>
      </c>
      <c r="G191" s="52"/>
    </row>
    <row r="192" spans="1:7" ht="20.25" x14ac:dyDescent="0.55000000000000004">
      <c r="A192" s="49"/>
      <c r="B192" s="36"/>
      <c r="C192" s="38"/>
      <c r="D192" s="38"/>
      <c r="E192" s="172"/>
      <c r="F192" s="174">
        <f>+F191+F190</f>
        <v>5941</v>
      </c>
      <c r="G192" s="52"/>
    </row>
    <row r="193" spans="1:7" ht="17.25" x14ac:dyDescent="0.35">
      <c r="A193" s="49"/>
      <c r="B193" s="36"/>
      <c r="C193" s="38"/>
      <c r="D193" s="38"/>
      <c r="E193" s="172"/>
      <c r="F193" s="173"/>
      <c r="G193" s="52"/>
    </row>
    <row r="194" spans="1:7" ht="17.25" x14ac:dyDescent="0.35">
      <c r="A194" s="42" t="s">
        <v>138</v>
      </c>
      <c r="B194" s="38"/>
      <c r="C194" s="38"/>
      <c r="D194" s="38"/>
      <c r="E194" s="38"/>
      <c r="F194" s="163">
        <f>+C176</f>
        <v>26899</v>
      </c>
      <c r="G194" s="52"/>
    </row>
    <row r="195" spans="1:7" ht="17.25" x14ac:dyDescent="0.35">
      <c r="A195" s="42" t="s">
        <v>103</v>
      </c>
      <c r="B195" s="38"/>
      <c r="C195" s="38"/>
      <c r="D195" s="38"/>
      <c r="E195" s="38"/>
      <c r="F195" s="38"/>
      <c r="G195" s="55">
        <f>ROUND(+F190/F194,2)</f>
        <v>0.44</v>
      </c>
    </row>
    <row r="196" spans="1:7" ht="15" x14ac:dyDescent="0.2">
      <c r="A196" s="42"/>
      <c r="B196" s="38"/>
      <c r="C196" s="38"/>
      <c r="D196" s="38"/>
      <c r="E196" s="38"/>
      <c r="F196" s="38"/>
      <c r="G196" s="52"/>
    </row>
    <row r="197" spans="1:7" ht="18" x14ac:dyDescent="0.4">
      <c r="A197" s="35" t="s">
        <v>117</v>
      </c>
      <c r="B197" s="36"/>
      <c r="C197" s="38"/>
      <c r="D197" s="38"/>
      <c r="E197" s="38"/>
      <c r="F197" s="38"/>
      <c r="G197" s="179">
        <f>SUM(G186:G195)</f>
        <v>0.45</v>
      </c>
    </row>
    <row r="198" spans="1:7" ht="16.5" thickBot="1" x14ac:dyDescent="0.3">
      <c r="A198" s="233"/>
      <c r="B198" s="234"/>
      <c r="C198" s="235"/>
      <c r="D198" s="235"/>
      <c r="E198" s="235"/>
      <c r="F198" s="235"/>
      <c r="G198" s="236"/>
    </row>
    <row r="199" spans="1:7" ht="23.25" x14ac:dyDescent="0.35">
      <c r="A199" s="31" t="s">
        <v>56</v>
      </c>
      <c r="B199" s="32"/>
      <c r="C199" s="33"/>
      <c r="D199" s="33"/>
      <c r="E199" s="33"/>
      <c r="F199" s="33"/>
      <c r="G199" s="34"/>
    </row>
    <row r="200" spans="1:7" ht="15.75" x14ac:dyDescent="0.25">
      <c r="A200" s="35" t="s">
        <v>165</v>
      </c>
      <c r="B200" s="36"/>
      <c r="C200" s="37"/>
      <c r="D200" s="37"/>
      <c r="E200" s="38"/>
      <c r="F200" s="38"/>
      <c r="G200" s="39"/>
    </row>
    <row r="201" spans="1:7" ht="15.75" x14ac:dyDescent="0.25">
      <c r="A201" s="40"/>
      <c r="B201" s="41"/>
      <c r="C201" s="38"/>
      <c r="D201" s="38"/>
      <c r="E201" s="38"/>
      <c r="F201" s="38"/>
      <c r="G201" s="39"/>
    </row>
    <row r="202" spans="1:7" ht="15" x14ac:dyDescent="0.2">
      <c r="A202" s="300" t="s">
        <v>21</v>
      </c>
      <c r="B202" s="301"/>
      <c r="C202" s="301"/>
      <c r="D202" s="301"/>
      <c r="E202" s="301"/>
      <c r="F202" s="301"/>
      <c r="G202" s="302"/>
    </row>
    <row r="203" spans="1:7" ht="15" x14ac:dyDescent="0.2">
      <c r="A203" s="42"/>
      <c r="B203" s="38"/>
      <c r="C203" s="38"/>
      <c r="D203" s="38"/>
      <c r="E203" s="38"/>
      <c r="F203" s="38"/>
      <c r="G203" s="39"/>
    </row>
    <row r="204" spans="1:7" ht="15.75" x14ac:dyDescent="0.25">
      <c r="A204" s="42"/>
      <c r="B204" s="38"/>
      <c r="C204" s="43"/>
      <c r="D204" s="43"/>
      <c r="E204" s="43" t="s">
        <v>13</v>
      </c>
      <c r="F204" s="43" t="s">
        <v>3</v>
      </c>
      <c r="G204" s="39"/>
    </row>
    <row r="205" spans="1:7" ht="15.75" x14ac:dyDescent="0.25">
      <c r="A205" s="42"/>
      <c r="B205" s="38"/>
      <c r="C205" s="44" t="s">
        <v>5</v>
      </c>
      <c r="D205" s="44"/>
      <c r="E205" s="44" t="s">
        <v>22</v>
      </c>
      <c r="F205" s="44" t="s">
        <v>6</v>
      </c>
      <c r="G205" s="39"/>
    </row>
    <row r="206" spans="1:7" ht="15.75" x14ac:dyDescent="0.25">
      <c r="A206" s="45" t="s">
        <v>166</v>
      </c>
      <c r="B206" s="36"/>
      <c r="C206" s="46"/>
      <c r="D206" s="46"/>
      <c r="E206" s="46"/>
      <c r="F206" s="46"/>
      <c r="G206" s="39"/>
    </row>
    <row r="207" spans="1:7" ht="15.75" x14ac:dyDescent="0.25">
      <c r="A207" s="42" t="s">
        <v>144</v>
      </c>
      <c r="B207" s="38"/>
      <c r="C207" s="47">
        <v>51552</v>
      </c>
      <c r="D207" s="47"/>
      <c r="E207" s="48">
        <f>+E275</f>
        <v>1.08</v>
      </c>
      <c r="F207" s="131">
        <f>C207*E207</f>
        <v>55676.160000000003</v>
      </c>
      <c r="G207" s="39"/>
    </row>
    <row r="208" spans="1:7" ht="17.25" x14ac:dyDescent="0.35">
      <c r="A208" s="49" t="s">
        <v>145</v>
      </c>
      <c r="B208" s="50"/>
      <c r="C208" s="51">
        <v>260572</v>
      </c>
      <c r="D208" s="51"/>
      <c r="E208" s="48">
        <f>+G297</f>
        <v>1.06</v>
      </c>
      <c r="F208" s="132">
        <f>C208*E208</f>
        <v>276206.32</v>
      </c>
      <c r="G208" s="39"/>
    </row>
    <row r="209" spans="1:7" ht="18" x14ac:dyDescent="0.4">
      <c r="A209" s="175" t="s">
        <v>137</v>
      </c>
      <c r="B209" s="38"/>
      <c r="C209" s="226">
        <f>SUM(C207:C208)</f>
        <v>312124</v>
      </c>
      <c r="D209" s="227"/>
      <c r="E209" s="228"/>
      <c r="F209" s="225">
        <f>SUM(F207:F208)</f>
        <v>331882.48</v>
      </c>
      <c r="G209" s="39"/>
    </row>
    <row r="210" spans="1:7" ht="15" x14ac:dyDescent="0.2">
      <c r="A210" s="42"/>
      <c r="B210" s="38"/>
      <c r="C210" s="38"/>
      <c r="D210" s="38"/>
      <c r="E210" s="38"/>
      <c r="F210" s="38"/>
      <c r="G210" s="39"/>
    </row>
    <row r="211" spans="1:7" ht="18" x14ac:dyDescent="0.4">
      <c r="A211" s="35" t="s">
        <v>131</v>
      </c>
      <c r="B211" s="38"/>
      <c r="C211" s="38"/>
      <c r="D211" s="38"/>
      <c r="E211" s="38"/>
      <c r="F211" s="225">
        <v>454035</v>
      </c>
      <c r="G211" s="39"/>
    </row>
    <row r="212" spans="1:7" ht="18" x14ac:dyDescent="0.4">
      <c r="A212" s="35"/>
      <c r="B212" s="38"/>
      <c r="C212" s="38"/>
      <c r="D212" s="38"/>
      <c r="E212" s="38"/>
      <c r="F212" s="225"/>
      <c r="G212" s="39"/>
    </row>
    <row r="213" spans="1:7" ht="17.25" x14ac:dyDescent="0.35">
      <c r="A213" s="49" t="s">
        <v>158</v>
      </c>
      <c r="B213" s="220"/>
      <c r="C213" s="220"/>
      <c r="D213" s="220"/>
      <c r="E213" s="242"/>
      <c r="F213" s="237">
        <f>+F211*50%</f>
        <v>227017.5</v>
      </c>
      <c r="G213" s="243"/>
    </row>
    <row r="214" spans="1:7" ht="17.25" x14ac:dyDescent="0.35">
      <c r="A214" s="49"/>
      <c r="B214" s="220"/>
      <c r="C214" s="220"/>
      <c r="D214" s="220"/>
      <c r="E214" s="220"/>
      <c r="F214" s="237"/>
      <c r="G214" s="39"/>
    </row>
    <row r="215" spans="1:7" ht="15" x14ac:dyDescent="0.2">
      <c r="A215" s="49"/>
      <c r="B215" s="220"/>
      <c r="C215" s="220"/>
      <c r="D215" s="220"/>
      <c r="E215" s="220"/>
      <c r="F215" s="220"/>
      <c r="G215" s="39"/>
    </row>
    <row r="216" spans="1:7" ht="17.25" x14ac:dyDescent="0.35">
      <c r="A216" s="49"/>
      <c r="B216" s="220"/>
      <c r="C216" s="220"/>
      <c r="D216" s="220"/>
      <c r="E216" s="220"/>
      <c r="F216" s="224"/>
      <c r="G216" s="39"/>
    </row>
    <row r="217" spans="1:7" ht="15.75" x14ac:dyDescent="0.25">
      <c r="A217" s="175" t="s">
        <v>24</v>
      </c>
      <c r="B217" s="238"/>
      <c r="C217" s="238"/>
      <c r="D217" s="238"/>
      <c r="E217" s="238"/>
      <c r="F217" s="177">
        <f>F211-F209-F213</f>
        <v>-104864.97999999998</v>
      </c>
      <c r="G217" s="239"/>
    </row>
    <row r="218" spans="1:7" ht="15" x14ac:dyDescent="0.2">
      <c r="A218" s="42"/>
      <c r="B218" s="38"/>
      <c r="C218" s="38"/>
      <c r="D218" s="38"/>
      <c r="E218" s="38"/>
      <c r="F218" s="223"/>
      <c r="G218" s="39"/>
    </row>
    <row r="219" spans="1:7" ht="15" x14ac:dyDescent="0.2">
      <c r="A219" s="42" t="s">
        <v>25</v>
      </c>
      <c r="B219" s="38"/>
      <c r="C219" s="38"/>
      <c r="D219" s="38"/>
      <c r="E219" s="38"/>
      <c r="F219" s="47">
        <f>+F229</f>
        <v>312124</v>
      </c>
      <c r="G219" s="39"/>
    </row>
    <row r="220" spans="1:7" ht="15" x14ac:dyDescent="0.2">
      <c r="A220" s="42"/>
      <c r="B220" s="38"/>
      <c r="C220" s="38"/>
      <c r="D220" s="38"/>
      <c r="E220" s="38"/>
      <c r="F220" s="38"/>
      <c r="G220" s="39"/>
    </row>
    <row r="221" spans="1:7" ht="15" x14ac:dyDescent="0.2">
      <c r="A221" s="42" t="s">
        <v>26</v>
      </c>
      <c r="B221" s="38"/>
      <c r="C221" s="38"/>
      <c r="D221" s="38"/>
      <c r="E221" s="38"/>
      <c r="F221" s="61"/>
      <c r="G221" s="52">
        <f>ROUND(F217/F219,2)</f>
        <v>-0.34</v>
      </c>
    </row>
    <row r="222" spans="1:7" ht="15" x14ac:dyDescent="0.2">
      <c r="A222" s="42"/>
      <c r="B222" s="38"/>
      <c r="C222" s="38"/>
      <c r="D222" s="38"/>
      <c r="E222" s="38"/>
      <c r="F222" s="38"/>
      <c r="G222" s="52"/>
    </row>
    <row r="223" spans="1:7" ht="15" x14ac:dyDescent="0.2">
      <c r="A223" s="42"/>
      <c r="B223" s="38"/>
      <c r="C223" s="38"/>
      <c r="D223" s="38"/>
      <c r="E223" s="38"/>
      <c r="F223" s="38"/>
      <c r="G223" s="52"/>
    </row>
    <row r="224" spans="1:7" ht="15" x14ac:dyDescent="0.2">
      <c r="A224" s="42"/>
      <c r="B224" s="38"/>
      <c r="C224" s="38"/>
      <c r="D224" s="38"/>
      <c r="E224" s="38"/>
      <c r="F224" s="38"/>
      <c r="G224" s="52"/>
    </row>
    <row r="225" spans="1:7" ht="15.75" x14ac:dyDescent="0.25">
      <c r="A225" s="150" t="s">
        <v>167</v>
      </c>
      <c r="B225" s="36"/>
      <c r="C225" s="38"/>
      <c r="D225" s="38"/>
      <c r="E225" s="38"/>
      <c r="F225" s="162">
        <f>+F211</f>
        <v>454035</v>
      </c>
      <c r="G225" s="52"/>
    </row>
    <row r="226" spans="1:7" ht="17.25" x14ac:dyDescent="0.35">
      <c r="A226" s="49" t="s">
        <v>136</v>
      </c>
      <c r="B226" s="36"/>
      <c r="C226" s="38"/>
      <c r="D226" s="38"/>
      <c r="E226" s="172">
        <v>0.5</v>
      </c>
      <c r="F226" s="173">
        <f>-F225*E226</f>
        <v>-227017.5</v>
      </c>
      <c r="G226" s="52"/>
    </row>
    <row r="227" spans="1:7" ht="20.25" x14ac:dyDescent="0.55000000000000004">
      <c r="A227" s="49"/>
      <c r="B227" s="36"/>
      <c r="C227" s="38"/>
      <c r="D227" s="38"/>
      <c r="E227" s="172"/>
      <c r="F227" s="174">
        <f>+F226+F225</f>
        <v>227017.5</v>
      </c>
      <c r="G227" s="52"/>
    </row>
    <row r="228" spans="1:7" ht="17.25" x14ac:dyDescent="0.35">
      <c r="A228" s="49"/>
      <c r="B228" s="36"/>
      <c r="C228" s="38"/>
      <c r="D228" s="38"/>
      <c r="E228" s="172"/>
      <c r="F228" s="173"/>
      <c r="G228" s="52"/>
    </row>
    <row r="229" spans="1:7" ht="17.25" x14ac:dyDescent="0.35">
      <c r="A229" s="42" t="s">
        <v>138</v>
      </c>
      <c r="B229" s="38"/>
      <c r="C229" s="38"/>
      <c r="D229" s="38"/>
      <c r="E229" s="38"/>
      <c r="F229" s="163">
        <f>+C209</f>
        <v>312124</v>
      </c>
      <c r="G229" s="52"/>
    </row>
    <row r="230" spans="1:7" ht="17.25" x14ac:dyDescent="0.35">
      <c r="A230" s="42" t="s">
        <v>103</v>
      </c>
      <c r="B230" s="38"/>
      <c r="C230" s="38"/>
      <c r="D230" s="38"/>
      <c r="E230" s="38"/>
      <c r="F230" s="38"/>
      <c r="G230" s="55">
        <f>ROUND(+F225/F229,2)</f>
        <v>1.45</v>
      </c>
    </row>
    <row r="231" spans="1:7" ht="15" x14ac:dyDescent="0.2">
      <c r="A231" s="42"/>
      <c r="B231" s="38"/>
      <c r="C231" s="38"/>
      <c r="D231" s="38"/>
      <c r="E231" s="38"/>
      <c r="F231" s="38"/>
      <c r="G231" s="52"/>
    </row>
    <row r="232" spans="1:7" ht="18" x14ac:dyDescent="0.4">
      <c r="A232" s="35" t="s">
        <v>28</v>
      </c>
      <c r="B232" s="36"/>
      <c r="C232" s="38"/>
      <c r="D232" s="38"/>
      <c r="E232" s="38"/>
      <c r="F232" s="38"/>
      <c r="G232" s="179">
        <f>SUM(G221:G230)</f>
        <v>1.1099999999999999</v>
      </c>
    </row>
    <row r="233" spans="1:7" ht="15.75" x14ac:dyDescent="0.25">
      <c r="A233" s="35"/>
      <c r="B233" s="36"/>
      <c r="C233" s="38"/>
      <c r="D233" s="38"/>
      <c r="E233" s="38"/>
      <c r="F233" s="38"/>
      <c r="G233" s="149"/>
    </row>
    <row r="234" spans="1:7" ht="13.5" thickBot="1" x14ac:dyDescent="0.25">
      <c r="A234" s="19"/>
      <c r="B234" s="20"/>
      <c r="C234" s="20"/>
      <c r="D234" s="20"/>
      <c r="E234" s="20"/>
      <c r="F234" s="20"/>
      <c r="G234" s="21"/>
    </row>
    <row r="235" spans="1:7" ht="15" x14ac:dyDescent="0.2">
      <c r="A235" s="303" t="s">
        <v>29</v>
      </c>
      <c r="B235" s="304"/>
      <c r="C235" s="304"/>
      <c r="D235" s="304"/>
      <c r="E235" s="304"/>
      <c r="F235" s="304"/>
      <c r="G235" s="305"/>
    </row>
    <row r="236" spans="1:7" ht="15" x14ac:dyDescent="0.2">
      <c r="A236" s="49"/>
      <c r="B236" s="50"/>
      <c r="C236" s="50"/>
      <c r="D236" s="50"/>
      <c r="E236" s="50"/>
      <c r="F236" s="50"/>
      <c r="G236" s="64"/>
    </row>
    <row r="237" spans="1:7" ht="15.75" x14ac:dyDescent="0.25">
      <c r="A237" s="49"/>
      <c r="B237" s="50"/>
      <c r="C237" s="43"/>
      <c r="D237" s="43"/>
      <c r="E237" s="43" t="s">
        <v>13</v>
      </c>
      <c r="F237" s="43" t="s">
        <v>3</v>
      </c>
      <c r="G237" s="64"/>
    </row>
    <row r="238" spans="1:7" ht="15.75" x14ac:dyDescent="0.25">
      <c r="A238" s="49"/>
      <c r="B238" s="50"/>
      <c r="C238" s="65" t="s">
        <v>20</v>
      </c>
      <c r="D238" s="65"/>
      <c r="E238" s="65" t="s">
        <v>22</v>
      </c>
      <c r="F238" s="65" t="s">
        <v>6</v>
      </c>
      <c r="G238" s="64"/>
    </row>
    <row r="239" spans="1:7" ht="15.75" x14ac:dyDescent="0.25">
      <c r="A239" s="45" t="s">
        <v>143</v>
      </c>
      <c r="B239" s="36"/>
      <c r="C239" s="66"/>
      <c r="D239" s="66"/>
      <c r="E239" s="66"/>
      <c r="F239" s="66"/>
      <c r="G239" s="64"/>
    </row>
    <row r="240" spans="1:7" ht="15.75" x14ac:dyDescent="0.25">
      <c r="A240" s="42" t="s">
        <v>144</v>
      </c>
      <c r="B240" s="50"/>
      <c r="C240" s="67">
        <v>4247</v>
      </c>
      <c r="D240" s="67"/>
      <c r="E240" s="68">
        <f>+E308</f>
        <v>0.21</v>
      </c>
      <c r="F240" s="54">
        <f>E240*C240</f>
        <v>891.87</v>
      </c>
      <c r="G240" s="64"/>
    </row>
    <row r="241" spans="1:7" ht="17.25" x14ac:dyDescent="0.35">
      <c r="A241" s="49" t="s">
        <v>145</v>
      </c>
      <c r="B241" s="50"/>
      <c r="C241" s="51">
        <v>24496</v>
      </c>
      <c r="D241" s="51"/>
      <c r="E241" s="68">
        <f>+G328</f>
        <v>0.17</v>
      </c>
      <c r="F241" s="132">
        <f>E241*C241</f>
        <v>4164.3200000000006</v>
      </c>
      <c r="G241" s="64"/>
    </row>
    <row r="242" spans="1:7" ht="18" x14ac:dyDescent="0.4">
      <c r="A242" s="42" t="s">
        <v>3</v>
      </c>
      <c r="B242" s="50"/>
      <c r="C242" s="229">
        <f>SUM(C240:C241)</f>
        <v>28743</v>
      </c>
      <c r="D242" s="229"/>
      <c r="E242" s="230"/>
      <c r="F242" s="231">
        <f>SUM(F240:F241)</f>
        <v>5056.1900000000005</v>
      </c>
      <c r="G242" s="64"/>
    </row>
    <row r="243" spans="1:7" ht="15" x14ac:dyDescent="0.2">
      <c r="A243" s="42"/>
      <c r="B243" s="50"/>
      <c r="C243" s="50"/>
      <c r="D243" s="50"/>
      <c r="E243" s="50"/>
      <c r="F243" s="54"/>
      <c r="G243" s="64"/>
    </row>
    <row r="244" spans="1:7" ht="18" x14ac:dyDescent="0.4">
      <c r="A244" s="35" t="s">
        <v>131</v>
      </c>
      <c r="B244" s="38"/>
      <c r="C244" s="38"/>
      <c r="D244" s="38"/>
      <c r="E244" s="38"/>
      <c r="F244" s="225">
        <v>6213</v>
      </c>
      <c r="G244" s="64"/>
    </row>
    <row r="245" spans="1:7" ht="15.75" x14ac:dyDescent="0.25">
      <c r="A245" s="35"/>
      <c r="B245" s="38"/>
      <c r="C245" s="38"/>
      <c r="D245" s="38"/>
      <c r="E245" s="38"/>
      <c r="F245" s="131"/>
      <c r="G245" s="64"/>
    </row>
    <row r="246" spans="1:7" ht="20.25" x14ac:dyDescent="0.55000000000000004">
      <c r="A246" s="35" t="s">
        <v>158</v>
      </c>
      <c r="B246" s="38"/>
      <c r="C246" s="38"/>
      <c r="D246" s="38"/>
      <c r="E246" s="38"/>
      <c r="F246" s="232">
        <f>F244*50%</f>
        <v>3106.5</v>
      </c>
      <c r="G246" s="64"/>
    </row>
    <row r="247" spans="1:7" ht="17.25" x14ac:dyDescent="0.35">
      <c r="A247" s="35"/>
      <c r="B247" s="38"/>
      <c r="C247" s="38"/>
      <c r="D247" s="38"/>
      <c r="E247" s="38"/>
      <c r="F247" s="133"/>
      <c r="G247" s="64"/>
    </row>
    <row r="248" spans="1:7" ht="15" x14ac:dyDescent="0.2">
      <c r="A248" s="42" t="s">
        <v>24</v>
      </c>
      <c r="B248" s="38"/>
      <c r="C248" s="38"/>
      <c r="D248" s="38"/>
      <c r="E248" s="38"/>
      <c r="F248" s="47">
        <f>F246-F242</f>
        <v>-1949.6900000000005</v>
      </c>
      <c r="G248" s="64"/>
    </row>
    <row r="249" spans="1:7" ht="17.25" x14ac:dyDescent="0.35">
      <c r="A249" s="42"/>
      <c r="B249" s="38"/>
      <c r="C249" s="130"/>
      <c r="D249" s="38"/>
      <c r="E249" s="38"/>
      <c r="F249" s="133"/>
      <c r="G249" s="64"/>
    </row>
    <row r="250" spans="1:7" ht="15" x14ac:dyDescent="0.2">
      <c r="A250" s="42" t="s">
        <v>25</v>
      </c>
      <c r="B250" s="50"/>
      <c r="C250" s="50"/>
      <c r="D250" s="50"/>
      <c r="E250" s="50"/>
      <c r="F250" s="67">
        <v>28743</v>
      </c>
      <c r="G250" s="64"/>
    </row>
    <row r="251" spans="1:7" ht="15" x14ac:dyDescent="0.2">
      <c r="A251" s="42"/>
      <c r="B251" s="50"/>
      <c r="C251" s="50"/>
      <c r="D251" s="50"/>
      <c r="E251" s="50"/>
      <c r="F251" s="50"/>
      <c r="G251" s="64"/>
    </row>
    <row r="252" spans="1:7" ht="15" x14ac:dyDescent="0.2">
      <c r="A252" s="42" t="s">
        <v>26</v>
      </c>
      <c r="B252" s="50"/>
      <c r="C252" s="50"/>
      <c r="D252" s="50"/>
      <c r="E252" s="50"/>
      <c r="F252" s="50"/>
      <c r="G252" s="52">
        <f>ROUND(F248/F250,2)</f>
        <v>-7.0000000000000007E-2</v>
      </c>
    </row>
    <row r="253" spans="1:7" ht="15" x14ac:dyDescent="0.2">
      <c r="A253" s="42"/>
      <c r="B253" s="50"/>
      <c r="C253" s="50"/>
      <c r="D253" s="50"/>
      <c r="E253" s="50"/>
      <c r="F253" s="50"/>
      <c r="G253" s="70"/>
    </row>
    <row r="254" spans="1:7" ht="15" x14ac:dyDescent="0.2">
      <c r="A254" s="42"/>
      <c r="B254" s="50"/>
      <c r="C254" s="50"/>
      <c r="D254" s="50"/>
      <c r="E254" s="50"/>
      <c r="F254" s="67"/>
      <c r="G254" s="64"/>
    </row>
    <row r="255" spans="1:7" ht="15.75" x14ac:dyDescent="0.25">
      <c r="A255" s="42"/>
      <c r="B255" s="36"/>
      <c r="C255" s="50"/>
      <c r="D255" s="50"/>
      <c r="E255" s="50"/>
      <c r="F255" s="67"/>
      <c r="G255" s="64"/>
    </row>
    <row r="256" spans="1:7" ht="15.75" x14ac:dyDescent="0.25">
      <c r="A256" s="150" t="s">
        <v>167</v>
      </c>
      <c r="B256" s="50"/>
      <c r="C256" s="50"/>
      <c r="D256" s="50"/>
      <c r="E256" s="50"/>
      <c r="F256" s="164">
        <f>+F244</f>
        <v>6213</v>
      </c>
      <c r="G256" s="64"/>
    </row>
    <row r="257" spans="1:7" ht="17.25" x14ac:dyDescent="0.35">
      <c r="A257" s="49" t="s">
        <v>136</v>
      </c>
      <c r="B257" s="36"/>
      <c r="C257" s="38"/>
      <c r="D257" s="38"/>
      <c r="E257" s="172">
        <v>0.5</v>
      </c>
      <c r="F257" s="173">
        <f>-F256*E257</f>
        <v>-3106.5</v>
      </c>
      <c r="G257" s="52"/>
    </row>
    <row r="258" spans="1:7" ht="20.25" x14ac:dyDescent="0.55000000000000004">
      <c r="A258" s="49"/>
      <c r="B258" s="36"/>
      <c r="C258" s="38"/>
      <c r="D258" s="38"/>
      <c r="E258" s="172"/>
      <c r="F258" s="174">
        <f>+F257+F256</f>
        <v>3106.5</v>
      </c>
      <c r="G258" s="52"/>
    </row>
    <row r="259" spans="1:7" ht="17.25" x14ac:dyDescent="0.35">
      <c r="A259" s="49"/>
      <c r="B259" s="36"/>
      <c r="C259" s="38"/>
      <c r="D259" s="38"/>
      <c r="E259" s="172"/>
      <c r="F259" s="173"/>
      <c r="G259" s="52"/>
    </row>
    <row r="260" spans="1:7" ht="17.25" x14ac:dyDescent="0.35">
      <c r="A260" s="42" t="s">
        <v>138</v>
      </c>
      <c r="B260" s="38"/>
      <c r="C260" s="38"/>
      <c r="D260" s="38"/>
      <c r="E260" s="38"/>
      <c r="F260" s="163">
        <f>+C242</f>
        <v>28743</v>
      </c>
      <c r="G260" s="52"/>
    </row>
    <row r="261" spans="1:7" ht="17.25" x14ac:dyDescent="0.35">
      <c r="A261" s="42" t="s">
        <v>103</v>
      </c>
      <c r="B261" s="38"/>
      <c r="C261" s="38"/>
      <c r="D261" s="38"/>
      <c r="E261" s="38"/>
      <c r="F261" s="38"/>
      <c r="G261" s="55">
        <f>ROUND(+F256/F260,2)</f>
        <v>0.22</v>
      </c>
    </row>
    <row r="262" spans="1:7" ht="15" x14ac:dyDescent="0.2">
      <c r="A262" s="42"/>
      <c r="B262" s="38"/>
      <c r="C262" s="38"/>
      <c r="D262" s="38"/>
      <c r="E262" s="38"/>
      <c r="F262" s="38"/>
      <c r="G262" s="52"/>
    </row>
    <row r="263" spans="1:7" ht="18" x14ac:dyDescent="0.4">
      <c r="A263" s="35" t="s">
        <v>117</v>
      </c>
      <c r="B263" s="36"/>
      <c r="C263" s="38"/>
      <c r="D263" s="38"/>
      <c r="E263" s="38"/>
      <c r="F263" s="38"/>
      <c r="G263" s="179">
        <f>SUM(G252:G261)</f>
        <v>0.15</v>
      </c>
    </row>
    <row r="264" spans="1:7" ht="16.5" thickBot="1" x14ac:dyDescent="0.3">
      <c r="A264" s="233"/>
      <c r="B264" s="234"/>
      <c r="C264" s="235"/>
      <c r="D264" s="235"/>
      <c r="E264" s="235"/>
      <c r="F264" s="235"/>
      <c r="G264" s="236"/>
    </row>
    <row r="265" spans="1:7" ht="13.5" thickBot="1" x14ac:dyDescent="0.25"/>
    <row r="266" spans="1:7" ht="23.25" x14ac:dyDescent="0.35">
      <c r="A266" s="31" t="s">
        <v>56</v>
      </c>
      <c r="B266" s="32"/>
      <c r="C266" s="33"/>
      <c r="D266" s="33"/>
      <c r="E266" s="33"/>
      <c r="F266" s="33"/>
      <c r="G266" s="34"/>
    </row>
    <row r="267" spans="1:7" ht="15.75" x14ac:dyDescent="0.25">
      <c r="A267" s="35" t="s">
        <v>142</v>
      </c>
      <c r="B267" s="36"/>
      <c r="C267" s="37"/>
      <c r="D267" s="37"/>
      <c r="E267" s="38"/>
      <c r="F267" s="38"/>
      <c r="G267" s="39"/>
    </row>
    <row r="268" spans="1:7" ht="15.75" x14ac:dyDescent="0.25">
      <c r="A268" s="40"/>
      <c r="B268" s="41"/>
      <c r="C268" s="38"/>
      <c r="D268" s="38"/>
      <c r="E268" s="38"/>
      <c r="F268" s="38"/>
      <c r="G268" s="39"/>
    </row>
    <row r="269" spans="1:7" ht="15" x14ac:dyDescent="0.2">
      <c r="A269" s="300" t="s">
        <v>21</v>
      </c>
      <c r="B269" s="301"/>
      <c r="C269" s="301"/>
      <c r="D269" s="301"/>
      <c r="E269" s="301"/>
      <c r="F269" s="301"/>
      <c r="G269" s="302"/>
    </row>
    <row r="270" spans="1:7" ht="15" x14ac:dyDescent="0.2">
      <c r="A270" s="42"/>
      <c r="B270" s="38"/>
      <c r="C270" s="38"/>
      <c r="D270" s="38"/>
      <c r="E270" s="38"/>
      <c r="F270" s="38"/>
      <c r="G270" s="39"/>
    </row>
    <row r="271" spans="1:7" ht="15.75" x14ac:dyDescent="0.25">
      <c r="A271" s="42"/>
      <c r="B271" s="38"/>
      <c r="C271" s="43"/>
      <c r="D271" s="43"/>
      <c r="E271" s="43" t="s">
        <v>13</v>
      </c>
      <c r="F271" s="43" t="s">
        <v>3</v>
      </c>
      <c r="G271" s="39"/>
    </row>
    <row r="272" spans="1:7" ht="15.75" x14ac:dyDescent="0.25">
      <c r="A272" s="42"/>
      <c r="B272" s="38"/>
      <c r="C272" s="44" t="s">
        <v>5</v>
      </c>
      <c r="D272" s="44"/>
      <c r="E272" s="44" t="s">
        <v>22</v>
      </c>
      <c r="F272" s="44" t="s">
        <v>6</v>
      </c>
      <c r="G272" s="39"/>
    </row>
    <row r="273" spans="1:8" ht="15.75" x14ac:dyDescent="0.25">
      <c r="A273" s="45" t="s">
        <v>143</v>
      </c>
      <c r="B273" s="36"/>
      <c r="C273" s="46"/>
      <c r="D273" s="46"/>
      <c r="E273" s="46"/>
      <c r="F273" s="46"/>
      <c r="G273" s="39"/>
    </row>
    <row r="274" spans="1:8" ht="15.75" x14ac:dyDescent="0.25">
      <c r="A274" s="42" t="s">
        <v>144</v>
      </c>
      <c r="B274" s="38"/>
      <c r="C274" s="47">
        <v>49322</v>
      </c>
      <c r="D274" s="47"/>
      <c r="E274" s="48">
        <f>+E342</f>
        <v>0.97</v>
      </c>
      <c r="F274" s="131">
        <f>C274*E274</f>
        <v>47842.34</v>
      </c>
      <c r="G274" s="39"/>
    </row>
    <row r="275" spans="1:8" ht="17.25" x14ac:dyDescent="0.35">
      <c r="A275" s="49" t="s">
        <v>145</v>
      </c>
      <c r="B275" s="50"/>
      <c r="C275" s="51">
        <v>250128</v>
      </c>
      <c r="D275" s="51"/>
      <c r="E275" s="48">
        <f>+G360</f>
        <v>1.08</v>
      </c>
      <c r="F275" s="132">
        <f>C275*E275</f>
        <v>270138.23999999999</v>
      </c>
      <c r="G275" s="39"/>
    </row>
    <row r="276" spans="1:8" ht="18" x14ac:dyDescent="0.4">
      <c r="A276" s="175" t="s">
        <v>137</v>
      </c>
      <c r="B276" s="38"/>
      <c r="C276" s="226">
        <f>SUM(C274:C275)</f>
        <v>299450</v>
      </c>
      <c r="D276" s="227"/>
      <c r="E276" s="228"/>
      <c r="F276" s="225">
        <f>SUM(F274:F275)</f>
        <v>317980.57999999996</v>
      </c>
      <c r="G276" s="39"/>
    </row>
    <row r="277" spans="1:8" ht="15" x14ac:dyDescent="0.2">
      <c r="A277" s="42"/>
      <c r="B277" s="38"/>
      <c r="C277" s="38"/>
      <c r="D277" s="38"/>
      <c r="E277" s="38"/>
      <c r="F277" s="38"/>
      <c r="G277" s="39"/>
    </row>
    <row r="278" spans="1:8" ht="18" x14ac:dyDescent="0.4">
      <c r="A278" s="35" t="s">
        <v>131</v>
      </c>
      <c r="B278" s="38"/>
      <c r="C278" s="38"/>
      <c r="D278" s="38"/>
      <c r="E278" s="38"/>
      <c r="F278" s="225">
        <v>283604</v>
      </c>
      <c r="G278" s="39"/>
    </row>
    <row r="279" spans="1:8" ht="18" x14ac:dyDescent="0.4">
      <c r="A279" s="35"/>
      <c r="B279" s="38"/>
      <c r="C279" s="38"/>
      <c r="D279" s="38"/>
      <c r="E279" s="38"/>
      <c r="F279" s="225"/>
      <c r="G279" s="39"/>
    </row>
    <row r="280" spans="1:8" ht="17.25" x14ac:dyDescent="0.35">
      <c r="A280" s="49" t="s">
        <v>158</v>
      </c>
      <c r="B280" s="220"/>
      <c r="C280" s="220"/>
      <c r="D280" s="220"/>
      <c r="E280" s="242">
        <f>F278-F276</f>
        <v>-34376.579999999958</v>
      </c>
      <c r="F280" s="237">
        <f>+F278*50%</f>
        <v>141802</v>
      </c>
      <c r="G280" s="243">
        <f>E280-F280</f>
        <v>-176178.57999999996</v>
      </c>
    </row>
    <row r="281" spans="1:8" ht="17.25" x14ac:dyDescent="0.35">
      <c r="A281" s="49"/>
      <c r="B281" s="220"/>
      <c r="C281" s="220"/>
      <c r="D281" s="220"/>
      <c r="E281" s="220"/>
      <c r="F281" s="237"/>
      <c r="G281" s="39"/>
    </row>
    <row r="282" spans="1:8" ht="17.25" x14ac:dyDescent="0.35">
      <c r="A282" s="49" t="s">
        <v>159</v>
      </c>
      <c r="B282" s="220"/>
      <c r="C282" s="220"/>
      <c r="D282" s="220"/>
      <c r="E282" s="220"/>
      <c r="F282" s="244">
        <v>16886</v>
      </c>
      <c r="G282" s="39"/>
    </row>
    <row r="283" spans="1:8" ht="17.25" x14ac:dyDescent="0.35">
      <c r="A283" s="49"/>
      <c r="B283" s="220"/>
      <c r="C283" s="220"/>
      <c r="D283" s="220"/>
      <c r="E283" s="220"/>
      <c r="F283" s="224"/>
      <c r="G283" s="39"/>
    </row>
    <row r="284" spans="1:8" s="1" customFormat="1" ht="15.75" x14ac:dyDescent="0.25">
      <c r="A284" s="175" t="s">
        <v>24</v>
      </c>
      <c r="B284" s="238"/>
      <c r="C284" s="238"/>
      <c r="D284" s="238"/>
      <c r="E284" s="238"/>
      <c r="F284" s="177">
        <f>F278-F276-F280+F282</f>
        <v>-159292.57999999996</v>
      </c>
      <c r="G284" s="239"/>
      <c r="H284" s="241"/>
    </row>
    <row r="285" spans="1:8" ht="15" x14ac:dyDescent="0.2">
      <c r="A285" s="42"/>
      <c r="B285" s="38"/>
      <c r="C285" s="38"/>
      <c r="D285" s="38"/>
      <c r="E285" s="38"/>
      <c r="F285" s="223"/>
      <c r="G285" s="39"/>
    </row>
    <row r="286" spans="1:8" ht="15" x14ac:dyDescent="0.2">
      <c r="A286" s="42" t="s">
        <v>25</v>
      </c>
      <c r="B286" s="38"/>
      <c r="C286" s="38"/>
      <c r="D286" s="38"/>
      <c r="E286" s="38"/>
      <c r="F286" s="47">
        <f>+F296</f>
        <v>299450</v>
      </c>
      <c r="G286" s="39"/>
    </row>
    <row r="287" spans="1:8" ht="15" x14ac:dyDescent="0.2">
      <c r="A287" s="42"/>
      <c r="B287" s="38"/>
      <c r="C287" s="38"/>
      <c r="D287" s="38"/>
      <c r="E287" s="38"/>
      <c r="F287" s="38"/>
      <c r="G287" s="39"/>
    </row>
    <row r="288" spans="1:8" ht="15" x14ac:dyDescent="0.2">
      <c r="A288" s="42" t="s">
        <v>26</v>
      </c>
      <c r="B288" s="38"/>
      <c r="C288" s="38"/>
      <c r="D288" s="38"/>
      <c r="E288" s="38"/>
      <c r="F288" s="61"/>
      <c r="G288" s="52">
        <f>ROUND(F284/F286,2)</f>
        <v>-0.53</v>
      </c>
    </row>
    <row r="289" spans="1:7" ht="15" x14ac:dyDescent="0.2">
      <c r="A289" s="42"/>
      <c r="B289" s="38"/>
      <c r="C289" s="38"/>
      <c r="D289" s="38"/>
      <c r="E289" s="38"/>
      <c r="F289" s="38"/>
      <c r="G289" s="52"/>
    </row>
    <row r="290" spans="1:7" ht="15" x14ac:dyDescent="0.2">
      <c r="A290" s="42"/>
      <c r="B290" s="38"/>
      <c r="C290" s="38"/>
      <c r="D290" s="38"/>
      <c r="E290" s="38"/>
      <c r="F290" s="38"/>
      <c r="G290" s="52"/>
    </row>
    <row r="291" spans="1:7" ht="15" x14ac:dyDescent="0.2">
      <c r="A291" s="42"/>
      <c r="B291" s="38"/>
      <c r="C291" s="38"/>
      <c r="D291" s="38"/>
      <c r="E291" s="38"/>
      <c r="F291" s="38"/>
      <c r="G291" s="52"/>
    </row>
    <row r="292" spans="1:7" ht="15.75" x14ac:dyDescent="0.25">
      <c r="A292" s="150" t="s">
        <v>146</v>
      </c>
      <c r="B292" s="36"/>
      <c r="C292" s="38"/>
      <c r="D292" s="38"/>
      <c r="E292" s="38"/>
      <c r="F292" s="162">
        <v>318359</v>
      </c>
      <c r="G292" s="52"/>
    </row>
    <row r="293" spans="1:7" ht="17.25" x14ac:dyDescent="0.35">
      <c r="A293" s="49" t="s">
        <v>136</v>
      </c>
      <c r="B293" s="36"/>
      <c r="C293" s="38"/>
      <c r="D293" s="38"/>
      <c r="E293" s="172">
        <v>0.5</v>
      </c>
      <c r="F293" s="173">
        <f>-F292*E293</f>
        <v>-159179.5</v>
      </c>
      <c r="G293" s="52"/>
    </row>
    <row r="294" spans="1:7" ht="20.25" x14ac:dyDescent="0.55000000000000004">
      <c r="A294" s="49"/>
      <c r="B294" s="36"/>
      <c r="C294" s="38"/>
      <c r="D294" s="38"/>
      <c r="E294" s="172"/>
      <c r="F294" s="174">
        <f>+F293+F292</f>
        <v>159179.5</v>
      </c>
      <c r="G294" s="52"/>
    </row>
    <row r="295" spans="1:7" ht="17.25" x14ac:dyDescent="0.35">
      <c r="A295" s="49"/>
      <c r="B295" s="36"/>
      <c r="C295" s="38"/>
      <c r="D295" s="38"/>
      <c r="E295" s="172"/>
      <c r="F295" s="173"/>
      <c r="G295" s="52"/>
    </row>
    <row r="296" spans="1:7" ht="17.25" x14ac:dyDescent="0.35">
      <c r="A296" s="42" t="s">
        <v>138</v>
      </c>
      <c r="B296" s="38"/>
      <c r="C296" s="38"/>
      <c r="D296" s="38"/>
      <c r="E296" s="38"/>
      <c r="F296" s="163">
        <f>+C276</f>
        <v>299450</v>
      </c>
      <c r="G296" s="52"/>
    </row>
    <row r="297" spans="1:7" ht="17.25" x14ac:dyDescent="0.35">
      <c r="A297" s="42" t="s">
        <v>103</v>
      </c>
      <c r="B297" s="38"/>
      <c r="C297" s="38"/>
      <c r="D297" s="38"/>
      <c r="E297" s="38"/>
      <c r="F297" s="38"/>
      <c r="G297" s="55">
        <f>ROUND(+F292/F296,2)</f>
        <v>1.06</v>
      </c>
    </row>
    <row r="298" spans="1:7" ht="15" x14ac:dyDescent="0.2">
      <c r="A298" s="42"/>
      <c r="B298" s="38"/>
      <c r="C298" s="38"/>
      <c r="D298" s="38"/>
      <c r="E298" s="38"/>
      <c r="F298" s="38"/>
      <c r="G298" s="52"/>
    </row>
    <row r="299" spans="1:7" ht="18" x14ac:dyDescent="0.4">
      <c r="A299" s="35" t="s">
        <v>28</v>
      </c>
      <c r="B299" s="36"/>
      <c r="C299" s="38"/>
      <c r="D299" s="38"/>
      <c r="E299" s="38"/>
      <c r="F299" s="38"/>
      <c r="G299" s="179">
        <f>SUM(G288:G297)</f>
        <v>0.53</v>
      </c>
    </row>
    <row r="300" spans="1:7" ht="15.75" x14ac:dyDescent="0.25">
      <c r="A300" s="35"/>
      <c r="B300" s="36"/>
      <c r="C300" s="38"/>
      <c r="D300" s="38"/>
      <c r="E300" s="38"/>
      <c r="F300" s="38"/>
      <c r="G300" s="149"/>
    </row>
    <row r="301" spans="1:7" ht="13.5" thickBot="1" x14ac:dyDescent="0.25">
      <c r="A301" s="19"/>
      <c r="B301" s="20"/>
      <c r="C301" s="20"/>
      <c r="D301" s="20"/>
      <c r="E301" s="20"/>
      <c r="F301" s="20"/>
      <c r="G301" s="21"/>
    </row>
    <row r="302" spans="1:7" ht="15" x14ac:dyDescent="0.2">
      <c r="A302" s="303" t="s">
        <v>29</v>
      </c>
      <c r="B302" s="304"/>
      <c r="C302" s="304"/>
      <c r="D302" s="304"/>
      <c r="E302" s="304"/>
      <c r="F302" s="304"/>
      <c r="G302" s="305"/>
    </row>
    <row r="303" spans="1:7" ht="15" x14ac:dyDescent="0.2">
      <c r="A303" s="49"/>
      <c r="B303" s="50"/>
      <c r="C303" s="50"/>
      <c r="D303" s="50"/>
      <c r="E303" s="50"/>
      <c r="F303" s="50"/>
      <c r="G303" s="64"/>
    </row>
    <row r="304" spans="1:7" ht="15.75" x14ac:dyDescent="0.25">
      <c r="A304" s="49"/>
      <c r="B304" s="50"/>
      <c r="C304" s="43"/>
      <c r="D304" s="43"/>
      <c r="E304" s="43" t="s">
        <v>13</v>
      </c>
      <c r="F304" s="43" t="s">
        <v>3</v>
      </c>
      <c r="G304" s="64"/>
    </row>
    <row r="305" spans="1:7" ht="15.75" x14ac:dyDescent="0.25">
      <c r="A305" s="49"/>
      <c r="B305" s="50"/>
      <c r="C305" s="65" t="s">
        <v>20</v>
      </c>
      <c r="D305" s="65"/>
      <c r="E305" s="65" t="s">
        <v>22</v>
      </c>
      <c r="F305" s="65" t="s">
        <v>6</v>
      </c>
      <c r="G305" s="64"/>
    </row>
    <row r="306" spans="1:7" ht="15.75" x14ac:dyDescent="0.25">
      <c r="A306" s="45" t="s">
        <v>143</v>
      </c>
      <c r="B306" s="36"/>
      <c r="C306" s="66"/>
      <c r="D306" s="66"/>
      <c r="E306" s="66"/>
      <c r="F306" s="66"/>
      <c r="G306" s="64"/>
    </row>
    <row r="307" spans="1:7" ht="15.75" x14ac:dyDescent="0.25">
      <c r="A307" s="42" t="s">
        <v>144</v>
      </c>
      <c r="B307" s="50"/>
      <c r="C307" s="67">
        <v>4161.9615384615381</v>
      </c>
      <c r="D307" s="67"/>
      <c r="E307" s="68">
        <f>+E371</f>
        <v>0.18</v>
      </c>
      <c r="F307" s="54">
        <f>E307*C307</f>
        <v>749.15307692307681</v>
      </c>
      <c r="G307" s="64"/>
    </row>
    <row r="308" spans="1:7" ht="17.25" x14ac:dyDescent="0.35">
      <c r="A308" s="49" t="s">
        <v>145</v>
      </c>
      <c r="B308" s="50"/>
      <c r="C308" s="51">
        <v>20883.428571428576</v>
      </c>
      <c r="D308" s="51"/>
      <c r="E308" s="68">
        <f>+G389</f>
        <v>0.21</v>
      </c>
      <c r="F308" s="132">
        <f>E308*C308</f>
        <v>4385.5200000000004</v>
      </c>
      <c r="G308" s="64"/>
    </row>
    <row r="309" spans="1:7" ht="18" x14ac:dyDescent="0.4">
      <c r="A309" s="42" t="s">
        <v>3</v>
      </c>
      <c r="B309" s="50"/>
      <c r="C309" s="229">
        <f>SUM(C307:C308)</f>
        <v>25045.390109890115</v>
      </c>
      <c r="D309" s="229"/>
      <c r="E309" s="230"/>
      <c r="F309" s="231">
        <f>SUM(F307:F308)</f>
        <v>5134.6730769230771</v>
      </c>
      <c r="G309" s="64"/>
    </row>
    <row r="310" spans="1:7" ht="15" x14ac:dyDescent="0.2">
      <c r="A310" s="42"/>
      <c r="B310" s="50"/>
      <c r="C310" s="50"/>
      <c r="D310" s="50"/>
      <c r="E310" s="50"/>
      <c r="F310" s="54"/>
      <c r="G310" s="64"/>
    </row>
    <row r="311" spans="1:7" ht="18" x14ac:dyDescent="0.4">
      <c r="A311" s="35" t="s">
        <v>131</v>
      </c>
      <c r="B311" s="38"/>
      <c r="C311" s="38"/>
      <c r="D311" s="38"/>
      <c r="E311" s="38"/>
      <c r="F311" s="225">
        <v>3881</v>
      </c>
      <c r="G311" s="64"/>
    </row>
    <row r="312" spans="1:7" ht="15.75" x14ac:dyDescent="0.25">
      <c r="A312" s="35"/>
      <c r="B312" s="38"/>
      <c r="C312" s="38"/>
      <c r="D312" s="38"/>
      <c r="E312" s="38"/>
      <c r="F312" s="131"/>
      <c r="G312" s="64"/>
    </row>
    <row r="313" spans="1:7" ht="20.25" x14ac:dyDescent="0.55000000000000004">
      <c r="A313" s="35" t="s">
        <v>158</v>
      </c>
      <c r="B313" s="38"/>
      <c r="C313" s="38"/>
      <c r="D313" s="38"/>
      <c r="E313" s="38"/>
      <c r="F313" s="232">
        <f>F311*50%</f>
        <v>1940.5</v>
      </c>
      <c r="G313" s="64"/>
    </row>
    <row r="314" spans="1:7" ht="17.25" x14ac:dyDescent="0.35">
      <c r="A314" s="35"/>
      <c r="B314" s="38"/>
      <c r="C314" s="38"/>
      <c r="D314" s="38"/>
      <c r="E314" s="38"/>
      <c r="F314" s="133"/>
      <c r="G314" s="64"/>
    </row>
    <row r="315" spans="1:7" ht="15" x14ac:dyDescent="0.2">
      <c r="A315" s="42" t="s">
        <v>24</v>
      </c>
      <c r="B315" s="38"/>
      <c r="C315" s="38"/>
      <c r="D315" s="38"/>
      <c r="E315" s="38"/>
      <c r="F315" s="47">
        <f>F313-F309</f>
        <v>-3194.1730769230771</v>
      </c>
      <c r="G315" s="64"/>
    </row>
    <row r="316" spans="1:7" ht="17.25" x14ac:dyDescent="0.35">
      <c r="A316" s="42"/>
      <c r="B316" s="38"/>
      <c r="C316" s="130"/>
      <c r="D316" s="38"/>
      <c r="E316" s="38"/>
      <c r="F316" s="133"/>
      <c r="G316" s="64"/>
    </row>
    <row r="317" spans="1:7" ht="15" x14ac:dyDescent="0.2">
      <c r="A317" s="42" t="s">
        <v>25</v>
      </c>
      <c r="B317" s="50"/>
      <c r="C317" s="50"/>
      <c r="D317" s="50"/>
      <c r="E317" s="50"/>
      <c r="F317" s="67">
        <f>+F327</f>
        <v>25045.390109890115</v>
      </c>
      <c r="G317" s="64"/>
    </row>
    <row r="318" spans="1:7" ht="15" x14ac:dyDescent="0.2">
      <c r="A318" s="42"/>
      <c r="B318" s="50"/>
      <c r="C318" s="50"/>
      <c r="D318" s="50"/>
      <c r="E318" s="50"/>
      <c r="F318" s="50"/>
      <c r="G318" s="64"/>
    </row>
    <row r="319" spans="1:7" ht="15" x14ac:dyDescent="0.2">
      <c r="A319" s="42" t="s">
        <v>26</v>
      </c>
      <c r="B319" s="50"/>
      <c r="C319" s="50"/>
      <c r="D319" s="50"/>
      <c r="E319" s="50"/>
      <c r="F319" s="50"/>
      <c r="G319" s="52">
        <f>ROUND(F315/F317,2)</f>
        <v>-0.13</v>
      </c>
    </row>
    <row r="320" spans="1:7" ht="15" x14ac:dyDescent="0.2">
      <c r="A320" s="42"/>
      <c r="B320" s="50"/>
      <c r="C320" s="50"/>
      <c r="D320" s="50"/>
      <c r="E320" s="50"/>
      <c r="F320" s="50"/>
      <c r="G320" s="70"/>
    </row>
    <row r="321" spans="1:7" ht="15" x14ac:dyDescent="0.2">
      <c r="A321" s="42"/>
      <c r="B321" s="50"/>
      <c r="C321" s="50"/>
      <c r="D321" s="50"/>
      <c r="E321" s="50"/>
      <c r="F321" s="67"/>
      <c r="G321" s="64"/>
    </row>
    <row r="322" spans="1:7" ht="15.75" x14ac:dyDescent="0.25">
      <c r="A322" s="42"/>
      <c r="B322" s="36"/>
      <c r="C322" s="50"/>
      <c r="D322" s="50"/>
      <c r="E322" s="50"/>
      <c r="F322" s="67"/>
      <c r="G322" s="64"/>
    </row>
    <row r="323" spans="1:7" ht="15.75" x14ac:dyDescent="0.25">
      <c r="A323" s="150" t="s">
        <v>146</v>
      </c>
      <c r="B323" s="50"/>
      <c r="C323" s="50"/>
      <c r="D323" s="50"/>
      <c r="E323" s="50"/>
      <c r="F323" s="164">
        <v>4357</v>
      </c>
      <c r="G323" s="64"/>
    </row>
    <row r="324" spans="1:7" ht="17.25" x14ac:dyDescent="0.35">
      <c r="A324" s="49" t="s">
        <v>136</v>
      </c>
      <c r="B324" s="36"/>
      <c r="C324" s="38"/>
      <c r="D324" s="38"/>
      <c r="E324" s="172">
        <v>0.5</v>
      </c>
      <c r="F324" s="173">
        <f>-F323*E324</f>
        <v>-2178.5</v>
      </c>
      <c r="G324" s="52"/>
    </row>
    <row r="325" spans="1:7" ht="20.25" x14ac:dyDescent="0.55000000000000004">
      <c r="A325" s="49"/>
      <c r="B325" s="36"/>
      <c r="C325" s="38"/>
      <c r="D325" s="38"/>
      <c r="E325" s="172"/>
      <c r="F325" s="174">
        <f>+F324+F323</f>
        <v>2178.5</v>
      </c>
      <c r="G325" s="52"/>
    </row>
    <row r="326" spans="1:7" ht="17.25" x14ac:dyDescent="0.35">
      <c r="A326" s="49"/>
      <c r="B326" s="36"/>
      <c r="C326" s="38"/>
      <c r="D326" s="38"/>
      <c r="E326" s="172"/>
      <c r="F326" s="173"/>
      <c r="G326" s="52"/>
    </row>
    <row r="327" spans="1:7" ht="17.25" x14ac:dyDescent="0.35">
      <c r="A327" s="42" t="s">
        <v>138</v>
      </c>
      <c r="B327" s="38"/>
      <c r="C327" s="38"/>
      <c r="D327" s="38"/>
      <c r="E327" s="38"/>
      <c r="F327" s="163">
        <f>+C309</f>
        <v>25045.390109890115</v>
      </c>
      <c r="G327" s="52"/>
    </row>
    <row r="328" spans="1:7" ht="17.25" x14ac:dyDescent="0.35">
      <c r="A328" s="42" t="s">
        <v>103</v>
      </c>
      <c r="B328" s="38"/>
      <c r="C328" s="38"/>
      <c r="D328" s="38"/>
      <c r="E328" s="38"/>
      <c r="F328" s="38"/>
      <c r="G328" s="55">
        <f>ROUND(+F323/F327,2)</f>
        <v>0.17</v>
      </c>
    </row>
    <row r="329" spans="1:7" ht="15" x14ac:dyDescent="0.2">
      <c r="A329" s="42"/>
      <c r="B329" s="38"/>
      <c r="C329" s="38"/>
      <c r="D329" s="38"/>
      <c r="E329" s="38"/>
      <c r="F329" s="38"/>
      <c r="G329" s="52"/>
    </row>
    <row r="330" spans="1:7" ht="18" x14ac:dyDescent="0.4">
      <c r="A330" s="35" t="s">
        <v>117</v>
      </c>
      <c r="B330" s="36"/>
      <c r="C330" s="38"/>
      <c r="D330" s="38"/>
      <c r="E330" s="38"/>
      <c r="F330" s="38"/>
      <c r="G330" s="179">
        <f>SUM(G319:G328)</f>
        <v>4.0000000000000008E-2</v>
      </c>
    </row>
    <row r="331" spans="1:7" ht="16.5" thickBot="1" x14ac:dyDescent="0.3">
      <c r="A331" s="233"/>
      <c r="B331" s="234"/>
      <c r="C331" s="235"/>
      <c r="D331" s="235"/>
      <c r="E331" s="235"/>
      <c r="F331" s="235"/>
      <c r="G331" s="236"/>
    </row>
    <row r="332" spans="1:7" ht="13.5" thickBot="1" x14ac:dyDescent="0.25"/>
    <row r="333" spans="1:7" ht="23.25" x14ac:dyDescent="0.35">
      <c r="A333" s="31" t="s">
        <v>56</v>
      </c>
      <c r="B333" s="32"/>
      <c r="C333" s="33"/>
      <c r="D333" s="33"/>
      <c r="E333" s="33"/>
      <c r="F333" s="33"/>
      <c r="G333" s="34"/>
    </row>
    <row r="334" spans="1:7" ht="15.75" x14ac:dyDescent="0.25">
      <c r="A334" s="35" t="s">
        <v>102</v>
      </c>
      <c r="B334" s="36"/>
      <c r="C334" s="37"/>
      <c r="D334" s="37"/>
      <c r="E334" s="38"/>
      <c r="F334" s="38"/>
      <c r="G334" s="39"/>
    </row>
    <row r="335" spans="1:7" ht="15.75" x14ac:dyDescent="0.25">
      <c r="A335" s="40"/>
      <c r="B335" s="41"/>
      <c r="C335" s="38"/>
      <c r="D335" s="38"/>
      <c r="E335" s="38"/>
      <c r="F335" s="38"/>
      <c r="G335" s="39"/>
    </row>
    <row r="336" spans="1:7" ht="15" x14ac:dyDescent="0.2">
      <c r="A336" s="300" t="s">
        <v>21</v>
      </c>
      <c r="B336" s="301"/>
      <c r="C336" s="301"/>
      <c r="D336" s="301"/>
      <c r="E336" s="301"/>
      <c r="F336" s="301"/>
      <c r="G336" s="302"/>
    </row>
    <row r="337" spans="1:8" ht="15" x14ac:dyDescent="0.2">
      <c r="A337" s="42"/>
      <c r="B337" s="38"/>
      <c r="C337" s="38"/>
      <c r="D337" s="38"/>
      <c r="E337" s="38"/>
      <c r="F337" s="38"/>
      <c r="G337" s="39"/>
    </row>
    <row r="338" spans="1:8" ht="15.75" x14ac:dyDescent="0.25">
      <c r="A338" s="42"/>
      <c r="B338" s="38"/>
      <c r="C338" s="43"/>
      <c r="D338" s="43"/>
      <c r="E338" s="43" t="s">
        <v>13</v>
      </c>
      <c r="F338" s="43" t="s">
        <v>3</v>
      </c>
      <c r="G338" s="39"/>
    </row>
    <row r="339" spans="1:8" ht="15.75" x14ac:dyDescent="0.25">
      <c r="A339" s="42"/>
      <c r="B339" s="38"/>
      <c r="C339" s="44" t="s">
        <v>5</v>
      </c>
      <c r="D339" s="44"/>
      <c r="E339" s="44" t="s">
        <v>22</v>
      </c>
      <c r="F339" s="44" t="s">
        <v>6</v>
      </c>
      <c r="G339" s="39"/>
    </row>
    <row r="340" spans="1:8" ht="15.75" x14ac:dyDescent="0.25">
      <c r="A340" s="45" t="s">
        <v>135</v>
      </c>
      <c r="B340" s="36"/>
      <c r="C340" s="46"/>
      <c r="D340" s="46"/>
      <c r="E340" s="46"/>
      <c r="F340" s="46"/>
      <c r="G340" s="39"/>
    </row>
    <row r="341" spans="1:8" ht="15.75" x14ac:dyDescent="0.25">
      <c r="A341" s="42" t="s">
        <v>139</v>
      </c>
      <c r="B341" s="38"/>
      <c r="C341" s="47">
        <v>46369</v>
      </c>
      <c r="D341" s="47"/>
      <c r="E341" s="48">
        <v>1.7</v>
      </c>
      <c r="F341" s="131">
        <f>C341*E341</f>
        <v>78827.3</v>
      </c>
      <c r="G341" s="39"/>
    </row>
    <row r="342" spans="1:8" ht="17.25" x14ac:dyDescent="0.35">
      <c r="A342" s="49" t="s">
        <v>140</v>
      </c>
      <c r="B342" s="50"/>
      <c r="C342" s="51">
        <v>94573</v>
      </c>
      <c r="D342" s="51"/>
      <c r="E342" s="48">
        <v>0.97</v>
      </c>
      <c r="F342" s="132">
        <f>C342*E342</f>
        <v>91735.81</v>
      </c>
      <c r="G342" s="39"/>
      <c r="H342" s="63"/>
    </row>
    <row r="343" spans="1:8" ht="17.25" x14ac:dyDescent="0.35">
      <c r="A343" s="175" t="s">
        <v>137</v>
      </c>
      <c r="B343" s="38"/>
      <c r="C343" s="176">
        <f>SUM(C341:C342)</f>
        <v>140942</v>
      </c>
      <c r="D343" s="51"/>
      <c r="E343" s="38"/>
      <c r="F343" s="177">
        <f>SUM(F341:F342)</f>
        <v>170563.11</v>
      </c>
      <c r="G343" s="39"/>
      <c r="H343" s="157"/>
    </row>
    <row r="344" spans="1:8" ht="15" x14ac:dyDescent="0.2">
      <c r="A344" s="42"/>
      <c r="B344" s="38"/>
      <c r="C344" s="38"/>
      <c r="D344" s="38"/>
      <c r="E344" s="38"/>
      <c r="F344" s="38"/>
      <c r="G344" s="39"/>
    </row>
    <row r="345" spans="1:8" ht="15.75" x14ac:dyDescent="0.25">
      <c r="A345" s="35" t="s">
        <v>131</v>
      </c>
      <c r="B345" s="38"/>
      <c r="C345" s="38"/>
      <c r="D345" s="38"/>
      <c r="E345" s="38"/>
      <c r="F345" s="131">
        <v>159522</v>
      </c>
      <c r="G345" s="39"/>
    </row>
    <row r="346" spans="1:8" ht="15.75" x14ac:dyDescent="0.25">
      <c r="A346" s="35" t="s">
        <v>158</v>
      </c>
      <c r="B346" s="220"/>
      <c r="C346" s="220"/>
      <c r="D346" s="220"/>
      <c r="E346" s="220"/>
      <c r="F346" s="221">
        <f>F345*50%</f>
        <v>79761</v>
      </c>
      <c r="G346" s="39"/>
    </row>
    <row r="347" spans="1:8" ht="15" x14ac:dyDescent="0.2">
      <c r="A347" s="42" t="s">
        <v>24</v>
      </c>
      <c r="B347" s="38"/>
      <c r="C347" s="38"/>
      <c r="D347" s="38"/>
      <c r="E347" s="38"/>
      <c r="F347" s="47">
        <f>F345-F343-F346</f>
        <v>-90802.109999999986</v>
      </c>
      <c r="G347" s="39"/>
    </row>
    <row r="348" spans="1:8" ht="17.25" x14ac:dyDescent="0.35">
      <c r="A348" s="42"/>
      <c r="B348" s="38"/>
      <c r="C348" s="130"/>
      <c r="D348" s="38"/>
      <c r="E348" s="38"/>
      <c r="F348" s="133"/>
      <c r="G348" s="39"/>
    </row>
    <row r="349" spans="1:8" ht="15" x14ac:dyDescent="0.2">
      <c r="A349" s="42" t="s">
        <v>25</v>
      </c>
      <c r="B349" s="38"/>
      <c r="C349" s="38"/>
      <c r="D349" s="38"/>
      <c r="E349" s="38"/>
      <c r="F349" s="47">
        <f>+F359</f>
        <v>294660</v>
      </c>
      <c r="G349" s="39"/>
    </row>
    <row r="350" spans="1:8" ht="15" x14ac:dyDescent="0.2">
      <c r="A350" s="42"/>
      <c r="B350" s="38"/>
      <c r="C350" s="38"/>
      <c r="D350" s="38"/>
      <c r="E350" s="38"/>
      <c r="F350" s="38"/>
      <c r="G350" s="39"/>
    </row>
    <row r="351" spans="1:8" ht="15" x14ac:dyDescent="0.2">
      <c r="A351" s="42" t="s">
        <v>26</v>
      </c>
      <c r="B351" s="38"/>
      <c r="C351" s="38"/>
      <c r="D351" s="38"/>
      <c r="E351" s="38"/>
      <c r="F351" s="61"/>
      <c r="G351" s="52">
        <f>ROUND(F347/F349,2)</f>
        <v>-0.31</v>
      </c>
    </row>
    <row r="352" spans="1:8" ht="15" x14ac:dyDescent="0.2">
      <c r="A352" s="42"/>
      <c r="B352" s="38"/>
      <c r="C352" s="38"/>
      <c r="D352" s="38"/>
      <c r="E352" s="38"/>
      <c r="F352" s="38"/>
      <c r="G352" s="52"/>
    </row>
    <row r="353" spans="1:9" ht="15" x14ac:dyDescent="0.2">
      <c r="A353" s="42"/>
      <c r="B353" s="38"/>
      <c r="C353" s="38"/>
      <c r="D353" s="38"/>
      <c r="E353" s="38"/>
      <c r="F353" s="38"/>
      <c r="G353" s="52"/>
    </row>
    <row r="354" spans="1:9" ht="15" x14ac:dyDescent="0.2">
      <c r="A354" s="42"/>
      <c r="B354" s="38"/>
      <c r="C354" s="38"/>
      <c r="D354" s="38"/>
      <c r="E354" s="38"/>
      <c r="F354" s="38"/>
      <c r="G354" s="52"/>
    </row>
    <row r="355" spans="1:9" ht="15.75" x14ac:dyDescent="0.25">
      <c r="A355" s="150" t="s">
        <v>141</v>
      </c>
      <c r="B355" s="36"/>
      <c r="C355" s="38"/>
      <c r="D355" s="38"/>
      <c r="E355" s="38"/>
      <c r="F355" s="162">
        <v>319043.89435762784</v>
      </c>
      <c r="G355" s="52"/>
    </row>
    <row r="356" spans="1:9" ht="17.25" x14ac:dyDescent="0.35">
      <c r="A356" s="49" t="s">
        <v>136</v>
      </c>
      <c r="B356" s="36"/>
      <c r="C356" s="38"/>
      <c r="D356" s="38"/>
      <c r="E356" s="172">
        <v>0.5</v>
      </c>
      <c r="F356" s="173">
        <f>-F355*E356</f>
        <v>-159521.94717881392</v>
      </c>
      <c r="G356" s="52"/>
    </row>
    <row r="357" spans="1:9" ht="20.25" x14ac:dyDescent="0.55000000000000004">
      <c r="A357" s="49"/>
      <c r="B357" s="36"/>
      <c r="C357" s="38"/>
      <c r="D357" s="38"/>
      <c r="E357" s="172"/>
      <c r="F357" s="174">
        <f>+F356+F355</f>
        <v>159521.94717881392</v>
      </c>
      <c r="G357" s="52"/>
    </row>
    <row r="358" spans="1:9" ht="17.25" x14ac:dyDescent="0.35">
      <c r="A358" s="49"/>
      <c r="B358" s="36"/>
      <c r="C358" s="38"/>
      <c r="D358" s="38"/>
      <c r="E358" s="172"/>
      <c r="F358" s="173"/>
      <c r="G358" s="52"/>
    </row>
    <row r="359" spans="1:9" ht="17.25" x14ac:dyDescent="0.35">
      <c r="A359" s="42" t="s">
        <v>138</v>
      </c>
      <c r="B359" s="38"/>
      <c r="C359" s="38"/>
      <c r="D359" s="38"/>
      <c r="E359" s="38"/>
      <c r="F359" s="163">
        <v>294660</v>
      </c>
      <c r="G359" s="52"/>
    </row>
    <row r="360" spans="1:9" ht="17.25" x14ac:dyDescent="0.35">
      <c r="A360" s="42" t="s">
        <v>103</v>
      </c>
      <c r="B360" s="38"/>
      <c r="C360" s="38"/>
      <c r="D360" s="38"/>
      <c r="E360" s="38"/>
      <c r="F360" s="38"/>
      <c r="G360" s="55">
        <f>ROUND(+F355/F359,2)</f>
        <v>1.08</v>
      </c>
    </row>
    <row r="361" spans="1:9" ht="15" x14ac:dyDescent="0.2">
      <c r="A361" s="42"/>
      <c r="B361" s="38"/>
      <c r="C361" s="38"/>
      <c r="D361" s="38"/>
      <c r="E361" s="38"/>
      <c r="F361" s="38"/>
      <c r="G361" s="52"/>
    </row>
    <row r="362" spans="1:9" ht="18" x14ac:dyDescent="0.4">
      <c r="A362" s="35" t="s">
        <v>28</v>
      </c>
      <c r="B362" s="36"/>
      <c r="C362" s="38"/>
      <c r="D362" s="38"/>
      <c r="E362" s="38"/>
      <c r="F362" s="38"/>
      <c r="G362" s="179">
        <f>SUM(G351:G360)</f>
        <v>0.77</v>
      </c>
      <c r="I362" s="158"/>
    </row>
    <row r="363" spans="1:9" ht="15.75" x14ac:dyDescent="0.25">
      <c r="A363" s="35"/>
      <c r="B363" s="36"/>
      <c r="C363" s="38"/>
      <c r="D363" s="38"/>
      <c r="E363" s="38"/>
      <c r="F363" s="38"/>
      <c r="G363" s="149"/>
    </row>
    <row r="364" spans="1:9" ht="13.5" thickBot="1" x14ac:dyDescent="0.25">
      <c r="A364" s="19"/>
      <c r="B364" s="20"/>
      <c r="C364" s="20"/>
      <c r="D364" s="20"/>
      <c r="E364" s="20"/>
      <c r="F364" s="20"/>
      <c r="G364" s="21"/>
    </row>
    <row r="365" spans="1:9" ht="15" x14ac:dyDescent="0.2">
      <c r="A365" s="300" t="s">
        <v>29</v>
      </c>
      <c r="B365" s="301"/>
      <c r="C365" s="301"/>
      <c r="D365" s="301"/>
      <c r="E365" s="301"/>
      <c r="F365" s="301"/>
      <c r="G365" s="302"/>
    </row>
    <row r="366" spans="1:9" ht="15" x14ac:dyDescent="0.2">
      <c r="A366" s="49"/>
      <c r="B366" s="50"/>
      <c r="C366" s="50"/>
      <c r="D366" s="50"/>
      <c r="E366" s="50"/>
      <c r="F366" s="50"/>
      <c r="G366" s="64"/>
    </row>
    <row r="367" spans="1:9" ht="15.75" x14ac:dyDescent="0.25">
      <c r="A367" s="49"/>
      <c r="B367" s="50"/>
      <c r="C367" s="43"/>
      <c r="D367" s="43"/>
      <c r="E367" s="43" t="s">
        <v>13</v>
      </c>
      <c r="F367" s="43" t="s">
        <v>3</v>
      </c>
      <c r="G367" s="64"/>
    </row>
    <row r="368" spans="1:9" ht="15.75" x14ac:dyDescent="0.25">
      <c r="A368" s="49"/>
      <c r="B368" s="50"/>
      <c r="C368" s="65" t="s">
        <v>20</v>
      </c>
      <c r="D368" s="65"/>
      <c r="E368" s="65" t="s">
        <v>22</v>
      </c>
      <c r="F368" s="65" t="s">
        <v>6</v>
      </c>
      <c r="G368" s="64"/>
    </row>
    <row r="369" spans="1:7" ht="15.75" x14ac:dyDescent="0.25">
      <c r="A369" s="45" t="s">
        <v>135</v>
      </c>
      <c r="B369" s="36"/>
      <c r="C369" s="66"/>
      <c r="D369" s="66"/>
      <c r="E369" s="66"/>
      <c r="F369" s="66"/>
      <c r="G369" s="64"/>
    </row>
    <row r="370" spans="1:7" ht="15.75" x14ac:dyDescent="0.25">
      <c r="A370" s="42" t="s">
        <v>139</v>
      </c>
      <c r="B370" s="50"/>
      <c r="C370" s="67">
        <v>3428.8235294117644</v>
      </c>
      <c r="D370" s="67"/>
      <c r="E370" s="68">
        <v>0.3</v>
      </c>
      <c r="F370" s="54">
        <f>E370*C370</f>
        <v>1028.6470588235293</v>
      </c>
      <c r="G370" s="64"/>
    </row>
    <row r="371" spans="1:7" ht="17.25" x14ac:dyDescent="0.35">
      <c r="A371" s="49" t="s">
        <v>140</v>
      </c>
      <c r="B371" s="50"/>
      <c r="C371" s="51">
        <v>6962.5271493212667</v>
      </c>
      <c r="D371" s="51"/>
      <c r="E371" s="68">
        <v>0.18</v>
      </c>
      <c r="F371" s="132">
        <f>E371*C371</f>
        <v>1253.2548868778279</v>
      </c>
      <c r="G371" s="64"/>
    </row>
    <row r="372" spans="1:7" ht="15" x14ac:dyDescent="0.2">
      <c r="A372" s="42" t="s">
        <v>3</v>
      </c>
      <c r="B372" s="50"/>
      <c r="C372" s="67">
        <f>SUM(C370:C371)</f>
        <v>10391.350678733032</v>
      </c>
      <c r="D372" s="67"/>
      <c r="E372" s="50"/>
      <c r="F372" s="54">
        <f>SUM(F370:F371)</f>
        <v>2281.9019457013574</v>
      </c>
      <c r="G372" s="64"/>
    </row>
    <row r="373" spans="1:7" ht="15" x14ac:dyDescent="0.2">
      <c r="A373" s="42"/>
      <c r="B373" s="50"/>
      <c r="C373" s="50"/>
      <c r="D373" s="50"/>
      <c r="E373" s="50"/>
      <c r="F373" s="54"/>
      <c r="G373" s="64"/>
    </row>
    <row r="374" spans="1:7" ht="15.75" x14ac:dyDescent="0.25">
      <c r="A374" s="35" t="s">
        <v>131</v>
      </c>
      <c r="B374" s="50"/>
      <c r="C374" s="50"/>
      <c r="D374" s="50"/>
      <c r="E374" s="50"/>
      <c r="F374" s="54">
        <v>2183.0170166386092</v>
      </c>
      <c r="G374" s="64"/>
    </row>
    <row r="375" spans="1:7" ht="15.75" x14ac:dyDescent="0.25">
      <c r="A375" s="35" t="s">
        <v>158</v>
      </c>
      <c r="B375" s="222"/>
      <c r="C375" s="222"/>
      <c r="D375" s="222"/>
      <c r="E375" s="222"/>
      <c r="F375" s="221">
        <f>F374*50%</f>
        <v>1091.5085083193046</v>
      </c>
      <c r="G375" s="64"/>
    </row>
    <row r="376" spans="1:7" ht="15" x14ac:dyDescent="0.2">
      <c r="A376" s="42" t="s">
        <v>99</v>
      </c>
      <c r="B376" s="50"/>
      <c r="C376" s="50"/>
      <c r="D376" s="50"/>
      <c r="E376" s="50"/>
      <c r="F376" s="47">
        <f>F374-F372-F375</f>
        <v>-1190.3934373820528</v>
      </c>
      <c r="G376" s="64"/>
    </row>
    <row r="377" spans="1:7" ht="17.25" x14ac:dyDescent="0.35">
      <c r="A377" s="42"/>
      <c r="B377" s="50"/>
      <c r="C377" s="135"/>
      <c r="D377" s="50"/>
      <c r="E377" s="50"/>
      <c r="F377" s="133"/>
      <c r="G377" s="64"/>
    </row>
    <row r="378" spans="1:7" ht="15" x14ac:dyDescent="0.2">
      <c r="A378" s="42" t="s">
        <v>25</v>
      </c>
      <c r="B378" s="50"/>
      <c r="C378" s="50"/>
      <c r="D378" s="50"/>
      <c r="E378" s="50"/>
      <c r="F378" s="67">
        <f>+F388</f>
        <v>21101.999999999996</v>
      </c>
      <c r="G378" s="64"/>
    </row>
    <row r="379" spans="1:7" ht="15" x14ac:dyDescent="0.2">
      <c r="A379" s="42"/>
      <c r="B379" s="50"/>
      <c r="C379" s="50"/>
      <c r="D379" s="50"/>
      <c r="E379" s="50"/>
      <c r="F379" s="50"/>
      <c r="G379" s="64"/>
    </row>
    <row r="380" spans="1:7" ht="15" x14ac:dyDescent="0.2">
      <c r="A380" s="42" t="s">
        <v>26</v>
      </c>
      <c r="B380" s="50"/>
      <c r="C380" s="50"/>
      <c r="D380" s="50"/>
      <c r="E380" s="50"/>
      <c r="F380" s="50"/>
      <c r="G380" s="70">
        <f>ROUND(F376/F378,2)</f>
        <v>-0.06</v>
      </c>
    </row>
    <row r="381" spans="1:7" ht="15" x14ac:dyDescent="0.2">
      <c r="A381" s="42"/>
      <c r="B381" s="50"/>
      <c r="C381" s="50"/>
      <c r="D381" s="50"/>
      <c r="E381" s="50"/>
      <c r="F381" s="50"/>
      <c r="G381" s="70"/>
    </row>
    <row r="382" spans="1:7" ht="15" x14ac:dyDescent="0.2">
      <c r="A382" s="42"/>
      <c r="B382" s="50"/>
      <c r="C382" s="50"/>
      <c r="D382" s="50"/>
      <c r="E382" s="50"/>
      <c r="F382" s="67"/>
      <c r="G382" s="64"/>
    </row>
    <row r="383" spans="1:7" ht="15.75" x14ac:dyDescent="0.25">
      <c r="A383" s="42"/>
      <c r="B383" s="36"/>
      <c r="C383" s="50"/>
      <c r="D383" s="50"/>
      <c r="E383" s="50"/>
      <c r="F383" s="67"/>
      <c r="G383" s="64"/>
    </row>
    <row r="384" spans="1:7" ht="15.75" x14ac:dyDescent="0.25">
      <c r="A384" s="150" t="s">
        <v>141</v>
      </c>
      <c r="B384" s="50"/>
      <c r="C384" s="50"/>
      <c r="D384" s="50"/>
      <c r="E384" s="50"/>
      <c r="F384" s="164">
        <v>4366.0340332772184</v>
      </c>
      <c r="G384" s="64"/>
    </row>
    <row r="385" spans="1:7" ht="17.25" x14ac:dyDescent="0.35">
      <c r="A385" s="49" t="s">
        <v>136</v>
      </c>
      <c r="B385" s="36"/>
      <c r="C385" s="38"/>
      <c r="D385" s="38"/>
      <c r="E385" s="172">
        <v>0.5</v>
      </c>
      <c r="F385" s="173">
        <f>-F384*E385</f>
        <v>-2183.0170166386092</v>
      </c>
      <c r="G385" s="52"/>
    </row>
    <row r="386" spans="1:7" ht="20.25" x14ac:dyDescent="0.55000000000000004">
      <c r="A386" s="49"/>
      <c r="B386" s="36"/>
      <c r="C386" s="38"/>
      <c r="D386" s="38"/>
      <c r="E386" s="172"/>
      <c r="F386" s="174">
        <f>+F385+F384</f>
        <v>2183.0170166386092</v>
      </c>
      <c r="G386" s="52"/>
    </row>
    <row r="387" spans="1:7" ht="17.25" x14ac:dyDescent="0.35">
      <c r="A387" s="49"/>
      <c r="B387" s="36"/>
      <c r="C387" s="38"/>
      <c r="D387" s="38"/>
      <c r="E387" s="172"/>
      <c r="F387" s="173"/>
      <c r="G387" s="52"/>
    </row>
    <row r="388" spans="1:7" ht="17.25" x14ac:dyDescent="0.35">
      <c r="A388" s="42" t="s">
        <v>138</v>
      </c>
      <c r="B388" s="38"/>
      <c r="C388" s="38"/>
      <c r="D388" s="38"/>
      <c r="E388" s="38"/>
      <c r="F388" s="163">
        <v>21101.999999999996</v>
      </c>
      <c r="G388" s="52"/>
    </row>
    <row r="389" spans="1:7" ht="17.25" x14ac:dyDescent="0.35">
      <c r="A389" s="42" t="s">
        <v>103</v>
      </c>
      <c r="B389" s="38"/>
      <c r="C389" s="38"/>
      <c r="D389" s="38"/>
      <c r="E389" s="38"/>
      <c r="F389" s="38"/>
      <c r="G389" s="55">
        <f>ROUND(+F384/F388,2)</f>
        <v>0.21</v>
      </c>
    </row>
    <row r="390" spans="1:7" ht="15" x14ac:dyDescent="0.2">
      <c r="A390" s="42"/>
      <c r="B390" s="38"/>
      <c r="C390" s="38"/>
      <c r="D390" s="38"/>
      <c r="E390" s="38"/>
      <c r="F390" s="38"/>
      <c r="G390" s="52"/>
    </row>
    <row r="391" spans="1:7" ht="18" x14ac:dyDescent="0.4">
      <c r="A391" s="35" t="s">
        <v>117</v>
      </c>
      <c r="B391" s="36"/>
      <c r="C391" s="38"/>
      <c r="D391" s="38"/>
      <c r="E391" s="38"/>
      <c r="F391" s="38"/>
      <c r="G391" s="179">
        <f>SUM(G380:G389)</f>
        <v>0.15</v>
      </c>
    </row>
    <row r="392" spans="1:7" ht="15.75" x14ac:dyDescent="0.25">
      <c r="A392" s="35"/>
      <c r="B392" s="36"/>
      <c r="C392" s="38"/>
      <c r="D392" s="38"/>
      <c r="E392" s="38"/>
      <c r="F392" s="38"/>
      <c r="G392" s="149"/>
    </row>
    <row r="393" spans="1:7" ht="15.75" thickBot="1" x14ac:dyDescent="0.25">
      <c r="A393" s="72"/>
      <c r="B393" s="73"/>
      <c r="C393" s="73"/>
      <c r="D393" s="73"/>
      <c r="E393" s="73"/>
      <c r="F393" s="73"/>
      <c r="G393" s="74"/>
    </row>
    <row r="394" spans="1:7" ht="23.25" x14ac:dyDescent="0.35">
      <c r="A394" s="31" t="s">
        <v>56</v>
      </c>
      <c r="B394" s="32"/>
      <c r="C394" s="33"/>
      <c r="D394" s="33"/>
      <c r="E394" s="33"/>
      <c r="F394" s="33"/>
      <c r="G394" s="34"/>
    </row>
    <row r="395" spans="1:7" ht="15.75" x14ac:dyDescent="0.25">
      <c r="A395" s="35" t="s">
        <v>102</v>
      </c>
      <c r="B395" s="36"/>
      <c r="C395" s="37"/>
      <c r="D395" s="37"/>
      <c r="E395" s="38"/>
      <c r="F395" s="38"/>
      <c r="G395" s="39"/>
    </row>
    <row r="396" spans="1:7" ht="15.75" x14ac:dyDescent="0.25">
      <c r="A396" s="40"/>
      <c r="B396" s="41"/>
      <c r="C396" s="38"/>
      <c r="D396" s="38"/>
      <c r="E396" s="38"/>
      <c r="F396" s="38"/>
      <c r="G396" s="39"/>
    </row>
    <row r="397" spans="1:7" ht="15" x14ac:dyDescent="0.2">
      <c r="A397" s="300" t="s">
        <v>21</v>
      </c>
      <c r="B397" s="301"/>
      <c r="C397" s="301"/>
      <c r="D397" s="301"/>
      <c r="E397" s="301"/>
      <c r="F397" s="301"/>
      <c r="G397" s="302"/>
    </row>
    <row r="398" spans="1:7" ht="15" x14ac:dyDescent="0.2">
      <c r="A398" s="42"/>
      <c r="B398" s="38"/>
      <c r="C398" s="38"/>
      <c r="D398" s="38"/>
      <c r="E398" s="38"/>
      <c r="F398" s="38"/>
      <c r="G398" s="39"/>
    </row>
    <row r="399" spans="1:7" ht="15.75" x14ac:dyDescent="0.25">
      <c r="A399" s="42"/>
      <c r="B399" s="38"/>
      <c r="C399" s="43"/>
      <c r="D399" s="43"/>
      <c r="E399" s="43" t="s">
        <v>13</v>
      </c>
      <c r="F399" s="43" t="s">
        <v>3</v>
      </c>
      <c r="G399" s="39"/>
    </row>
    <row r="400" spans="1:7" ht="15.75" x14ac:dyDescent="0.25">
      <c r="A400" s="42"/>
      <c r="B400" s="38"/>
      <c r="C400" s="44" t="s">
        <v>5</v>
      </c>
      <c r="D400" s="44"/>
      <c r="E400" s="44" t="s">
        <v>22</v>
      </c>
      <c r="F400" s="44" t="s">
        <v>6</v>
      </c>
      <c r="G400" s="39"/>
    </row>
    <row r="401" spans="1:7" ht="15.75" x14ac:dyDescent="0.25">
      <c r="A401" s="45" t="s">
        <v>132</v>
      </c>
      <c r="B401" s="36"/>
      <c r="C401" s="46"/>
      <c r="D401" s="46"/>
      <c r="E401" s="46"/>
      <c r="F401" s="46"/>
      <c r="G401" s="39"/>
    </row>
    <row r="402" spans="1:7" ht="15.75" x14ac:dyDescent="0.25">
      <c r="A402" s="42" t="s">
        <v>122</v>
      </c>
      <c r="B402" s="38"/>
      <c r="C402" s="47">
        <v>46369</v>
      </c>
      <c r="D402" s="47"/>
      <c r="E402" s="48">
        <v>2.23</v>
      </c>
      <c r="F402" s="131">
        <f>C402*E402</f>
        <v>103402.87</v>
      </c>
      <c r="G402" s="39"/>
    </row>
    <row r="403" spans="1:7" ht="17.25" x14ac:dyDescent="0.35">
      <c r="A403" s="49" t="s">
        <v>133</v>
      </c>
      <c r="B403" s="50"/>
      <c r="C403" s="51">
        <v>94573</v>
      </c>
      <c r="D403" s="51"/>
      <c r="E403" s="48">
        <v>1.7</v>
      </c>
      <c r="F403" s="132">
        <f>C403*E403</f>
        <v>160774.1</v>
      </c>
      <c r="G403" s="39"/>
    </row>
    <row r="404" spans="1:7" ht="17.25" x14ac:dyDescent="0.35">
      <c r="A404" s="42" t="s">
        <v>3</v>
      </c>
      <c r="B404" s="38"/>
      <c r="C404" s="47">
        <f>SUM(C402:C403)</f>
        <v>140942</v>
      </c>
      <c r="D404" s="51"/>
      <c r="E404" s="38"/>
      <c r="F404" s="131">
        <f>SUM(F402:F403)</f>
        <v>264176.96999999997</v>
      </c>
      <c r="G404" s="39"/>
    </row>
    <row r="405" spans="1:7" ht="15" x14ac:dyDescent="0.2">
      <c r="A405" s="42"/>
      <c r="B405" s="38"/>
      <c r="C405" s="38"/>
      <c r="D405" s="38"/>
      <c r="E405" s="38"/>
      <c r="F405" s="38"/>
      <c r="G405" s="39"/>
    </row>
    <row r="406" spans="1:7" ht="15.75" x14ac:dyDescent="0.25">
      <c r="A406" s="35" t="s">
        <v>23</v>
      </c>
      <c r="B406" s="38"/>
      <c r="C406" s="38"/>
      <c r="D406" s="38"/>
      <c r="E406" s="38"/>
      <c r="F406" s="131">
        <v>261404</v>
      </c>
      <c r="G406" s="39"/>
    </row>
    <row r="407" spans="1:7" ht="15" x14ac:dyDescent="0.2">
      <c r="A407" s="42"/>
      <c r="B407" s="38"/>
      <c r="C407" s="38"/>
      <c r="D407" s="38"/>
      <c r="E407" s="38"/>
      <c r="F407" s="131"/>
      <c r="G407" s="39"/>
    </row>
    <row r="408" spans="1:7" ht="15" x14ac:dyDescent="0.2">
      <c r="A408" s="42" t="s">
        <v>24</v>
      </c>
      <c r="B408" s="38"/>
      <c r="C408" s="38"/>
      <c r="D408" s="38"/>
      <c r="E408" s="38"/>
      <c r="F408" s="47">
        <f>F406-F404</f>
        <v>-2772.9699999999721</v>
      </c>
      <c r="G408" s="39"/>
    </row>
    <row r="409" spans="1:7" ht="17.25" x14ac:dyDescent="0.35">
      <c r="A409" s="42"/>
      <c r="B409" s="38"/>
      <c r="C409" s="130"/>
      <c r="D409" s="38"/>
      <c r="E409" s="38"/>
      <c r="F409" s="133"/>
      <c r="G409" s="39"/>
    </row>
    <row r="410" spans="1:7" ht="15" x14ac:dyDescent="0.2">
      <c r="A410" s="42" t="s">
        <v>25</v>
      </c>
      <c r="B410" s="38"/>
      <c r="C410" s="38"/>
      <c r="D410" s="38"/>
      <c r="E410" s="38"/>
      <c r="F410" s="47">
        <f>+C404</f>
        <v>140942</v>
      </c>
      <c r="G410" s="39"/>
    </row>
    <row r="411" spans="1:7" ht="15" x14ac:dyDescent="0.2">
      <c r="A411" s="42"/>
      <c r="B411" s="38"/>
      <c r="C411" s="38"/>
      <c r="D411" s="38"/>
      <c r="E411" s="38"/>
      <c r="F411" s="38"/>
      <c r="G411" s="39"/>
    </row>
    <row r="412" spans="1:7" ht="15" x14ac:dyDescent="0.2">
      <c r="A412" s="42" t="s">
        <v>26</v>
      </c>
      <c r="B412" s="38"/>
      <c r="C412" s="38"/>
      <c r="D412" s="38"/>
      <c r="E412" s="38"/>
      <c r="F412" s="61"/>
      <c r="G412" s="52">
        <f>ROUND(F408/F410,2)</f>
        <v>-0.02</v>
      </c>
    </row>
    <row r="413" spans="1:7" ht="15" x14ac:dyDescent="0.2">
      <c r="A413" s="42"/>
      <c r="B413" s="38"/>
      <c r="C413" s="38"/>
      <c r="D413" s="38"/>
      <c r="E413" s="38"/>
      <c r="F413" s="38"/>
      <c r="G413" s="52"/>
    </row>
    <row r="414" spans="1:7" ht="15" x14ac:dyDescent="0.2">
      <c r="A414" s="42"/>
      <c r="B414" s="38"/>
      <c r="C414" s="38"/>
      <c r="D414" s="38"/>
      <c r="E414" s="38"/>
      <c r="F414" s="38"/>
      <c r="G414" s="52"/>
    </row>
    <row r="415" spans="1:7" ht="15" x14ac:dyDescent="0.2">
      <c r="A415" s="42"/>
      <c r="B415" s="38"/>
      <c r="C415" s="38"/>
      <c r="D415" s="38"/>
      <c r="E415" s="38"/>
      <c r="F415" s="38"/>
      <c r="G415" s="52"/>
    </row>
    <row r="416" spans="1:7" ht="15.75" x14ac:dyDescent="0.25">
      <c r="A416" s="150" t="s">
        <v>134</v>
      </c>
      <c r="B416" s="36"/>
      <c r="C416" s="38"/>
      <c r="D416" s="38"/>
      <c r="E416" s="38"/>
      <c r="F416" s="162">
        <v>130702</v>
      </c>
      <c r="G416" s="52"/>
    </row>
    <row r="417" spans="1:7" ht="17.25" x14ac:dyDescent="0.35">
      <c r="A417" s="42" t="s">
        <v>25</v>
      </c>
      <c r="B417" s="38"/>
      <c r="C417" s="38"/>
      <c r="D417" s="38"/>
      <c r="E417" s="38"/>
      <c r="F417" s="163">
        <f>+C404</f>
        <v>140942</v>
      </c>
      <c r="G417" s="52"/>
    </row>
    <row r="418" spans="1:7" ht="17.25" x14ac:dyDescent="0.35">
      <c r="A418" s="42" t="s">
        <v>103</v>
      </c>
      <c r="B418" s="38"/>
      <c r="C418" s="38"/>
      <c r="D418" s="38"/>
      <c r="E418" s="38"/>
      <c r="F418" s="38"/>
      <c r="G418" s="55">
        <f>ROUND(+F416/F417,2)</f>
        <v>0.93</v>
      </c>
    </row>
    <row r="419" spans="1:7" ht="15" x14ac:dyDescent="0.2">
      <c r="A419" s="42"/>
      <c r="B419" s="38"/>
      <c r="C419" s="38"/>
      <c r="D419" s="38"/>
      <c r="E419" s="38"/>
      <c r="F419" s="38"/>
      <c r="G419" s="52"/>
    </row>
    <row r="420" spans="1:7" ht="18" x14ac:dyDescent="0.4">
      <c r="A420" s="35" t="s">
        <v>28</v>
      </c>
      <c r="B420" s="36"/>
      <c r="C420" s="38"/>
      <c r="D420" s="38"/>
      <c r="E420" s="38"/>
      <c r="F420" s="38"/>
      <c r="G420" s="179">
        <f>SUM(G412:G418)</f>
        <v>0.91</v>
      </c>
    </row>
    <row r="421" spans="1:7" ht="15.75" x14ac:dyDescent="0.25">
      <c r="A421" s="35"/>
      <c r="B421" s="36"/>
      <c r="C421" s="38"/>
      <c r="D421" s="38"/>
      <c r="E421" s="38"/>
      <c r="F421" s="38"/>
      <c r="G421" s="149"/>
    </row>
    <row r="422" spans="1:7" ht="13.5" thickBot="1" x14ac:dyDescent="0.25">
      <c r="A422" s="19"/>
      <c r="B422" s="20"/>
      <c r="C422" s="20"/>
      <c r="D422" s="20"/>
      <c r="E422" s="20"/>
      <c r="F422" s="20"/>
      <c r="G422" s="21"/>
    </row>
    <row r="423" spans="1:7" ht="15" x14ac:dyDescent="0.2">
      <c r="A423" s="300" t="s">
        <v>29</v>
      </c>
      <c r="B423" s="301"/>
      <c r="C423" s="301"/>
      <c r="D423" s="301"/>
      <c r="E423" s="301"/>
      <c r="F423" s="301"/>
      <c r="G423" s="302"/>
    </row>
    <row r="424" spans="1:7" ht="15" x14ac:dyDescent="0.2">
      <c r="A424" s="49"/>
      <c r="B424" s="50"/>
      <c r="C424" s="50"/>
      <c r="D424" s="50"/>
      <c r="E424" s="50"/>
      <c r="F424" s="50"/>
      <c r="G424" s="64"/>
    </row>
    <row r="425" spans="1:7" ht="15.75" x14ac:dyDescent="0.25">
      <c r="A425" s="49"/>
      <c r="B425" s="50"/>
      <c r="C425" s="43"/>
      <c r="D425" s="43"/>
      <c r="E425" s="43" t="s">
        <v>13</v>
      </c>
      <c r="F425" s="43" t="s">
        <v>3</v>
      </c>
      <c r="G425" s="64"/>
    </row>
    <row r="426" spans="1:7" ht="15.75" x14ac:dyDescent="0.25">
      <c r="A426" s="49"/>
      <c r="B426" s="50"/>
      <c r="C426" s="65" t="s">
        <v>20</v>
      </c>
      <c r="D426" s="65"/>
      <c r="E426" s="65" t="s">
        <v>22</v>
      </c>
      <c r="F426" s="65" t="s">
        <v>6</v>
      </c>
      <c r="G426" s="64"/>
    </row>
    <row r="427" spans="1:7" ht="15.75" x14ac:dyDescent="0.25">
      <c r="A427" s="45" t="s">
        <v>132</v>
      </c>
      <c r="B427" s="36"/>
      <c r="C427" s="66"/>
      <c r="D427" s="66"/>
      <c r="E427" s="66"/>
      <c r="F427" s="66"/>
      <c r="G427" s="64"/>
    </row>
    <row r="428" spans="1:7" ht="15.75" x14ac:dyDescent="0.25">
      <c r="A428" s="42" t="s">
        <v>57</v>
      </c>
      <c r="B428" s="50"/>
      <c r="C428" s="67">
        <v>3064</v>
      </c>
      <c r="D428" s="67"/>
      <c r="E428" s="68">
        <v>0.24</v>
      </c>
      <c r="F428" s="54">
        <f>E428*C428</f>
        <v>735.36</v>
      </c>
      <c r="G428" s="64"/>
    </row>
    <row r="429" spans="1:7" ht="17.25" x14ac:dyDescent="0.35">
      <c r="A429" s="49" t="s">
        <v>58</v>
      </c>
      <c r="B429" s="50"/>
      <c r="C429" s="51">
        <v>6764</v>
      </c>
      <c r="D429" s="51"/>
      <c r="E429" s="68">
        <v>0.3</v>
      </c>
      <c r="F429" s="132">
        <f>E429*C429</f>
        <v>2029.1999999999998</v>
      </c>
      <c r="G429" s="64"/>
    </row>
    <row r="430" spans="1:7" ht="15" x14ac:dyDescent="0.2">
      <c r="A430" s="42" t="s">
        <v>3</v>
      </c>
      <c r="B430" s="50"/>
      <c r="C430" s="67">
        <f>SUM(C428:C429)</f>
        <v>9828</v>
      </c>
      <c r="D430" s="67"/>
      <c r="E430" s="50"/>
      <c r="F430" s="54">
        <f>SUM(F428:F429)</f>
        <v>2764.56</v>
      </c>
      <c r="G430" s="64"/>
    </row>
    <row r="431" spans="1:7" ht="15" x14ac:dyDescent="0.2">
      <c r="A431" s="42"/>
      <c r="B431" s="50"/>
      <c r="C431" s="50"/>
      <c r="D431" s="50"/>
      <c r="E431" s="50"/>
      <c r="F431" s="54"/>
      <c r="G431" s="64"/>
    </row>
    <row r="432" spans="1:7" ht="15.75" x14ac:dyDescent="0.25">
      <c r="A432" s="35" t="s">
        <v>23</v>
      </c>
      <c r="B432" s="50"/>
      <c r="C432" s="50"/>
      <c r="D432" s="50"/>
      <c r="E432" s="50"/>
      <c r="F432" s="54">
        <v>3577</v>
      </c>
      <c r="G432" s="64"/>
    </row>
    <row r="433" spans="1:7" ht="15" x14ac:dyDescent="0.2">
      <c r="A433" s="42"/>
      <c r="B433" s="50"/>
      <c r="C433" s="50"/>
      <c r="D433" s="50"/>
      <c r="E433" s="50"/>
      <c r="F433" s="54"/>
      <c r="G433" s="64"/>
    </row>
    <row r="434" spans="1:7" ht="15" x14ac:dyDescent="0.2">
      <c r="A434" s="42" t="s">
        <v>99</v>
      </c>
      <c r="B434" s="50"/>
      <c r="C434" s="50"/>
      <c r="D434" s="50"/>
      <c r="E434" s="50"/>
      <c r="F434" s="131">
        <f>F432-F430</f>
        <v>812.44</v>
      </c>
      <c r="G434" s="64"/>
    </row>
    <row r="435" spans="1:7" ht="17.25" x14ac:dyDescent="0.35">
      <c r="A435" s="42"/>
      <c r="B435" s="50"/>
      <c r="C435" s="135"/>
      <c r="D435" s="50"/>
      <c r="E435" s="50"/>
      <c r="F435" s="133"/>
      <c r="G435" s="64"/>
    </row>
    <row r="436" spans="1:7" ht="15" x14ac:dyDescent="0.2">
      <c r="A436" s="42" t="s">
        <v>25</v>
      </c>
      <c r="B436" s="50"/>
      <c r="C436" s="50"/>
      <c r="D436" s="50"/>
      <c r="E436" s="50"/>
      <c r="F436" s="67">
        <f>+C430</f>
        <v>9828</v>
      </c>
      <c r="G436" s="64"/>
    </row>
    <row r="437" spans="1:7" ht="15" x14ac:dyDescent="0.2">
      <c r="A437" s="42"/>
      <c r="B437" s="50"/>
      <c r="C437" s="50"/>
      <c r="D437" s="50"/>
      <c r="E437" s="50"/>
      <c r="F437" s="50"/>
      <c r="G437" s="64"/>
    </row>
    <row r="438" spans="1:7" ht="15" x14ac:dyDescent="0.2">
      <c r="A438" s="42" t="s">
        <v>26</v>
      </c>
      <c r="B438" s="50"/>
      <c r="C438" s="50"/>
      <c r="D438" s="50"/>
      <c r="E438" s="50"/>
      <c r="F438" s="50"/>
      <c r="G438" s="70">
        <f>ROUND(F434/F436,2)</f>
        <v>0.08</v>
      </c>
    </row>
    <row r="439" spans="1:7" ht="15" x14ac:dyDescent="0.2">
      <c r="A439" s="42"/>
      <c r="B439" s="50"/>
      <c r="C439" s="50"/>
      <c r="D439" s="50"/>
      <c r="E439" s="50"/>
      <c r="F439" s="50"/>
      <c r="G439" s="70"/>
    </row>
    <row r="440" spans="1:7" ht="15" x14ac:dyDescent="0.2">
      <c r="A440" s="42"/>
      <c r="B440" s="50"/>
      <c r="C440" s="50"/>
      <c r="D440" s="50"/>
      <c r="E440" s="50"/>
      <c r="F440" s="67"/>
      <c r="G440" s="64"/>
    </row>
    <row r="441" spans="1:7" ht="15.75" x14ac:dyDescent="0.25">
      <c r="A441" s="42"/>
      <c r="B441" s="36"/>
      <c r="C441" s="50"/>
      <c r="D441" s="50"/>
      <c r="E441" s="50"/>
      <c r="F441" s="67"/>
      <c r="G441" s="64"/>
    </row>
    <row r="442" spans="1:7" ht="15.75" x14ac:dyDescent="0.25">
      <c r="A442" s="150" t="s">
        <v>134</v>
      </c>
      <c r="B442" s="50"/>
      <c r="C442" s="50"/>
      <c r="D442" s="50"/>
      <c r="E442" s="50"/>
      <c r="F442" s="164">
        <v>1789</v>
      </c>
      <c r="G442" s="64"/>
    </row>
    <row r="443" spans="1:7" ht="17.25" x14ac:dyDescent="0.35">
      <c r="A443" s="49" t="s">
        <v>25</v>
      </c>
      <c r="B443" s="36"/>
      <c r="C443" s="139"/>
      <c r="D443" s="38"/>
      <c r="E443" s="38"/>
      <c r="F443" s="165">
        <f>+C430</f>
        <v>9828</v>
      </c>
      <c r="G443" s="64"/>
    </row>
    <row r="444" spans="1:7" ht="17.25" x14ac:dyDescent="0.35">
      <c r="A444" s="42" t="s">
        <v>103</v>
      </c>
      <c r="B444" s="38"/>
      <c r="C444" s="38"/>
      <c r="D444" s="38"/>
      <c r="E444" s="38"/>
      <c r="F444" s="38"/>
      <c r="G444" s="55">
        <f>ROUND(+F442/F443,2)</f>
        <v>0.18</v>
      </c>
    </row>
    <row r="445" spans="1:7" ht="15" x14ac:dyDescent="0.2">
      <c r="A445" s="42"/>
      <c r="B445" s="50"/>
      <c r="C445" s="50"/>
      <c r="D445" s="50"/>
      <c r="E445" s="50"/>
      <c r="F445" s="67"/>
      <c r="G445" s="64"/>
    </row>
    <row r="446" spans="1:7" ht="18" x14ac:dyDescent="0.4">
      <c r="A446" s="35" t="s">
        <v>117</v>
      </c>
      <c r="B446" s="36"/>
      <c r="C446" s="38"/>
      <c r="D446" s="38"/>
      <c r="E446" s="38"/>
      <c r="F446" s="38"/>
      <c r="G446" s="179">
        <f>SUM(G438:G444)</f>
        <v>0.26</v>
      </c>
    </row>
    <row r="447" spans="1:7" ht="17.25" x14ac:dyDescent="0.35">
      <c r="A447" s="42"/>
      <c r="B447" s="50"/>
      <c r="C447" s="50"/>
      <c r="D447" s="50"/>
      <c r="E447" s="50"/>
      <c r="F447" s="50"/>
      <c r="G447" s="55"/>
    </row>
    <row r="448" spans="1:7" ht="15.75" thickBot="1" x14ac:dyDescent="0.25">
      <c r="A448" s="72"/>
      <c r="B448" s="73"/>
      <c r="C448" s="73"/>
      <c r="D448" s="73"/>
      <c r="E448" s="73"/>
      <c r="F448" s="73"/>
      <c r="G448" s="74"/>
    </row>
    <row r="449" spans="1:7" ht="23.25" x14ac:dyDescent="0.35">
      <c r="A449" s="31" t="s">
        <v>56</v>
      </c>
      <c r="B449" s="32"/>
      <c r="C449" s="33"/>
      <c r="D449" s="33"/>
      <c r="E449" s="33"/>
      <c r="F449" s="33"/>
      <c r="G449" s="34"/>
    </row>
    <row r="450" spans="1:7" ht="15.75" x14ac:dyDescent="0.25">
      <c r="A450" s="35" t="s">
        <v>94</v>
      </c>
      <c r="B450" s="36"/>
      <c r="C450" s="37"/>
      <c r="D450" s="37"/>
      <c r="E450" s="38"/>
      <c r="F450" s="38"/>
      <c r="G450" s="39"/>
    </row>
    <row r="451" spans="1:7" ht="15.75" x14ac:dyDescent="0.25">
      <c r="A451" s="40"/>
      <c r="B451" s="41"/>
      <c r="C451" s="38"/>
      <c r="D451" s="38"/>
      <c r="E451" s="38"/>
      <c r="F451" s="38"/>
      <c r="G451" s="39"/>
    </row>
    <row r="452" spans="1:7" ht="15" x14ac:dyDescent="0.2">
      <c r="A452" s="300" t="s">
        <v>21</v>
      </c>
      <c r="B452" s="301"/>
      <c r="C452" s="301"/>
      <c r="D452" s="301"/>
      <c r="E452" s="301"/>
      <c r="F452" s="301"/>
      <c r="G452" s="302"/>
    </row>
    <row r="453" spans="1:7" ht="15" x14ac:dyDescent="0.2">
      <c r="A453" s="42"/>
      <c r="B453" s="38"/>
      <c r="C453" s="38"/>
      <c r="D453" s="38"/>
      <c r="E453" s="38"/>
      <c r="F453" s="38"/>
      <c r="G453" s="39"/>
    </row>
    <row r="454" spans="1:7" ht="15.75" x14ac:dyDescent="0.25">
      <c r="A454" s="42"/>
      <c r="B454" s="38"/>
      <c r="C454" s="43"/>
      <c r="D454" s="43"/>
      <c r="E454" s="43" t="s">
        <v>13</v>
      </c>
      <c r="F454" s="43" t="s">
        <v>3</v>
      </c>
      <c r="G454" s="39"/>
    </row>
    <row r="455" spans="1:7" ht="15.75" x14ac:dyDescent="0.25">
      <c r="A455" s="42"/>
      <c r="B455" s="38"/>
      <c r="C455" s="44" t="s">
        <v>5</v>
      </c>
      <c r="D455" s="44"/>
      <c r="E455" s="44" t="s">
        <v>22</v>
      </c>
      <c r="F455" s="44" t="s">
        <v>6</v>
      </c>
      <c r="G455" s="39"/>
    </row>
    <row r="456" spans="1:7" ht="15.75" x14ac:dyDescent="0.25">
      <c r="A456" s="45" t="s">
        <v>96</v>
      </c>
      <c r="B456" s="36"/>
      <c r="C456" s="46"/>
      <c r="D456" s="46"/>
      <c r="E456" s="46"/>
      <c r="F456" s="46"/>
      <c r="G456" s="39"/>
    </row>
    <row r="457" spans="1:7" ht="15.75" x14ac:dyDescent="0.25">
      <c r="A457" s="42" t="s">
        <v>57</v>
      </c>
      <c r="B457" s="38"/>
      <c r="C457" s="47">
        <v>44693</v>
      </c>
      <c r="D457" s="47"/>
      <c r="E457" s="48">
        <v>1.71</v>
      </c>
      <c r="F457" s="131">
        <f>C457*E457</f>
        <v>76425.03</v>
      </c>
      <c r="G457" s="39"/>
    </row>
    <row r="458" spans="1:7" ht="17.25" x14ac:dyDescent="0.35">
      <c r="A458" s="49" t="s">
        <v>58</v>
      </c>
      <c r="B458" s="50"/>
      <c r="C458" s="51">
        <v>225967</v>
      </c>
      <c r="D458" s="51"/>
      <c r="E458" s="48">
        <v>2.23</v>
      </c>
      <c r="F458" s="132">
        <f>C458*E458</f>
        <v>503906.41</v>
      </c>
      <c r="G458" s="39"/>
    </row>
    <row r="459" spans="1:7" ht="17.25" x14ac:dyDescent="0.35">
      <c r="A459" s="42" t="s">
        <v>3</v>
      </c>
      <c r="B459" s="38"/>
      <c r="C459" s="47">
        <f>SUM(C457:C458)</f>
        <v>270660</v>
      </c>
      <c r="D459" s="51"/>
      <c r="E459" s="38"/>
      <c r="F459" s="131">
        <f>SUM(F457:F458)</f>
        <v>580331.43999999994</v>
      </c>
      <c r="G459" s="39"/>
    </row>
    <row r="460" spans="1:7" ht="15" x14ac:dyDescent="0.2">
      <c r="A460" s="42"/>
      <c r="B460" s="38"/>
      <c r="C460" s="38"/>
      <c r="D460" s="38"/>
      <c r="E460" s="38"/>
      <c r="F460" s="38"/>
      <c r="G460" s="39"/>
    </row>
    <row r="461" spans="1:7" ht="15.75" x14ac:dyDescent="0.25">
      <c r="A461" s="35" t="s">
        <v>23</v>
      </c>
      <c r="B461" s="38"/>
      <c r="C461" s="38"/>
      <c r="D461" s="38"/>
      <c r="E461" s="38"/>
      <c r="F461" s="131">
        <v>519430</v>
      </c>
      <c r="G461" s="39"/>
    </row>
    <row r="462" spans="1:7" ht="15" x14ac:dyDescent="0.2">
      <c r="A462" s="42"/>
      <c r="B462" s="38"/>
      <c r="C462" s="38"/>
      <c r="D462" s="38"/>
      <c r="E462" s="38"/>
      <c r="F462" s="131"/>
      <c r="G462" s="39"/>
    </row>
    <row r="463" spans="1:7" ht="15" x14ac:dyDescent="0.2">
      <c r="A463" s="42" t="s">
        <v>24</v>
      </c>
      <c r="B463" s="38"/>
      <c r="C463" s="38"/>
      <c r="D463" s="38"/>
      <c r="E463" s="38"/>
      <c r="F463" s="47">
        <f>F461-F459</f>
        <v>-60901.439999999944</v>
      </c>
      <c r="G463" s="39"/>
    </row>
    <row r="464" spans="1:7" ht="17.25" x14ac:dyDescent="0.35">
      <c r="A464" s="42"/>
      <c r="B464" s="38"/>
      <c r="C464" s="130"/>
      <c r="D464" s="38"/>
      <c r="E464" s="38"/>
      <c r="F464" s="133"/>
      <c r="G464" s="39"/>
    </row>
    <row r="465" spans="1:8" ht="15" x14ac:dyDescent="0.2">
      <c r="A465" s="42" t="s">
        <v>25</v>
      </c>
      <c r="B465" s="38"/>
      <c r="C465" s="38"/>
      <c r="D465" s="38"/>
      <c r="E465" s="38"/>
      <c r="F465" s="47">
        <f>+C459</f>
        <v>270660</v>
      </c>
      <c r="G465" s="39"/>
    </row>
    <row r="466" spans="1:8" ht="15" x14ac:dyDescent="0.2">
      <c r="A466" s="42"/>
      <c r="B466" s="38"/>
      <c r="C466" s="38"/>
      <c r="D466" s="38"/>
      <c r="E466" s="38"/>
      <c r="F466" s="38"/>
      <c r="G466" s="39"/>
    </row>
    <row r="467" spans="1:8" ht="15" x14ac:dyDescent="0.2">
      <c r="A467" s="42" t="s">
        <v>26</v>
      </c>
      <c r="B467" s="38"/>
      <c r="C467" s="38"/>
      <c r="D467" s="38"/>
      <c r="E467" s="38"/>
      <c r="F467" s="61"/>
      <c r="G467" s="52">
        <f>ROUND(F463/F465,2)</f>
        <v>-0.23</v>
      </c>
    </row>
    <row r="468" spans="1:8" ht="15" x14ac:dyDescent="0.2">
      <c r="A468" s="42"/>
      <c r="B468" s="38"/>
      <c r="C468" s="38"/>
      <c r="D468" s="38"/>
      <c r="E468" s="38"/>
      <c r="F468" s="38"/>
      <c r="G468" s="52"/>
    </row>
    <row r="469" spans="1:8" ht="15" x14ac:dyDescent="0.2">
      <c r="A469" s="42"/>
      <c r="B469" s="38"/>
      <c r="C469" s="38"/>
      <c r="D469" s="38"/>
      <c r="E469" s="38"/>
      <c r="F469" s="38"/>
      <c r="G469" s="52"/>
    </row>
    <row r="470" spans="1:8" ht="15" x14ac:dyDescent="0.2">
      <c r="A470" s="42"/>
      <c r="B470" s="38"/>
      <c r="C470" s="38"/>
      <c r="D470" s="38"/>
      <c r="E470" s="38"/>
      <c r="F470" s="38"/>
      <c r="G470" s="52"/>
      <c r="H470" s="63"/>
    </row>
    <row r="471" spans="1:8" ht="15.75" x14ac:dyDescent="0.25">
      <c r="A471" s="150" t="s">
        <v>121</v>
      </c>
      <c r="B471" s="36"/>
      <c r="C471" s="38"/>
      <c r="D471" s="38"/>
      <c r="E471" s="38"/>
      <c r="F471" s="162">
        <v>115861</v>
      </c>
      <c r="G471" s="52"/>
      <c r="H471" s="159"/>
    </row>
    <row r="472" spans="1:8" ht="17.25" x14ac:dyDescent="0.35">
      <c r="A472" s="42" t="s">
        <v>25</v>
      </c>
      <c r="B472" s="38"/>
      <c r="C472" s="38"/>
      <c r="D472" s="38"/>
      <c r="E472" s="38"/>
      <c r="F472" s="163">
        <f>135817</f>
        <v>135817</v>
      </c>
      <c r="G472" s="52"/>
      <c r="H472" s="160"/>
    </row>
    <row r="473" spans="1:8" ht="17.25" x14ac:dyDescent="0.35">
      <c r="A473" s="42" t="s">
        <v>103</v>
      </c>
      <c r="B473" s="38"/>
      <c r="C473" s="38"/>
      <c r="D473" s="38"/>
      <c r="E473" s="38"/>
      <c r="F473" s="38"/>
      <c r="G473" s="55">
        <f>ROUND(+F471/F472,2)</f>
        <v>0.85</v>
      </c>
      <c r="H473" s="161"/>
    </row>
    <row r="474" spans="1:8" ht="15" x14ac:dyDescent="0.2">
      <c r="A474" s="42"/>
      <c r="B474" s="38"/>
      <c r="C474" s="38"/>
      <c r="D474" s="38"/>
      <c r="E474" s="38"/>
      <c r="F474" s="38"/>
      <c r="G474" s="52"/>
    </row>
    <row r="475" spans="1:8" ht="15.75" x14ac:dyDescent="0.25">
      <c r="A475" s="35" t="s">
        <v>28</v>
      </c>
      <c r="B475" s="36"/>
      <c r="C475" s="38"/>
      <c r="D475" s="38"/>
      <c r="E475" s="38"/>
      <c r="F475" s="38"/>
      <c r="G475" s="166">
        <f>SUM(G467:G473)</f>
        <v>0.62</v>
      </c>
      <c r="H475" s="158"/>
    </row>
    <row r="476" spans="1:8" ht="15.75" x14ac:dyDescent="0.25">
      <c r="A476" s="35"/>
      <c r="B476" s="36"/>
      <c r="C476" s="38"/>
      <c r="D476" s="38"/>
      <c r="E476" s="38"/>
      <c r="F476" s="38"/>
      <c r="G476" s="149"/>
    </row>
    <row r="477" spans="1:8" ht="20.25" x14ac:dyDescent="0.55000000000000004">
      <c r="A477" s="49"/>
      <c r="B477" s="38"/>
      <c r="C477" s="38"/>
      <c r="D477" s="38"/>
      <c r="E477" s="139"/>
      <c r="F477" s="38"/>
      <c r="G477" s="151"/>
      <c r="H477" s="161"/>
    </row>
    <row r="478" spans="1:8" ht="20.25" x14ac:dyDescent="0.55000000000000004">
      <c r="A478" s="49"/>
      <c r="B478" s="38"/>
      <c r="C478" s="38"/>
      <c r="D478" s="38"/>
      <c r="E478" s="139"/>
      <c r="F478" s="38"/>
      <c r="G478" s="151"/>
      <c r="H478" s="119"/>
    </row>
    <row r="479" spans="1:8" ht="18" x14ac:dyDescent="0.4">
      <c r="A479" s="35" t="s">
        <v>113</v>
      </c>
      <c r="B479" s="38"/>
      <c r="C479" s="38"/>
      <c r="D479" s="38"/>
      <c r="E479" s="139"/>
      <c r="F479" s="38"/>
      <c r="G479" s="152">
        <f>+G475+G477</f>
        <v>0.62</v>
      </c>
      <c r="H479" s="158"/>
    </row>
    <row r="480" spans="1:8" ht="13.5" thickBot="1" x14ac:dyDescent="0.25">
      <c r="A480" s="19"/>
      <c r="B480" s="20"/>
      <c r="C480" s="20"/>
      <c r="D480" s="20"/>
      <c r="E480" s="20"/>
      <c r="F480" s="20"/>
      <c r="G480" s="21"/>
    </row>
    <row r="481" spans="1:7" ht="15" x14ac:dyDescent="0.2">
      <c r="A481" s="300" t="s">
        <v>29</v>
      </c>
      <c r="B481" s="301"/>
      <c r="C481" s="301"/>
      <c r="D481" s="301"/>
      <c r="E481" s="301"/>
      <c r="F481" s="301"/>
      <c r="G481" s="302"/>
    </row>
    <row r="482" spans="1:7" ht="15" x14ac:dyDescent="0.2">
      <c r="A482" s="49"/>
      <c r="B482" s="50"/>
      <c r="C482" s="50"/>
      <c r="D482" s="50"/>
      <c r="E482" s="50"/>
      <c r="F482" s="50"/>
      <c r="G482" s="64"/>
    </row>
    <row r="483" spans="1:7" ht="15.75" x14ac:dyDescent="0.25">
      <c r="A483" s="49"/>
      <c r="B483" s="50"/>
      <c r="C483" s="43"/>
      <c r="D483" s="43"/>
      <c r="E483" s="43" t="s">
        <v>13</v>
      </c>
      <c r="F483" s="43" t="s">
        <v>3</v>
      </c>
      <c r="G483" s="64"/>
    </row>
    <row r="484" spans="1:7" ht="15.75" x14ac:dyDescent="0.25">
      <c r="A484" s="49"/>
      <c r="B484" s="50"/>
      <c r="C484" s="65" t="s">
        <v>20</v>
      </c>
      <c r="D484" s="65"/>
      <c r="E484" s="65" t="s">
        <v>22</v>
      </c>
      <c r="F484" s="65" t="s">
        <v>6</v>
      </c>
      <c r="G484" s="64"/>
    </row>
    <row r="485" spans="1:7" ht="15.75" x14ac:dyDescent="0.25">
      <c r="A485" s="45" t="s">
        <v>96</v>
      </c>
      <c r="B485" s="36"/>
      <c r="C485" s="66"/>
      <c r="D485" s="66"/>
      <c r="E485" s="66"/>
      <c r="F485" s="66"/>
      <c r="G485" s="64"/>
    </row>
    <row r="486" spans="1:7" ht="15.75" x14ac:dyDescent="0.25">
      <c r="A486" s="42" t="s">
        <v>57</v>
      </c>
      <c r="B486" s="50"/>
      <c r="C486" s="67">
        <v>3419</v>
      </c>
      <c r="D486" s="67"/>
      <c r="E486" s="68">
        <v>0.24</v>
      </c>
      <c r="F486" s="54">
        <f>E486*C486</f>
        <v>820.56</v>
      </c>
      <c r="G486" s="64"/>
    </row>
    <row r="487" spans="1:7" ht="17.25" x14ac:dyDescent="0.35">
      <c r="A487" s="49" t="s">
        <v>58</v>
      </c>
      <c r="B487" s="50"/>
      <c r="C487" s="51">
        <v>17388</v>
      </c>
      <c r="D487" s="51"/>
      <c r="E487" s="68">
        <v>0.34</v>
      </c>
      <c r="F487" s="132">
        <f>E487*C487</f>
        <v>5911.92</v>
      </c>
      <c r="G487" s="64"/>
    </row>
    <row r="488" spans="1:7" ht="15" x14ac:dyDescent="0.2">
      <c r="A488" s="42" t="s">
        <v>3</v>
      </c>
      <c r="B488" s="50"/>
      <c r="C488" s="67">
        <f>SUM(C486:C487)</f>
        <v>20807</v>
      </c>
      <c r="D488" s="67"/>
      <c r="E488" s="50"/>
      <c r="F488" s="54">
        <f>SUM(F486:F487)</f>
        <v>6732.48</v>
      </c>
      <c r="G488" s="64"/>
    </row>
    <row r="489" spans="1:7" ht="15" x14ac:dyDescent="0.2">
      <c r="A489" s="42"/>
      <c r="B489" s="50"/>
      <c r="C489" s="50"/>
      <c r="D489" s="50"/>
      <c r="E489" s="50"/>
      <c r="F489" s="54"/>
      <c r="G489" s="64"/>
    </row>
    <row r="490" spans="1:7" ht="15.75" x14ac:dyDescent="0.25">
      <c r="A490" s="35" t="s">
        <v>23</v>
      </c>
      <c r="B490" s="50"/>
      <c r="C490" s="50"/>
      <c r="D490" s="50"/>
      <c r="E490" s="50"/>
      <c r="F490" s="54">
        <v>7108</v>
      </c>
      <c r="G490" s="64"/>
    </row>
    <row r="491" spans="1:7" ht="15" x14ac:dyDescent="0.2">
      <c r="A491" s="42"/>
      <c r="B491" s="50"/>
      <c r="C491" s="50"/>
      <c r="D491" s="50"/>
      <c r="E491" s="50"/>
      <c r="F491" s="54"/>
      <c r="G491" s="64"/>
    </row>
    <row r="492" spans="1:7" ht="15" x14ac:dyDescent="0.2">
      <c r="A492" s="42" t="s">
        <v>99</v>
      </c>
      <c r="B492" s="50"/>
      <c r="C492" s="50"/>
      <c r="D492" s="50"/>
      <c r="E492" s="50"/>
      <c r="F492" s="131">
        <f>F490-F488</f>
        <v>375.52000000000044</v>
      </c>
      <c r="G492" s="64"/>
    </row>
    <row r="493" spans="1:7" ht="17.25" x14ac:dyDescent="0.35">
      <c r="A493" s="42"/>
      <c r="B493" s="50"/>
      <c r="C493" s="135"/>
      <c r="D493" s="50"/>
      <c r="E493" s="50"/>
      <c r="F493" s="133"/>
      <c r="G493" s="64"/>
    </row>
    <row r="494" spans="1:7" ht="15" x14ac:dyDescent="0.2">
      <c r="A494" s="42" t="s">
        <v>25</v>
      </c>
      <c r="B494" s="50"/>
      <c r="C494" s="50"/>
      <c r="D494" s="50"/>
      <c r="E494" s="50"/>
      <c r="F494" s="67">
        <f>+C488</f>
        <v>20807</v>
      </c>
      <c r="G494" s="64"/>
    </row>
    <row r="495" spans="1:7" ht="15" x14ac:dyDescent="0.2">
      <c r="A495" s="42"/>
      <c r="B495" s="50"/>
      <c r="C495" s="50"/>
      <c r="D495" s="50"/>
      <c r="E495" s="50"/>
      <c r="F495" s="50"/>
      <c r="G495" s="64"/>
    </row>
    <row r="496" spans="1:7" ht="15" x14ac:dyDescent="0.2">
      <c r="A496" s="42" t="s">
        <v>26</v>
      </c>
      <c r="B496" s="50"/>
      <c r="C496" s="50"/>
      <c r="D496" s="50"/>
      <c r="E496" s="50"/>
      <c r="F496" s="50"/>
      <c r="G496" s="70">
        <f>ROUND(F492/F494,2)</f>
        <v>0.02</v>
      </c>
    </row>
    <row r="497" spans="1:8" ht="15" x14ac:dyDescent="0.2">
      <c r="A497" s="42"/>
      <c r="B497" s="50"/>
      <c r="C497" s="50"/>
      <c r="D497" s="50"/>
      <c r="E497" s="50"/>
      <c r="F497" s="50"/>
      <c r="G497" s="70"/>
    </row>
    <row r="498" spans="1:8" ht="15" x14ac:dyDescent="0.2">
      <c r="A498" s="42"/>
      <c r="B498" s="50"/>
      <c r="C498" s="50"/>
      <c r="D498" s="50"/>
      <c r="E498" s="50"/>
      <c r="F498" s="67"/>
      <c r="G498" s="64"/>
    </row>
    <row r="499" spans="1:8" ht="15.75" x14ac:dyDescent="0.25">
      <c r="A499" s="42"/>
      <c r="B499" s="36"/>
      <c r="C499" s="50"/>
      <c r="D499" s="50"/>
      <c r="E499" s="50"/>
      <c r="F499" s="67"/>
      <c r="G499" s="64"/>
    </row>
    <row r="500" spans="1:8" ht="15.75" x14ac:dyDescent="0.25">
      <c r="A500" s="150" t="s">
        <v>121</v>
      </c>
      <c r="B500" s="50"/>
      <c r="C500" s="50"/>
      <c r="D500" s="50"/>
      <c r="E500" s="50"/>
      <c r="F500" s="164">
        <v>1586</v>
      </c>
      <c r="G500" s="64"/>
      <c r="H500" s="157"/>
    </row>
    <row r="501" spans="1:8" ht="17.25" x14ac:dyDescent="0.35">
      <c r="A501" s="49" t="s">
        <v>25</v>
      </c>
      <c r="B501" s="36"/>
      <c r="C501" s="139"/>
      <c r="D501" s="38"/>
      <c r="E501" s="38"/>
      <c r="F501" s="165">
        <v>10624</v>
      </c>
      <c r="G501" s="64"/>
    </row>
    <row r="502" spans="1:8" ht="17.25" x14ac:dyDescent="0.35">
      <c r="A502" s="42" t="s">
        <v>103</v>
      </c>
      <c r="B502" s="38"/>
      <c r="C502" s="38"/>
      <c r="D502" s="38"/>
      <c r="E502" s="38"/>
      <c r="F502" s="38"/>
      <c r="G502" s="55">
        <f>ROUND(+F500/F501,2)</f>
        <v>0.15</v>
      </c>
    </row>
    <row r="503" spans="1:8" ht="15" x14ac:dyDescent="0.2">
      <c r="A503" s="42"/>
      <c r="B503" s="50"/>
      <c r="C503" s="50"/>
      <c r="D503" s="50"/>
      <c r="E503" s="50"/>
      <c r="F503" s="67"/>
      <c r="G503" s="64"/>
    </row>
    <row r="504" spans="1:8" ht="15.75" x14ac:dyDescent="0.25">
      <c r="A504" s="35" t="s">
        <v>117</v>
      </c>
      <c r="B504" s="36"/>
      <c r="C504" s="38"/>
      <c r="D504" s="38"/>
      <c r="E504" s="38"/>
      <c r="F504" s="38"/>
      <c r="G504" s="166">
        <f>SUM(G496:G502)</f>
        <v>0.16999999999999998</v>
      </c>
      <c r="H504" s="158"/>
    </row>
    <row r="505" spans="1:8" ht="17.25" x14ac:dyDescent="0.35">
      <c r="A505" s="42"/>
      <c r="B505" s="50"/>
      <c r="C505" s="50"/>
      <c r="D505" s="50"/>
      <c r="E505" s="50"/>
      <c r="F505" s="50"/>
      <c r="G505" s="55"/>
    </row>
    <row r="506" spans="1:8" ht="20.25" x14ac:dyDescent="0.55000000000000004">
      <c r="A506" s="49"/>
      <c r="B506" s="38"/>
      <c r="C506" s="38"/>
      <c r="D506" s="38"/>
      <c r="E506" s="139"/>
      <c r="F506" s="38"/>
      <c r="G506" s="151"/>
    </row>
    <row r="507" spans="1:8" ht="20.25" x14ac:dyDescent="0.55000000000000004">
      <c r="A507" s="49"/>
      <c r="B507" s="38"/>
      <c r="C507" s="38"/>
      <c r="D507" s="38"/>
      <c r="E507" s="139"/>
      <c r="F507" s="38"/>
      <c r="G507" s="151"/>
      <c r="H507" s="119"/>
    </row>
    <row r="508" spans="1:8" ht="18" x14ac:dyDescent="0.4">
      <c r="A508" s="35" t="s">
        <v>113</v>
      </c>
      <c r="B508" s="38"/>
      <c r="C508" s="38"/>
      <c r="D508" s="38"/>
      <c r="E508" s="139"/>
      <c r="F508" s="38"/>
      <c r="G508" s="152">
        <f>+G504+G506</f>
        <v>0.16999999999999998</v>
      </c>
      <c r="H508" s="158"/>
    </row>
    <row r="509" spans="1:8" ht="15.75" thickBot="1" x14ac:dyDescent="0.25">
      <c r="A509" s="72"/>
      <c r="B509" s="73"/>
      <c r="C509" s="73"/>
      <c r="D509" s="73"/>
      <c r="E509" s="73"/>
      <c r="F509" s="73"/>
      <c r="G509" s="74"/>
    </row>
    <row r="510" spans="1:8" ht="23.25" x14ac:dyDescent="0.35">
      <c r="A510" s="31" t="s">
        <v>56</v>
      </c>
      <c r="B510" s="32"/>
      <c r="C510" s="33"/>
      <c r="D510" s="33"/>
      <c r="E510" s="33"/>
      <c r="F510" s="33"/>
      <c r="G510" s="34"/>
    </row>
    <row r="511" spans="1:8" ht="15.75" x14ac:dyDescent="0.25">
      <c r="A511" s="35" t="s">
        <v>94</v>
      </c>
      <c r="B511" s="36"/>
      <c r="C511" s="37"/>
      <c r="D511" s="37"/>
      <c r="E511" s="38"/>
      <c r="F511" s="38"/>
      <c r="G511" s="39"/>
    </row>
    <row r="512" spans="1:8" ht="15.75" x14ac:dyDescent="0.25">
      <c r="A512" s="40"/>
      <c r="B512" s="41"/>
      <c r="C512" s="38"/>
      <c r="D512" s="38"/>
      <c r="E512" s="38"/>
      <c r="F512" s="38"/>
      <c r="G512" s="39"/>
    </row>
    <row r="513" spans="1:7" ht="15" x14ac:dyDescent="0.2">
      <c r="A513" s="300" t="s">
        <v>21</v>
      </c>
      <c r="B513" s="301"/>
      <c r="C513" s="301"/>
      <c r="D513" s="301"/>
      <c r="E513" s="301"/>
      <c r="F513" s="301"/>
      <c r="G513" s="302"/>
    </row>
    <row r="514" spans="1:7" ht="15" x14ac:dyDescent="0.2">
      <c r="A514" s="42"/>
      <c r="B514" s="38"/>
      <c r="C514" s="38"/>
      <c r="D514" s="38"/>
      <c r="E514" s="38"/>
      <c r="F514" s="38"/>
      <c r="G514" s="39"/>
    </row>
    <row r="515" spans="1:7" ht="15.75" x14ac:dyDescent="0.25">
      <c r="A515" s="42"/>
      <c r="B515" s="38"/>
      <c r="C515" s="43"/>
      <c r="D515" s="43"/>
      <c r="E515" s="43" t="s">
        <v>13</v>
      </c>
      <c r="F515" s="43" t="s">
        <v>3</v>
      </c>
      <c r="G515" s="39"/>
    </row>
    <row r="516" spans="1:7" ht="15.75" x14ac:dyDescent="0.25">
      <c r="A516" s="42"/>
      <c r="B516" s="38"/>
      <c r="C516" s="44" t="s">
        <v>5</v>
      </c>
      <c r="D516" s="44"/>
      <c r="E516" s="44" t="s">
        <v>22</v>
      </c>
      <c r="F516" s="44" t="s">
        <v>6</v>
      </c>
      <c r="G516" s="39"/>
    </row>
    <row r="517" spans="1:7" ht="15.75" x14ac:dyDescent="0.25">
      <c r="A517" s="45" t="s">
        <v>83</v>
      </c>
      <c r="B517" s="36"/>
      <c r="C517" s="46"/>
      <c r="D517" s="46"/>
      <c r="E517" s="46"/>
      <c r="F517" s="46"/>
      <c r="G517" s="39"/>
    </row>
    <row r="518" spans="1:7" ht="15.75" x14ac:dyDescent="0.25">
      <c r="A518" s="42" t="s">
        <v>57</v>
      </c>
      <c r="B518" s="38"/>
      <c r="C518" s="47">
        <v>43420</v>
      </c>
      <c r="D518" s="47"/>
      <c r="E518" s="48">
        <f>+E577</f>
        <v>1.99</v>
      </c>
      <c r="F518" s="131">
        <f>C518*E518</f>
        <v>86405.8</v>
      </c>
      <c r="G518" s="39"/>
    </row>
    <row r="519" spans="1:7" ht="17.25" x14ac:dyDescent="0.35">
      <c r="A519" s="49" t="s">
        <v>58</v>
      </c>
      <c r="B519" s="50"/>
      <c r="C519" s="51">
        <v>219122</v>
      </c>
      <c r="D519" s="51"/>
      <c r="E519" s="48">
        <f>+G592</f>
        <v>1.71</v>
      </c>
      <c r="F519" s="132">
        <f>C519*E519</f>
        <v>374698.62</v>
      </c>
      <c r="G519" s="39"/>
    </row>
    <row r="520" spans="1:7" ht="17.25" x14ac:dyDescent="0.35">
      <c r="A520" s="42" t="s">
        <v>3</v>
      </c>
      <c r="B520" s="38"/>
      <c r="C520" s="47">
        <f>SUM(C518:C519)</f>
        <v>262542</v>
      </c>
      <c r="D520" s="51"/>
      <c r="E520" s="38"/>
      <c r="F520" s="131">
        <f>SUM(F518:F519)</f>
        <v>461104.42</v>
      </c>
      <c r="G520" s="39"/>
    </row>
    <row r="521" spans="1:7" ht="15" x14ac:dyDescent="0.2">
      <c r="A521" s="42"/>
      <c r="B521" s="38"/>
      <c r="C521" s="38"/>
      <c r="D521" s="38"/>
      <c r="E521" s="38"/>
      <c r="F521" s="38"/>
      <c r="G521" s="39"/>
    </row>
    <row r="522" spans="1:7" ht="15.75" x14ac:dyDescent="0.25">
      <c r="A522" s="35" t="s">
        <v>23</v>
      </c>
      <c r="B522" s="38"/>
      <c r="C522" s="38"/>
      <c r="D522" s="38"/>
      <c r="E522" s="38"/>
      <c r="F522" s="131">
        <v>585067</v>
      </c>
      <c r="G522" s="39"/>
    </row>
    <row r="523" spans="1:7" ht="15" x14ac:dyDescent="0.2">
      <c r="A523" s="42"/>
      <c r="B523" s="38"/>
      <c r="C523" s="38"/>
      <c r="D523" s="38"/>
      <c r="E523" s="38"/>
      <c r="F523" s="131"/>
      <c r="G523" s="39"/>
    </row>
    <row r="524" spans="1:7" ht="15" x14ac:dyDescent="0.2">
      <c r="A524" s="42" t="s">
        <v>99</v>
      </c>
      <c r="B524" s="38"/>
      <c r="C524" s="38"/>
      <c r="D524" s="38"/>
      <c r="E524" s="38"/>
      <c r="F524" s="131">
        <f>F522-F520</f>
        <v>123962.58000000002</v>
      </c>
      <c r="G524" s="39"/>
    </row>
    <row r="525" spans="1:7" ht="17.25" x14ac:dyDescent="0.35">
      <c r="A525" s="42" t="s">
        <v>100</v>
      </c>
      <c r="B525" s="38"/>
      <c r="C525" s="130">
        <f>-1.78+1.44</f>
        <v>-0.34000000000000008</v>
      </c>
      <c r="D525" s="38"/>
      <c r="E525" s="38"/>
      <c r="F525" s="133">
        <f>C525*C518</f>
        <v>-14762.800000000003</v>
      </c>
      <c r="G525" s="39"/>
    </row>
    <row r="526" spans="1:7" ht="15" x14ac:dyDescent="0.2">
      <c r="A526" s="134" t="s">
        <v>98</v>
      </c>
      <c r="B526" s="38"/>
      <c r="C526" s="38"/>
      <c r="D526" s="38"/>
      <c r="E526" s="38"/>
      <c r="F526" s="131">
        <f>SUM(F524:F525)</f>
        <v>109199.78000000001</v>
      </c>
      <c r="G526" s="39"/>
    </row>
    <row r="527" spans="1:7" ht="15" x14ac:dyDescent="0.2">
      <c r="A527" s="42"/>
      <c r="B527" s="38"/>
      <c r="C527" s="38"/>
      <c r="D527" s="38"/>
      <c r="E527" s="38"/>
      <c r="F527" s="38"/>
      <c r="G527" s="39"/>
    </row>
    <row r="528" spans="1:7" ht="15" x14ac:dyDescent="0.2">
      <c r="A528" s="42" t="s">
        <v>25</v>
      </c>
      <c r="B528" s="38"/>
      <c r="C528" s="38"/>
      <c r="D528" s="38"/>
      <c r="E528" s="38"/>
      <c r="F528" s="47">
        <f>+C520</f>
        <v>262542</v>
      </c>
      <c r="G528" s="39"/>
    </row>
    <row r="529" spans="1:7" ht="15" x14ac:dyDescent="0.2">
      <c r="A529" s="42"/>
      <c r="B529" s="38"/>
      <c r="C529" s="38"/>
      <c r="D529" s="38"/>
      <c r="E529" s="38"/>
      <c r="F529" s="38"/>
      <c r="G529" s="39"/>
    </row>
    <row r="530" spans="1:7" ht="15" x14ac:dyDescent="0.2">
      <c r="A530" s="42" t="s">
        <v>26</v>
      </c>
      <c r="B530" s="38"/>
      <c r="C530" s="38"/>
      <c r="D530" s="38"/>
      <c r="E530" s="38"/>
      <c r="F530" s="61"/>
      <c r="G530" s="52">
        <f>ROUND(F526/F528,2)</f>
        <v>0.42</v>
      </c>
    </row>
    <row r="531" spans="1:7" ht="15" x14ac:dyDescent="0.2">
      <c r="A531" s="42"/>
      <c r="B531" s="38"/>
      <c r="C531" s="38"/>
      <c r="D531" s="38"/>
      <c r="E531" s="38"/>
      <c r="F531" s="38"/>
      <c r="G531" s="52"/>
    </row>
    <row r="532" spans="1:7" ht="15" x14ac:dyDescent="0.2">
      <c r="A532" s="42"/>
      <c r="B532" s="38"/>
      <c r="C532" s="38"/>
      <c r="D532" s="38"/>
      <c r="E532" s="38"/>
      <c r="F532" s="38"/>
      <c r="G532" s="52"/>
    </row>
    <row r="533" spans="1:7" ht="15" x14ac:dyDescent="0.2">
      <c r="A533" s="42"/>
      <c r="B533" s="38"/>
      <c r="C533" s="38"/>
      <c r="D533" s="38"/>
      <c r="E533" s="38"/>
      <c r="F533" s="38"/>
      <c r="G533" s="52"/>
    </row>
    <row r="534" spans="1:7" ht="15.75" x14ac:dyDescent="0.25">
      <c r="A534" s="45" t="s">
        <v>96</v>
      </c>
      <c r="B534" s="36"/>
      <c r="C534" s="38"/>
      <c r="D534" s="38"/>
      <c r="E534" s="38"/>
      <c r="F534" s="53">
        <f>+F522</f>
        <v>585067</v>
      </c>
      <c r="G534" s="52"/>
    </row>
    <row r="535" spans="1:7" ht="15" x14ac:dyDescent="0.2">
      <c r="A535" s="42" t="s">
        <v>25</v>
      </c>
      <c r="B535" s="38"/>
      <c r="C535" s="38"/>
      <c r="D535" s="38"/>
      <c r="E535" s="38"/>
      <c r="F535" s="47">
        <f>+C520</f>
        <v>262542</v>
      </c>
      <c r="G535" s="52"/>
    </row>
    <row r="536" spans="1:7" ht="17.25" x14ac:dyDescent="0.35">
      <c r="A536" s="42" t="s">
        <v>27</v>
      </c>
      <c r="B536" s="38"/>
      <c r="C536" s="38"/>
      <c r="D536" s="38"/>
      <c r="E536" s="38"/>
      <c r="F536" s="38"/>
      <c r="G536" s="55">
        <f>ROUND(+F534/F535,2)</f>
        <v>2.23</v>
      </c>
    </row>
    <row r="537" spans="1:7" ht="15" x14ac:dyDescent="0.2">
      <c r="A537" s="42"/>
      <c r="B537" s="38"/>
      <c r="C537" s="38"/>
      <c r="D537" s="38"/>
      <c r="E537" s="38"/>
      <c r="F537" s="38"/>
      <c r="G537" s="52"/>
    </row>
    <row r="538" spans="1:7" ht="15" x14ac:dyDescent="0.2">
      <c r="A538" s="42"/>
      <c r="B538" s="38"/>
      <c r="C538" s="38"/>
      <c r="D538" s="38"/>
      <c r="E538" s="38"/>
      <c r="F538" s="38"/>
      <c r="G538" s="52"/>
    </row>
    <row r="539" spans="1:7" ht="16.5" thickBot="1" x14ac:dyDescent="0.3">
      <c r="A539" s="35" t="s">
        <v>28</v>
      </c>
      <c r="B539" s="36"/>
      <c r="C539" s="38"/>
      <c r="D539" s="38"/>
      <c r="E539" s="38"/>
      <c r="F539" s="38"/>
      <c r="G539" s="58">
        <f>SUM(G530:G536)</f>
        <v>2.65</v>
      </c>
    </row>
    <row r="540" spans="1:7" ht="14.25" thickTop="1" thickBot="1" x14ac:dyDescent="0.25">
      <c r="A540" s="19"/>
      <c r="B540" s="20"/>
      <c r="C540" s="20"/>
      <c r="D540" s="20"/>
      <c r="E540" s="20"/>
      <c r="F540" s="20"/>
      <c r="G540" s="21"/>
    </row>
    <row r="541" spans="1:7" ht="15" x14ac:dyDescent="0.2">
      <c r="A541" s="300" t="s">
        <v>29</v>
      </c>
      <c r="B541" s="301"/>
      <c r="C541" s="301"/>
      <c r="D541" s="301"/>
      <c r="E541" s="301"/>
      <c r="F541" s="301"/>
      <c r="G541" s="302"/>
    </row>
    <row r="542" spans="1:7" ht="15" x14ac:dyDescent="0.2">
      <c r="A542" s="49"/>
      <c r="B542" s="50"/>
      <c r="C542" s="50"/>
      <c r="D542" s="50"/>
      <c r="E542" s="50"/>
      <c r="F542" s="50"/>
      <c r="G542" s="64"/>
    </row>
    <row r="543" spans="1:7" ht="15.75" x14ac:dyDescent="0.25">
      <c r="A543" s="49"/>
      <c r="B543" s="50"/>
      <c r="C543" s="43"/>
      <c r="D543" s="43"/>
      <c r="E543" s="43" t="s">
        <v>13</v>
      </c>
      <c r="F543" s="43" t="s">
        <v>3</v>
      </c>
      <c r="G543" s="64"/>
    </row>
    <row r="544" spans="1:7" ht="15.75" x14ac:dyDescent="0.25">
      <c r="A544" s="49"/>
      <c r="B544" s="50"/>
      <c r="C544" s="65" t="s">
        <v>20</v>
      </c>
      <c r="D544" s="65"/>
      <c r="E544" s="65" t="s">
        <v>22</v>
      </c>
      <c r="F544" s="65" t="s">
        <v>6</v>
      </c>
      <c r="G544" s="64"/>
    </row>
    <row r="545" spans="1:7" ht="15.75" x14ac:dyDescent="0.25">
      <c r="A545" s="45" t="s">
        <v>83</v>
      </c>
      <c r="B545" s="36"/>
      <c r="C545" s="66"/>
      <c r="D545" s="66"/>
      <c r="E545" s="66"/>
      <c r="F545" s="66"/>
      <c r="G545" s="64"/>
    </row>
    <row r="546" spans="1:7" ht="15.75" x14ac:dyDescent="0.25">
      <c r="A546" s="42" t="s">
        <v>57</v>
      </c>
      <c r="B546" s="50"/>
      <c r="C546" s="67">
        <v>3165.2666666666669</v>
      </c>
      <c r="D546" s="67"/>
      <c r="E546" s="68">
        <f>+E603</f>
        <v>0.26</v>
      </c>
      <c r="F546" s="54">
        <f>E546*C546</f>
        <v>822.96933333333345</v>
      </c>
      <c r="G546" s="64"/>
    </row>
    <row r="547" spans="1:7" ht="17.25" x14ac:dyDescent="0.35">
      <c r="A547" s="49" t="s">
        <v>58</v>
      </c>
      <c r="B547" s="50"/>
      <c r="C547" s="51">
        <v>15187.712732919255</v>
      </c>
      <c r="D547" s="51"/>
      <c r="E547" s="68">
        <f>+G618</f>
        <v>0.24</v>
      </c>
      <c r="F547" s="132">
        <f>E547*C547</f>
        <v>3645.0510559006211</v>
      </c>
      <c r="G547" s="64"/>
    </row>
    <row r="548" spans="1:7" ht="15" x14ac:dyDescent="0.2">
      <c r="A548" s="42" t="s">
        <v>3</v>
      </c>
      <c r="B548" s="50"/>
      <c r="C548" s="67">
        <f>SUM(C546:C547)</f>
        <v>18352.979399585922</v>
      </c>
      <c r="D548" s="67"/>
      <c r="E548" s="50"/>
      <c r="F548" s="54">
        <f>SUM(F546:F547)</f>
        <v>4468.0203892339541</v>
      </c>
      <c r="G548" s="64"/>
    </row>
    <row r="549" spans="1:7" ht="15" x14ac:dyDescent="0.2">
      <c r="A549" s="42"/>
      <c r="B549" s="50"/>
      <c r="C549" s="50"/>
      <c r="D549" s="50"/>
      <c r="E549" s="50"/>
      <c r="F549" s="54"/>
      <c r="G549" s="64"/>
    </row>
    <row r="550" spans="1:7" ht="15.75" x14ac:dyDescent="0.25">
      <c r="A550" s="35" t="s">
        <v>23</v>
      </c>
      <c r="B550" s="50"/>
      <c r="C550" s="50"/>
      <c r="D550" s="50"/>
      <c r="E550" s="50"/>
      <c r="F550" s="54">
        <v>6208.3877211296831</v>
      </c>
      <c r="G550" s="64"/>
    </row>
    <row r="551" spans="1:7" ht="15" x14ac:dyDescent="0.2">
      <c r="A551" s="42"/>
      <c r="B551" s="50"/>
      <c r="C551" s="50"/>
      <c r="D551" s="50"/>
      <c r="E551" s="50"/>
      <c r="F551" s="54"/>
      <c r="G551" s="64"/>
    </row>
    <row r="552" spans="1:7" ht="15" x14ac:dyDescent="0.2">
      <c r="A552" s="42" t="s">
        <v>99</v>
      </c>
      <c r="B552" s="50"/>
      <c r="C552" s="50"/>
      <c r="D552" s="50"/>
      <c r="E552" s="50"/>
      <c r="F552" s="131">
        <f>F550-F548</f>
        <v>1740.367331895729</v>
      </c>
      <c r="G552" s="64"/>
    </row>
    <row r="553" spans="1:7" ht="17.25" x14ac:dyDescent="0.35">
      <c r="A553" s="42" t="s">
        <v>101</v>
      </c>
      <c r="B553" s="50"/>
      <c r="C553" s="135">
        <f>-0.28+0.23</f>
        <v>-5.0000000000000017E-2</v>
      </c>
      <c r="D553" s="50"/>
      <c r="E553" s="50"/>
      <c r="F553" s="133">
        <f>C553*C546</f>
        <v>-158.26333333333341</v>
      </c>
      <c r="G553" s="64"/>
    </row>
    <row r="554" spans="1:7" ht="15" x14ac:dyDescent="0.2">
      <c r="A554" s="134" t="s">
        <v>98</v>
      </c>
      <c r="B554" s="50"/>
      <c r="C554" s="50"/>
      <c r="D554" s="50"/>
      <c r="E554" s="50"/>
      <c r="F554" s="131">
        <f>SUM(F552:F553)</f>
        <v>1582.1039985623956</v>
      </c>
      <c r="G554" s="64"/>
    </row>
    <row r="555" spans="1:7" ht="15" x14ac:dyDescent="0.2">
      <c r="A555" s="42"/>
      <c r="B555" s="50"/>
      <c r="C555" s="50"/>
      <c r="D555" s="50"/>
      <c r="E555" s="50"/>
      <c r="F555" s="50"/>
      <c r="G555" s="64"/>
    </row>
    <row r="556" spans="1:7" ht="15" x14ac:dyDescent="0.2">
      <c r="A556" s="42" t="s">
        <v>25</v>
      </c>
      <c r="B556" s="50"/>
      <c r="C556" s="50"/>
      <c r="D556" s="50"/>
      <c r="E556" s="50"/>
      <c r="F556" s="67">
        <f>+C548</f>
        <v>18352.979399585922</v>
      </c>
      <c r="G556" s="64"/>
    </row>
    <row r="557" spans="1:7" ht="15" x14ac:dyDescent="0.2">
      <c r="A557" s="42"/>
      <c r="B557" s="50"/>
      <c r="C557" s="50"/>
      <c r="D557" s="50"/>
      <c r="E557" s="50"/>
      <c r="F557" s="50"/>
      <c r="G557" s="64"/>
    </row>
    <row r="558" spans="1:7" ht="15" x14ac:dyDescent="0.2">
      <c r="A558" s="42" t="s">
        <v>26</v>
      </c>
      <c r="B558" s="50"/>
      <c r="C558" s="50"/>
      <c r="D558" s="50"/>
      <c r="E558" s="50"/>
      <c r="F558" s="50"/>
      <c r="G558" s="70">
        <f>ROUND(F554/F556,2)</f>
        <v>0.09</v>
      </c>
    </row>
    <row r="559" spans="1:7" ht="15" x14ac:dyDescent="0.2">
      <c r="A559" s="42"/>
      <c r="B559" s="50"/>
      <c r="C559" s="50"/>
      <c r="D559" s="50"/>
      <c r="E559" s="50"/>
      <c r="F559" s="50"/>
      <c r="G559" s="70"/>
    </row>
    <row r="560" spans="1:7" ht="15" x14ac:dyDescent="0.2">
      <c r="A560" s="42"/>
      <c r="B560" s="50"/>
      <c r="C560" s="50"/>
      <c r="D560" s="50"/>
      <c r="E560" s="50"/>
      <c r="F560" s="67"/>
      <c r="G560" s="64"/>
    </row>
    <row r="561" spans="1:7" ht="15.75" x14ac:dyDescent="0.25">
      <c r="A561" s="42"/>
      <c r="B561" s="36"/>
      <c r="C561" s="50"/>
      <c r="D561" s="50"/>
      <c r="E561" s="50"/>
      <c r="F561" s="67"/>
      <c r="G561" s="64"/>
    </row>
    <row r="562" spans="1:7" ht="15.75" x14ac:dyDescent="0.25">
      <c r="A562" s="45" t="s">
        <v>96</v>
      </c>
      <c r="B562" s="50"/>
      <c r="C562" s="50"/>
      <c r="D562" s="50"/>
      <c r="E562" s="50"/>
      <c r="F562" s="54">
        <f>+F550</f>
        <v>6208.3877211296831</v>
      </c>
      <c r="G562" s="64"/>
    </row>
    <row r="563" spans="1:7" ht="15" x14ac:dyDescent="0.2">
      <c r="A563" s="42" t="s">
        <v>25</v>
      </c>
      <c r="B563" s="50"/>
      <c r="C563" s="50"/>
      <c r="D563" s="50"/>
      <c r="E563" s="50"/>
      <c r="F563" s="67">
        <f>+C548</f>
        <v>18352.979399585922</v>
      </c>
      <c r="G563" s="64"/>
    </row>
    <row r="564" spans="1:7" ht="17.25" x14ac:dyDescent="0.35">
      <c r="A564" s="42" t="s">
        <v>27</v>
      </c>
      <c r="B564" s="50"/>
      <c r="C564" s="50"/>
      <c r="D564" s="50"/>
      <c r="E564" s="50"/>
      <c r="F564" s="50"/>
      <c r="G564" s="57">
        <f>ROUND(+F562/F563,2)</f>
        <v>0.34</v>
      </c>
    </row>
    <row r="565" spans="1:7" ht="17.25" x14ac:dyDescent="0.35">
      <c r="A565" s="42"/>
      <c r="B565" s="50"/>
      <c r="C565" s="50"/>
      <c r="D565" s="50"/>
      <c r="E565" s="50"/>
      <c r="F565" s="50"/>
      <c r="G565" s="57"/>
    </row>
    <row r="566" spans="1:7" ht="16.5" thickBot="1" x14ac:dyDescent="0.3">
      <c r="A566" s="35" t="s">
        <v>30</v>
      </c>
      <c r="B566" s="36"/>
      <c r="C566" s="50"/>
      <c r="D566" s="50"/>
      <c r="E566" s="50"/>
      <c r="F566" s="50"/>
      <c r="G566" s="71">
        <f>+G564+G558+G559</f>
        <v>0.43000000000000005</v>
      </c>
    </row>
    <row r="567" spans="1:7" ht="16.5" thickTop="1" thickBot="1" x14ac:dyDescent="0.25">
      <c r="A567" s="72"/>
      <c r="B567" s="73"/>
      <c r="C567" s="73"/>
      <c r="D567" s="73"/>
      <c r="E567" s="73"/>
      <c r="F567" s="73"/>
      <c r="G567" s="74"/>
    </row>
    <row r="568" spans="1:7" ht="23.25" x14ac:dyDescent="0.35">
      <c r="A568" s="31" t="s">
        <v>56</v>
      </c>
      <c r="B568" s="32"/>
      <c r="C568" s="33"/>
      <c r="D568" s="33"/>
      <c r="E568" s="33"/>
      <c r="F568" s="33"/>
      <c r="G568" s="34"/>
    </row>
    <row r="569" spans="1:7" ht="15.75" x14ac:dyDescent="0.25">
      <c r="A569" s="35" t="s">
        <v>82</v>
      </c>
      <c r="B569" s="36"/>
      <c r="C569" s="37"/>
      <c r="D569" s="37"/>
      <c r="E569" s="38"/>
      <c r="F569" s="38"/>
      <c r="G569" s="39"/>
    </row>
    <row r="570" spans="1:7" ht="15.75" x14ac:dyDescent="0.25">
      <c r="A570" s="40"/>
      <c r="B570" s="41"/>
      <c r="C570" s="38"/>
      <c r="D570" s="38"/>
      <c r="E570" s="38"/>
      <c r="F570" s="38"/>
      <c r="G570" s="39"/>
    </row>
    <row r="571" spans="1:7" ht="15" x14ac:dyDescent="0.2">
      <c r="A571" s="300" t="s">
        <v>21</v>
      </c>
      <c r="B571" s="301"/>
      <c r="C571" s="301"/>
      <c r="D571" s="301"/>
      <c r="E571" s="301"/>
      <c r="F571" s="301"/>
      <c r="G571" s="302"/>
    </row>
    <row r="572" spans="1:7" ht="15" x14ac:dyDescent="0.2">
      <c r="A572" s="42"/>
      <c r="B572" s="38"/>
      <c r="C572" s="38"/>
      <c r="D572" s="38"/>
      <c r="E572" s="38"/>
      <c r="F572" s="38"/>
      <c r="G572" s="39"/>
    </row>
    <row r="573" spans="1:7" ht="15.75" x14ac:dyDescent="0.25">
      <c r="A573" s="42"/>
      <c r="B573" s="38"/>
      <c r="C573" s="43"/>
      <c r="D573" s="43"/>
      <c r="E573" s="43" t="s">
        <v>13</v>
      </c>
      <c r="F573" s="43" t="s">
        <v>3</v>
      </c>
      <c r="G573" s="39"/>
    </row>
    <row r="574" spans="1:7" ht="15.75" x14ac:dyDescent="0.25">
      <c r="A574" s="42"/>
      <c r="B574" s="38"/>
      <c r="C574" s="44" t="s">
        <v>5</v>
      </c>
      <c r="D574" s="44"/>
      <c r="E574" s="44" t="s">
        <v>22</v>
      </c>
      <c r="F574" s="44" t="s">
        <v>6</v>
      </c>
      <c r="G574" s="39"/>
    </row>
    <row r="575" spans="1:7" ht="15.75" x14ac:dyDescent="0.25">
      <c r="A575" s="45" t="s">
        <v>76</v>
      </c>
      <c r="B575" s="36"/>
      <c r="C575" s="46"/>
      <c r="D575" s="46"/>
      <c r="E575" s="46"/>
      <c r="F575" s="46"/>
      <c r="G575" s="39"/>
    </row>
    <row r="576" spans="1:7" ht="15.75" x14ac:dyDescent="0.25">
      <c r="A576" s="42" t="s">
        <v>57</v>
      </c>
      <c r="B576" s="38"/>
      <c r="C576" s="47">
        <v>42479</v>
      </c>
      <c r="D576" s="47"/>
      <c r="E576" s="48">
        <f>+E631</f>
        <v>1.96</v>
      </c>
      <c r="F576" s="47">
        <f>C576*E576</f>
        <v>83258.84</v>
      </c>
      <c r="G576" s="39"/>
    </row>
    <row r="577" spans="1:7" ht="17.25" x14ac:dyDescent="0.35">
      <c r="A577" s="49" t="s">
        <v>58</v>
      </c>
      <c r="B577" s="50"/>
      <c r="C577" s="51">
        <v>213820</v>
      </c>
      <c r="D577" s="51"/>
      <c r="E577" s="48">
        <f>+G646</f>
        <v>1.99</v>
      </c>
      <c r="F577" s="51">
        <f>C577*E577</f>
        <v>425501.8</v>
      </c>
      <c r="G577" s="39"/>
    </row>
    <row r="578" spans="1:7" ht="17.25" x14ac:dyDescent="0.35">
      <c r="A578" s="42" t="s">
        <v>3</v>
      </c>
      <c r="B578" s="38"/>
      <c r="C578" s="47">
        <f>SUM(C576:C577)</f>
        <v>256299</v>
      </c>
      <c r="D578" s="51"/>
      <c r="E578" s="38"/>
      <c r="F578" s="47">
        <f>SUM(F576:F577)</f>
        <v>508760.64</v>
      </c>
      <c r="G578" s="39"/>
    </row>
    <row r="579" spans="1:7" ht="15" x14ac:dyDescent="0.2">
      <c r="A579" s="42"/>
      <c r="B579" s="38"/>
      <c r="C579" s="38"/>
      <c r="D579" s="38"/>
      <c r="E579" s="38"/>
      <c r="F579" s="38"/>
      <c r="G579" s="39"/>
    </row>
    <row r="580" spans="1:7" ht="15.75" x14ac:dyDescent="0.25">
      <c r="A580" s="35" t="s">
        <v>23</v>
      </c>
      <c r="B580" s="38"/>
      <c r="C580" s="38"/>
      <c r="D580" s="38"/>
      <c r="E580" s="38"/>
      <c r="F580" s="47">
        <v>438426</v>
      </c>
      <c r="G580" s="39"/>
    </row>
    <row r="581" spans="1:7" ht="15" x14ac:dyDescent="0.2">
      <c r="A581" s="42"/>
      <c r="B581" s="38"/>
      <c r="C581" s="38"/>
      <c r="D581" s="38"/>
      <c r="E581" s="38"/>
      <c r="F581" s="38"/>
      <c r="G581" s="39"/>
    </row>
    <row r="582" spans="1:7" ht="15" x14ac:dyDescent="0.2">
      <c r="A582" s="42" t="s">
        <v>24</v>
      </c>
      <c r="B582" s="38"/>
      <c r="C582" s="38"/>
      <c r="D582" s="38"/>
      <c r="E582" s="38"/>
      <c r="F582" s="47">
        <f>F580-F578</f>
        <v>-70334.640000000014</v>
      </c>
      <c r="G582" s="39"/>
    </row>
    <row r="583" spans="1:7" ht="15" x14ac:dyDescent="0.2">
      <c r="A583" s="42"/>
      <c r="B583" s="38"/>
      <c r="C583" s="38"/>
      <c r="D583" s="38"/>
      <c r="E583" s="38"/>
      <c r="F583" s="38"/>
      <c r="G583" s="39"/>
    </row>
    <row r="584" spans="1:7" ht="15" x14ac:dyDescent="0.2">
      <c r="A584" s="42" t="s">
        <v>25</v>
      </c>
      <c r="B584" s="38"/>
      <c r="C584" s="38"/>
      <c r="D584" s="38"/>
      <c r="E584" s="38"/>
      <c r="F584" s="47">
        <f>+C578</f>
        <v>256299</v>
      </c>
      <c r="G584" s="39"/>
    </row>
    <row r="585" spans="1:7" ht="15" x14ac:dyDescent="0.2">
      <c r="A585" s="42"/>
      <c r="B585" s="38"/>
      <c r="C585" s="38"/>
      <c r="D585" s="38"/>
      <c r="E585" s="38"/>
      <c r="F585" s="38"/>
      <c r="G585" s="39"/>
    </row>
    <row r="586" spans="1:7" ht="15" x14ac:dyDescent="0.2">
      <c r="A586" s="42" t="s">
        <v>26</v>
      </c>
      <c r="B586" s="38"/>
      <c r="C586" s="38"/>
      <c r="D586" s="38"/>
      <c r="E586" s="38"/>
      <c r="F586" s="61"/>
      <c r="G586" s="52">
        <f>ROUND(F582/F584,2)</f>
        <v>-0.27</v>
      </c>
    </row>
    <row r="587" spans="1:7" ht="15" x14ac:dyDescent="0.2">
      <c r="A587" s="42"/>
      <c r="B587" s="38"/>
      <c r="C587" s="38"/>
      <c r="D587" s="38"/>
      <c r="E587" s="38"/>
      <c r="F587" s="38"/>
      <c r="G587" s="52"/>
    </row>
    <row r="588" spans="1:7" ht="15" x14ac:dyDescent="0.2">
      <c r="A588" s="42"/>
      <c r="B588" s="38"/>
      <c r="C588" s="38"/>
      <c r="D588" s="38"/>
      <c r="E588" s="38"/>
      <c r="F588" s="38"/>
      <c r="G588" s="52"/>
    </row>
    <row r="589" spans="1:7" ht="15" x14ac:dyDescent="0.2">
      <c r="A589" s="42"/>
      <c r="B589" s="38"/>
      <c r="C589" s="38"/>
      <c r="D589" s="38"/>
      <c r="E589" s="38"/>
      <c r="F589" s="38"/>
      <c r="G589" s="52"/>
    </row>
    <row r="590" spans="1:7" ht="15.75" x14ac:dyDescent="0.25">
      <c r="A590" s="45" t="s">
        <v>83</v>
      </c>
      <c r="B590" s="36"/>
      <c r="C590" s="38"/>
      <c r="D590" s="38"/>
      <c r="E590" s="38"/>
      <c r="F590" s="53">
        <f>+F580</f>
        <v>438426</v>
      </c>
      <c r="G590" s="52"/>
    </row>
    <row r="591" spans="1:7" ht="15" x14ac:dyDescent="0.2">
      <c r="A591" s="42" t="s">
        <v>25</v>
      </c>
      <c r="B591" s="38"/>
      <c r="C591" s="38"/>
      <c r="D591" s="38"/>
      <c r="E591" s="38"/>
      <c r="F591" s="47">
        <f>+C578</f>
        <v>256299</v>
      </c>
      <c r="G591" s="52"/>
    </row>
    <row r="592" spans="1:7" ht="17.25" x14ac:dyDescent="0.35">
      <c r="A592" s="42" t="s">
        <v>27</v>
      </c>
      <c r="B592" s="38"/>
      <c r="C592" s="38"/>
      <c r="D592" s="38"/>
      <c r="E592" s="38"/>
      <c r="F592" s="38"/>
      <c r="G592" s="55">
        <f>ROUND(+F590/F591,2)</f>
        <v>1.71</v>
      </c>
    </row>
    <row r="593" spans="1:8" ht="15" x14ac:dyDescent="0.2">
      <c r="A593" s="42"/>
      <c r="B593" s="38"/>
      <c r="C593" s="38"/>
      <c r="D593" s="38"/>
      <c r="E593" s="38"/>
      <c r="F593" s="38"/>
      <c r="G593" s="52"/>
    </row>
    <row r="594" spans="1:8" ht="15" x14ac:dyDescent="0.2">
      <c r="A594" s="42"/>
      <c r="B594" s="38"/>
      <c r="C594" s="38"/>
      <c r="D594" s="38"/>
      <c r="E594" s="38"/>
      <c r="F594" s="38"/>
      <c r="G594" s="52"/>
    </row>
    <row r="595" spans="1:8" ht="16.5" thickBot="1" x14ac:dyDescent="0.3">
      <c r="A595" s="35" t="s">
        <v>28</v>
      </c>
      <c r="B595" s="36"/>
      <c r="C595" s="38"/>
      <c r="D595" s="38"/>
      <c r="E595" s="38"/>
      <c r="F595" s="38"/>
      <c r="G595" s="58">
        <f>SUM(G586:G592)</f>
        <v>1.44</v>
      </c>
      <c r="H595" s="18"/>
    </row>
    <row r="596" spans="1:8" ht="14.25" thickTop="1" thickBot="1" x14ac:dyDescent="0.25">
      <c r="A596" s="19"/>
      <c r="B596" s="20"/>
      <c r="C596" s="20"/>
      <c r="D596" s="20"/>
      <c r="E596" s="20"/>
      <c r="F596" s="20"/>
      <c r="G596" s="21"/>
    </row>
    <row r="597" spans="1:8" ht="15" x14ac:dyDescent="0.2">
      <c r="A597" s="300" t="s">
        <v>29</v>
      </c>
      <c r="B597" s="301"/>
      <c r="C597" s="301"/>
      <c r="D597" s="301"/>
      <c r="E597" s="301"/>
      <c r="F597" s="301"/>
      <c r="G597" s="302"/>
    </row>
    <row r="598" spans="1:8" ht="15" x14ac:dyDescent="0.2">
      <c r="A598" s="49"/>
      <c r="B598" s="50"/>
      <c r="C598" s="50"/>
      <c r="D598" s="50"/>
      <c r="E598" s="50"/>
      <c r="F598" s="50"/>
      <c r="G598" s="64"/>
    </row>
    <row r="599" spans="1:8" ht="15.75" x14ac:dyDescent="0.25">
      <c r="A599" s="49"/>
      <c r="B599" s="50"/>
      <c r="C599" s="43"/>
      <c r="D599" s="43"/>
      <c r="E599" s="43" t="s">
        <v>13</v>
      </c>
      <c r="F599" s="43" t="s">
        <v>3</v>
      </c>
      <c r="G599" s="64"/>
    </row>
    <row r="600" spans="1:8" ht="15.75" x14ac:dyDescent="0.25">
      <c r="A600" s="49"/>
      <c r="B600" s="50"/>
      <c r="C600" s="65" t="s">
        <v>20</v>
      </c>
      <c r="D600" s="65"/>
      <c r="E600" s="65" t="s">
        <v>22</v>
      </c>
      <c r="F600" s="65" t="s">
        <v>6</v>
      </c>
      <c r="G600" s="64"/>
    </row>
    <row r="601" spans="1:8" ht="15.75" x14ac:dyDescent="0.25">
      <c r="A601" s="45" t="s">
        <v>76</v>
      </c>
      <c r="B601" s="36"/>
      <c r="C601" s="66"/>
      <c r="D601" s="66"/>
      <c r="E601" s="66"/>
      <c r="F601" s="66"/>
      <c r="G601" s="64"/>
    </row>
    <row r="602" spans="1:8" ht="15.75" x14ac:dyDescent="0.25">
      <c r="A602" s="42" t="s">
        <v>57</v>
      </c>
      <c r="B602" s="50"/>
      <c r="C602" s="67">
        <v>3158</v>
      </c>
      <c r="D602" s="67"/>
      <c r="E602" s="68">
        <f>+E657</f>
        <v>0.23</v>
      </c>
      <c r="F602" s="67">
        <f>E602*C602</f>
        <v>726.34</v>
      </c>
      <c r="G602" s="64"/>
    </row>
    <row r="603" spans="1:8" ht="17.25" x14ac:dyDescent="0.35">
      <c r="A603" s="49" t="s">
        <v>58</v>
      </c>
      <c r="B603" s="50"/>
      <c r="C603" s="51">
        <v>15916</v>
      </c>
      <c r="D603" s="51"/>
      <c r="E603" s="68">
        <f>+G672</f>
        <v>0.26</v>
      </c>
      <c r="F603" s="51">
        <f>E603*C603</f>
        <v>4138.16</v>
      </c>
      <c r="G603" s="64"/>
    </row>
    <row r="604" spans="1:8" ht="15" x14ac:dyDescent="0.2">
      <c r="A604" s="42" t="s">
        <v>3</v>
      </c>
      <c r="B604" s="50"/>
      <c r="C604" s="67">
        <f>SUM(C602:C603)</f>
        <v>19074</v>
      </c>
      <c r="D604" s="67"/>
      <c r="E604" s="50"/>
      <c r="F604" s="67">
        <f>SUM(F602:F603)</f>
        <v>4864.5</v>
      </c>
      <c r="G604" s="64"/>
    </row>
    <row r="605" spans="1:8" ht="15" x14ac:dyDescent="0.2">
      <c r="A605" s="42"/>
      <c r="B605" s="50"/>
      <c r="C605" s="50"/>
      <c r="D605" s="50"/>
      <c r="E605" s="50"/>
      <c r="F605" s="50"/>
      <c r="G605" s="64"/>
    </row>
    <row r="606" spans="1:8" ht="15.75" x14ac:dyDescent="0.25">
      <c r="A606" s="35" t="s">
        <v>23</v>
      </c>
      <c r="B606" s="50"/>
      <c r="C606" s="50"/>
      <c r="D606" s="50"/>
      <c r="E606" s="50"/>
      <c r="F606" s="69">
        <v>4652</v>
      </c>
      <c r="G606" s="64"/>
    </row>
    <row r="607" spans="1:8" ht="15" x14ac:dyDescent="0.2">
      <c r="A607" s="42"/>
      <c r="B607" s="50"/>
      <c r="C607" s="50"/>
      <c r="D607" s="50"/>
      <c r="E607" s="50"/>
      <c r="F607" s="50"/>
      <c r="G607" s="64"/>
    </row>
    <row r="608" spans="1:8" ht="15" x14ac:dyDescent="0.2">
      <c r="A608" s="42" t="s">
        <v>24</v>
      </c>
      <c r="B608" s="50"/>
      <c r="C608" s="50"/>
      <c r="D608" s="50"/>
      <c r="E608" s="50"/>
      <c r="F608" s="47">
        <f>F606-F604</f>
        <v>-212.5</v>
      </c>
      <c r="G608" s="64"/>
    </row>
    <row r="609" spans="1:8" ht="15" x14ac:dyDescent="0.2">
      <c r="A609" s="42"/>
      <c r="B609" s="50"/>
      <c r="C609" s="50"/>
      <c r="D609" s="50"/>
      <c r="E609" s="50"/>
      <c r="F609" s="50"/>
      <c r="G609" s="64"/>
    </row>
    <row r="610" spans="1:8" ht="15" x14ac:dyDescent="0.2">
      <c r="A610" s="42" t="s">
        <v>25</v>
      </c>
      <c r="B610" s="50"/>
      <c r="C610" s="50"/>
      <c r="D610" s="50"/>
      <c r="E610" s="50"/>
      <c r="F610" s="67">
        <f>+C604</f>
        <v>19074</v>
      </c>
      <c r="G610" s="64"/>
    </row>
    <row r="611" spans="1:8" ht="15" x14ac:dyDescent="0.2">
      <c r="A611" s="42"/>
      <c r="B611" s="50"/>
      <c r="C611" s="50"/>
      <c r="D611" s="50"/>
      <c r="E611" s="50"/>
      <c r="F611" s="50"/>
      <c r="G611" s="64"/>
    </row>
    <row r="612" spans="1:8" ht="15" x14ac:dyDescent="0.2">
      <c r="A612" s="42" t="s">
        <v>26</v>
      </c>
      <c r="B612" s="50"/>
      <c r="C612" s="50"/>
      <c r="D612" s="50"/>
      <c r="E612" s="50"/>
      <c r="F612" s="50"/>
      <c r="G612" s="70">
        <f>ROUND(F608/F610,2)</f>
        <v>-0.01</v>
      </c>
    </row>
    <row r="613" spans="1:8" ht="15" x14ac:dyDescent="0.2">
      <c r="A613" s="42"/>
      <c r="B613" s="50"/>
      <c r="C613" s="50"/>
      <c r="D613" s="50"/>
      <c r="E613" s="50"/>
      <c r="F613" s="50"/>
      <c r="G613" s="70"/>
    </row>
    <row r="614" spans="1:8" ht="15" x14ac:dyDescent="0.2">
      <c r="A614" s="42"/>
      <c r="B614" s="50"/>
      <c r="C614" s="50"/>
      <c r="D614" s="50"/>
      <c r="E614" s="50"/>
      <c r="F614" s="67"/>
      <c r="G614" s="64"/>
    </row>
    <row r="615" spans="1:8" ht="15.75" x14ac:dyDescent="0.25">
      <c r="A615" s="42"/>
      <c r="B615" s="36"/>
      <c r="C615" s="50"/>
      <c r="D615" s="50"/>
      <c r="E615" s="50"/>
      <c r="F615" s="67"/>
      <c r="G615" s="64"/>
    </row>
    <row r="616" spans="1:8" ht="15.75" x14ac:dyDescent="0.25">
      <c r="A616" s="45" t="s">
        <v>83</v>
      </c>
      <c r="B616" s="50"/>
      <c r="C616" s="50"/>
      <c r="D616" s="50"/>
      <c r="E616" s="50"/>
      <c r="F616" s="54">
        <f>+F606</f>
        <v>4652</v>
      </c>
      <c r="G616" s="64"/>
    </row>
    <row r="617" spans="1:8" ht="15" x14ac:dyDescent="0.2">
      <c r="A617" s="42" t="s">
        <v>25</v>
      </c>
      <c r="B617" s="50"/>
      <c r="C617" s="50"/>
      <c r="D617" s="50"/>
      <c r="E617" s="50"/>
      <c r="F617" s="67">
        <f>+C604</f>
        <v>19074</v>
      </c>
      <c r="G617" s="64"/>
    </row>
    <row r="618" spans="1:8" ht="17.25" x14ac:dyDescent="0.35">
      <c r="A618" s="42" t="s">
        <v>27</v>
      </c>
      <c r="B618" s="50"/>
      <c r="C618" s="50"/>
      <c r="D618" s="50"/>
      <c r="E618" s="50"/>
      <c r="F618" s="50"/>
      <c r="G618" s="57">
        <f>ROUND(+F616/F617,2)</f>
        <v>0.24</v>
      </c>
      <c r="H618" s="18"/>
    </row>
    <row r="619" spans="1:8" ht="17.25" x14ac:dyDescent="0.35">
      <c r="A619" s="42"/>
      <c r="B619" s="50"/>
      <c r="C619" s="50"/>
      <c r="D619" s="50"/>
      <c r="E619" s="50"/>
      <c r="F619" s="50"/>
      <c r="G619" s="57"/>
    </row>
    <row r="620" spans="1:8" ht="16.5" thickBot="1" x14ac:dyDescent="0.3">
      <c r="A620" s="35" t="s">
        <v>30</v>
      </c>
      <c r="B620" s="36"/>
      <c r="C620" s="50"/>
      <c r="D620" s="50"/>
      <c r="E620" s="50"/>
      <c r="F620" s="50"/>
      <c r="G620" s="71">
        <f>+G618+G612+G613</f>
        <v>0.22999999999999998</v>
      </c>
    </row>
    <row r="621" spans="1:8" ht="16.5" thickTop="1" thickBot="1" x14ac:dyDescent="0.25">
      <c r="A621" s="72"/>
      <c r="B621" s="73"/>
      <c r="C621" s="73"/>
      <c r="D621" s="73"/>
      <c r="E621" s="73"/>
      <c r="F621" s="73"/>
      <c r="G621" s="74"/>
    </row>
    <row r="622" spans="1:8" ht="23.25" x14ac:dyDescent="0.35">
      <c r="A622" s="31" t="s">
        <v>56</v>
      </c>
      <c r="B622" s="32"/>
      <c r="C622" s="33"/>
      <c r="D622" s="33"/>
      <c r="E622" s="33"/>
      <c r="F622" s="33"/>
      <c r="G622" s="34"/>
    </row>
    <row r="623" spans="1:8" ht="15.75" x14ac:dyDescent="0.25">
      <c r="A623" s="35" t="s">
        <v>77</v>
      </c>
      <c r="B623" s="36"/>
      <c r="C623" s="37"/>
      <c r="D623" s="37"/>
      <c r="E623" s="38"/>
      <c r="F623" s="38"/>
      <c r="G623" s="39"/>
    </row>
    <row r="624" spans="1:8" ht="15.75" x14ac:dyDescent="0.25">
      <c r="A624" s="40"/>
      <c r="B624" s="41"/>
      <c r="C624" s="38"/>
      <c r="D624" s="38"/>
      <c r="E624" s="38"/>
      <c r="F624" s="38"/>
      <c r="G624" s="39"/>
    </row>
    <row r="625" spans="1:7" ht="15" x14ac:dyDescent="0.2">
      <c r="A625" s="300" t="s">
        <v>21</v>
      </c>
      <c r="B625" s="301"/>
      <c r="C625" s="301"/>
      <c r="D625" s="301"/>
      <c r="E625" s="301"/>
      <c r="F625" s="301"/>
      <c r="G625" s="302"/>
    </row>
    <row r="626" spans="1:7" ht="15" x14ac:dyDescent="0.2">
      <c r="A626" s="42"/>
      <c r="B626" s="38"/>
      <c r="C626" s="38"/>
      <c r="D626" s="38"/>
      <c r="E626" s="38"/>
      <c r="F626" s="38"/>
      <c r="G626" s="39"/>
    </row>
    <row r="627" spans="1:7" ht="15.75" x14ac:dyDescent="0.25">
      <c r="A627" s="42"/>
      <c r="B627" s="38"/>
      <c r="C627" s="43"/>
      <c r="D627" s="43"/>
      <c r="E627" s="43" t="s">
        <v>13</v>
      </c>
      <c r="F627" s="43" t="s">
        <v>3</v>
      </c>
      <c r="G627" s="39"/>
    </row>
    <row r="628" spans="1:7" ht="15.75" x14ac:dyDescent="0.25">
      <c r="A628" s="42"/>
      <c r="B628" s="38"/>
      <c r="C628" s="44" t="s">
        <v>5</v>
      </c>
      <c r="D628" s="44"/>
      <c r="E628" s="44" t="s">
        <v>22</v>
      </c>
      <c r="F628" s="44" t="s">
        <v>6</v>
      </c>
      <c r="G628" s="39"/>
    </row>
    <row r="629" spans="1:7" ht="15.75" x14ac:dyDescent="0.25">
      <c r="A629" s="45" t="s">
        <v>60</v>
      </c>
      <c r="B629" s="36"/>
      <c r="C629" s="46"/>
      <c r="D629" s="46"/>
      <c r="E629" s="46"/>
      <c r="F629" s="46"/>
      <c r="G629" s="39"/>
    </row>
    <row r="630" spans="1:7" ht="15.75" x14ac:dyDescent="0.25">
      <c r="A630" s="42" t="s">
        <v>57</v>
      </c>
      <c r="B630" s="38"/>
      <c r="C630" s="47">
        <v>41334</v>
      </c>
      <c r="D630" s="47"/>
      <c r="E630" s="48">
        <f>+E685</f>
        <v>1.6641107756753206</v>
      </c>
      <c r="F630" s="47">
        <f>C630*E630</f>
        <v>68784.354801763708</v>
      </c>
      <c r="G630" s="39"/>
    </row>
    <row r="631" spans="1:7" ht="17.25" x14ac:dyDescent="0.35">
      <c r="A631" s="49" t="s">
        <v>58</v>
      </c>
      <c r="B631" s="50"/>
      <c r="C631" s="51">
        <v>206670</v>
      </c>
      <c r="D631" s="51"/>
      <c r="E631" s="48">
        <f>+G700</f>
        <v>1.96</v>
      </c>
      <c r="F631" s="51">
        <f>C631*E631</f>
        <v>405073.2</v>
      </c>
      <c r="G631" s="39"/>
    </row>
    <row r="632" spans="1:7" ht="17.25" x14ac:dyDescent="0.35">
      <c r="A632" s="42" t="s">
        <v>3</v>
      </c>
      <c r="B632" s="38"/>
      <c r="C632" s="47">
        <f>SUM(C630:C631)</f>
        <v>248004</v>
      </c>
      <c r="D632" s="51"/>
      <c r="E632" s="38"/>
      <c r="F632" s="47">
        <f>SUM(F630:F631)</f>
        <v>473857.55480176373</v>
      </c>
      <c r="G632" s="39"/>
    </row>
    <row r="633" spans="1:7" ht="15" x14ac:dyDescent="0.2">
      <c r="A633" s="42"/>
      <c r="B633" s="38"/>
      <c r="C633" s="38"/>
      <c r="D633" s="38"/>
      <c r="E633" s="38"/>
      <c r="F633" s="38"/>
      <c r="G633" s="39"/>
    </row>
    <row r="634" spans="1:7" ht="15.75" x14ac:dyDescent="0.25">
      <c r="A634" s="35" t="s">
        <v>23</v>
      </c>
      <c r="B634" s="38"/>
      <c r="C634" s="38"/>
      <c r="D634" s="38"/>
      <c r="E634" s="38"/>
      <c r="F634" s="47">
        <v>494632</v>
      </c>
      <c r="G634" s="39"/>
    </row>
    <row r="635" spans="1:7" ht="15" x14ac:dyDescent="0.2">
      <c r="A635" s="42"/>
      <c r="B635" s="38"/>
      <c r="C635" s="38"/>
      <c r="D635" s="38"/>
      <c r="E635" s="38"/>
      <c r="F635" s="38"/>
      <c r="G635" s="39"/>
    </row>
    <row r="636" spans="1:7" ht="15" x14ac:dyDescent="0.2">
      <c r="A636" s="42" t="s">
        <v>24</v>
      </c>
      <c r="B636" s="38"/>
      <c r="C636" s="38"/>
      <c r="D636" s="38"/>
      <c r="E636" s="38"/>
      <c r="F636" s="47">
        <v>20775</v>
      </c>
      <c r="G636" s="39"/>
    </row>
    <row r="637" spans="1:7" ht="15" x14ac:dyDescent="0.2">
      <c r="A637" s="42"/>
      <c r="B637" s="38"/>
      <c r="C637" s="38"/>
      <c r="D637" s="38"/>
      <c r="E637" s="38"/>
      <c r="F637" s="38"/>
      <c r="G637" s="39"/>
    </row>
    <row r="638" spans="1:7" ht="15" x14ac:dyDescent="0.2">
      <c r="A638" s="42" t="s">
        <v>25</v>
      </c>
      <c r="B638" s="38"/>
      <c r="C638" s="38"/>
      <c r="D638" s="38"/>
      <c r="E638" s="38"/>
      <c r="F638" s="47">
        <f>+C632</f>
        <v>248004</v>
      </c>
      <c r="G638" s="39"/>
    </row>
    <row r="639" spans="1:7" ht="15" x14ac:dyDescent="0.2">
      <c r="A639" s="42"/>
      <c r="B639" s="38"/>
      <c r="C639" s="38"/>
      <c r="D639" s="38"/>
      <c r="E639" s="38"/>
      <c r="F639" s="38"/>
      <c r="G639" s="39"/>
    </row>
    <row r="640" spans="1:7" ht="15" x14ac:dyDescent="0.2">
      <c r="A640" s="42" t="s">
        <v>26</v>
      </c>
      <c r="B640" s="38"/>
      <c r="C640" s="38"/>
      <c r="D640" s="38"/>
      <c r="E640" s="38"/>
      <c r="F640" s="61"/>
      <c r="G640" s="52">
        <f>ROUND(F636/F638,2)</f>
        <v>0.08</v>
      </c>
    </row>
    <row r="641" spans="1:7" ht="15" x14ac:dyDescent="0.2">
      <c r="A641" s="42"/>
      <c r="B641" s="38"/>
      <c r="C641" s="38"/>
      <c r="D641" s="38"/>
      <c r="E641" s="38"/>
      <c r="F641" s="38"/>
      <c r="G641" s="52"/>
    </row>
    <row r="642" spans="1:7" ht="15" x14ac:dyDescent="0.2">
      <c r="A642" s="42"/>
      <c r="B642" s="38"/>
      <c r="C642" s="38"/>
      <c r="D642" s="38"/>
      <c r="E642" s="38"/>
      <c r="F642" s="38"/>
      <c r="G642" s="52"/>
    </row>
    <row r="643" spans="1:7" ht="15" x14ac:dyDescent="0.2">
      <c r="A643" s="42"/>
      <c r="B643" s="38"/>
      <c r="C643" s="38"/>
      <c r="D643" s="38"/>
      <c r="E643" s="38"/>
      <c r="F643" s="38"/>
      <c r="G643" s="52"/>
    </row>
    <row r="644" spans="1:7" ht="15.75" x14ac:dyDescent="0.25">
      <c r="A644" s="45" t="s">
        <v>76</v>
      </c>
      <c r="B644" s="36"/>
      <c r="C644" s="38"/>
      <c r="D644" s="38"/>
      <c r="E644" s="38"/>
      <c r="F644" s="53">
        <f>+F634</f>
        <v>494632</v>
      </c>
      <c r="G644" s="52"/>
    </row>
    <row r="645" spans="1:7" ht="15" x14ac:dyDescent="0.2">
      <c r="A645" s="42" t="s">
        <v>25</v>
      </c>
      <c r="B645" s="38"/>
      <c r="C645" s="38"/>
      <c r="D645" s="38"/>
      <c r="E645" s="38"/>
      <c r="F645" s="47">
        <f>+C632</f>
        <v>248004</v>
      </c>
      <c r="G645" s="52"/>
    </row>
    <row r="646" spans="1:7" ht="17.25" x14ac:dyDescent="0.35">
      <c r="A646" s="42" t="s">
        <v>27</v>
      </c>
      <c r="B646" s="38"/>
      <c r="C646" s="38"/>
      <c r="D646" s="38"/>
      <c r="E646" s="38"/>
      <c r="F646" s="38"/>
      <c r="G646" s="55">
        <f>ROUND(+F644/F645,2)</f>
        <v>1.99</v>
      </c>
    </row>
    <row r="647" spans="1:7" ht="15" x14ac:dyDescent="0.2">
      <c r="A647" s="42"/>
      <c r="B647" s="38"/>
      <c r="C647" s="38"/>
      <c r="D647" s="38"/>
      <c r="E647" s="38"/>
      <c r="F647" s="38"/>
      <c r="G647" s="52"/>
    </row>
    <row r="648" spans="1:7" ht="15" x14ac:dyDescent="0.2">
      <c r="A648" s="42"/>
      <c r="B648" s="38"/>
      <c r="C648" s="38"/>
      <c r="D648" s="38"/>
      <c r="E648" s="38"/>
      <c r="F648" s="38"/>
      <c r="G648" s="52"/>
    </row>
    <row r="649" spans="1:7" ht="16.5" thickBot="1" x14ac:dyDescent="0.3">
      <c r="A649" s="35" t="s">
        <v>28</v>
      </c>
      <c r="B649" s="36"/>
      <c r="C649" s="38"/>
      <c r="D649" s="38"/>
      <c r="E649" s="38"/>
      <c r="F649" s="38"/>
      <c r="G649" s="58">
        <f>SUM(G640:G646)</f>
        <v>2.0699999999999998</v>
      </c>
    </row>
    <row r="650" spans="1:7" ht="14.25" thickTop="1" thickBot="1" x14ac:dyDescent="0.25">
      <c r="A650" s="19"/>
      <c r="B650" s="20"/>
      <c r="C650" s="20"/>
      <c r="D650" s="20"/>
      <c r="E650" s="20"/>
      <c r="F650" s="20"/>
      <c r="G650" s="21"/>
    </row>
    <row r="651" spans="1:7" ht="15" x14ac:dyDescent="0.2">
      <c r="A651" s="300" t="s">
        <v>29</v>
      </c>
      <c r="B651" s="301"/>
      <c r="C651" s="301"/>
      <c r="D651" s="301"/>
      <c r="E651" s="301"/>
      <c r="F651" s="301"/>
      <c r="G651" s="302"/>
    </row>
    <row r="652" spans="1:7" ht="15" x14ac:dyDescent="0.2">
      <c r="A652" s="49"/>
      <c r="B652" s="50"/>
      <c r="C652" s="50"/>
      <c r="D652" s="50"/>
      <c r="E652" s="50"/>
      <c r="F652" s="50"/>
      <c r="G652" s="64"/>
    </row>
    <row r="653" spans="1:7" ht="15.75" x14ac:dyDescent="0.25">
      <c r="A653" s="49"/>
      <c r="B653" s="50"/>
      <c r="C653" s="43"/>
      <c r="D653" s="43"/>
      <c r="E653" s="43" t="s">
        <v>13</v>
      </c>
      <c r="F653" s="43" t="s">
        <v>3</v>
      </c>
      <c r="G653" s="64"/>
    </row>
    <row r="654" spans="1:7" ht="15.75" x14ac:dyDescent="0.25">
      <c r="A654" s="49"/>
      <c r="B654" s="50"/>
      <c r="C654" s="65" t="s">
        <v>20</v>
      </c>
      <c r="D654" s="65"/>
      <c r="E654" s="65" t="s">
        <v>22</v>
      </c>
      <c r="F654" s="65" t="s">
        <v>6</v>
      </c>
      <c r="G654" s="64"/>
    </row>
    <row r="655" spans="1:7" ht="15.75" x14ac:dyDescent="0.25">
      <c r="A655" s="45" t="s">
        <v>60</v>
      </c>
      <c r="B655" s="36"/>
      <c r="C655" s="66"/>
      <c r="D655" s="66"/>
      <c r="E655" s="66"/>
      <c r="F655" s="66"/>
      <c r="G655" s="64"/>
    </row>
    <row r="656" spans="1:7" ht="15.75" x14ac:dyDescent="0.25">
      <c r="A656" s="42" t="s">
        <v>57</v>
      </c>
      <c r="B656" s="50"/>
      <c r="C656" s="67">
        <v>3534</v>
      </c>
      <c r="D656" s="67"/>
      <c r="E656" s="68">
        <f>+E711</f>
        <v>0.19</v>
      </c>
      <c r="F656" s="67">
        <f>E656*C656</f>
        <v>671.46</v>
      </c>
      <c r="G656" s="64"/>
    </row>
    <row r="657" spans="1:7" ht="17.25" x14ac:dyDescent="0.35">
      <c r="A657" s="49" t="s">
        <v>58</v>
      </c>
      <c r="B657" s="50"/>
      <c r="C657" s="51">
        <v>17099</v>
      </c>
      <c r="D657" s="51"/>
      <c r="E657" s="68">
        <f>+G726</f>
        <v>0.23</v>
      </c>
      <c r="F657" s="51">
        <f>E657*C657</f>
        <v>3932.77</v>
      </c>
      <c r="G657" s="64"/>
    </row>
    <row r="658" spans="1:7" ht="15" x14ac:dyDescent="0.2">
      <c r="A658" s="42" t="s">
        <v>3</v>
      </c>
      <c r="B658" s="50"/>
      <c r="C658" s="67">
        <f>SUM(C656:C657)</f>
        <v>20633</v>
      </c>
      <c r="D658" s="67"/>
      <c r="E658" s="50"/>
      <c r="F658" s="67">
        <f>SUM(F656:F657)</f>
        <v>4604.2299999999996</v>
      </c>
      <c r="G658" s="64"/>
    </row>
    <row r="659" spans="1:7" ht="15" x14ac:dyDescent="0.2">
      <c r="A659" s="42"/>
      <c r="B659" s="50"/>
      <c r="C659" s="50"/>
      <c r="D659" s="50"/>
      <c r="E659" s="50"/>
      <c r="F659" s="50"/>
      <c r="G659" s="64"/>
    </row>
    <row r="660" spans="1:7" ht="15.75" x14ac:dyDescent="0.25">
      <c r="A660" s="35" t="s">
        <v>23</v>
      </c>
      <c r="B660" s="50"/>
      <c r="C660" s="50"/>
      <c r="D660" s="50"/>
      <c r="E660" s="50"/>
      <c r="F660" s="69">
        <v>5419</v>
      </c>
      <c r="G660" s="64"/>
    </row>
    <row r="661" spans="1:7" ht="15" x14ac:dyDescent="0.2">
      <c r="A661" s="42"/>
      <c r="B661" s="50"/>
      <c r="C661" s="50"/>
      <c r="D661" s="50"/>
      <c r="E661" s="50"/>
      <c r="F661" s="50"/>
      <c r="G661" s="64"/>
    </row>
    <row r="662" spans="1:7" ht="15" x14ac:dyDescent="0.2">
      <c r="A662" s="42" t="s">
        <v>24</v>
      </c>
      <c r="B662" s="50"/>
      <c r="C662" s="50"/>
      <c r="D662" s="50"/>
      <c r="E662" s="50"/>
      <c r="F662" s="67">
        <v>814</v>
      </c>
      <c r="G662" s="64"/>
    </row>
    <row r="663" spans="1:7" ht="15" x14ac:dyDescent="0.2">
      <c r="A663" s="42"/>
      <c r="B663" s="50"/>
      <c r="C663" s="50"/>
      <c r="D663" s="50"/>
      <c r="E663" s="50"/>
      <c r="F663" s="50"/>
      <c r="G663" s="64"/>
    </row>
    <row r="664" spans="1:7" ht="15" x14ac:dyDescent="0.2">
      <c r="A664" s="42" t="s">
        <v>25</v>
      </c>
      <c r="B664" s="50"/>
      <c r="C664" s="50"/>
      <c r="D664" s="50"/>
      <c r="E664" s="50"/>
      <c r="F664" s="67">
        <f>+C658</f>
        <v>20633</v>
      </c>
      <c r="G664" s="64"/>
    </row>
    <row r="665" spans="1:7" ht="15" x14ac:dyDescent="0.2">
      <c r="A665" s="42"/>
      <c r="B665" s="50"/>
      <c r="C665" s="50"/>
      <c r="D665" s="50"/>
      <c r="E665" s="50"/>
      <c r="F665" s="50"/>
      <c r="G665" s="64"/>
    </row>
    <row r="666" spans="1:7" ht="15" x14ac:dyDescent="0.2">
      <c r="A666" s="42" t="s">
        <v>26</v>
      </c>
      <c r="B666" s="50"/>
      <c r="C666" s="50"/>
      <c r="D666" s="50"/>
      <c r="E666" s="50"/>
      <c r="F666" s="50"/>
      <c r="G666" s="70">
        <f>ROUND(F662/F664,2)</f>
        <v>0.04</v>
      </c>
    </row>
    <row r="667" spans="1:7" ht="15" x14ac:dyDescent="0.2">
      <c r="A667" s="42"/>
      <c r="B667" s="50"/>
      <c r="C667" s="50"/>
      <c r="D667" s="50"/>
      <c r="E667" s="50"/>
      <c r="F667" s="50"/>
      <c r="G667" s="70"/>
    </row>
    <row r="668" spans="1:7" ht="15" x14ac:dyDescent="0.2">
      <c r="A668" s="42"/>
      <c r="B668" s="50"/>
      <c r="C668" s="50"/>
      <c r="D668" s="50"/>
      <c r="E668" s="50"/>
      <c r="F668" s="67"/>
      <c r="G668" s="64"/>
    </row>
    <row r="669" spans="1:7" ht="15.75" x14ac:dyDescent="0.25">
      <c r="A669" s="42"/>
      <c r="B669" s="36"/>
      <c r="C669" s="50"/>
      <c r="D669" s="50"/>
      <c r="E669" s="50"/>
      <c r="F669" s="67"/>
      <c r="G669" s="64"/>
    </row>
    <row r="670" spans="1:7" ht="15.75" x14ac:dyDescent="0.25">
      <c r="A670" s="45" t="s">
        <v>76</v>
      </c>
      <c r="B670" s="50"/>
      <c r="C670" s="50"/>
      <c r="D670" s="50"/>
      <c r="E670" s="50"/>
      <c r="F670" s="54">
        <f>+F660</f>
        <v>5419</v>
      </c>
      <c r="G670" s="64"/>
    </row>
    <row r="671" spans="1:7" ht="15" x14ac:dyDescent="0.2">
      <c r="A671" s="42" t="s">
        <v>25</v>
      </c>
      <c r="B671" s="50"/>
      <c r="C671" s="50"/>
      <c r="D671" s="50"/>
      <c r="E671" s="50"/>
      <c r="F671" s="67">
        <f>+C658</f>
        <v>20633</v>
      </c>
      <c r="G671" s="64"/>
    </row>
    <row r="672" spans="1:7" ht="17.25" x14ac:dyDescent="0.35">
      <c r="A672" s="42" t="s">
        <v>27</v>
      </c>
      <c r="B672" s="50"/>
      <c r="C672" s="50"/>
      <c r="D672" s="50"/>
      <c r="E672" s="50"/>
      <c r="F672" s="50"/>
      <c r="G672" s="57">
        <f>ROUND(+F670/F671,2)</f>
        <v>0.26</v>
      </c>
    </row>
    <row r="673" spans="1:7" ht="17.25" x14ac:dyDescent="0.35">
      <c r="A673" s="42"/>
      <c r="B673" s="50"/>
      <c r="C673" s="50"/>
      <c r="D673" s="50"/>
      <c r="E673" s="50"/>
      <c r="F673" s="50"/>
      <c r="G673" s="57"/>
    </row>
    <row r="674" spans="1:7" ht="16.5" thickBot="1" x14ac:dyDescent="0.3">
      <c r="A674" s="35" t="s">
        <v>30</v>
      </c>
      <c r="B674" s="36"/>
      <c r="C674" s="50"/>
      <c r="D674" s="50"/>
      <c r="E674" s="50"/>
      <c r="F674" s="50"/>
      <c r="G674" s="71">
        <f>+G672+G666+G667</f>
        <v>0.3</v>
      </c>
    </row>
    <row r="675" spans="1:7" ht="16.5" thickTop="1" thickBot="1" x14ac:dyDescent="0.25">
      <c r="A675" s="72"/>
      <c r="B675" s="73"/>
      <c r="C675" s="73"/>
      <c r="D675" s="73"/>
      <c r="E675" s="73"/>
      <c r="F675" s="73"/>
      <c r="G675" s="74"/>
    </row>
    <row r="676" spans="1:7" ht="23.25" x14ac:dyDescent="0.35">
      <c r="A676" s="31" t="s">
        <v>56</v>
      </c>
      <c r="B676" s="32"/>
      <c r="C676" s="33"/>
      <c r="D676" s="33"/>
      <c r="E676" s="33"/>
      <c r="F676" s="33"/>
      <c r="G676" s="34"/>
    </row>
    <row r="677" spans="1:7" ht="15.75" x14ac:dyDescent="0.25">
      <c r="A677" s="35" t="s">
        <v>54</v>
      </c>
      <c r="B677" s="36"/>
      <c r="C677" s="37"/>
      <c r="D677" s="37"/>
      <c r="E677" s="38"/>
      <c r="F677" s="38"/>
      <c r="G677" s="39"/>
    </row>
    <row r="678" spans="1:7" ht="15.75" x14ac:dyDescent="0.25">
      <c r="A678" s="40"/>
      <c r="B678" s="41"/>
      <c r="C678" s="38"/>
      <c r="D678" s="38"/>
      <c r="E678" s="38"/>
      <c r="F678" s="38"/>
      <c r="G678" s="39"/>
    </row>
    <row r="679" spans="1:7" ht="15" x14ac:dyDescent="0.2">
      <c r="A679" s="300" t="s">
        <v>21</v>
      </c>
      <c r="B679" s="301"/>
      <c r="C679" s="301"/>
      <c r="D679" s="301"/>
      <c r="E679" s="301"/>
      <c r="F679" s="301"/>
      <c r="G679" s="302"/>
    </row>
    <row r="680" spans="1:7" ht="15" x14ac:dyDescent="0.2">
      <c r="A680" s="42"/>
      <c r="B680" s="38"/>
      <c r="C680" s="38"/>
      <c r="D680" s="38"/>
      <c r="E680" s="38"/>
      <c r="F680" s="38"/>
      <c r="G680" s="39"/>
    </row>
    <row r="681" spans="1:7" ht="15.75" x14ac:dyDescent="0.25">
      <c r="A681" s="42"/>
      <c r="B681" s="38"/>
      <c r="C681" s="43"/>
      <c r="D681" s="43"/>
      <c r="E681" s="43" t="s">
        <v>13</v>
      </c>
      <c r="F681" s="43" t="s">
        <v>3</v>
      </c>
      <c r="G681" s="39"/>
    </row>
    <row r="682" spans="1:7" ht="15.75" x14ac:dyDescent="0.25">
      <c r="A682" s="42"/>
      <c r="B682" s="38"/>
      <c r="C682" s="44" t="s">
        <v>5</v>
      </c>
      <c r="D682" s="44"/>
      <c r="E682" s="44" t="s">
        <v>22</v>
      </c>
      <c r="F682" s="44" t="s">
        <v>6</v>
      </c>
      <c r="G682" s="39"/>
    </row>
    <row r="683" spans="1:7" ht="15.75" x14ac:dyDescent="0.25">
      <c r="A683" s="45" t="s">
        <v>59</v>
      </c>
      <c r="B683" s="36"/>
      <c r="C683" s="46"/>
      <c r="D683" s="46"/>
      <c r="E683" s="46"/>
      <c r="F683" s="46"/>
      <c r="G683" s="39"/>
    </row>
    <row r="684" spans="1:7" ht="15.75" x14ac:dyDescent="0.25">
      <c r="A684" s="42" t="s">
        <v>57</v>
      </c>
      <c r="B684" s="38"/>
      <c r="C684" s="47">
        <v>90954</v>
      </c>
      <c r="D684" s="47"/>
      <c r="E684" s="48">
        <f>+E739</f>
        <v>0.91</v>
      </c>
      <c r="F684" s="47">
        <f>C684*E684</f>
        <v>82768.14</v>
      </c>
      <c r="G684" s="39"/>
    </row>
    <row r="685" spans="1:7" ht="17.25" x14ac:dyDescent="0.35">
      <c r="A685" s="49" t="s">
        <v>58</v>
      </c>
      <c r="B685" s="50"/>
      <c r="C685" s="51">
        <v>454770</v>
      </c>
      <c r="D685" s="51"/>
      <c r="E685" s="48">
        <f>+G754</f>
        <v>1.6641107756753206</v>
      </c>
      <c r="F685" s="51">
        <f>C685*E685</f>
        <v>756787.65745386551</v>
      </c>
      <c r="G685" s="39"/>
    </row>
    <row r="686" spans="1:7" ht="15" x14ac:dyDescent="0.2">
      <c r="A686" s="42" t="s">
        <v>3</v>
      </c>
      <c r="B686" s="38"/>
      <c r="C686" s="47">
        <f>SUM(C684:C685)</f>
        <v>545724</v>
      </c>
      <c r="D686" s="47"/>
      <c r="E686" s="38"/>
      <c r="F686" s="47">
        <f>SUM(F684:F685)</f>
        <v>839555.79745386553</v>
      </c>
      <c r="G686" s="39"/>
    </row>
    <row r="687" spans="1:7" ht="15" x14ac:dyDescent="0.2">
      <c r="A687" s="42"/>
      <c r="B687" s="38"/>
      <c r="C687" s="38"/>
      <c r="D687" s="38"/>
      <c r="E687" s="38"/>
      <c r="F687" s="38"/>
      <c r="G687" s="39"/>
    </row>
    <row r="688" spans="1:7" ht="15.75" x14ac:dyDescent="0.25">
      <c r="A688" s="35" t="s">
        <v>23</v>
      </c>
      <c r="B688" s="38"/>
      <c r="C688" s="38"/>
      <c r="D688" s="38"/>
      <c r="E688" s="38"/>
      <c r="F688" s="47">
        <v>1070318.8014882323</v>
      </c>
      <c r="G688" s="39"/>
    </row>
    <row r="689" spans="1:7" ht="15" x14ac:dyDescent="0.2">
      <c r="A689" s="42"/>
      <c r="B689" s="38"/>
      <c r="C689" s="38"/>
      <c r="D689" s="38"/>
      <c r="E689" s="38"/>
      <c r="F689" s="38"/>
      <c r="G689" s="39"/>
    </row>
    <row r="690" spans="1:7" ht="15" x14ac:dyDescent="0.2">
      <c r="A690" s="42" t="s">
        <v>24</v>
      </c>
      <c r="B690" s="38"/>
      <c r="C690" s="38"/>
      <c r="D690" s="38"/>
      <c r="E690" s="38"/>
      <c r="F690" s="47">
        <f>F688-F686</f>
        <v>230763.00403436681</v>
      </c>
      <c r="G690" s="39"/>
    </row>
    <row r="691" spans="1:7" ht="15" x14ac:dyDescent="0.2">
      <c r="A691" s="42"/>
      <c r="B691" s="38"/>
      <c r="C691" s="38"/>
      <c r="D691" s="38"/>
      <c r="E691" s="38"/>
      <c r="F691" s="38"/>
      <c r="G691" s="39"/>
    </row>
    <row r="692" spans="1:7" ht="15" x14ac:dyDescent="0.2">
      <c r="A692" s="42" t="s">
        <v>25</v>
      </c>
      <c r="B692" s="38"/>
      <c r="C692" s="38"/>
      <c r="D692" s="38"/>
      <c r="E692" s="38"/>
      <c r="F692" s="47">
        <f>+C686</f>
        <v>545724</v>
      </c>
      <c r="G692" s="39"/>
    </row>
    <row r="693" spans="1:7" ht="15" x14ac:dyDescent="0.2">
      <c r="A693" s="42"/>
      <c r="B693" s="38"/>
      <c r="C693" s="38"/>
      <c r="D693" s="38"/>
      <c r="E693" s="38"/>
      <c r="F693" s="38"/>
      <c r="G693" s="39"/>
    </row>
    <row r="694" spans="1:7" ht="15" x14ac:dyDescent="0.2">
      <c r="A694" s="42" t="s">
        <v>26</v>
      </c>
      <c r="B694" s="38"/>
      <c r="C694" s="38"/>
      <c r="D694" s="38"/>
      <c r="E694" s="38"/>
      <c r="F694" s="61"/>
      <c r="G694" s="52">
        <f>ROUND(F690/F692,2)</f>
        <v>0.42</v>
      </c>
    </row>
    <row r="695" spans="1:7" ht="15" x14ac:dyDescent="0.2">
      <c r="A695" s="42"/>
      <c r="B695" s="38"/>
      <c r="C695" s="38"/>
      <c r="D695" s="38"/>
      <c r="E695" s="38"/>
      <c r="F695" s="38"/>
      <c r="G695" s="52"/>
    </row>
    <row r="696" spans="1:7" ht="15" x14ac:dyDescent="0.2">
      <c r="A696" s="42"/>
      <c r="B696" s="38"/>
      <c r="C696" s="38"/>
      <c r="D696" s="38"/>
      <c r="E696" s="38"/>
      <c r="F696" s="38"/>
      <c r="G696" s="52"/>
    </row>
    <row r="697" spans="1:7" ht="15" x14ac:dyDescent="0.2">
      <c r="A697" s="42"/>
      <c r="B697" s="38"/>
      <c r="C697" s="38"/>
      <c r="D697" s="38"/>
      <c r="E697" s="38"/>
      <c r="F697" s="38"/>
      <c r="G697" s="52"/>
    </row>
    <row r="698" spans="1:7" ht="15.75" x14ac:dyDescent="0.25">
      <c r="A698" s="45" t="s">
        <v>60</v>
      </c>
      <c r="B698" s="36"/>
      <c r="C698" s="38"/>
      <c r="D698" s="38"/>
      <c r="E698" s="38"/>
      <c r="F698" s="53">
        <f>+F688</f>
        <v>1070318.8014882323</v>
      </c>
      <c r="G698" s="52"/>
    </row>
    <row r="699" spans="1:7" ht="15" x14ac:dyDescent="0.2">
      <c r="A699" s="42" t="s">
        <v>25</v>
      </c>
      <c r="B699" s="38"/>
      <c r="C699" s="38"/>
      <c r="D699" s="38"/>
      <c r="E699" s="38"/>
      <c r="F699" s="47">
        <f>+C686</f>
        <v>545724</v>
      </c>
      <c r="G699" s="52"/>
    </row>
    <row r="700" spans="1:7" ht="17.25" x14ac:dyDescent="0.35">
      <c r="A700" s="42" t="s">
        <v>27</v>
      </c>
      <c r="B700" s="38"/>
      <c r="C700" s="38"/>
      <c r="D700" s="38"/>
      <c r="E700" s="38"/>
      <c r="F700" s="38"/>
      <c r="G700" s="55">
        <f>ROUND(+F698/F699,2)</f>
        <v>1.96</v>
      </c>
    </row>
    <row r="701" spans="1:7" ht="15" x14ac:dyDescent="0.2">
      <c r="A701" s="42"/>
      <c r="B701" s="38"/>
      <c r="C701" s="38"/>
      <c r="D701" s="38"/>
      <c r="E701" s="38"/>
      <c r="F701" s="38"/>
      <c r="G701" s="52"/>
    </row>
    <row r="702" spans="1:7" ht="15" x14ac:dyDescent="0.2">
      <c r="A702" s="42"/>
      <c r="B702" s="38"/>
      <c r="C702" s="38"/>
      <c r="D702" s="38"/>
      <c r="E702" s="38"/>
      <c r="F702" s="38"/>
      <c r="G702" s="52"/>
    </row>
    <row r="703" spans="1:7" ht="16.5" thickBot="1" x14ac:dyDescent="0.3">
      <c r="A703" s="35" t="s">
        <v>28</v>
      </c>
      <c r="B703" s="36"/>
      <c r="C703" s="38"/>
      <c r="D703" s="38"/>
      <c r="E703" s="38"/>
      <c r="F703" s="38"/>
      <c r="G703" s="58">
        <f>SUM(G694:G700)</f>
        <v>2.38</v>
      </c>
    </row>
    <row r="704" spans="1:7" ht="14.25" thickTop="1" thickBot="1" x14ac:dyDescent="0.25">
      <c r="A704" s="19"/>
      <c r="B704" s="20"/>
      <c r="C704" s="20"/>
      <c r="D704" s="20"/>
      <c r="E704" s="20"/>
      <c r="F704" s="20"/>
      <c r="G704" s="21"/>
    </row>
    <row r="705" spans="1:7" ht="15" x14ac:dyDescent="0.2">
      <c r="A705" s="300" t="s">
        <v>29</v>
      </c>
      <c r="B705" s="301"/>
      <c r="C705" s="301"/>
      <c r="D705" s="301"/>
      <c r="E705" s="301"/>
      <c r="F705" s="301"/>
      <c r="G705" s="302"/>
    </row>
    <row r="706" spans="1:7" ht="15" x14ac:dyDescent="0.2">
      <c r="A706" s="49"/>
      <c r="B706" s="50"/>
      <c r="C706" s="50"/>
      <c r="D706" s="50"/>
      <c r="E706" s="50"/>
      <c r="F706" s="50"/>
      <c r="G706" s="64"/>
    </row>
    <row r="707" spans="1:7" ht="15.75" x14ac:dyDescent="0.25">
      <c r="A707" s="49"/>
      <c r="B707" s="50"/>
      <c r="C707" s="43"/>
      <c r="D707" s="43"/>
      <c r="E707" s="43" t="s">
        <v>13</v>
      </c>
      <c r="F707" s="43" t="s">
        <v>3</v>
      </c>
      <c r="G707" s="64"/>
    </row>
    <row r="708" spans="1:7" ht="15.75" x14ac:dyDescent="0.25">
      <c r="A708" s="49"/>
      <c r="B708" s="50"/>
      <c r="C708" s="65" t="s">
        <v>20</v>
      </c>
      <c r="D708" s="65"/>
      <c r="E708" s="65" t="s">
        <v>22</v>
      </c>
      <c r="F708" s="65" t="s">
        <v>6</v>
      </c>
      <c r="G708" s="64"/>
    </row>
    <row r="709" spans="1:7" ht="15.75" x14ac:dyDescent="0.25">
      <c r="A709" s="45" t="s">
        <v>59</v>
      </c>
      <c r="B709" s="36"/>
      <c r="C709" s="66"/>
      <c r="D709" s="66"/>
      <c r="E709" s="66"/>
      <c r="F709" s="66"/>
      <c r="G709" s="64"/>
    </row>
    <row r="710" spans="1:7" ht="15.75" x14ac:dyDescent="0.25">
      <c r="A710" s="42" t="s">
        <v>57</v>
      </c>
      <c r="B710" s="50"/>
      <c r="C710" s="67">
        <v>15544.573148514854</v>
      </c>
      <c r="D710" s="67"/>
      <c r="E710" s="68">
        <f>+E765</f>
        <v>0.23</v>
      </c>
      <c r="F710" s="67">
        <f>E710*C710</f>
        <v>3575.2518241584166</v>
      </c>
      <c r="G710" s="64"/>
    </row>
    <row r="711" spans="1:7" ht="17.25" x14ac:dyDescent="0.35">
      <c r="A711" s="49" t="s">
        <v>58</v>
      </c>
      <c r="B711" s="50"/>
      <c r="C711" s="51">
        <v>77722.865742574271</v>
      </c>
      <c r="D711" s="51"/>
      <c r="E711" s="68">
        <f>+G780</f>
        <v>0.19</v>
      </c>
      <c r="F711" s="51">
        <f>E711*C711</f>
        <v>14767.344491089112</v>
      </c>
      <c r="G711" s="64"/>
    </row>
    <row r="712" spans="1:7" ht="15" x14ac:dyDescent="0.2">
      <c r="A712" s="42" t="s">
        <v>3</v>
      </c>
      <c r="B712" s="50"/>
      <c r="C712" s="67">
        <f>SUM(C710:C711)</f>
        <v>93267.438891089128</v>
      </c>
      <c r="D712" s="67"/>
      <c r="E712" s="50"/>
      <c r="F712" s="67">
        <f>SUM(F710:F711)</f>
        <v>18342.596315247531</v>
      </c>
      <c r="G712" s="64"/>
    </row>
    <row r="713" spans="1:7" ht="15" x14ac:dyDescent="0.2">
      <c r="A713" s="42"/>
      <c r="B713" s="50"/>
      <c r="C713" s="50"/>
      <c r="D713" s="50"/>
      <c r="E713" s="50"/>
      <c r="F713" s="50"/>
      <c r="G713" s="64"/>
    </row>
    <row r="714" spans="1:7" ht="15.75" x14ac:dyDescent="0.25">
      <c r="A714" s="35" t="s">
        <v>23</v>
      </c>
      <c r="B714" s="50"/>
      <c r="C714" s="50"/>
      <c r="D714" s="50"/>
      <c r="E714" s="50"/>
      <c r="F714" s="69">
        <v>21605.51866847141</v>
      </c>
      <c r="G714" s="64"/>
    </row>
    <row r="715" spans="1:7" ht="15" x14ac:dyDescent="0.2">
      <c r="A715" s="42"/>
      <c r="B715" s="50"/>
      <c r="C715" s="50"/>
      <c r="D715" s="50"/>
      <c r="E715" s="50"/>
      <c r="F715" s="50"/>
      <c r="G715" s="64"/>
    </row>
    <row r="716" spans="1:7" ht="15" x14ac:dyDescent="0.2">
      <c r="A716" s="42" t="s">
        <v>24</v>
      </c>
      <c r="B716" s="50"/>
      <c r="C716" s="50"/>
      <c r="D716" s="50"/>
      <c r="E716" s="50"/>
      <c r="F716" s="67">
        <f>F714-F712</f>
        <v>3262.9223532238793</v>
      </c>
      <c r="G716" s="64"/>
    </row>
    <row r="717" spans="1:7" ht="15" x14ac:dyDescent="0.2">
      <c r="A717" s="42"/>
      <c r="B717" s="50"/>
      <c r="C717" s="50"/>
      <c r="D717" s="50"/>
      <c r="E717" s="50"/>
      <c r="F717" s="50"/>
      <c r="G717" s="64"/>
    </row>
    <row r="718" spans="1:7" ht="15" x14ac:dyDescent="0.2">
      <c r="A718" s="42" t="s">
        <v>25</v>
      </c>
      <c r="B718" s="50"/>
      <c r="C718" s="50"/>
      <c r="D718" s="50"/>
      <c r="E718" s="50"/>
      <c r="F718" s="67">
        <f>+C712</f>
        <v>93267.438891089128</v>
      </c>
      <c r="G718" s="64"/>
    </row>
    <row r="719" spans="1:7" ht="15" x14ac:dyDescent="0.2">
      <c r="A719" s="42"/>
      <c r="B719" s="50"/>
      <c r="C719" s="50"/>
      <c r="D719" s="50"/>
      <c r="E719" s="50"/>
      <c r="F719" s="50"/>
      <c r="G719" s="64"/>
    </row>
    <row r="720" spans="1:7" ht="15" x14ac:dyDescent="0.2">
      <c r="A720" s="42" t="s">
        <v>26</v>
      </c>
      <c r="B720" s="50"/>
      <c r="C720" s="50"/>
      <c r="D720" s="50"/>
      <c r="E720" s="50"/>
      <c r="F720" s="50"/>
      <c r="G720" s="70">
        <f>ROUND(F716/F718,2)</f>
        <v>0.03</v>
      </c>
    </row>
    <row r="721" spans="1:8" ht="15" x14ac:dyDescent="0.2">
      <c r="A721" s="42"/>
      <c r="B721" s="50"/>
      <c r="C721" s="50"/>
      <c r="D721" s="50"/>
      <c r="E721" s="50"/>
      <c r="F721" s="50"/>
      <c r="G721" s="70"/>
    </row>
    <row r="722" spans="1:8" ht="15" x14ac:dyDescent="0.2">
      <c r="A722" s="42"/>
      <c r="B722" s="50"/>
      <c r="C722" s="50"/>
      <c r="D722" s="50"/>
      <c r="E722" s="50"/>
      <c r="F722" s="67"/>
      <c r="G722" s="64"/>
    </row>
    <row r="723" spans="1:8" ht="15.75" x14ac:dyDescent="0.25">
      <c r="A723" s="42"/>
      <c r="B723" s="36"/>
      <c r="C723" s="50"/>
      <c r="D723" s="50"/>
      <c r="E723" s="50"/>
      <c r="F723" s="67"/>
      <c r="G723" s="64"/>
    </row>
    <row r="724" spans="1:8" ht="15.75" x14ac:dyDescent="0.25">
      <c r="A724" s="45" t="s">
        <v>60</v>
      </c>
      <c r="B724" s="50"/>
      <c r="C724" s="50"/>
      <c r="D724" s="50"/>
      <c r="E724" s="50"/>
      <c r="F724" s="54">
        <f>+F714</f>
        <v>21605.51866847141</v>
      </c>
      <c r="G724" s="64"/>
    </row>
    <row r="725" spans="1:8" ht="15" x14ac:dyDescent="0.2">
      <c r="A725" s="42" t="s">
        <v>25</v>
      </c>
      <c r="B725" s="50"/>
      <c r="C725" s="50"/>
      <c r="D725" s="50"/>
      <c r="E725" s="50"/>
      <c r="F725" s="67">
        <f>+C712</f>
        <v>93267.438891089128</v>
      </c>
      <c r="G725" s="64"/>
      <c r="H725" s="119"/>
    </row>
    <row r="726" spans="1:8" ht="17.25" x14ac:dyDescent="0.35">
      <c r="A726" s="42" t="s">
        <v>27</v>
      </c>
      <c r="B726" s="50"/>
      <c r="C726" s="50"/>
      <c r="D726" s="50"/>
      <c r="E726" s="50"/>
      <c r="F726" s="50"/>
      <c r="G726" s="57">
        <f>ROUND(+F724/F725,2)</f>
        <v>0.23</v>
      </c>
    </row>
    <row r="727" spans="1:8" ht="17.25" x14ac:dyDescent="0.35">
      <c r="A727" s="42"/>
      <c r="B727" s="50"/>
      <c r="C727" s="50"/>
      <c r="D727" s="50"/>
      <c r="E727" s="50"/>
      <c r="F727" s="50"/>
      <c r="G727" s="57"/>
    </row>
    <row r="728" spans="1:8" ht="16.5" thickBot="1" x14ac:dyDescent="0.3">
      <c r="A728" s="35" t="s">
        <v>30</v>
      </c>
      <c r="B728" s="36"/>
      <c r="C728" s="50"/>
      <c r="D728" s="50"/>
      <c r="E728" s="50"/>
      <c r="F728" s="50"/>
      <c r="G728" s="71">
        <f>+G726+G720+G721</f>
        <v>0.26</v>
      </c>
    </row>
    <row r="729" spans="1:8" ht="16.5" thickTop="1" thickBot="1" x14ac:dyDescent="0.25">
      <c r="A729" s="72"/>
      <c r="B729" s="73"/>
      <c r="C729" s="73"/>
      <c r="D729" s="73"/>
      <c r="E729" s="73"/>
      <c r="F729" s="73"/>
      <c r="G729" s="74"/>
    </row>
    <row r="730" spans="1:8" ht="23.25" x14ac:dyDescent="0.35">
      <c r="A730" s="31" t="s">
        <v>56</v>
      </c>
      <c r="B730" s="32"/>
      <c r="C730" s="33"/>
      <c r="D730" s="33"/>
      <c r="E730" s="33"/>
      <c r="F730" s="33"/>
      <c r="G730" s="34"/>
    </row>
    <row r="731" spans="1:8" ht="15.75" x14ac:dyDescent="0.25">
      <c r="A731" s="35" t="s">
        <v>55</v>
      </c>
      <c r="B731" s="36"/>
      <c r="C731" s="37"/>
      <c r="D731" s="37"/>
      <c r="E731" s="38"/>
      <c r="F731" s="38"/>
      <c r="G731" s="39"/>
    </row>
    <row r="732" spans="1:8" ht="15.75" x14ac:dyDescent="0.25">
      <c r="A732" s="40"/>
      <c r="B732" s="41"/>
      <c r="C732" s="38"/>
      <c r="D732" s="38"/>
      <c r="E732" s="38"/>
      <c r="F732" s="38"/>
      <c r="G732" s="39"/>
    </row>
    <row r="733" spans="1:8" ht="15" x14ac:dyDescent="0.2">
      <c r="A733" s="300" t="s">
        <v>21</v>
      </c>
      <c r="B733" s="301"/>
      <c r="C733" s="301"/>
      <c r="D733" s="301"/>
      <c r="E733" s="301"/>
      <c r="F733" s="301"/>
      <c r="G733" s="302"/>
    </row>
    <row r="734" spans="1:8" ht="15" x14ac:dyDescent="0.2">
      <c r="A734" s="42"/>
      <c r="B734" s="38"/>
      <c r="C734" s="38"/>
      <c r="D734" s="38"/>
      <c r="E734" s="38"/>
      <c r="F734" s="38"/>
      <c r="G734" s="39"/>
    </row>
    <row r="735" spans="1:8" ht="15.75" x14ac:dyDescent="0.25">
      <c r="A735" s="42"/>
      <c r="B735" s="38"/>
      <c r="C735" s="43"/>
      <c r="D735" s="43"/>
      <c r="E735" s="43" t="s">
        <v>13</v>
      </c>
      <c r="F735" s="43" t="s">
        <v>3</v>
      </c>
      <c r="G735" s="39"/>
    </row>
    <row r="736" spans="1:8" ht="15.75" x14ac:dyDescent="0.25">
      <c r="A736" s="42"/>
      <c r="B736" s="38"/>
      <c r="C736" s="44" t="s">
        <v>5</v>
      </c>
      <c r="D736" s="44"/>
      <c r="E736" s="44" t="s">
        <v>22</v>
      </c>
      <c r="F736" s="44" t="s">
        <v>6</v>
      </c>
      <c r="G736" s="39"/>
    </row>
    <row r="737" spans="1:7" ht="15.75" x14ac:dyDescent="0.25">
      <c r="A737" s="45" t="s">
        <v>59</v>
      </c>
      <c r="B737" s="36"/>
      <c r="C737" s="46"/>
      <c r="D737" s="46"/>
      <c r="E737" s="46"/>
      <c r="F737" s="46"/>
      <c r="G737" s="39"/>
    </row>
    <row r="738" spans="1:7" ht="15.75" x14ac:dyDescent="0.25">
      <c r="A738" s="42" t="s">
        <v>57</v>
      </c>
      <c r="B738" s="38"/>
      <c r="C738" s="47">
        <v>87362</v>
      </c>
      <c r="D738" s="47"/>
      <c r="E738" s="48">
        <v>0.73</v>
      </c>
      <c r="F738" s="47">
        <f>C738*E738</f>
        <v>63774.26</v>
      </c>
      <c r="G738" s="39"/>
    </row>
    <row r="739" spans="1:7" ht="17.25" x14ac:dyDescent="0.35">
      <c r="A739" s="49" t="s">
        <v>58</v>
      </c>
      <c r="B739" s="50"/>
      <c r="C739" s="51">
        <v>443080</v>
      </c>
      <c r="D739" s="51"/>
      <c r="E739" s="48">
        <v>0.91</v>
      </c>
      <c r="F739" s="51">
        <f>C739*E739</f>
        <v>403202.8</v>
      </c>
      <c r="G739" s="39"/>
    </row>
    <row r="740" spans="1:7" ht="15" x14ac:dyDescent="0.2">
      <c r="A740" s="42" t="s">
        <v>3</v>
      </c>
      <c r="B740" s="38"/>
      <c r="C740" s="47">
        <f>SUM(C738:C739)</f>
        <v>530442</v>
      </c>
      <c r="D740" s="47"/>
      <c r="E740" s="38"/>
      <c r="F740" s="47">
        <f>SUM(F738:F739)</f>
        <v>466977.06</v>
      </c>
      <c r="G740" s="39"/>
    </row>
    <row r="741" spans="1:7" ht="15" x14ac:dyDescent="0.2">
      <c r="A741" s="42"/>
      <c r="B741" s="38"/>
      <c r="C741" s="38"/>
      <c r="D741" s="38"/>
      <c r="E741" s="38"/>
      <c r="F741" s="38"/>
      <c r="G741" s="39"/>
    </row>
    <row r="742" spans="1:7" ht="15.75" x14ac:dyDescent="0.25">
      <c r="A742" s="35" t="s">
        <v>23</v>
      </c>
      <c r="B742" s="38"/>
      <c r="C742" s="38"/>
      <c r="D742" s="38"/>
      <c r="E742" s="38"/>
      <c r="F742" s="47">
        <v>894186.62775827409</v>
      </c>
      <c r="G742" s="39"/>
    </row>
    <row r="743" spans="1:7" ht="15" x14ac:dyDescent="0.2">
      <c r="A743" s="42"/>
      <c r="B743" s="38"/>
      <c r="C743" s="38"/>
      <c r="D743" s="38"/>
      <c r="E743" s="38"/>
      <c r="F743" s="38"/>
      <c r="G743" s="39"/>
    </row>
    <row r="744" spans="1:7" ht="15" x14ac:dyDescent="0.2">
      <c r="A744" s="42" t="s">
        <v>24</v>
      </c>
      <c r="B744" s="38"/>
      <c r="C744" s="38"/>
      <c r="D744" s="38"/>
      <c r="E744" s="38"/>
      <c r="F744" s="60">
        <f>F742-F740</f>
        <v>427209.56775827409</v>
      </c>
      <c r="G744" s="39"/>
    </row>
    <row r="745" spans="1:7" ht="15" x14ac:dyDescent="0.2">
      <c r="A745" s="42"/>
      <c r="B745" s="38"/>
      <c r="C745" s="38"/>
      <c r="D745" s="38"/>
      <c r="E745" s="38"/>
      <c r="F745" s="38"/>
      <c r="G745" s="39"/>
    </row>
    <row r="746" spans="1:7" ht="15" x14ac:dyDescent="0.2">
      <c r="A746" s="49" t="s">
        <v>25</v>
      </c>
      <c r="B746" s="38"/>
      <c r="C746" s="38"/>
      <c r="D746" s="38"/>
      <c r="E746" s="38"/>
      <c r="F746" s="47">
        <f>+C740</f>
        <v>530442</v>
      </c>
      <c r="G746" s="39"/>
    </row>
    <row r="747" spans="1:7" ht="15" x14ac:dyDescent="0.2">
      <c r="A747" s="42"/>
      <c r="B747" s="38"/>
      <c r="C747" s="38"/>
      <c r="D747" s="38"/>
      <c r="E747" s="38"/>
      <c r="F747" s="38"/>
      <c r="G747" s="39"/>
    </row>
    <row r="748" spans="1:7" ht="15" x14ac:dyDescent="0.2">
      <c r="A748" s="42" t="s">
        <v>26</v>
      </c>
      <c r="B748" s="38"/>
      <c r="C748" s="38"/>
      <c r="D748" s="38"/>
      <c r="E748" s="38"/>
      <c r="F748" s="38"/>
      <c r="G748" s="52">
        <f>ROUND(F744/F746,2)</f>
        <v>0.81</v>
      </c>
    </row>
    <row r="749" spans="1:7" ht="15" x14ac:dyDescent="0.2">
      <c r="A749" s="42"/>
      <c r="B749" s="38"/>
      <c r="C749" s="38"/>
      <c r="D749" s="38"/>
      <c r="E749" s="38"/>
      <c r="F749" s="38"/>
      <c r="G749" s="52"/>
    </row>
    <row r="750" spans="1:7" ht="15" x14ac:dyDescent="0.2">
      <c r="A750" s="42"/>
      <c r="B750" s="38"/>
      <c r="C750" s="38"/>
      <c r="D750" s="38"/>
      <c r="E750" s="38"/>
      <c r="F750" s="38"/>
      <c r="G750" s="52"/>
    </row>
    <row r="751" spans="1:7" ht="15" x14ac:dyDescent="0.2">
      <c r="A751" s="42"/>
      <c r="B751" s="38"/>
      <c r="C751" s="38"/>
      <c r="D751" s="38"/>
      <c r="E751" s="38"/>
      <c r="F751" s="38"/>
      <c r="G751" s="52"/>
    </row>
    <row r="752" spans="1:7" ht="15.75" x14ac:dyDescent="0.25">
      <c r="A752" s="45" t="s">
        <v>59</v>
      </c>
      <c r="B752" s="36"/>
      <c r="C752" s="38"/>
      <c r="D752" s="38"/>
      <c r="E752" s="38"/>
      <c r="F752" s="54">
        <f>+F742</f>
        <v>894186.62775827409</v>
      </c>
      <c r="G752" s="52"/>
    </row>
    <row r="753" spans="1:7" ht="15" x14ac:dyDescent="0.2">
      <c r="A753" s="42" t="s">
        <v>25</v>
      </c>
      <c r="B753" s="38"/>
      <c r="C753" s="38"/>
      <c r="D753" s="38"/>
      <c r="E753" s="38"/>
      <c r="F753" s="47">
        <v>537336</v>
      </c>
      <c r="G753" s="52"/>
    </row>
    <row r="754" spans="1:7" ht="17.25" x14ac:dyDescent="0.35">
      <c r="A754" s="42" t="s">
        <v>27</v>
      </c>
      <c r="B754" s="38"/>
      <c r="C754" s="38"/>
      <c r="D754" s="38"/>
      <c r="E754" s="38"/>
      <c r="F754" s="38"/>
      <c r="G754" s="56">
        <f>+F752/F753</f>
        <v>1.6641107756753206</v>
      </c>
    </row>
    <row r="755" spans="1:7" ht="17.25" x14ac:dyDescent="0.35">
      <c r="A755" s="42"/>
      <c r="B755" s="38"/>
      <c r="C755" s="38"/>
      <c r="D755" s="38"/>
      <c r="E755" s="38"/>
      <c r="F755" s="38"/>
      <c r="G755" s="57"/>
    </row>
    <row r="756" spans="1:7" ht="15" x14ac:dyDescent="0.2">
      <c r="A756" s="42"/>
      <c r="B756" s="38"/>
      <c r="C756" s="38"/>
      <c r="D756" s="38"/>
      <c r="E756" s="38"/>
      <c r="F756" s="38"/>
      <c r="G756" s="52"/>
    </row>
    <row r="757" spans="1:7" ht="16.5" thickBot="1" x14ac:dyDescent="0.3">
      <c r="A757" s="35" t="s">
        <v>28</v>
      </c>
      <c r="B757" s="36"/>
      <c r="C757" s="38"/>
      <c r="D757" s="38"/>
      <c r="E757" s="38"/>
      <c r="F757" s="38"/>
      <c r="G757" s="59">
        <f>+G754+G748+G749</f>
        <v>2.4741107756753209</v>
      </c>
    </row>
    <row r="758" spans="1:7" ht="14.25" thickTop="1" thickBot="1" x14ac:dyDescent="0.25">
      <c r="A758" s="19"/>
      <c r="B758" s="20"/>
      <c r="C758" s="20"/>
      <c r="D758" s="20"/>
      <c r="E758" s="20"/>
      <c r="F758" s="20"/>
      <c r="G758" s="21"/>
    </row>
    <row r="759" spans="1:7" ht="15" x14ac:dyDescent="0.2">
      <c r="A759" s="300" t="s">
        <v>29</v>
      </c>
      <c r="B759" s="301"/>
      <c r="C759" s="301"/>
      <c r="D759" s="301"/>
      <c r="E759" s="301"/>
      <c r="F759" s="301"/>
      <c r="G759" s="302"/>
    </row>
    <row r="760" spans="1:7" ht="15" x14ac:dyDescent="0.2">
      <c r="A760" s="49"/>
      <c r="B760" s="50"/>
      <c r="C760" s="50"/>
      <c r="D760" s="50"/>
      <c r="E760" s="50"/>
      <c r="F760" s="50"/>
      <c r="G760" s="64"/>
    </row>
    <row r="761" spans="1:7" ht="15.75" x14ac:dyDescent="0.25">
      <c r="A761" s="49"/>
      <c r="B761" s="50"/>
      <c r="C761" s="43"/>
      <c r="D761" s="43"/>
      <c r="E761" s="43" t="s">
        <v>13</v>
      </c>
      <c r="F761" s="43" t="s">
        <v>3</v>
      </c>
      <c r="G761" s="64"/>
    </row>
    <row r="762" spans="1:7" ht="15.75" x14ac:dyDescent="0.25">
      <c r="A762" s="49"/>
      <c r="B762" s="50"/>
      <c r="C762" s="65" t="s">
        <v>5</v>
      </c>
      <c r="D762" s="65"/>
      <c r="E762" s="65" t="s">
        <v>22</v>
      </c>
      <c r="F762" s="65" t="s">
        <v>6</v>
      </c>
      <c r="G762" s="64"/>
    </row>
    <row r="763" spans="1:7" ht="15.75" x14ac:dyDescent="0.25">
      <c r="A763" s="45" t="s">
        <v>59</v>
      </c>
      <c r="B763" s="36"/>
      <c r="C763" s="66"/>
      <c r="D763" s="66"/>
      <c r="E763" s="66"/>
      <c r="F763" s="66"/>
      <c r="G763" s="64"/>
    </row>
    <row r="764" spans="1:7" ht="15.75" x14ac:dyDescent="0.25">
      <c r="A764" s="42" t="s">
        <v>57</v>
      </c>
      <c r="B764" s="50"/>
      <c r="C764" s="67">
        <v>13606</v>
      </c>
      <c r="D764" s="67"/>
      <c r="E764" s="68">
        <v>0.21</v>
      </c>
      <c r="F764" s="67">
        <f>C764*E764</f>
        <v>2857.2599999999998</v>
      </c>
      <c r="G764" s="64"/>
    </row>
    <row r="765" spans="1:7" ht="17.25" x14ac:dyDescent="0.35">
      <c r="A765" s="49" t="s">
        <v>58</v>
      </c>
      <c r="B765" s="50"/>
      <c r="C765" s="51">
        <v>72828</v>
      </c>
      <c r="D765" s="51"/>
      <c r="E765" s="68">
        <v>0.23</v>
      </c>
      <c r="F765" s="51">
        <f>C765*E765</f>
        <v>16750.440000000002</v>
      </c>
      <c r="G765" s="64"/>
    </row>
    <row r="766" spans="1:7" ht="15" x14ac:dyDescent="0.2">
      <c r="A766" s="42" t="s">
        <v>3</v>
      </c>
      <c r="B766" s="50"/>
      <c r="C766" s="67">
        <f>+C765+C764</f>
        <v>86434</v>
      </c>
      <c r="D766" s="67"/>
      <c r="E766" s="50"/>
      <c r="F766" s="67">
        <f>+F765+F764</f>
        <v>19607.7</v>
      </c>
      <c r="G766" s="64"/>
    </row>
    <row r="767" spans="1:7" ht="15" x14ac:dyDescent="0.2">
      <c r="A767" s="42"/>
      <c r="B767" s="50"/>
      <c r="C767" s="50"/>
      <c r="D767" s="50"/>
      <c r="E767" s="50"/>
      <c r="F767" s="50"/>
      <c r="G767" s="64"/>
    </row>
    <row r="768" spans="1:7" ht="15.75" x14ac:dyDescent="0.25">
      <c r="A768" s="35" t="s">
        <v>23</v>
      </c>
      <c r="B768" s="50"/>
      <c r="C768" s="50"/>
      <c r="D768" s="50"/>
      <c r="E768" s="50"/>
      <c r="F768" s="69">
        <v>17896.735447015508</v>
      </c>
      <c r="G768" s="64"/>
    </row>
    <row r="769" spans="1:7" ht="15" x14ac:dyDescent="0.2">
      <c r="A769" s="42"/>
      <c r="B769" s="50"/>
      <c r="C769" s="50"/>
      <c r="D769" s="50"/>
      <c r="E769" s="50"/>
      <c r="F769" s="50"/>
      <c r="G769" s="64"/>
    </row>
    <row r="770" spans="1:7" ht="15" x14ac:dyDescent="0.2">
      <c r="A770" s="42" t="s">
        <v>24</v>
      </c>
      <c r="B770" s="50"/>
      <c r="C770" s="50"/>
      <c r="D770" s="50"/>
      <c r="E770" s="50"/>
      <c r="F770" s="67">
        <v>-1710.9364485785482</v>
      </c>
      <c r="G770" s="64"/>
    </row>
    <row r="771" spans="1:7" ht="15" x14ac:dyDescent="0.2">
      <c r="A771" s="42"/>
      <c r="B771" s="50"/>
      <c r="C771" s="50"/>
      <c r="D771" s="50"/>
      <c r="E771" s="50"/>
      <c r="F771" s="50"/>
      <c r="G771" s="64"/>
    </row>
    <row r="772" spans="1:7" ht="15" x14ac:dyDescent="0.2">
      <c r="A772" s="49" t="s">
        <v>25</v>
      </c>
      <c r="B772" s="50"/>
      <c r="C772" s="50"/>
      <c r="D772" s="50"/>
      <c r="E772" s="50"/>
      <c r="F772" s="67">
        <f>+C766</f>
        <v>86434</v>
      </c>
      <c r="G772" s="64"/>
    </row>
    <row r="773" spans="1:7" ht="15" x14ac:dyDescent="0.2">
      <c r="A773" s="42"/>
      <c r="B773" s="50"/>
      <c r="C773" s="50"/>
      <c r="D773" s="50"/>
      <c r="E773" s="50"/>
      <c r="F773" s="50"/>
      <c r="G773" s="64"/>
    </row>
    <row r="774" spans="1:7" ht="15" x14ac:dyDescent="0.2">
      <c r="A774" s="42" t="s">
        <v>26</v>
      </c>
      <c r="B774" s="50"/>
      <c r="C774" s="50"/>
      <c r="D774" s="50"/>
      <c r="E774" s="50"/>
      <c r="F774" s="50"/>
      <c r="G774" s="70">
        <f>ROUND(F770/F772,2)</f>
        <v>-0.02</v>
      </c>
    </row>
    <row r="775" spans="1:7" ht="15" x14ac:dyDescent="0.2">
      <c r="A775" s="42"/>
      <c r="B775" s="50"/>
      <c r="C775" s="50"/>
      <c r="D775" s="50"/>
      <c r="E775" s="50"/>
      <c r="F775" s="50"/>
      <c r="G775" s="70"/>
    </row>
    <row r="776" spans="1:7" ht="15" x14ac:dyDescent="0.2">
      <c r="A776" s="42"/>
      <c r="B776" s="50"/>
      <c r="C776" s="50"/>
      <c r="D776" s="50"/>
      <c r="E776" s="50"/>
      <c r="F776" s="67"/>
      <c r="G776" s="64"/>
    </row>
    <row r="777" spans="1:7" ht="15.75" x14ac:dyDescent="0.25">
      <c r="A777" s="42"/>
      <c r="B777" s="36"/>
      <c r="C777" s="50"/>
      <c r="D777" s="50"/>
      <c r="E777" s="50"/>
      <c r="F777" s="67"/>
      <c r="G777" s="64"/>
    </row>
    <row r="778" spans="1:7" ht="15.75" x14ac:dyDescent="0.25">
      <c r="A778" s="45" t="s">
        <v>59</v>
      </c>
      <c r="B778" s="50"/>
      <c r="C778" s="50"/>
      <c r="D778" s="50"/>
      <c r="E778" s="50"/>
      <c r="F778" s="54">
        <f>+F768</f>
        <v>17896.735447015508</v>
      </c>
      <c r="G778" s="64"/>
    </row>
    <row r="779" spans="1:7" ht="15" x14ac:dyDescent="0.2">
      <c r="A779" s="42" t="s">
        <v>25</v>
      </c>
      <c r="B779" s="50"/>
      <c r="C779" s="50"/>
      <c r="D779" s="50"/>
      <c r="E779" s="50"/>
      <c r="F779" s="67">
        <v>91907</v>
      </c>
      <c r="G779" s="64"/>
    </row>
    <row r="780" spans="1:7" ht="17.25" x14ac:dyDescent="0.35">
      <c r="A780" s="42" t="s">
        <v>27</v>
      </c>
      <c r="B780" s="50"/>
      <c r="C780" s="50"/>
      <c r="D780" s="50"/>
      <c r="E780" s="50"/>
      <c r="F780" s="50"/>
      <c r="G780" s="57">
        <f>ROUND(+F778/F779,2)</f>
        <v>0.19</v>
      </c>
    </row>
    <row r="781" spans="1:7" ht="17.25" x14ac:dyDescent="0.35">
      <c r="A781" s="42"/>
      <c r="B781" s="50"/>
      <c r="C781" s="50"/>
      <c r="D781" s="50"/>
      <c r="E781" s="50"/>
      <c r="F781" s="50"/>
      <c r="G781" s="57"/>
    </row>
    <row r="782" spans="1:7" ht="16.5" thickBot="1" x14ac:dyDescent="0.3">
      <c r="A782" s="35" t="s">
        <v>30</v>
      </c>
      <c r="B782" s="36"/>
      <c r="C782" s="50"/>
      <c r="D782" s="50"/>
      <c r="E782" s="50"/>
      <c r="F782" s="50"/>
      <c r="G782" s="71">
        <f>+G780+G774</f>
        <v>0.17</v>
      </c>
    </row>
    <row r="783" spans="1:7" ht="16.5" thickTop="1" thickBot="1" x14ac:dyDescent="0.25">
      <c r="A783" s="72"/>
      <c r="B783" s="73"/>
      <c r="C783" s="73"/>
      <c r="D783" s="73"/>
      <c r="E783" s="73"/>
      <c r="F783" s="73"/>
      <c r="G783" s="74"/>
    </row>
  </sheetData>
  <mergeCells count="26">
    <mergeCell ref="A481:G481"/>
    <mergeCell ref="A513:G513"/>
    <mergeCell ref="A202:G202"/>
    <mergeCell ref="A235:G235"/>
    <mergeCell ref="A269:G269"/>
    <mergeCell ref="A423:G423"/>
    <mergeCell ref="A302:G302"/>
    <mergeCell ref="A336:G336"/>
    <mergeCell ref="A365:G365"/>
    <mergeCell ref="A397:G397"/>
    <mergeCell ref="A541:G541"/>
    <mergeCell ref="A759:G759"/>
    <mergeCell ref="A625:G625"/>
    <mergeCell ref="A651:G651"/>
    <mergeCell ref="A571:G571"/>
    <mergeCell ref="A597:G597"/>
    <mergeCell ref="A679:G679"/>
    <mergeCell ref="A733:G733"/>
    <mergeCell ref="A705:G705"/>
    <mergeCell ref="A4:G4"/>
    <mergeCell ref="A37:G37"/>
    <mergeCell ref="A452:G452"/>
    <mergeCell ref="A70:G70"/>
    <mergeCell ref="A103:G103"/>
    <mergeCell ref="A136:G136"/>
    <mergeCell ref="A169:G169"/>
  </mergeCells>
  <pageMargins left="0.45" right="0.45" top="0.5" bottom="0.5" header="0.3" footer="0.3"/>
  <pageSetup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37FE7-0910-4C69-87F9-735E1DEDDB4C}">
  <sheetPr>
    <tabColor rgb="FFFF0000"/>
  </sheetPr>
  <dimension ref="A1:J38"/>
  <sheetViews>
    <sheetView workbookViewId="0">
      <selection activeCell="F12" sqref="F12"/>
    </sheetView>
  </sheetViews>
  <sheetFormatPr defaultRowHeight="12.75" x14ac:dyDescent="0.2"/>
  <cols>
    <col min="1" max="1" width="18.28515625" bestFit="1" customWidth="1"/>
    <col min="3" max="4" width="11.28515625" style="154" bestFit="1" customWidth="1"/>
    <col min="5" max="5" width="5.42578125" style="154" customWidth="1"/>
    <col min="6" max="6" width="11.28515625" bestFit="1" customWidth="1"/>
    <col min="7" max="7" width="11.42578125" bestFit="1" customWidth="1"/>
    <col min="9" max="9" width="3.5703125" customWidth="1"/>
  </cols>
  <sheetData>
    <row r="1" spans="1:10" s="1" customFormat="1" ht="23.25" x14ac:dyDescent="0.35">
      <c r="A1" s="22" t="s">
        <v>31</v>
      </c>
      <c r="C1" s="167"/>
      <c r="D1" s="167"/>
      <c r="E1" s="167"/>
    </row>
    <row r="2" spans="1:10" s="1" customFormat="1" x14ac:dyDescent="0.2">
      <c r="A2" s="1" t="s">
        <v>129</v>
      </c>
      <c r="C2" s="167"/>
      <c r="D2" s="167"/>
      <c r="E2" s="167"/>
    </row>
    <row r="3" spans="1:10" s="1" customFormat="1" x14ac:dyDescent="0.2">
      <c r="C3" s="167"/>
      <c r="D3" s="167"/>
      <c r="E3" s="167"/>
    </row>
    <row r="4" spans="1:10" s="1" customFormat="1" x14ac:dyDescent="0.2">
      <c r="C4" s="167"/>
      <c r="D4" s="168" t="s">
        <v>163</v>
      </c>
      <c r="E4" s="168"/>
      <c r="H4" s="4"/>
    </row>
    <row r="5" spans="1:10" s="1" customFormat="1" x14ac:dyDescent="0.2">
      <c r="C5" s="168" t="s">
        <v>3</v>
      </c>
      <c r="D5" s="168" t="s">
        <v>104</v>
      </c>
      <c r="E5" s="168"/>
      <c r="F5" s="4"/>
      <c r="G5" s="4" t="s">
        <v>125</v>
      </c>
      <c r="H5" s="4" t="s">
        <v>4</v>
      </c>
    </row>
    <row r="6" spans="1:10" s="3" customFormat="1" x14ac:dyDescent="0.2">
      <c r="C6" s="169" t="s">
        <v>104</v>
      </c>
      <c r="D6" s="246">
        <v>24</v>
      </c>
      <c r="E6" s="245" t="s">
        <v>164</v>
      </c>
      <c r="F6" s="101" t="s">
        <v>124</v>
      </c>
      <c r="G6" s="101" t="s">
        <v>126</v>
      </c>
      <c r="H6" s="101" t="s">
        <v>127</v>
      </c>
    </row>
    <row r="7" spans="1:10" s="3" customFormat="1" x14ac:dyDescent="0.2">
      <c r="C7" s="169"/>
      <c r="D7" s="169"/>
      <c r="E7" s="245"/>
      <c r="F7" s="101"/>
      <c r="G7" s="101"/>
      <c r="H7" s="101"/>
    </row>
    <row r="8" spans="1:10" s="3" customFormat="1" x14ac:dyDescent="0.2">
      <c r="A8" s="63" t="s">
        <v>5</v>
      </c>
      <c r="C8" s="170">
        <f>+'2022-2024 Budget'!D6</f>
        <v>26635</v>
      </c>
      <c r="D8" s="170">
        <f>+C8</f>
        <v>26635</v>
      </c>
      <c r="E8" s="170"/>
      <c r="F8" s="170">
        <f>'Res''l &amp; MF Customers'!R43</f>
        <v>27089.208333333332</v>
      </c>
      <c r="G8" s="154">
        <f>+F8-D8</f>
        <v>454.20833333333212</v>
      </c>
      <c r="H8" s="113">
        <f>+G8/C8</f>
        <v>1.7053063012327094E-2</v>
      </c>
    </row>
    <row r="9" spans="1:10" s="3" customFormat="1" x14ac:dyDescent="0.2">
      <c r="C9" s="169"/>
      <c r="D9" s="169"/>
      <c r="E9" s="169"/>
      <c r="F9" s="101"/>
      <c r="G9" s="101"/>
      <c r="H9" s="113"/>
    </row>
    <row r="10" spans="1:10" x14ac:dyDescent="0.2">
      <c r="A10" t="s">
        <v>123</v>
      </c>
      <c r="C10" s="250">
        <f>+'2022-2024 Budget'!D9</f>
        <v>10409</v>
      </c>
      <c r="D10" s="250">
        <f>+C10/24*D6</f>
        <v>10409</v>
      </c>
      <c r="E10" s="250"/>
      <c r="F10" s="250">
        <f>SUM('Tons &amp; Revenue'!K9:K20,'Tons &amp; Revenue'!K23:K33)</f>
        <v>11394.989089303723</v>
      </c>
      <c r="G10" s="250">
        <f>+F10-D10</f>
        <v>985.98908930372272</v>
      </c>
      <c r="H10" s="113">
        <f>+G10/C10</f>
        <v>9.4724669930226033E-2</v>
      </c>
      <c r="J10" s="6"/>
    </row>
    <row r="11" spans="1:10" x14ac:dyDescent="0.2">
      <c r="F11" s="154"/>
      <c r="G11" s="154"/>
      <c r="H11" s="113"/>
    </row>
    <row r="12" spans="1:10" x14ac:dyDescent="0.2">
      <c r="A12" s="63" t="s">
        <v>130</v>
      </c>
      <c r="C12" s="9">
        <f>+'2022-2024 Budget'!D12</f>
        <v>1736530</v>
      </c>
      <c r="D12" s="9">
        <f>+C12/24*D6</f>
        <v>1736530</v>
      </c>
      <c r="E12" s="9"/>
      <c r="F12" s="9">
        <f>+'Tons &amp; Revenue'!Q259</f>
        <v>1215951.3733215719</v>
      </c>
      <c r="G12" s="9">
        <f>+F12-D12</f>
        <v>-520578.62667842815</v>
      </c>
      <c r="H12" s="113">
        <f>+G12/C12</f>
        <v>-0.29978095781727249</v>
      </c>
    </row>
    <row r="13" spans="1:10" x14ac:dyDescent="0.2">
      <c r="F13" s="154"/>
      <c r="G13" s="154"/>
      <c r="H13" s="113"/>
    </row>
    <row r="14" spans="1:10" x14ac:dyDescent="0.2">
      <c r="A14" s="63" t="s">
        <v>128</v>
      </c>
      <c r="C14" s="76">
        <f>+C12/C10</f>
        <v>166.8296666346431</v>
      </c>
      <c r="D14" s="76">
        <f>+D12/D10</f>
        <v>166.8296666346431</v>
      </c>
      <c r="E14" s="76"/>
      <c r="F14" s="76">
        <f t="shared" ref="F14" si="0">+F12/F10</f>
        <v>106.7093056247824</v>
      </c>
      <c r="G14" s="76">
        <f>+F14-C14</f>
        <v>-60.120361009860702</v>
      </c>
      <c r="H14" s="113">
        <f>+G14/C14</f>
        <v>-0.36036972453780819</v>
      </c>
    </row>
    <row r="15" spans="1:10" x14ac:dyDescent="0.2">
      <c r="F15" s="154"/>
      <c r="G15" s="154"/>
    </row>
    <row r="16" spans="1:10" x14ac:dyDescent="0.2">
      <c r="F16" s="154"/>
      <c r="G16" s="154"/>
    </row>
    <row r="17" spans="6:7" x14ac:dyDescent="0.2">
      <c r="F17" s="154"/>
      <c r="G17" s="154"/>
    </row>
    <row r="18" spans="6:7" x14ac:dyDescent="0.2">
      <c r="F18" s="154"/>
      <c r="G18" s="154"/>
    </row>
    <row r="19" spans="6:7" x14ac:dyDescent="0.2">
      <c r="F19" s="154"/>
      <c r="G19" s="154"/>
    </row>
    <row r="20" spans="6:7" x14ac:dyDescent="0.2">
      <c r="F20" s="154"/>
      <c r="G20" s="154"/>
    </row>
    <row r="21" spans="6:7" x14ac:dyDescent="0.2">
      <c r="F21" s="154"/>
      <c r="G21" s="154"/>
    </row>
    <row r="22" spans="6:7" x14ac:dyDescent="0.2">
      <c r="F22" s="154"/>
      <c r="G22" s="154"/>
    </row>
    <row r="23" spans="6:7" x14ac:dyDescent="0.2">
      <c r="F23" s="154"/>
      <c r="G23" s="154"/>
    </row>
    <row r="24" spans="6:7" x14ac:dyDescent="0.2">
      <c r="F24" s="154"/>
      <c r="G24" s="154"/>
    </row>
    <row r="25" spans="6:7" x14ac:dyDescent="0.2">
      <c r="F25" s="154"/>
      <c r="G25" s="154"/>
    </row>
    <row r="26" spans="6:7" x14ac:dyDescent="0.2">
      <c r="F26" s="154"/>
      <c r="G26" s="154"/>
    </row>
    <row r="27" spans="6:7" x14ac:dyDescent="0.2">
      <c r="F27" s="154"/>
      <c r="G27" s="154"/>
    </row>
    <row r="28" spans="6:7" x14ac:dyDescent="0.2">
      <c r="F28" s="154"/>
      <c r="G28" s="154"/>
    </row>
    <row r="29" spans="6:7" x14ac:dyDescent="0.2">
      <c r="F29" s="154"/>
      <c r="G29" s="154"/>
    </row>
    <row r="30" spans="6:7" x14ac:dyDescent="0.2">
      <c r="F30" s="154"/>
      <c r="G30" s="154"/>
    </row>
    <row r="31" spans="6:7" x14ac:dyDescent="0.2">
      <c r="F31" s="154"/>
      <c r="G31" s="154"/>
    </row>
    <row r="32" spans="6:7" x14ac:dyDescent="0.2">
      <c r="F32" s="154"/>
      <c r="G32" s="154"/>
    </row>
    <row r="33" spans="6:7" x14ac:dyDescent="0.2">
      <c r="F33" s="154"/>
      <c r="G33" s="154"/>
    </row>
    <row r="34" spans="6:7" x14ac:dyDescent="0.2">
      <c r="F34" s="154"/>
      <c r="G34" s="154"/>
    </row>
    <row r="35" spans="6:7" x14ac:dyDescent="0.2">
      <c r="F35" s="154"/>
      <c r="G35" s="154"/>
    </row>
    <row r="36" spans="6:7" x14ac:dyDescent="0.2">
      <c r="F36" s="154"/>
      <c r="G36" s="154"/>
    </row>
    <row r="37" spans="6:7" x14ac:dyDescent="0.2">
      <c r="F37" s="154"/>
      <c r="G37" s="154"/>
    </row>
    <row r="38" spans="6:7" x14ac:dyDescent="0.2">
      <c r="F38" s="154"/>
      <c r="G38" s="15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266"/>
  <sheetViews>
    <sheetView zoomScale="115" zoomScaleNormal="115" workbookViewId="0">
      <pane xSplit="2" ySplit="8" topLeftCell="D244" activePane="bottomRight" state="frozen"/>
      <selection pane="topRight" activeCell="C1" sqref="C1"/>
      <selection pane="bottomLeft" activeCell="A9" sqref="A9"/>
      <selection pane="bottomRight" activeCell="F265" sqref="F265"/>
    </sheetView>
  </sheetViews>
  <sheetFormatPr defaultRowHeight="12.75" x14ac:dyDescent="0.2"/>
  <cols>
    <col min="1" max="1" width="26.140625" customWidth="1"/>
    <col min="2" max="2" width="8.28515625" bestFit="1" customWidth="1"/>
    <col min="3" max="3" width="11.42578125" style="2" bestFit="1" customWidth="1"/>
    <col min="4" max="4" width="9.85546875" bestFit="1" customWidth="1"/>
    <col min="5" max="5" width="10.42578125" bestFit="1" customWidth="1"/>
    <col min="6" max="6" width="10.28515625" style="276" bestFit="1" customWidth="1"/>
    <col min="7" max="7" width="9" style="276" bestFit="1" customWidth="1"/>
    <col min="8" max="8" width="10.42578125" style="276" customWidth="1"/>
    <col min="9" max="9" width="13.140625" bestFit="1" customWidth="1"/>
    <col min="10" max="10" width="10.85546875" bestFit="1" customWidth="1"/>
    <col min="11" max="11" width="10.42578125" bestFit="1" customWidth="1"/>
    <col min="12" max="12" width="11.28515625" bestFit="1" customWidth="1"/>
    <col min="13" max="14" width="10.28515625" bestFit="1" customWidth="1"/>
    <col min="15" max="15" width="9.42578125" bestFit="1" customWidth="1"/>
    <col min="16" max="16" width="12.42578125" bestFit="1" customWidth="1"/>
    <col min="17" max="18" width="12.28515625" bestFit="1" customWidth="1"/>
    <col min="19" max="20" width="11.28515625" bestFit="1" customWidth="1"/>
    <col min="21" max="21" width="12.28515625" bestFit="1" customWidth="1"/>
    <col min="22" max="22" width="10.28515625" bestFit="1" customWidth="1"/>
  </cols>
  <sheetData>
    <row r="1" spans="1:19" s="4" customFormat="1" ht="23.25" x14ac:dyDescent="0.35">
      <c r="A1" s="22" t="s">
        <v>31</v>
      </c>
      <c r="C1" s="27"/>
      <c r="F1" s="269"/>
      <c r="G1" s="269"/>
      <c r="H1" s="269"/>
    </row>
    <row r="2" spans="1:19" s="4" customFormat="1" x14ac:dyDescent="0.2">
      <c r="A2" s="1" t="s">
        <v>63</v>
      </c>
      <c r="C2" s="27"/>
      <c r="F2" s="269"/>
      <c r="G2" s="269"/>
      <c r="H2" s="269"/>
    </row>
    <row r="3" spans="1:19" s="4" customFormat="1" x14ac:dyDescent="0.2">
      <c r="A3" s="4" t="s">
        <v>185</v>
      </c>
      <c r="C3" s="27"/>
      <c r="F3" s="269"/>
      <c r="G3" s="269"/>
      <c r="H3" s="269"/>
    </row>
    <row r="4" spans="1:19" s="4" customFormat="1" x14ac:dyDescent="0.2">
      <c r="C4" s="27"/>
      <c r="F4" s="269"/>
      <c r="G4" s="269"/>
      <c r="H4" s="269"/>
    </row>
    <row r="5" spans="1:19" s="4" customFormat="1" x14ac:dyDescent="0.2">
      <c r="C5" s="27" t="s">
        <v>62</v>
      </c>
      <c r="F5" s="269" t="s">
        <v>62</v>
      </c>
      <c r="G5" s="269"/>
      <c r="H5" s="269"/>
    </row>
    <row r="6" spans="1:19" s="4" customFormat="1" x14ac:dyDescent="0.2">
      <c r="C6" s="27" t="s">
        <v>196</v>
      </c>
      <c r="F6" s="269" t="s">
        <v>195</v>
      </c>
      <c r="G6" s="269"/>
      <c r="H6" s="269" t="s">
        <v>195</v>
      </c>
      <c r="I6" s="4" t="s">
        <v>56</v>
      </c>
      <c r="J6" s="4" t="s">
        <v>14</v>
      </c>
      <c r="K6" s="4" t="s">
        <v>16</v>
      </c>
      <c r="M6" s="4" t="s">
        <v>115</v>
      </c>
      <c r="O6" s="4" t="s">
        <v>185</v>
      </c>
    </row>
    <row r="7" spans="1:19" s="4" customFormat="1" x14ac:dyDescent="0.2">
      <c r="C7" s="27" t="s">
        <v>32</v>
      </c>
      <c r="D7" s="4" t="s">
        <v>14</v>
      </c>
      <c r="E7" s="4" t="s">
        <v>46</v>
      </c>
      <c r="F7" s="269" t="s">
        <v>193</v>
      </c>
      <c r="G7" s="269" t="s">
        <v>4</v>
      </c>
      <c r="H7" s="269" t="s">
        <v>193</v>
      </c>
      <c r="I7" s="4" t="s">
        <v>4</v>
      </c>
      <c r="J7" s="4" t="s">
        <v>15</v>
      </c>
      <c r="K7" s="27" t="s">
        <v>33</v>
      </c>
      <c r="L7" s="4" t="s">
        <v>32</v>
      </c>
      <c r="M7" s="4" t="s">
        <v>116</v>
      </c>
      <c r="P7" s="4" t="s">
        <v>14</v>
      </c>
      <c r="Q7" s="4" t="s">
        <v>46</v>
      </c>
    </row>
    <row r="8" spans="1:19" s="5" customFormat="1" x14ac:dyDescent="0.2">
      <c r="A8" s="5" t="s">
        <v>61</v>
      </c>
      <c r="C8" s="16" t="s">
        <v>12</v>
      </c>
      <c r="D8" s="101" t="s">
        <v>45</v>
      </c>
      <c r="E8" s="5" t="s">
        <v>33</v>
      </c>
      <c r="F8" s="270" t="s">
        <v>33</v>
      </c>
      <c r="G8" s="270" t="s">
        <v>193</v>
      </c>
      <c r="H8" s="270" t="s">
        <v>194</v>
      </c>
      <c r="I8" s="5" t="s">
        <v>15</v>
      </c>
      <c r="J8" s="101" t="s">
        <v>12</v>
      </c>
      <c r="K8" s="5" t="s">
        <v>12</v>
      </c>
      <c r="L8" s="5" t="s">
        <v>5</v>
      </c>
      <c r="M8" s="5" t="s">
        <v>61</v>
      </c>
      <c r="N8" s="101"/>
      <c r="O8" s="101" t="s">
        <v>187</v>
      </c>
      <c r="P8" s="101" t="s">
        <v>45</v>
      </c>
      <c r="Q8" s="101" t="s">
        <v>188</v>
      </c>
      <c r="R8" s="5" t="s">
        <v>4</v>
      </c>
    </row>
    <row r="9" spans="1:19" x14ac:dyDescent="0.2">
      <c r="A9" t="s">
        <v>180</v>
      </c>
      <c r="C9" s="2">
        <f>+Composition!B39</f>
        <v>1785.1199999999997</v>
      </c>
      <c r="D9" s="6">
        <f>-C9*Composition!B$40</f>
        <v>-315.79000000000002</v>
      </c>
      <c r="E9" s="6">
        <f t="shared" ref="E9:E20" si="0">+D9+C9</f>
        <v>1469.3299999999997</v>
      </c>
      <c r="F9" s="271">
        <v>1189.6600000000001</v>
      </c>
      <c r="G9" s="273">
        <f t="shared" ref="G9:G20" si="1">+F9/C9</f>
        <v>0.66643138836604843</v>
      </c>
      <c r="H9" s="272">
        <f t="shared" ref="H9:H15" si="2">+E9*G9</f>
        <v>979.20763186788577</v>
      </c>
      <c r="I9" s="113">
        <f>+'Res''l &amp; MF Customers'!C18</f>
        <v>0.5472572493577581</v>
      </c>
      <c r="J9" s="6">
        <f t="shared" ref="J9:J14" si="3">-H9*I9</f>
        <v>-535.8784751661434</v>
      </c>
      <c r="K9" s="6">
        <f>+H9+J9</f>
        <v>443.32915670174236</v>
      </c>
      <c r="L9" s="154">
        <f>+'Res''l &amp; MF Customers'!C12</f>
        <v>26964</v>
      </c>
      <c r="M9" s="6">
        <f>+K9*2000/L9</f>
        <v>32.883040847184567</v>
      </c>
      <c r="N9" s="4"/>
      <c r="O9" s="262">
        <v>12.76</v>
      </c>
      <c r="P9" s="262">
        <f>-O9*Composition!B$40</f>
        <v>-2.2572602402079416</v>
      </c>
      <c r="Q9" s="264">
        <f>+O9+P9</f>
        <v>10.502739759792059</v>
      </c>
      <c r="R9" s="113">
        <f>+Q9/(K9+Q9)</f>
        <v>2.3142356986541695E-2</v>
      </c>
      <c r="S9" t="s">
        <v>180</v>
      </c>
    </row>
    <row r="10" spans="1:19" x14ac:dyDescent="0.2">
      <c r="A10" t="s">
        <v>148</v>
      </c>
      <c r="C10" s="2">
        <f>+Composition!D39</f>
        <v>1549.0400000000002</v>
      </c>
      <c r="D10" s="6">
        <f>-C10*Composition!D$40</f>
        <v>-258.69</v>
      </c>
      <c r="E10" s="6">
        <f t="shared" si="0"/>
        <v>1290.3500000000001</v>
      </c>
      <c r="F10" s="271">
        <v>1042.17</v>
      </c>
      <c r="G10" s="273">
        <f t="shared" si="1"/>
        <v>0.67278443423023293</v>
      </c>
      <c r="H10" s="272">
        <f t="shared" si="2"/>
        <v>868.12739470898111</v>
      </c>
      <c r="I10" s="145">
        <f>+'Res''l &amp; MF Customers'!D18</f>
        <v>0.54693946000335403</v>
      </c>
      <c r="J10" s="6">
        <f t="shared" si="3"/>
        <v>-474.81312847624872</v>
      </c>
      <c r="K10" s="6">
        <f t="shared" ref="K10:K20" si="4">+H10+J10</f>
        <v>393.31426623273239</v>
      </c>
      <c r="L10" s="154">
        <f>+'Res''l &amp; MF Customers'!D$12</f>
        <v>27016</v>
      </c>
      <c r="M10" s="6">
        <f t="shared" ref="M10:M20" si="5">+K10*2000/L10</f>
        <v>29.117135492503138</v>
      </c>
      <c r="N10" s="4"/>
      <c r="O10" s="262">
        <v>10.61</v>
      </c>
      <c r="P10" s="262">
        <f>-O10*Composition!D$40</f>
        <v>-1.7718721918091203</v>
      </c>
      <c r="Q10" s="264">
        <f t="shared" ref="Q10:Q12" si="6">+O10+P10</f>
        <v>8.8381278081908796</v>
      </c>
      <c r="R10" s="113">
        <f t="shared" ref="R10:R21" si="7">+Q10/(K10+Q10)</f>
        <v>2.197706128113092E-2</v>
      </c>
      <c r="S10" t="s">
        <v>148</v>
      </c>
    </row>
    <row r="11" spans="1:19" x14ac:dyDescent="0.2">
      <c r="A11" t="s">
        <v>149</v>
      </c>
      <c r="C11" s="2">
        <f>+Composition!F39</f>
        <v>1626.7800000000002</v>
      </c>
      <c r="D11" s="6">
        <f>-C11*Composition!F$40</f>
        <v>-241.39000000000001</v>
      </c>
      <c r="E11" s="6">
        <f t="shared" si="0"/>
        <v>1385.39</v>
      </c>
      <c r="F11" s="271">
        <v>1082.5899999999999</v>
      </c>
      <c r="G11" s="273">
        <f t="shared" si="1"/>
        <v>0.66548027391534181</v>
      </c>
      <c r="H11" s="272">
        <f t="shared" si="2"/>
        <v>921.94971667957543</v>
      </c>
      <c r="I11" s="145">
        <f>+'Res''l &amp; MF Customers'!E$18</f>
        <v>0.54774584673097537</v>
      </c>
      <c r="J11" s="6">
        <f t="shared" si="3"/>
        <v>-504.99412820603692</v>
      </c>
      <c r="K11" s="6">
        <f t="shared" si="4"/>
        <v>416.95558847353851</v>
      </c>
      <c r="L11" s="154">
        <f>+'Res''l &amp; MF Customers'!E$12</f>
        <v>27005</v>
      </c>
      <c r="M11" s="6">
        <f t="shared" si="5"/>
        <v>30.879880649771415</v>
      </c>
      <c r="N11" s="4"/>
      <c r="O11" s="262">
        <v>12.01</v>
      </c>
      <c r="P11" s="262">
        <f>-O11*Composition!F$40</f>
        <v>-1.7821056934557837</v>
      </c>
      <c r="Q11" s="264">
        <f t="shared" si="6"/>
        <v>10.227894306544217</v>
      </c>
      <c r="R11" s="113">
        <f t="shared" si="7"/>
        <v>2.3942625871163688E-2</v>
      </c>
      <c r="S11" t="s">
        <v>149</v>
      </c>
    </row>
    <row r="12" spans="1:19" x14ac:dyDescent="0.2">
      <c r="A12" t="s">
        <v>150</v>
      </c>
      <c r="C12" s="2">
        <f>+Composition!H39</f>
        <v>1618.3599999999997</v>
      </c>
      <c r="D12" s="6">
        <f>-C12*Composition!H$40</f>
        <v>-234.95999999999998</v>
      </c>
      <c r="E12" s="6">
        <f t="shared" si="0"/>
        <v>1383.3999999999996</v>
      </c>
      <c r="F12" s="271">
        <v>1055.6600000000001</v>
      </c>
      <c r="G12" s="273">
        <f t="shared" si="1"/>
        <v>0.65230233075459121</v>
      </c>
      <c r="H12" s="272">
        <f t="shared" si="2"/>
        <v>902.39504436590119</v>
      </c>
      <c r="I12" s="145">
        <f>+'Res''l &amp; MF Customers'!F$18</f>
        <v>0.54762861063694479</v>
      </c>
      <c r="J12" s="6">
        <f t="shared" si="3"/>
        <v>-494.17734439176263</v>
      </c>
      <c r="K12" s="6">
        <f t="shared" si="4"/>
        <v>408.21769997413855</v>
      </c>
      <c r="L12" s="154">
        <f>+'Res''l &amp; MF Customers'!F$12</f>
        <v>27031</v>
      </c>
      <c r="M12" s="6">
        <f t="shared" si="5"/>
        <v>30.203669858617037</v>
      </c>
      <c r="N12" s="4"/>
      <c r="O12" s="262">
        <v>13.02</v>
      </c>
      <c r="P12" s="262">
        <f>-O12*Composition!H$40</f>
        <v>-1.8902958550631506</v>
      </c>
      <c r="Q12" s="264">
        <f t="shared" si="6"/>
        <v>11.129704144936849</v>
      </c>
      <c r="R12" s="113">
        <f t="shared" si="7"/>
        <v>2.6540534257788143E-2</v>
      </c>
      <c r="S12" t="s">
        <v>150</v>
      </c>
    </row>
    <row r="13" spans="1:19" x14ac:dyDescent="0.2">
      <c r="A13" t="s">
        <v>151</v>
      </c>
      <c r="C13" s="2">
        <f>+Composition!J39</f>
        <v>1520.57</v>
      </c>
      <c r="D13" s="6">
        <f>-Composition!J37</f>
        <v>-228.26000000000002</v>
      </c>
      <c r="E13" s="6">
        <f t="shared" si="0"/>
        <v>1292.31</v>
      </c>
      <c r="F13" s="271">
        <v>1020.73</v>
      </c>
      <c r="G13" s="273">
        <f t="shared" si="1"/>
        <v>0.67128116430022955</v>
      </c>
      <c r="H13" s="272">
        <f t="shared" si="2"/>
        <v>867.50336143682966</v>
      </c>
      <c r="I13" s="145">
        <f>+'Res''l &amp; MF Customers'!G$18</f>
        <v>0.54740179140528022</v>
      </c>
      <c r="J13" s="6">
        <f t="shared" si="3"/>
        <v>-474.87289410062283</v>
      </c>
      <c r="K13" s="6">
        <f t="shared" si="4"/>
        <v>392.63046733620683</v>
      </c>
      <c r="L13" s="154">
        <f>+'Res''l &amp; MF Customers'!G$12</f>
        <v>26983</v>
      </c>
      <c r="M13" s="6">
        <f t="shared" si="5"/>
        <v>29.102061841619303</v>
      </c>
      <c r="N13" s="4"/>
      <c r="O13" s="262">
        <v>10.24</v>
      </c>
      <c r="P13" s="262">
        <f>-O13*Composition!J$40</f>
        <v>-1.537175138270517</v>
      </c>
      <c r="Q13" s="264">
        <f t="shared" ref="Q13:Q16" si="8">+O13+P13</f>
        <v>8.7028248617294839</v>
      </c>
      <c r="R13" s="113">
        <f t="shared" ref="R13:R16" si="9">+Q13/(K13+Q13)</f>
        <v>2.1684781778425893E-2</v>
      </c>
      <c r="S13" t="s">
        <v>151</v>
      </c>
    </row>
    <row r="14" spans="1:19" x14ac:dyDescent="0.2">
      <c r="A14" t="s">
        <v>152</v>
      </c>
      <c r="C14" s="2">
        <f>+Composition!L39</f>
        <v>1506.08</v>
      </c>
      <c r="D14" s="6">
        <f>-Composition!L37</f>
        <v>-268.83000000000004</v>
      </c>
      <c r="E14" s="6">
        <f t="shared" si="0"/>
        <v>1237.25</v>
      </c>
      <c r="F14" s="271">
        <v>986.25</v>
      </c>
      <c r="G14" s="273">
        <f t="shared" si="1"/>
        <v>0.65484569212790822</v>
      </c>
      <c r="H14" s="272">
        <f t="shared" si="2"/>
        <v>810.20783258525444</v>
      </c>
      <c r="I14" s="145">
        <f>+'Res''l &amp; MF Customers'!H$18</f>
        <v>0.54735411107194998</v>
      </c>
      <c r="J14" s="6">
        <f t="shared" si="3"/>
        <v>-443.47058798823321</v>
      </c>
      <c r="K14" s="6">
        <f t="shared" si="4"/>
        <v>366.73724459702123</v>
      </c>
      <c r="L14" s="154">
        <f>+'Res''l &amp; MF Customers'!H$12</f>
        <v>26970</v>
      </c>
      <c r="M14" s="6">
        <f t="shared" si="5"/>
        <v>27.195939532593346</v>
      </c>
      <c r="N14" s="4"/>
      <c r="O14" s="262">
        <v>11.41</v>
      </c>
      <c r="P14" s="262">
        <f>-O14*Composition!L$40</f>
        <v>-2.0366449989376396</v>
      </c>
      <c r="Q14" s="264">
        <f t="shared" si="8"/>
        <v>9.373355001062361</v>
      </c>
      <c r="R14" s="113">
        <f t="shared" si="9"/>
        <v>2.4921804945350765E-2</v>
      </c>
      <c r="S14" t="s">
        <v>152</v>
      </c>
    </row>
    <row r="15" spans="1:19" x14ac:dyDescent="0.2">
      <c r="A15" t="s">
        <v>7</v>
      </c>
      <c r="C15" s="2">
        <f>+Composition!N39</f>
        <v>1627.8099999999997</v>
      </c>
      <c r="D15" s="6">
        <f>-Composition!N37</f>
        <v>-344.90000000000003</v>
      </c>
      <c r="E15" s="6">
        <f t="shared" si="0"/>
        <v>1282.9099999999996</v>
      </c>
      <c r="F15" s="271">
        <v>1149.6400000000001</v>
      </c>
      <c r="G15" s="273">
        <f t="shared" si="1"/>
        <v>0.70624950086312299</v>
      </c>
      <c r="H15" s="272">
        <f t="shared" si="2"/>
        <v>906.05454715230883</v>
      </c>
      <c r="I15" s="145">
        <f>+'Res''l &amp; MF Customers'!I$18</f>
        <v>0.54751534516101907</v>
      </c>
      <c r="J15" s="6">
        <f>-H15*I15</f>
        <v>-496.0787681188072</v>
      </c>
      <c r="K15" s="6">
        <f t="shared" si="4"/>
        <v>409.97577903350162</v>
      </c>
      <c r="L15" s="154">
        <f>+'Res''l &amp; MF Customers'!I$12</f>
        <v>26907</v>
      </c>
      <c r="M15" s="6">
        <f t="shared" si="5"/>
        <v>30.47354064247234</v>
      </c>
      <c r="N15" s="4"/>
      <c r="O15" s="262">
        <v>13.65</v>
      </c>
      <c r="P15" s="262">
        <f>-O15*Composition!N$40</f>
        <v>-2.8921587900307784</v>
      </c>
      <c r="Q15" s="264">
        <f t="shared" si="8"/>
        <v>10.757841209969222</v>
      </c>
      <c r="R15" s="113">
        <f t="shared" si="9"/>
        <v>2.556924546163878E-2</v>
      </c>
      <c r="S15" t="s">
        <v>7</v>
      </c>
    </row>
    <row r="16" spans="1:19" x14ac:dyDescent="0.2">
      <c r="A16" t="s">
        <v>181</v>
      </c>
      <c r="C16" s="2">
        <f>+Composition!P39</f>
        <v>1812.8199999999997</v>
      </c>
      <c r="D16" s="6">
        <f>-Composition!P37</f>
        <v>-321.05</v>
      </c>
      <c r="E16" s="6">
        <f t="shared" si="0"/>
        <v>1491.7699999999998</v>
      </c>
      <c r="F16" s="272">
        <v>1179.17</v>
      </c>
      <c r="G16" s="273">
        <f>+F16/C16</f>
        <v>0.65046171158747157</v>
      </c>
      <c r="H16" s="272">
        <f>+E16*G16</f>
        <v>970.33926749484226</v>
      </c>
      <c r="I16" s="145">
        <f>+'Res''l &amp; MF Customers'!J$18</f>
        <v>0.54721268430620085</v>
      </c>
      <c r="J16" s="6">
        <f t="shared" ref="J16:J20" si="10">-H16*I16</f>
        <v>-530.98195525356527</v>
      </c>
      <c r="K16" s="6">
        <f t="shared" si="4"/>
        <v>439.35731224127699</v>
      </c>
      <c r="L16" s="154">
        <f>+'Res''l &amp; MF Customers'!J$12</f>
        <v>26901</v>
      </c>
      <c r="M16" s="6">
        <f t="shared" si="5"/>
        <v>32.664756867125902</v>
      </c>
      <c r="N16" s="4"/>
      <c r="O16" s="262">
        <v>13.41</v>
      </c>
      <c r="P16" s="262">
        <f>-O16*Composition!P$40</f>
        <v>-2.3749078783332052</v>
      </c>
      <c r="Q16" s="264">
        <f t="shared" si="8"/>
        <v>11.035092121666795</v>
      </c>
      <c r="R16" s="113">
        <f t="shared" si="9"/>
        <v>2.4501061773622376E-2</v>
      </c>
      <c r="S16" t="s">
        <v>181</v>
      </c>
    </row>
    <row r="17" spans="1:19" x14ac:dyDescent="0.2">
      <c r="A17" t="s">
        <v>10</v>
      </c>
      <c r="C17" s="2">
        <f>+Composition!R39</f>
        <v>1308.8273750000001</v>
      </c>
      <c r="D17" s="6">
        <f>-Composition!R37</f>
        <v>-203.654775</v>
      </c>
      <c r="E17" s="6">
        <f t="shared" si="0"/>
        <v>1105.1726000000001</v>
      </c>
      <c r="F17" s="271">
        <v>911.11</v>
      </c>
      <c r="G17" s="273">
        <f t="shared" si="1"/>
        <v>0.69612694340229553</v>
      </c>
      <c r="H17" s="272">
        <f t="shared" ref="H17:H20" si="11">+E17*G17</f>
        <v>769.3404239699679</v>
      </c>
      <c r="I17" s="145">
        <f>+'Res''l &amp; MF Customers'!K$18</f>
        <v>0.54891158290782049</v>
      </c>
      <c r="J17" s="6">
        <f t="shared" si="10"/>
        <v>-422.29986991632882</v>
      </c>
      <c r="K17" s="6">
        <f t="shared" si="4"/>
        <v>347.04055405363908</v>
      </c>
      <c r="L17" s="154">
        <f>+'Res''l &amp; MF Customers'!K$12</f>
        <v>26856</v>
      </c>
      <c r="M17" s="6">
        <f t="shared" si="5"/>
        <v>25.844545282517057</v>
      </c>
      <c r="N17" s="4"/>
      <c r="O17" s="262">
        <v>12.21</v>
      </c>
      <c r="P17" s="262">
        <f>-O17*Composition!P$40</f>
        <v>-2.1623881576769897</v>
      </c>
      <c r="Q17" s="264">
        <f t="shared" ref="Q17:Q20" si="12">+O17+P17</f>
        <v>10.047611842323011</v>
      </c>
      <c r="R17" s="113">
        <f t="shared" ref="R17:R20" si="13">+Q17/(K17+Q17)</f>
        <v>2.8137622027077733E-2</v>
      </c>
      <c r="S17" t="s">
        <v>10</v>
      </c>
    </row>
    <row r="18" spans="1:19" x14ac:dyDescent="0.2">
      <c r="A18" t="s">
        <v>8</v>
      </c>
      <c r="C18" s="2">
        <f>+Composition!T39</f>
        <v>1573.9873200000002</v>
      </c>
      <c r="D18" s="6">
        <f>-Composition!T37</f>
        <v>-274.25071600000001</v>
      </c>
      <c r="E18" s="6">
        <f t="shared" si="0"/>
        <v>1299.7366040000002</v>
      </c>
      <c r="F18" s="271">
        <v>1077.81</v>
      </c>
      <c r="G18" s="273">
        <f t="shared" si="1"/>
        <v>0.68476409327109433</v>
      </c>
      <c r="H18" s="272">
        <f t="shared" si="11"/>
        <v>890.01295712931153</v>
      </c>
      <c r="I18" s="145">
        <f>+'Res''l &amp; MF Customers'!L$18</f>
        <v>0.54905263860164122</v>
      </c>
      <c r="J18" s="6">
        <f t="shared" si="10"/>
        <v>-488.66396250149791</v>
      </c>
      <c r="K18" s="6">
        <f t="shared" si="4"/>
        <v>401.34899462781362</v>
      </c>
      <c r="L18" s="154">
        <f>+'Res''l &amp; MF Customers'!L$12</f>
        <v>27037</v>
      </c>
      <c r="M18" s="6">
        <f t="shared" si="5"/>
        <v>29.688870409277186</v>
      </c>
      <c r="N18" s="4"/>
      <c r="O18" s="262">
        <v>14.71</v>
      </c>
      <c r="P18" s="262">
        <f>-O18*Composition!P$40</f>
        <v>-2.6051375757107715</v>
      </c>
      <c r="Q18" s="264">
        <f t="shared" si="12"/>
        <v>12.10486242428923</v>
      </c>
      <c r="R18" s="113">
        <f t="shared" si="13"/>
        <v>2.9277420485555639E-2</v>
      </c>
      <c r="S18" t="s">
        <v>8</v>
      </c>
    </row>
    <row r="19" spans="1:19" x14ac:dyDescent="0.2">
      <c r="A19" t="s">
        <v>9</v>
      </c>
      <c r="C19" s="2">
        <f>+Composition!V39</f>
        <v>1996.0600000000004</v>
      </c>
      <c r="D19" s="6">
        <f>-Composition!V37</f>
        <v>-362.12</v>
      </c>
      <c r="E19" s="6">
        <f t="shared" si="0"/>
        <v>1633.9400000000005</v>
      </c>
      <c r="F19" s="271">
        <v>1325.17</v>
      </c>
      <c r="G19" s="273">
        <f t="shared" si="1"/>
        <v>0.66389286895183497</v>
      </c>
      <c r="H19" s="272">
        <f t="shared" si="11"/>
        <v>1084.7611142951616</v>
      </c>
      <c r="I19" s="145">
        <f>+'Res''l &amp; MF Customers'!M$18</f>
        <v>0.54784581255316667</v>
      </c>
      <c r="J19" s="6">
        <f t="shared" si="10"/>
        <v>-594.28183408711129</v>
      </c>
      <c r="K19" s="6">
        <f t="shared" si="4"/>
        <v>490.47928020805034</v>
      </c>
      <c r="L19" s="154">
        <f>+'Res''l &amp; MF Customers'!M$12</f>
        <v>27108</v>
      </c>
      <c r="M19" s="6">
        <f t="shared" si="5"/>
        <v>36.187050332599256</v>
      </c>
      <c r="N19" s="4"/>
      <c r="O19" s="262">
        <v>13.51</v>
      </c>
      <c r="P19" s="262">
        <f>-O19*Composition!P$40</f>
        <v>-2.392617855054556</v>
      </c>
      <c r="Q19" s="264">
        <f t="shared" si="12"/>
        <v>11.117382144945443</v>
      </c>
      <c r="R19" s="113">
        <f t="shared" si="13"/>
        <v>2.2163987481084252E-2</v>
      </c>
      <c r="S19" t="s">
        <v>9</v>
      </c>
    </row>
    <row r="20" spans="1:19" ht="15" x14ac:dyDescent="0.35">
      <c r="A20" t="s">
        <v>2</v>
      </c>
      <c r="C20" s="12">
        <f>+Composition!X39</f>
        <v>1601.7082009999999</v>
      </c>
      <c r="D20" s="7">
        <f>-Composition!X37</f>
        <v>-295.51369600000004</v>
      </c>
      <c r="E20" s="7">
        <f t="shared" si="0"/>
        <v>1306.1945049999999</v>
      </c>
      <c r="F20" s="274">
        <v>1051.2</v>
      </c>
      <c r="G20" s="291">
        <f t="shared" si="1"/>
        <v>0.65629931803040076</v>
      </c>
      <c r="H20" s="283">
        <f t="shared" si="11"/>
        <v>857.25456284655684</v>
      </c>
      <c r="I20" s="148">
        <f>+'Res''l &amp; MF Customers'!N$18</f>
        <v>0.54869047421586026</v>
      </c>
      <c r="J20" s="7">
        <f t="shared" si="10"/>
        <v>-470.36741261198728</v>
      </c>
      <c r="K20" s="7">
        <f t="shared" si="4"/>
        <v>386.88715023456956</v>
      </c>
      <c r="L20" s="155">
        <f>+'Res''l &amp; MF Customers'!N$12</f>
        <v>27209</v>
      </c>
      <c r="M20" s="7">
        <f t="shared" si="5"/>
        <v>28.438174885851708</v>
      </c>
      <c r="N20" s="4"/>
      <c r="O20" s="267">
        <v>16.149999999999999</v>
      </c>
      <c r="P20" s="267">
        <f>-O20*Composition!P$40</f>
        <v>-2.8601612404982295</v>
      </c>
      <c r="Q20" s="268">
        <f t="shared" si="12"/>
        <v>13.28983875950177</v>
      </c>
      <c r="R20" s="113">
        <f t="shared" si="13"/>
        <v>3.3209902430693383E-2</v>
      </c>
      <c r="S20" t="s">
        <v>2</v>
      </c>
    </row>
    <row r="21" spans="1:19" ht="15" x14ac:dyDescent="0.35">
      <c r="C21" s="15">
        <f>SUM(C9:C20)</f>
        <v>19527.162896000002</v>
      </c>
      <c r="D21" s="15">
        <f>SUM(D9:D20)</f>
        <v>-3349.4091870000002</v>
      </c>
      <c r="E21" s="15">
        <f>SUM(E9:E20)</f>
        <v>16177.753708999999</v>
      </c>
      <c r="F21" s="275">
        <f t="shared" ref="F21:H21" si="14">SUM(F9:F20)</f>
        <v>13071.16</v>
      </c>
      <c r="G21" s="290">
        <f>+F21/C21</f>
        <v>0.66938346700008999</v>
      </c>
      <c r="H21" s="275">
        <f t="shared" si="14"/>
        <v>10827.153854532575</v>
      </c>
      <c r="I21" s="100"/>
      <c r="J21" s="15">
        <f>SUM(J9:J20)</f>
        <v>-5930.8803608183462</v>
      </c>
      <c r="K21" s="15">
        <f>SUM(K9:K20)</f>
        <v>4896.2734937142304</v>
      </c>
      <c r="L21" s="156">
        <f>SUM(L9:L20)</f>
        <v>323987</v>
      </c>
      <c r="M21" s="8">
        <f>+K21*2000/L21</f>
        <v>30.225123191450461</v>
      </c>
      <c r="N21" s="4" t="s">
        <v>189</v>
      </c>
      <c r="O21" s="263">
        <f>SUM(O9:O20)</f>
        <v>153.69</v>
      </c>
      <c r="P21" s="263">
        <f t="shared" ref="P21:Q21" si="15">SUM(P9:P20)</f>
        <v>-26.562725615048681</v>
      </c>
      <c r="Q21" s="263">
        <f t="shared" si="15"/>
        <v>127.12727438495131</v>
      </c>
      <c r="R21" s="113">
        <f t="shared" si="7"/>
        <v>2.5307014163047824E-2</v>
      </c>
    </row>
    <row r="22" spans="1:19" x14ac:dyDescent="0.2">
      <c r="L22" s="6"/>
    </row>
    <row r="23" spans="1:19" x14ac:dyDescent="0.2">
      <c r="A23" t="s">
        <v>182</v>
      </c>
      <c r="C23" s="2">
        <f>+Composition!B58</f>
        <v>2050.4161440000003</v>
      </c>
      <c r="D23" s="6">
        <f>-Composition!B56</f>
        <v>-315.05082599999997</v>
      </c>
      <c r="E23" s="6">
        <f t="shared" ref="E23:E34" si="16">+D23+C23</f>
        <v>1735.3653180000003</v>
      </c>
      <c r="F23" s="271">
        <v>1017.7809999999999</v>
      </c>
      <c r="G23" s="273">
        <f t="shared" ref="G23:G25" si="17">+F23/C23</f>
        <v>0.49637777335018868</v>
      </c>
      <c r="H23" s="272">
        <f t="shared" ref="H23:H25" si="18">+E23*G23</f>
        <v>861.39677249798228</v>
      </c>
      <c r="I23" s="113">
        <f>+'Res''l &amp; MF Customers'!C49</f>
        <v>0.54905535299966857</v>
      </c>
      <c r="J23" s="6">
        <f t="shared" ref="J23:J30" si="19">-I23*E23</f>
        <v>-952.81161725787229</v>
      </c>
      <c r="K23" s="6">
        <f t="shared" ref="K23:K30" si="20">+J23+E23</f>
        <v>782.55370074212806</v>
      </c>
      <c r="L23" s="154">
        <f>+'Res''l &amp; MF Customers'!C43</f>
        <v>27210</v>
      </c>
      <c r="M23" s="6">
        <f>+K23*2000/L23</f>
        <v>57.519566390454102</v>
      </c>
      <c r="O23">
        <v>23.97</v>
      </c>
      <c r="P23" s="262">
        <f>-O23*Composition!P$40</f>
        <v>-4.2450814201078986</v>
      </c>
      <c r="Q23" s="264">
        <f t="shared" ref="Q23:Q25" si="21">+O23+P23</f>
        <v>19.724918579892101</v>
      </c>
      <c r="R23" s="113">
        <f t="shared" ref="R23:R25" si="22">+Q23/(K23+Q23)</f>
        <v>2.4586120214148289E-2</v>
      </c>
      <c r="S23" s="63" t="s">
        <v>147</v>
      </c>
    </row>
    <row r="24" spans="1:19" x14ac:dyDescent="0.2">
      <c r="A24" t="s">
        <v>148</v>
      </c>
      <c r="C24" s="2">
        <f>+Composition!D58</f>
        <v>1838.6911360000001</v>
      </c>
      <c r="D24" s="6">
        <f>-Composition!D56</f>
        <v>-292.94463999999999</v>
      </c>
      <c r="E24" s="6">
        <f t="shared" si="16"/>
        <v>1545.7464960000002</v>
      </c>
      <c r="F24" s="271">
        <v>871.91849999999988</v>
      </c>
      <c r="G24" s="273">
        <f t="shared" si="17"/>
        <v>0.47420607133442982</v>
      </c>
      <c r="H24" s="272">
        <f t="shared" si="18"/>
        <v>733.00237314712103</v>
      </c>
      <c r="I24" s="145">
        <f>+'Res''l &amp; MF Customers'!D49</f>
        <v>0.54867300702086341</v>
      </c>
      <c r="J24" s="6">
        <f t="shared" si="19"/>
        <v>-848.10937805228309</v>
      </c>
      <c r="K24" s="6">
        <f t="shared" si="20"/>
        <v>697.63711794771712</v>
      </c>
      <c r="L24" s="154">
        <f>+'Res''l &amp; MF Customers'!D43</f>
        <v>27192</v>
      </c>
      <c r="M24" s="6">
        <f t="shared" ref="M24:M34" si="23">+K24*2000/L24</f>
        <v>51.311938654583486</v>
      </c>
      <c r="O24">
        <v>11.35</v>
      </c>
      <c r="P24" s="262">
        <f>-O24*Composition!P$40</f>
        <v>-2.0100823578733689</v>
      </c>
      <c r="Q24" s="264">
        <f t="shared" si="21"/>
        <v>9.3399176421266308</v>
      </c>
      <c r="R24" s="113">
        <f t="shared" si="22"/>
        <v>1.3211062272106432E-2</v>
      </c>
      <c r="S24" s="63" t="s">
        <v>148</v>
      </c>
    </row>
    <row r="25" spans="1:19" x14ac:dyDescent="0.2">
      <c r="A25" t="s">
        <v>149</v>
      </c>
      <c r="C25" s="2">
        <f>+Composition!F58</f>
        <v>1951.2925349999998</v>
      </c>
      <c r="D25" s="6">
        <f>-Composition!F56</f>
        <v>-292.56616500000001</v>
      </c>
      <c r="E25" s="6">
        <f t="shared" si="16"/>
        <v>1658.7263699999999</v>
      </c>
      <c r="F25" s="271">
        <v>978.47799999999961</v>
      </c>
      <c r="G25" s="273">
        <f t="shared" si="17"/>
        <v>0.50145120859594727</v>
      </c>
      <c r="H25" s="272">
        <f t="shared" si="18"/>
        <v>831.77034296646832</v>
      </c>
      <c r="I25" s="145">
        <f>+'Res''l &amp; MF Customers'!E49</f>
        <v>0.5493186028049748</v>
      </c>
      <c r="J25" s="6">
        <f t="shared" si="19"/>
        <v>-911.16925200416756</v>
      </c>
      <c r="K25" s="6">
        <f t="shared" si="20"/>
        <v>747.5571179958323</v>
      </c>
      <c r="L25" s="154">
        <f>+'Res''l &amp; MF Customers'!E$43</f>
        <v>27250</v>
      </c>
      <c r="M25" s="6">
        <f t="shared" si="23"/>
        <v>54.866577467584023</v>
      </c>
      <c r="O25">
        <v>16.010000000000002</v>
      </c>
      <c r="P25" s="262">
        <f>-O25*Composition!P$40</f>
        <v>-2.8353672730883384</v>
      </c>
      <c r="Q25" s="264">
        <f t="shared" si="21"/>
        <v>13.174632726911664</v>
      </c>
      <c r="R25" s="113">
        <f t="shared" si="22"/>
        <v>1.7318368418821638E-2</v>
      </c>
      <c r="S25" s="63" t="s">
        <v>149</v>
      </c>
    </row>
    <row r="26" spans="1:19" x14ac:dyDescent="0.2">
      <c r="A26" t="s">
        <v>150</v>
      </c>
      <c r="C26" s="2">
        <f>+Composition!H58</f>
        <v>1617.6784469999998</v>
      </c>
      <c r="D26" s="6">
        <f>-Composition!H56</f>
        <v>-238.91415299999997</v>
      </c>
      <c r="E26" s="6">
        <f t="shared" si="16"/>
        <v>1378.7642939999998</v>
      </c>
      <c r="F26" s="271">
        <f>[1]Calculation!$F$2</f>
        <v>900.23200000000031</v>
      </c>
      <c r="G26" s="273">
        <f t="shared" ref="G26:G29" si="24">+F26/C26</f>
        <v>0.55649625651469192</v>
      </c>
      <c r="H26" s="272">
        <f t="shared" ref="H26:H29" si="25">+E26*G26</f>
        <v>767.27716822712205</v>
      </c>
      <c r="I26" s="145">
        <f>+'Res''l &amp; MF Customers'!F49</f>
        <v>0.54960117582943868</v>
      </c>
      <c r="J26" s="6">
        <f t="shared" si="19"/>
        <v>-757.77047717404582</v>
      </c>
      <c r="K26" s="6">
        <f t="shared" si="20"/>
        <v>620.99381682595401</v>
      </c>
      <c r="L26" s="154">
        <f>+'Res''l &amp; MF Customers'!F$43</f>
        <v>27273</v>
      </c>
      <c r="M26" s="6">
        <f t="shared" si="23"/>
        <v>45.539091176324867</v>
      </c>
      <c r="O26">
        <v>16.559999999999999</v>
      </c>
      <c r="P26" s="262">
        <f>-O26*Composition!P$40</f>
        <v>-2.9327721450557696</v>
      </c>
      <c r="Q26" s="264">
        <f t="shared" ref="Q26:Q28" si="26">+O26+P26</f>
        <v>13.627227854944229</v>
      </c>
      <c r="R26" s="113">
        <f t="shared" ref="R26:R28" si="27">+Q26/(K26+Q26)</f>
        <v>2.1473016013511349E-2</v>
      </c>
    </row>
    <row r="27" spans="1:19" x14ac:dyDescent="0.2">
      <c r="A27" t="s">
        <v>151</v>
      </c>
      <c r="C27" s="2">
        <f>+Composition!J58</f>
        <v>1582.5529839999999</v>
      </c>
      <c r="D27" s="6">
        <f>-Composition!J56</f>
        <v>-249.62509799999998</v>
      </c>
      <c r="E27" s="6">
        <f t="shared" si="16"/>
        <v>1332.9278859999999</v>
      </c>
      <c r="F27" s="271">
        <f>[2]Calculation!$F$2</f>
        <v>930.71799999999973</v>
      </c>
      <c r="G27" s="273">
        <f t="shared" si="24"/>
        <v>0.58811174691134371</v>
      </c>
      <c r="H27" s="272">
        <f t="shared" si="25"/>
        <v>783.91054754230436</v>
      </c>
      <c r="I27" s="145">
        <f>+'Res''l &amp; MF Customers'!G$49</f>
        <v>0.54996520990026831</v>
      </c>
      <c r="J27" s="6">
        <f t="shared" si="19"/>
        <v>-733.06396460591088</v>
      </c>
      <c r="K27" s="6">
        <f t="shared" si="20"/>
        <v>599.86392139408906</v>
      </c>
      <c r="L27" s="154">
        <f>+'Res''l &amp; MF Customers'!G$43</f>
        <v>27165</v>
      </c>
      <c r="M27" s="6">
        <f t="shared" si="23"/>
        <v>44.164470560948942</v>
      </c>
      <c r="O27">
        <v>17.68</v>
      </c>
      <c r="P27" s="262">
        <f>-O27*Composition!P$40</f>
        <v>-3.1311238843349041</v>
      </c>
      <c r="Q27" s="264">
        <f t="shared" si="26"/>
        <v>14.548876115665095</v>
      </c>
      <c r="R27" s="113">
        <f t="shared" si="27"/>
        <v>2.3679318163020723E-2</v>
      </c>
    </row>
    <row r="28" spans="1:19" x14ac:dyDescent="0.2">
      <c r="A28" t="s">
        <v>152</v>
      </c>
      <c r="C28" s="2">
        <f>+Composition!L58</f>
        <v>1514.5785619999997</v>
      </c>
      <c r="D28" s="6">
        <f>-Composition!L56</f>
        <v>-240.01935099999997</v>
      </c>
      <c r="E28" s="6">
        <f t="shared" si="16"/>
        <v>1274.5592109999998</v>
      </c>
      <c r="F28" s="271">
        <f>[3]Calculation!$F$2</f>
        <v>1016.5859999999998</v>
      </c>
      <c r="G28" s="273">
        <f t="shared" si="24"/>
        <v>0.67120057387950804</v>
      </c>
      <c r="H28" s="272">
        <f t="shared" si="25"/>
        <v>855.48487386661282</v>
      </c>
      <c r="I28" s="145">
        <f>+'Res''l &amp; MF Customers'!H$49</f>
        <v>0.54986728599867285</v>
      </c>
      <c r="J28" s="6">
        <f t="shared" si="19"/>
        <v>-700.83841419717965</v>
      </c>
      <c r="K28" s="6">
        <f t="shared" si="20"/>
        <v>573.72079680282013</v>
      </c>
      <c r="L28" s="154">
        <f>+'Res''l &amp; MF Customers'!H$43</f>
        <v>27134</v>
      </c>
      <c r="M28" s="6">
        <f t="shared" si="23"/>
        <v>42.287963205043134</v>
      </c>
      <c r="O28">
        <v>19.329999999999998</v>
      </c>
      <c r="P28" s="262">
        <f>-O28*Composition!P$40</f>
        <v>-3.4233385002371994</v>
      </c>
      <c r="Q28" s="264">
        <f t="shared" si="26"/>
        <v>15.906661499762798</v>
      </c>
      <c r="R28" s="113">
        <f t="shared" si="27"/>
        <v>2.6977477516998326E-2</v>
      </c>
    </row>
    <row r="29" spans="1:19" x14ac:dyDescent="0.2">
      <c r="A29" t="s">
        <v>7</v>
      </c>
      <c r="C29" s="2">
        <f>+Composition!N58</f>
        <v>1689.492792</v>
      </c>
      <c r="D29" s="6">
        <f>-Composition!N56</f>
        <v>-302.44846799999999</v>
      </c>
      <c r="E29" s="6">
        <f t="shared" si="16"/>
        <v>1387.044324</v>
      </c>
      <c r="F29" s="271">
        <f>[4]Calculation!$F$2</f>
        <v>1055.9880000000005</v>
      </c>
      <c r="G29" s="273">
        <f t="shared" si="24"/>
        <v>0.62503255710841799</v>
      </c>
      <c r="H29" s="272">
        <f t="shared" si="25"/>
        <v>866.94786065243704</v>
      </c>
      <c r="I29" s="145">
        <f>+'Res''l &amp; MF Customers'!I$49</f>
        <v>0.55104781484183296</v>
      </c>
      <c r="J29" s="6">
        <f t="shared" si="19"/>
        <v>-764.3277438289673</v>
      </c>
      <c r="K29" s="6">
        <f t="shared" si="20"/>
        <v>622.71658017103266</v>
      </c>
      <c r="L29" s="154">
        <f>+'Res''l &amp; MF Customers'!I$43</f>
        <v>27079</v>
      </c>
      <c r="M29" s="6">
        <f t="shared" si="23"/>
        <v>45.992583195172102</v>
      </c>
      <c r="O29">
        <v>24.53</v>
      </c>
      <c r="P29" s="262">
        <f>-O29*Composition!P$40</f>
        <v>-4.3442572897474658</v>
      </c>
      <c r="Q29" s="264">
        <f t="shared" ref="Q29:Q33" si="28">+O29+P29</f>
        <v>20.185742710252534</v>
      </c>
      <c r="R29" s="113">
        <f t="shared" ref="R29:R33" si="29">+Q29/(K29+Q29)</f>
        <v>3.1397837574744493E-2</v>
      </c>
    </row>
    <row r="30" spans="1:19" x14ac:dyDescent="0.2">
      <c r="A30" t="s">
        <v>183</v>
      </c>
      <c r="C30" s="2">
        <f>+Composition!P58</f>
        <v>1502.0489400000001</v>
      </c>
      <c r="D30" s="6">
        <f>-Composition!P56</f>
        <v>-272.28018000000009</v>
      </c>
      <c r="E30" s="6">
        <f t="shared" si="16"/>
        <v>1229.7687599999999</v>
      </c>
      <c r="F30" s="271">
        <f>F29/E29*E30</f>
        <v>936.25058036348696</v>
      </c>
      <c r="G30" s="273">
        <f t="shared" ref="G30" si="30">+F30/C30</f>
        <v>0.62331562935857932</v>
      </c>
      <c r="H30" s="272">
        <f t="shared" ref="H30" si="31">+E30*G30</f>
        <v>766.53408860491959</v>
      </c>
      <c r="I30" s="145">
        <f>+'Res''l &amp; MF Customers'!J$49</f>
        <v>0.55088477195314445</v>
      </c>
      <c r="J30" s="6">
        <f t="shared" si="19"/>
        <v>-677.46088290770115</v>
      </c>
      <c r="K30" s="6">
        <f t="shared" si="20"/>
        <v>552.30787709229878</v>
      </c>
      <c r="L30" s="154">
        <f>+'Res''l &amp; MF Customers'!J$43</f>
        <v>27030</v>
      </c>
      <c r="M30" s="6">
        <f t="shared" si="23"/>
        <v>40.866287613192661</v>
      </c>
      <c r="O30">
        <v>27.48</v>
      </c>
      <c r="P30" s="262">
        <f>-O30*Composition!P$40</f>
        <v>-4.8667016030273285</v>
      </c>
      <c r="Q30" s="264">
        <f t="shared" si="28"/>
        <v>22.613298396972674</v>
      </c>
      <c r="R30" s="113">
        <f t="shared" si="29"/>
        <v>3.9332867462619069E-2</v>
      </c>
    </row>
    <row r="31" spans="1:19" x14ac:dyDescent="0.2">
      <c r="A31" t="s">
        <v>10</v>
      </c>
      <c r="C31" s="2">
        <f>+Composition!R58</f>
        <v>9887.1260000000002</v>
      </c>
      <c r="D31" s="6">
        <f>-Composition!R56</f>
        <v>-1184.4724999999999</v>
      </c>
      <c r="E31" s="6">
        <f t="shared" si="16"/>
        <v>8702.6535000000003</v>
      </c>
      <c r="F31" s="271">
        <f>AVERAGE(F30,F32)</f>
        <v>944.76529018174335</v>
      </c>
      <c r="G31" s="273">
        <f t="shared" ref="G31" si="32">+F31/C31</f>
        <v>9.5555097627130811E-2</v>
      </c>
      <c r="H31" s="272">
        <f t="shared" ref="H31" si="33">+E31*G31</f>
        <v>831.58290480759172</v>
      </c>
      <c r="I31" s="145">
        <f>+'Res''l &amp; MF Customers'!K$49</f>
        <v>0.55133180747669752</v>
      </c>
      <c r="J31" s="6">
        <f>-I31*F31</f>
        <v>-520.87915507714717</v>
      </c>
      <c r="K31" s="6">
        <f>+J31+F31</f>
        <v>423.88613510459618</v>
      </c>
      <c r="L31" s="154">
        <f>+'Res''l &amp; MF Customers'!K$43</f>
        <v>27052</v>
      </c>
      <c r="M31" s="6">
        <f t="shared" si="23"/>
        <v>31.33861711552537</v>
      </c>
      <c r="O31">
        <v>32.619999999999997</v>
      </c>
      <c r="P31" s="262">
        <f>-O31*Composition!P$40</f>
        <v>-5.7769944065047829</v>
      </c>
      <c r="Q31" s="264">
        <f t="shared" si="28"/>
        <v>26.843005593495214</v>
      </c>
      <c r="R31" s="113">
        <f t="shared" si="29"/>
        <v>5.9554626425796744E-2</v>
      </c>
    </row>
    <row r="32" spans="1:19" x14ac:dyDescent="0.2">
      <c r="A32" t="s">
        <v>8</v>
      </c>
      <c r="C32" s="2">
        <f>+Composition!T58</f>
        <v>9250.4565000000002</v>
      </c>
      <c r="D32" s="6">
        <f>-Composition!T56</f>
        <v>-1809.2375</v>
      </c>
      <c r="E32" s="6">
        <f t="shared" si="16"/>
        <v>7441.2190000000001</v>
      </c>
      <c r="F32" s="271">
        <f>'[5]OPUS PIVOT - Eastern WA'!$D$9</f>
        <v>953.27999999999975</v>
      </c>
      <c r="G32" s="273">
        <f t="shared" ref="G32" si="34">+F32/C32</f>
        <v>0.10305221153139844</v>
      </c>
      <c r="H32" s="272">
        <f t="shared" ref="H32" si="35">+E32*G32</f>
        <v>766.83407443946123</v>
      </c>
      <c r="I32" s="145">
        <f>+'Res''l &amp; MF Customers'!L$49</f>
        <v>0.55085081777630929</v>
      </c>
      <c r="J32" s="6">
        <f>-I32*F32</f>
        <v>-525.11506756979998</v>
      </c>
      <c r="K32" s="6">
        <f>+J32+F32</f>
        <v>428.16493243019977</v>
      </c>
      <c r="L32" s="154">
        <f>+'Res''l &amp; MF Customers'!L$43</f>
        <v>27187</v>
      </c>
      <c r="M32" s="6">
        <f t="shared" si="23"/>
        <v>31.497769700974711</v>
      </c>
      <c r="O32">
        <v>31.53</v>
      </c>
      <c r="P32" s="262">
        <f>-O32*Composition!P$40</f>
        <v>-5.5839556602420544</v>
      </c>
      <c r="Q32" s="264">
        <f t="shared" si="28"/>
        <v>25.946044339757947</v>
      </c>
      <c r="R32" s="113">
        <f t="shared" si="29"/>
        <v>5.7135910971166909E-2</v>
      </c>
    </row>
    <row r="33" spans="1:31" x14ac:dyDescent="0.2">
      <c r="A33" t="s">
        <v>9</v>
      </c>
      <c r="C33" s="2">
        <f>+Composition!V58</f>
        <v>10132.34</v>
      </c>
      <c r="D33" s="6">
        <f>-Composition!V56</f>
        <v>-2044.57</v>
      </c>
      <c r="E33" s="6">
        <f t="shared" si="16"/>
        <v>8087.77</v>
      </c>
      <c r="F33" s="271">
        <f>'[6]OPUS PIVOT - Eastern WA'!$D$7</f>
        <v>1001.8699999999997</v>
      </c>
      <c r="G33" s="273">
        <f t="shared" ref="G33" si="36">+F33/C33</f>
        <v>9.8878442689447815E-2</v>
      </c>
      <c r="H33" s="272">
        <f t="shared" ref="H33" si="37">+E33*G33</f>
        <v>799.70610243043541</v>
      </c>
      <c r="I33" s="145">
        <f>+'Res''l &amp; MF Customers'!M$49</f>
        <v>0.5515250490754029</v>
      </c>
      <c r="J33" s="6">
        <f>-I33*F33</f>
        <v>-552.55640091717373</v>
      </c>
      <c r="K33" s="6">
        <f>+J33+F33</f>
        <v>449.31359908282593</v>
      </c>
      <c r="L33" s="154">
        <f>+'Res''l &amp; MF Customers'!M$43</f>
        <v>27187</v>
      </c>
      <c r="M33" s="6">
        <f t="shared" si="23"/>
        <v>33.053562296893809</v>
      </c>
      <c r="O33">
        <v>22.12</v>
      </c>
      <c r="P33" s="262">
        <f>-O33*Composition!P$40</f>
        <v>-3.9174468507629006</v>
      </c>
      <c r="Q33" s="264">
        <f t="shared" si="28"/>
        <v>18.202553149237101</v>
      </c>
      <c r="R33" s="113">
        <f t="shared" si="29"/>
        <v>3.8934597365957578E-2</v>
      </c>
    </row>
    <row r="34" spans="1:31" ht="15" x14ac:dyDescent="0.35">
      <c r="A34" t="s">
        <v>2</v>
      </c>
      <c r="C34" s="12">
        <f>+Composition!X58</f>
        <v>10247.92</v>
      </c>
      <c r="D34" s="7">
        <f>-Composition!X56</f>
        <v>-2202.9100000000003</v>
      </c>
      <c r="E34" s="7">
        <f t="shared" si="16"/>
        <v>8045.01</v>
      </c>
      <c r="F34" s="274">
        <f>'[7]OPUS PIVOT - Eastern WA'!$C$9</f>
        <v>996.08000000000038</v>
      </c>
      <c r="G34" s="273">
        <f t="shared" ref="G34" si="38">+F34/C34</f>
        <v>9.7198260720224236E-2</v>
      </c>
      <c r="H34" s="272">
        <f t="shared" ref="H34" si="39">+E34*G34</f>
        <v>781.96097947681119</v>
      </c>
      <c r="I34" s="148">
        <f>+'Res''l &amp; MF Customers'!N$49</f>
        <v>0.55064381202329205</v>
      </c>
      <c r="J34" s="7">
        <f>-I34*F34</f>
        <v>-548.48528828016094</v>
      </c>
      <c r="K34" s="7">
        <f>+J34+F34</f>
        <v>447.59471171983944</v>
      </c>
      <c r="L34" s="155">
        <f>+'Res''l &amp; MF Customers'!N$43</f>
        <v>27395</v>
      </c>
      <c r="M34" s="7">
        <f t="shared" si="23"/>
        <v>32.677109817108189</v>
      </c>
      <c r="P34" s="262">
        <f>-O34*Composition!P$40</f>
        <v>0</v>
      </c>
      <c r="Q34" s="264">
        <f t="shared" ref="Q34" si="40">+O34+P34</f>
        <v>0</v>
      </c>
      <c r="R34" s="113">
        <f t="shared" ref="R34:R35" si="41">+Q34/(K34+Q34)</f>
        <v>0</v>
      </c>
    </row>
    <row r="35" spans="1:31" ht="15" x14ac:dyDescent="0.35">
      <c r="C35" s="15">
        <f>SUM(C23:C34)</f>
        <v>53264.594039999996</v>
      </c>
      <c r="D35" s="15">
        <f>SUM(D23:D34)</f>
        <v>-9445.0388810000004</v>
      </c>
      <c r="E35" s="15">
        <f>SUM(E23:E34)</f>
        <v>43819.555159000003</v>
      </c>
      <c r="F35" s="275"/>
      <c r="G35" s="275"/>
      <c r="H35" s="275"/>
      <c r="I35" s="100">
        <f>-J35/E35</f>
        <v>0.19380816649226382</v>
      </c>
      <c r="J35" s="15">
        <f>SUM(J23:J34)</f>
        <v>-8492.587641872411</v>
      </c>
      <c r="K35" s="15">
        <f>SUM(K23:K34)</f>
        <v>6946.3103073093334</v>
      </c>
      <c r="L35" s="156">
        <f>SUM(L23:L34)</f>
        <v>326154</v>
      </c>
      <c r="M35" s="8">
        <f>+K35*2000/L35</f>
        <v>42.595278962142629</v>
      </c>
      <c r="O35" s="263">
        <f>SUM(O23:O34)</f>
        <v>243.18</v>
      </c>
      <c r="P35" s="263">
        <f t="shared" ref="P35:Q35" si="42">SUM(P23:P34)</f>
        <v>-43.067121390982017</v>
      </c>
      <c r="Q35" s="263">
        <f t="shared" si="42"/>
        <v>200.112878609018</v>
      </c>
      <c r="R35" s="113">
        <f t="shared" si="41"/>
        <v>2.8001823206234112E-2</v>
      </c>
    </row>
    <row r="36" spans="1:31" x14ac:dyDescent="0.2">
      <c r="L36" s="6"/>
    </row>
    <row r="37" spans="1:31" x14ac:dyDescent="0.2">
      <c r="L37" s="6"/>
    </row>
    <row r="38" spans="1:31" x14ac:dyDescent="0.2">
      <c r="L38" s="6"/>
    </row>
    <row r="39" spans="1:31" x14ac:dyDescent="0.2">
      <c r="L39" s="6"/>
    </row>
    <row r="40" spans="1:31" x14ac:dyDescent="0.2">
      <c r="L40" s="6"/>
    </row>
    <row r="41" spans="1:31" x14ac:dyDescent="0.2">
      <c r="C41" s="306" t="s">
        <v>34</v>
      </c>
      <c r="D41" s="306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306"/>
    </row>
    <row r="42" spans="1:31" x14ac:dyDescent="0.2">
      <c r="C42" s="23"/>
      <c r="D42" s="23"/>
      <c r="E42" s="23"/>
      <c r="F42" s="277"/>
      <c r="G42" s="277"/>
      <c r="H42" s="277"/>
      <c r="I42" s="23"/>
      <c r="J42" s="23"/>
      <c r="K42" s="23"/>
      <c r="L42" s="23"/>
      <c r="M42" s="23"/>
      <c r="N42" s="23"/>
      <c r="O42" s="23"/>
    </row>
    <row r="43" spans="1:31" x14ac:dyDescent="0.2">
      <c r="C43" s="24" t="s">
        <v>35</v>
      </c>
      <c r="D43" s="24" t="s">
        <v>36</v>
      </c>
      <c r="E43" s="24"/>
      <c r="F43" s="278"/>
      <c r="G43" s="278"/>
      <c r="H43" s="278"/>
      <c r="I43" s="24" t="s">
        <v>37</v>
      </c>
      <c r="J43" s="24" t="s">
        <v>38</v>
      </c>
      <c r="K43" s="24"/>
      <c r="L43" s="24"/>
      <c r="M43" s="24" t="s">
        <v>0</v>
      </c>
      <c r="N43" s="24" t="s">
        <v>0</v>
      </c>
      <c r="O43" s="24" t="s">
        <v>39</v>
      </c>
      <c r="Q43" s="99"/>
    </row>
    <row r="44" spans="1:31" x14ac:dyDescent="0.2">
      <c r="C44" s="25" t="s">
        <v>40</v>
      </c>
      <c r="D44" s="25" t="s">
        <v>41</v>
      </c>
      <c r="E44" s="25" t="s">
        <v>19</v>
      </c>
      <c r="F44" s="279"/>
      <c r="G44" s="279"/>
      <c r="H44" s="279"/>
      <c r="I44" s="25" t="s">
        <v>17</v>
      </c>
      <c r="J44" s="25" t="s">
        <v>18</v>
      </c>
      <c r="K44" s="25" t="s">
        <v>11</v>
      </c>
      <c r="L44" s="25" t="s">
        <v>1</v>
      </c>
      <c r="M44" s="25" t="s">
        <v>42</v>
      </c>
      <c r="N44" s="25" t="s">
        <v>43</v>
      </c>
      <c r="O44" s="25" t="s">
        <v>44</v>
      </c>
      <c r="P44" s="30"/>
      <c r="Q44" s="30"/>
    </row>
    <row r="45" spans="1:31" x14ac:dyDescent="0.2">
      <c r="A45" s="3" t="s">
        <v>47</v>
      </c>
      <c r="B45" s="3"/>
      <c r="C45"/>
    </row>
    <row r="46" spans="1:31" x14ac:dyDescent="0.2">
      <c r="A46" s="63" t="s">
        <v>180</v>
      </c>
      <c r="C46" s="26">
        <f>+Composition!$C$25</f>
        <v>0.24505046517800635</v>
      </c>
      <c r="D46" s="26">
        <f>+Composition!$C$26</f>
        <v>0</v>
      </c>
      <c r="E46" s="26">
        <f>+Composition!$C$27</f>
        <v>0.48608549474930762</v>
      </c>
      <c r="F46" s="280"/>
      <c r="G46" s="280"/>
      <c r="H46" s="280"/>
      <c r="I46" s="26">
        <f>+Composition!$C$28</f>
        <v>2.2840342196783575E-2</v>
      </c>
      <c r="J46" s="26">
        <f>+Composition!$C$30</f>
        <v>2.1261391246350382E-2</v>
      </c>
      <c r="K46" s="26">
        <f>+Composition!$C$29</f>
        <v>0.16085562807538131</v>
      </c>
      <c r="L46" s="26">
        <f>+Composition!$C$31</f>
        <v>4.5925694023806779E-2</v>
      </c>
      <c r="M46" s="26">
        <f>+Composition!$C$32</f>
        <v>1.0936957660974732E-2</v>
      </c>
      <c r="N46" s="26">
        <f>+Composition!$C$33</f>
        <v>7.0440268693894512E-3</v>
      </c>
      <c r="O46" s="26">
        <f>+Composition!$C$34</f>
        <v>0</v>
      </c>
      <c r="P46" s="26">
        <f t="shared" ref="P46:P69" si="43">SUM(C46:O46)</f>
        <v>1.0000000000000002</v>
      </c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</row>
    <row r="47" spans="1:31" x14ac:dyDescent="0.2">
      <c r="A47" t="s">
        <v>148</v>
      </c>
      <c r="C47" s="26">
        <f>+Composition!$E$25</f>
        <v>0.18595729840740882</v>
      </c>
      <c r="D47" s="26">
        <f>+Composition!$E$26</f>
        <v>0</v>
      </c>
      <c r="E47" s="26">
        <f>+Composition!$E$27</f>
        <v>0.55198202038206678</v>
      </c>
      <c r="F47" s="280"/>
      <c r="G47" s="280"/>
      <c r="H47" s="280"/>
      <c r="I47" s="26">
        <f>+Composition!$E$28</f>
        <v>2.7248420971054361E-2</v>
      </c>
      <c r="J47" s="26">
        <f>+Composition!$E$30</f>
        <v>2.0405316387026771E-2</v>
      </c>
      <c r="K47" s="26">
        <f>+Composition!$E$29</f>
        <v>0.13901654589839965</v>
      </c>
      <c r="L47" s="26">
        <f>+Composition!$E$31</f>
        <v>5.3063122408648807E-2</v>
      </c>
      <c r="M47" s="26">
        <f>+Composition!$E$32</f>
        <v>1.4282946487387141E-2</v>
      </c>
      <c r="N47" s="26">
        <f>+Composition!$E$33</f>
        <v>8.0443290580075166E-3</v>
      </c>
      <c r="O47" s="26">
        <f>+Composition!$E$34</f>
        <v>0</v>
      </c>
      <c r="P47" s="26">
        <f t="shared" si="43"/>
        <v>1</v>
      </c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</row>
    <row r="48" spans="1:31" x14ac:dyDescent="0.2">
      <c r="A48" t="s">
        <v>149</v>
      </c>
      <c r="C48" s="26">
        <f>+Composition!$G$25</f>
        <v>0.19325965973480391</v>
      </c>
      <c r="D48" s="26">
        <f>+Composition!$G$26</f>
        <v>0</v>
      </c>
      <c r="E48" s="26">
        <f>+Composition!$G$27</f>
        <v>0.55289846180497904</v>
      </c>
      <c r="F48" s="280"/>
      <c r="G48" s="280"/>
      <c r="H48" s="280"/>
      <c r="I48" s="26">
        <f>+Composition!$G$28</f>
        <v>2.664953550985643E-2</v>
      </c>
      <c r="J48" s="26">
        <f>+Composition!$G$30</f>
        <v>1.8666223951378312E-2</v>
      </c>
      <c r="K48" s="26">
        <f>+Composition!$G$29</f>
        <v>0.14265297136546387</v>
      </c>
      <c r="L48" s="26">
        <f>+Composition!$G$31</f>
        <v>4.7907087534917965E-2</v>
      </c>
      <c r="M48" s="26">
        <f>+Composition!$G$32</f>
        <v>1.0213730429698496E-2</v>
      </c>
      <c r="N48" s="26">
        <f>+Composition!$G$33</f>
        <v>7.7523296689018971E-3</v>
      </c>
      <c r="O48" s="26">
        <f>+Composition!$G$34</f>
        <v>0</v>
      </c>
      <c r="P48" s="26">
        <f t="shared" si="43"/>
        <v>1</v>
      </c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</row>
    <row r="49" spans="1:31" x14ac:dyDescent="0.2">
      <c r="A49" t="s">
        <v>150</v>
      </c>
      <c r="C49" s="26">
        <f>+Composition!$I$25</f>
        <v>0.21499927714327027</v>
      </c>
      <c r="D49" s="26">
        <f>+Composition!$I$26</f>
        <v>0</v>
      </c>
      <c r="E49" s="26">
        <f>+Composition!$I$27</f>
        <v>0.54696400173485626</v>
      </c>
      <c r="F49" s="280"/>
      <c r="G49" s="280"/>
      <c r="H49" s="280"/>
      <c r="I49" s="26">
        <f>+Composition!$I$28</f>
        <v>2.5386728350440948E-2</v>
      </c>
      <c r="J49" s="26">
        <f>+Composition!$I$30</f>
        <v>1.8129246783287555E-2</v>
      </c>
      <c r="K49" s="26">
        <f>+Composition!$I$29</f>
        <v>0.13135752493855721</v>
      </c>
      <c r="L49" s="26">
        <f>+Composition!$I$31</f>
        <v>4.3978603440798049E-2</v>
      </c>
      <c r="M49" s="26">
        <f>+Composition!$I$32</f>
        <v>1.1580164811334396E-2</v>
      </c>
      <c r="N49" s="26">
        <f>+Composition!$I$33</f>
        <v>7.6044527974555463E-3</v>
      </c>
      <c r="O49" s="26">
        <f>+Composition!$I$34</f>
        <v>0</v>
      </c>
      <c r="P49" s="26">
        <f t="shared" si="43"/>
        <v>1.0000000000000002</v>
      </c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</row>
    <row r="50" spans="1:31" x14ac:dyDescent="0.2">
      <c r="A50" t="s">
        <v>151</v>
      </c>
      <c r="C50" s="26">
        <f>+Composition!$K$25</f>
        <v>0.19628417330207149</v>
      </c>
      <c r="D50" s="26">
        <f>+Composition!$K$26</f>
        <v>0</v>
      </c>
      <c r="E50" s="26">
        <f>+Composition!$K$27</f>
        <v>0.53672880346047003</v>
      </c>
      <c r="F50" s="280"/>
      <c r="G50" s="280"/>
      <c r="H50" s="280"/>
      <c r="I50" s="26">
        <f>+Composition!$K$28</f>
        <v>2.1651151813419381E-2</v>
      </c>
      <c r="J50" s="26">
        <f>+Composition!$K$30</f>
        <v>2.2099960535784759E-2</v>
      </c>
      <c r="K50" s="26">
        <f>+Composition!$K$29</f>
        <v>0.16486756273649511</v>
      </c>
      <c r="L50" s="26">
        <f>+Composition!$K$31</f>
        <v>4.0245761465902141E-2</v>
      </c>
      <c r="M50" s="26">
        <f>+Composition!$K$32</f>
        <v>1.0469624161385426E-2</v>
      </c>
      <c r="N50" s="26">
        <f>+Composition!$K$33</f>
        <v>7.6529625244716832E-3</v>
      </c>
      <c r="O50" s="26">
        <f>+Composition!$K$34</f>
        <v>0</v>
      </c>
      <c r="P50" s="26">
        <f t="shared" si="43"/>
        <v>1.0000000000000002</v>
      </c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</row>
    <row r="51" spans="1:31" x14ac:dyDescent="0.2">
      <c r="A51" t="s">
        <v>152</v>
      </c>
      <c r="C51" s="26">
        <f>+Composition!$M$25</f>
        <v>0.22422307536876138</v>
      </c>
      <c r="D51" s="26">
        <f>+Composition!$M$26</f>
        <v>0</v>
      </c>
      <c r="E51" s="26">
        <f>+Composition!$M$27</f>
        <v>0.53450798141038602</v>
      </c>
      <c r="F51" s="280"/>
      <c r="G51" s="280"/>
      <c r="H51" s="280"/>
      <c r="I51" s="26">
        <f>+Composition!$M$28</f>
        <v>2.2032733885633461E-2</v>
      </c>
      <c r="J51" s="26">
        <f>+Composition!$M$30</f>
        <v>2.6170943624974744E-2</v>
      </c>
      <c r="K51" s="26">
        <f>+Composition!$M$29</f>
        <v>0.13316629622145887</v>
      </c>
      <c r="L51" s="26">
        <f>+Composition!$M$31</f>
        <v>4.12689432208527E-2</v>
      </c>
      <c r="M51" s="26">
        <f>+Composition!$M$32</f>
        <v>7.3065265710244489E-3</v>
      </c>
      <c r="N51" s="26">
        <f>+Composition!$M$33</f>
        <v>1.1323499696908466E-2</v>
      </c>
      <c r="O51" s="26">
        <f>+Composition!$M$34</f>
        <v>0</v>
      </c>
      <c r="P51" s="26">
        <f t="shared" si="43"/>
        <v>1.0000000000000002</v>
      </c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</row>
    <row r="52" spans="1:31" x14ac:dyDescent="0.2">
      <c r="A52" t="s">
        <v>7</v>
      </c>
      <c r="C52" s="26">
        <f>+Composition!$O$25</f>
        <v>0.21809012323545698</v>
      </c>
      <c r="D52" s="26">
        <f>+Composition!$O$26</f>
        <v>0</v>
      </c>
      <c r="E52" s="26">
        <f>+Composition!$O$27</f>
        <v>0.53375529070628502</v>
      </c>
      <c r="F52" s="280"/>
      <c r="G52" s="280"/>
      <c r="H52" s="280"/>
      <c r="I52" s="26">
        <f>+Composition!$O$28</f>
        <v>2.3088135566797365E-2</v>
      </c>
      <c r="J52" s="26">
        <f>+Composition!$O$30</f>
        <v>2.4615912261966941E-2</v>
      </c>
      <c r="K52" s="26">
        <f>+Composition!$O$29</f>
        <v>0.136767193333905</v>
      </c>
      <c r="L52" s="26">
        <f>+Composition!$O$31</f>
        <v>4.491351692636273E-2</v>
      </c>
      <c r="M52" s="26">
        <f>+Composition!$O$32</f>
        <v>1.1668784248310485E-2</v>
      </c>
      <c r="N52" s="26">
        <f>+Composition!$O$33</f>
        <v>7.1010437209157321E-3</v>
      </c>
      <c r="O52" s="26">
        <f>+Composition!$O$34</f>
        <v>0</v>
      </c>
      <c r="P52" s="26">
        <f t="shared" si="43"/>
        <v>1.0000000000000002</v>
      </c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</row>
    <row r="53" spans="1:31" x14ac:dyDescent="0.2">
      <c r="A53" s="63" t="s">
        <v>181</v>
      </c>
      <c r="C53" s="26">
        <f>+Composition!$Q$25</f>
        <v>0.21424214188514321</v>
      </c>
      <c r="D53" s="26">
        <f>+Composition!$Q$26</f>
        <v>0</v>
      </c>
      <c r="E53" s="26">
        <f>+Composition!$Q$27</f>
        <v>0.55583635547034738</v>
      </c>
      <c r="F53" s="280"/>
      <c r="G53" s="280"/>
      <c r="H53" s="280"/>
      <c r="I53" s="26">
        <f>+Composition!$Q$28</f>
        <v>2.1142669446362377E-2</v>
      </c>
      <c r="J53" s="26">
        <f>+Composition!$Q$30</f>
        <v>2.2362696662354121E-2</v>
      </c>
      <c r="K53" s="26">
        <f>+Composition!$Q$29</f>
        <v>0.13039543629379868</v>
      </c>
      <c r="L53" s="26">
        <f>+Composition!$Q$31</f>
        <v>3.9248677745228826E-2</v>
      </c>
      <c r="M53" s="26">
        <f>+Composition!$Q$32</f>
        <v>1.0088686593777863E-2</v>
      </c>
      <c r="N53" s="26">
        <f>+Composition!$Q$33</f>
        <v>6.6833359029877274E-3</v>
      </c>
      <c r="O53" s="26">
        <f>+Composition!$Q$34</f>
        <v>0</v>
      </c>
      <c r="P53" s="26">
        <f t="shared" si="43"/>
        <v>1</v>
      </c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</row>
    <row r="54" spans="1:31" x14ac:dyDescent="0.2">
      <c r="A54" t="s">
        <v>10</v>
      </c>
      <c r="C54" s="26">
        <f>+Composition!$S$25</f>
        <v>0.20794941894143953</v>
      </c>
      <c r="D54" s="26">
        <f>+Composition!$S$26</f>
        <v>0</v>
      </c>
      <c r="E54" s="26">
        <f>+Composition!$S$27</f>
        <v>0.54794156134525951</v>
      </c>
      <c r="F54" s="280"/>
      <c r="G54" s="280"/>
      <c r="H54" s="280"/>
      <c r="I54" s="26">
        <f>+Composition!$S$28</f>
        <v>2.2123241202324413E-2</v>
      </c>
      <c r="J54" s="26">
        <f>+Composition!$S$30</f>
        <v>2.2838061674710353E-2</v>
      </c>
      <c r="K54" s="26">
        <f>+Composition!$S$29</f>
        <v>0.14490044360491744</v>
      </c>
      <c r="L54" s="26">
        <f>+Composition!$S$31</f>
        <v>3.71165553688175E-2</v>
      </c>
      <c r="M54" s="26">
        <f>+Composition!$S$32</f>
        <v>1.0349808708612572E-2</v>
      </c>
      <c r="N54" s="26">
        <f>+Composition!$S$33</f>
        <v>6.7809091539185826E-3</v>
      </c>
      <c r="O54" s="26">
        <f>+Composition!$S$34</f>
        <v>0</v>
      </c>
      <c r="P54" s="26">
        <f t="shared" si="43"/>
        <v>1</v>
      </c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</row>
    <row r="55" spans="1:31" x14ac:dyDescent="0.2">
      <c r="A55" t="s">
        <v>8</v>
      </c>
      <c r="C55" s="26">
        <f>+Composition!$U$25</f>
        <v>0.19858638989288632</v>
      </c>
      <c r="D55" s="26">
        <f>+Composition!$U$26</f>
        <v>0</v>
      </c>
      <c r="E55" s="26">
        <f>+Composition!$U$27</f>
        <v>0.53585472460849459</v>
      </c>
      <c r="F55" s="280"/>
      <c r="G55" s="280"/>
      <c r="H55" s="280"/>
      <c r="I55" s="26">
        <f>+Composition!$U$28</f>
        <v>2.1919825841882647E-2</v>
      </c>
      <c r="J55" s="26">
        <f>+Composition!$U$30</f>
        <v>2.4229638453730887E-2</v>
      </c>
      <c r="K55" s="26">
        <f>+Composition!$U$29</f>
        <v>0.16120958612318959</v>
      </c>
      <c r="L55" s="26">
        <f>+Composition!$U$31</f>
        <v>3.9814531529497488E-2</v>
      </c>
      <c r="M55" s="26">
        <f>+Composition!$U$32</f>
        <v>1.1079884921052819E-2</v>
      </c>
      <c r="N55" s="26">
        <f>+Composition!$U$33</f>
        <v>7.3054186292655946E-3</v>
      </c>
      <c r="O55" s="26">
        <f>+Composition!$U$34</f>
        <v>0</v>
      </c>
      <c r="P55" s="26">
        <f t="shared" si="43"/>
        <v>1.0000000000000002</v>
      </c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</row>
    <row r="56" spans="1:31" x14ac:dyDescent="0.2">
      <c r="A56" t="s">
        <v>9</v>
      </c>
      <c r="C56" s="26">
        <f>+Composition!$W$25</f>
        <v>0.20622544279471702</v>
      </c>
      <c r="D56" s="26">
        <f>+Composition!$W$26</f>
        <v>0</v>
      </c>
      <c r="E56" s="26">
        <f>+Composition!$W$27</f>
        <v>0.54319008041910954</v>
      </c>
      <c r="F56" s="280"/>
      <c r="G56" s="280"/>
      <c r="H56" s="280"/>
      <c r="I56" s="26">
        <f>+Composition!$W$28</f>
        <v>2.2479405608529072E-2</v>
      </c>
      <c r="J56" s="26">
        <f>+Composition!$W$30</f>
        <v>2.1867388031384254E-2</v>
      </c>
      <c r="K56" s="26">
        <f>+Composition!$W$29</f>
        <v>0.14759415890424371</v>
      </c>
      <c r="L56" s="26">
        <f>+Composition!$W$31</f>
        <v>4.0313597806528996E-2</v>
      </c>
      <c r="M56" s="26">
        <f>+Composition!$W$32</f>
        <v>1.0508341799576482E-2</v>
      </c>
      <c r="N56" s="26">
        <f>+Composition!$W$33</f>
        <v>7.8215846359107419E-3</v>
      </c>
      <c r="O56" s="26">
        <f>+Composition!$W$34</f>
        <v>0</v>
      </c>
      <c r="P56" s="26">
        <f t="shared" si="43"/>
        <v>0.99999999999999978</v>
      </c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</row>
    <row r="57" spans="1:31" x14ac:dyDescent="0.2">
      <c r="A57" t="s">
        <v>2</v>
      </c>
      <c r="C57" s="26">
        <f>+Composition!$Y$25</f>
        <v>0.19423666462293074</v>
      </c>
      <c r="D57" s="26">
        <f>+Composition!$Y$26</f>
        <v>0</v>
      </c>
      <c r="E57" s="26">
        <f>+Composition!$Y$27</f>
        <v>0.57363580625383204</v>
      </c>
      <c r="F57" s="280"/>
      <c r="G57" s="280"/>
      <c r="H57" s="280"/>
      <c r="I57" s="26">
        <f>+Composition!$Y$28</f>
        <v>2.3175965665236054E-2</v>
      </c>
      <c r="J57" s="26">
        <f>+Composition!$Y$30</f>
        <v>1.8148375229920296E-2</v>
      </c>
      <c r="K57" s="26">
        <f>+Composition!$Y$29</f>
        <v>0.13280196198651134</v>
      </c>
      <c r="L57" s="26">
        <f>+Composition!$Y$31</f>
        <v>4.0220723482526068E-2</v>
      </c>
      <c r="M57" s="26">
        <f>+Composition!$Y$32</f>
        <v>1.0300429184549357E-2</v>
      </c>
      <c r="N57" s="26">
        <f>+Composition!$Y$33</f>
        <v>7.4800735744941756E-3</v>
      </c>
      <c r="O57" s="26">
        <f>+Composition!$Y$34</f>
        <v>0</v>
      </c>
      <c r="P57" s="26">
        <f t="shared" si="43"/>
        <v>1</v>
      </c>
      <c r="Q57" s="26"/>
      <c r="R57" s="26"/>
      <c r="S57" s="26"/>
      <c r="T57" s="26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</row>
    <row r="58" spans="1:31" x14ac:dyDescent="0.2">
      <c r="A58" t="s">
        <v>147</v>
      </c>
      <c r="C58" s="26">
        <f>+Composition!$C$44</f>
        <v>0.20371915603766835</v>
      </c>
      <c r="D58" s="26">
        <f>+Composition!$C$45</f>
        <v>0</v>
      </c>
      <c r="E58" s="26">
        <f>+Composition!$C$46</f>
        <v>0.56335677673143403</v>
      </c>
      <c r="F58" s="280"/>
      <c r="G58" s="280"/>
      <c r="H58" s="280"/>
      <c r="I58" s="26">
        <f>+Composition!$C$47</f>
        <v>2.1933484324710928E-2</v>
      </c>
      <c r="J58" s="26">
        <f>+Composition!$C$49</f>
        <v>1.5138872332816782E-2</v>
      </c>
      <c r="K58" s="26">
        <f>+Composition!$C$48</f>
        <v>0.1506735010132316</v>
      </c>
      <c r="L58" s="26">
        <f>+Composition!$C$50</f>
        <v>3.0039337227321491E-2</v>
      </c>
      <c r="M58" s="26">
        <f>+Composition!$C$51</f>
        <v>8.4634640600786733E-3</v>
      </c>
      <c r="N58" s="26">
        <f>+Composition!$C$52</f>
        <v>6.675408272738108E-3</v>
      </c>
      <c r="O58" s="26">
        <f>+Composition!$C$53</f>
        <v>0</v>
      </c>
      <c r="P58" s="26">
        <f t="shared" si="43"/>
        <v>1</v>
      </c>
      <c r="Q58" s="26"/>
      <c r="U58" s="28"/>
    </row>
    <row r="59" spans="1:31" x14ac:dyDescent="0.2">
      <c r="A59" t="s">
        <v>148</v>
      </c>
      <c r="C59" s="26">
        <f>+Composition!$E$44</f>
        <v>0.15797049298308743</v>
      </c>
      <c r="D59" s="26">
        <f>+Composition!$E$45</f>
        <v>0</v>
      </c>
      <c r="E59" s="26">
        <f>+Composition!$E$46</f>
        <v>0.60813242173443671</v>
      </c>
      <c r="F59" s="280"/>
      <c r="G59" s="280"/>
      <c r="H59" s="280"/>
      <c r="I59" s="26">
        <f>+Composition!$E$47</f>
        <v>2.2190236296029744E-2</v>
      </c>
      <c r="J59" s="26">
        <f>+Composition!$E$49</f>
        <v>1.4753508456279235E-2</v>
      </c>
      <c r="K59" s="26">
        <f>+Composition!$E$48</f>
        <v>0.14441645675902601</v>
      </c>
      <c r="L59" s="26">
        <f>+Composition!$E$50</f>
        <v>3.5984166966534718E-2</v>
      </c>
      <c r="M59" s="26">
        <f>+Composition!$E$51</f>
        <v>9.9556195274079391E-3</v>
      </c>
      <c r="N59" s="26">
        <f>+Composition!$E$52</f>
        <v>6.5970972771980307E-3</v>
      </c>
      <c r="O59" s="26">
        <f>+Composition!$E$53</f>
        <v>0</v>
      </c>
      <c r="P59" s="26">
        <f t="shared" si="43"/>
        <v>0.99999999999999989</v>
      </c>
      <c r="Q59" s="26"/>
      <c r="U59" s="28"/>
    </row>
    <row r="60" spans="1:31" x14ac:dyDescent="0.2">
      <c r="A60" t="s">
        <v>149</v>
      </c>
      <c r="C60" s="26">
        <f>+Composition!$G$44</f>
        <v>0.18052594171997161</v>
      </c>
      <c r="D60" s="26">
        <f>+Composition!$G$45</f>
        <v>0</v>
      </c>
      <c r="E60" s="26">
        <f>+Composition!$G$46</f>
        <v>0.57995735607675913</v>
      </c>
      <c r="F60" s="280"/>
      <c r="G60" s="280"/>
      <c r="H60" s="280"/>
      <c r="I60" s="26">
        <f>+Composition!$G$47</f>
        <v>2.7718550106609809E-2</v>
      </c>
      <c r="J60" s="26">
        <f>+Composition!$G$49</f>
        <v>1.6820658611703392E-2</v>
      </c>
      <c r="K60" s="26">
        <f>+Composition!$G$48</f>
        <v>0.13776356313669749</v>
      </c>
      <c r="L60" s="26">
        <f>+Composition!$G$50</f>
        <v>3.9445628997867813E-2</v>
      </c>
      <c r="M60" s="26">
        <f>+Composition!$G$51</f>
        <v>1.0305614783226724E-2</v>
      </c>
      <c r="N60" s="26">
        <f>+Composition!$G$52</f>
        <v>7.462686567164179E-3</v>
      </c>
      <c r="O60" s="26">
        <f>+Composition!$G$53</f>
        <v>0</v>
      </c>
      <c r="P60" s="26">
        <f t="shared" si="43"/>
        <v>1</v>
      </c>
      <c r="Q60" s="26"/>
      <c r="U60" s="28"/>
    </row>
    <row r="61" spans="1:31" x14ac:dyDescent="0.2">
      <c r="A61" t="s">
        <v>150</v>
      </c>
      <c r="C61" s="26">
        <f>+Composition!$I$44</f>
        <v>0.17800614221592251</v>
      </c>
      <c r="D61" s="26">
        <f>+Composition!$I$45</f>
        <v>0</v>
      </c>
      <c r="E61" s="26">
        <f>+Composition!$I$46</f>
        <v>0.58008504606661948</v>
      </c>
      <c r="F61" s="280"/>
      <c r="G61" s="280"/>
      <c r="H61" s="280"/>
      <c r="I61" s="26">
        <f>+Composition!$I$47</f>
        <v>2.1143397117883298E-2</v>
      </c>
      <c r="J61" s="26">
        <f>+Composition!$I$49</f>
        <v>3.2837231278053387E-2</v>
      </c>
      <c r="K61" s="26">
        <f>+Composition!$I$48</f>
        <v>0.12898653437278526</v>
      </c>
      <c r="L61" s="26">
        <f>+Composition!$I$50</f>
        <v>4.2523033309709427E-2</v>
      </c>
      <c r="M61" s="26">
        <f>+Composition!$I$51</f>
        <v>6.2603354594850001E-3</v>
      </c>
      <c r="N61" s="26">
        <f>+Composition!$I$52</f>
        <v>1.0158280179541696E-2</v>
      </c>
      <c r="O61" s="26">
        <f>+Composition!$I$53</f>
        <v>0</v>
      </c>
      <c r="P61" s="26">
        <f t="shared" si="43"/>
        <v>1</v>
      </c>
      <c r="Q61" s="26"/>
      <c r="U61" s="28"/>
    </row>
    <row r="62" spans="1:31" x14ac:dyDescent="0.2">
      <c r="A62" t="s">
        <v>151</v>
      </c>
      <c r="C62" s="26">
        <f>+Composition!$K$44</f>
        <v>0.18763453719205933</v>
      </c>
      <c r="D62" s="26">
        <f>+Composition!$K$45</f>
        <v>0</v>
      </c>
      <c r="E62" s="26">
        <f>+Composition!$K$46</f>
        <v>0.56661085864625682</v>
      </c>
      <c r="F62" s="280"/>
      <c r="G62" s="280"/>
      <c r="H62" s="280"/>
      <c r="I62" s="26">
        <f>+Composition!$K$47</f>
        <v>2.3439368572111933E-2</v>
      </c>
      <c r="J62" s="26">
        <f>+Composition!$K$49</f>
        <v>2.59507294905525E-2</v>
      </c>
      <c r="K62" s="26">
        <f>+Composition!$K$48</f>
        <v>0.13645060990193733</v>
      </c>
      <c r="L62" s="26">
        <f>+Composition!$K$50</f>
        <v>3.9703420234393688E-2</v>
      </c>
      <c r="M62" s="26">
        <f>+Composition!$K$51</f>
        <v>1.1241329825400622E-2</v>
      </c>
      <c r="N62" s="26">
        <f>+Composition!$K$52</f>
        <v>8.9691461372877288E-3</v>
      </c>
      <c r="O62" s="26">
        <f>+Composition!$K$53</f>
        <v>0</v>
      </c>
      <c r="P62" s="26">
        <f t="shared" si="43"/>
        <v>1</v>
      </c>
      <c r="Q62" s="26"/>
      <c r="U62" s="28"/>
    </row>
    <row r="63" spans="1:31" x14ac:dyDescent="0.2">
      <c r="A63" t="s">
        <v>152</v>
      </c>
      <c r="C63" s="26">
        <f>+Composition!$M$44</f>
        <v>0.20160421405483062</v>
      </c>
      <c r="D63" s="26">
        <f>+Composition!$M$45</f>
        <v>0</v>
      </c>
      <c r="E63" s="26">
        <f>+Composition!$M$46</f>
        <v>0.55345384891655691</v>
      </c>
      <c r="F63" s="280"/>
      <c r="G63" s="280"/>
      <c r="H63" s="280"/>
      <c r="I63" s="26">
        <f>+Composition!$M$47</f>
        <v>2.1549144020112536E-2</v>
      </c>
      <c r="J63" s="26">
        <f>+Composition!$M$49</f>
        <v>2.3105471088231775E-2</v>
      </c>
      <c r="K63" s="26">
        <f>+Composition!$M$48</f>
        <v>0.144379264934754</v>
      </c>
      <c r="L63" s="26">
        <f>+Composition!$M$50</f>
        <v>3.7711002035196936E-2</v>
      </c>
      <c r="M63" s="26">
        <f>+Composition!$M$51</f>
        <v>1.0415419609721059E-2</v>
      </c>
      <c r="N63" s="26">
        <f>+Composition!$M$52</f>
        <v>7.781635340596193E-3</v>
      </c>
      <c r="O63" s="26">
        <f>+Composition!$M$53</f>
        <v>0</v>
      </c>
      <c r="P63" s="26">
        <f t="shared" si="43"/>
        <v>1</v>
      </c>
      <c r="Q63" s="26"/>
      <c r="U63" s="28"/>
    </row>
    <row r="64" spans="1:31" x14ac:dyDescent="0.2">
      <c r="A64" t="s">
        <v>7</v>
      </c>
      <c r="C64" s="26">
        <f>+Composition!$O$44</f>
        <v>0.20517537404954622</v>
      </c>
      <c r="D64" s="26">
        <f>+Composition!$O$45</f>
        <v>0</v>
      </c>
      <c r="E64" s="26">
        <f>+Composition!$O$46</f>
        <v>0.54819720382634296</v>
      </c>
      <c r="F64" s="280"/>
      <c r="G64" s="280"/>
      <c r="H64" s="280"/>
      <c r="I64" s="26">
        <f>+Composition!$O$47</f>
        <v>2.3056168751532991E-2</v>
      </c>
      <c r="J64" s="26">
        <f>+Composition!$O$49</f>
        <v>2.6857983811626195E-2</v>
      </c>
      <c r="K64" s="26">
        <f>+Composition!$O$48</f>
        <v>0.14115771400539612</v>
      </c>
      <c r="L64" s="26">
        <f>+Composition!$O$50</f>
        <v>3.7650233014471429E-2</v>
      </c>
      <c r="M64" s="26">
        <f>+Composition!$O$51</f>
        <v>1.1037527593818984E-2</v>
      </c>
      <c r="N64" s="26">
        <f>+Composition!$O$52</f>
        <v>6.8677949472651456E-3</v>
      </c>
      <c r="O64" s="26">
        <f>+Composition!$O$53</f>
        <v>0</v>
      </c>
      <c r="P64" s="26">
        <f t="shared" si="43"/>
        <v>1</v>
      </c>
      <c r="Q64" s="26"/>
      <c r="U64" s="28"/>
    </row>
    <row r="65" spans="1:29" x14ac:dyDescent="0.2">
      <c r="A65" s="63" t="s">
        <v>183</v>
      </c>
      <c r="C65" s="26">
        <f>+Composition!$Q$44</f>
        <v>0</v>
      </c>
      <c r="D65" s="26">
        <f>+Composition!$Q$45</f>
        <v>0.21871945259042036</v>
      </c>
      <c r="E65" s="26">
        <f>+Composition!$Q$46</f>
        <v>0.54826490713587495</v>
      </c>
      <c r="F65" s="280"/>
      <c r="G65" s="280"/>
      <c r="H65" s="280"/>
      <c r="I65" s="26">
        <f>+Composition!$Q$47</f>
        <v>2.2727272727272728E-2</v>
      </c>
      <c r="J65" s="26">
        <f>+Composition!$Q$49</f>
        <v>2.6881720430107531E-2</v>
      </c>
      <c r="K65" s="26">
        <f>+Composition!$Q$48</f>
        <v>0.13013196480938419</v>
      </c>
      <c r="L65" s="26">
        <f>+Composition!$Q$50</f>
        <v>3.6412512218963834E-2</v>
      </c>
      <c r="M65" s="26">
        <f>+Composition!$Q$51</f>
        <v>1.026392961876833E-2</v>
      </c>
      <c r="N65" s="26">
        <f>+Composition!$Q$52</f>
        <v>6.5982404692082131E-3</v>
      </c>
      <c r="O65" s="26">
        <f>+Composition!$Q$53</f>
        <v>0</v>
      </c>
      <c r="P65" s="26">
        <f t="shared" si="43"/>
        <v>1</v>
      </c>
      <c r="Q65" s="26"/>
      <c r="U65" s="28"/>
    </row>
    <row r="66" spans="1:29" x14ac:dyDescent="0.2">
      <c r="A66" t="s">
        <v>10</v>
      </c>
      <c r="C66" s="26">
        <f>+Composition!$S$44</f>
        <v>3.405053412732105E-2</v>
      </c>
      <c r="D66" s="26">
        <f>+Composition!$S$45</f>
        <v>0.38384729439130255</v>
      </c>
      <c r="E66" s="26">
        <f>+Composition!$S$46</f>
        <v>0.22979542963534055</v>
      </c>
      <c r="F66" s="280"/>
      <c r="G66" s="280"/>
      <c r="H66" s="280"/>
      <c r="I66" s="26">
        <f>+Composition!$S$47</f>
        <v>1.8755601380659358E-2</v>
      </c>
      <c r="J66" s="26">
        <f>+Composition!$S$49</f>
        <v>1.8177214570245733E-2</v>
      </c>
      <c r="K66" s="26">
        <f>+Composition!$S$48</f>
        <v>0.26508811364258034</v>
      </c>
      <c r="L66" s="26">
        <f>+Composition!$S$50</f>
        <v>3.6151042897433525E-2</v>
      </c>
      <c r="M66" s="26">
        <f>+Composition!$S$51</f>
        <v>6.2498179434582798E-3</v>
      </c>
      <c r="N66" s="26">
        <f>+Composition!$S$52</f>
        <v>7.8849514116585244E-3</v>
      </c>
      <c r="O66" s="26">
        <f>+Composition!$S$53</f>
        <v>0</v>
      </c>
      <c r="P66" s="26">
        <f t="shared" si="43"/>
        <v>0.99999999999999989</v>
      </c>
      <c r="Q66" s="26"/>
      <c r="U66" s="28"/>
    </row>
    <row r="67" spans="1:29" x14ac:dyDescent="0.2">
      <c r="A67" t="s">
        <v>8</v>
      </c>
      <c r="C67" s="26">
        <f>+Composition!$U$44</f>
        <v>0.11018355997854652</v>
      </c>
      <c r="D67" s="26">
        <f>+Composition!$U$45</f>
        <v>0.31169355451035646</v>
      </c>
      <c r="E67" s="26">
        <f>+Composition!$U$46</f>
        <v>0.27555229862204028</v>
      </c>
      <c r="F67" s="280"/>
      <c r="G67" s="280"/>
      <c r="H67" s="280"/>
      <c r="I67" s="26">
        <f>+Composition!$U$47</f>
        <v>2.2168948394073604E-2</v>
      </c>
      <c r="J67" s="26">
        <f>+Composition!$U$49</f>
        <v>1.8806058523475791E-2</v>
      </c>
      <c r="K67" s="26">
        <f>+Composition!$U$48</f>
        <v>0.19915486965240509</v>
      </c>
      <c r="L67" s="26">
        <f>+Composition!$U$50</f>
        <v>4.5313140226083931E-2</v>
      </c>
      <c r="M67" s="26">
        <f>+Composition!$U$51</f>
        <v>6.4734017370003489E-3</v>
      </c>
      <c r="N67" s="26">
        <f>+Composition!$U$52</f>
        <v>1.0654168356018012E-2</v>
      </c>
      <c r="O67" s="26">
        <f>+Composition!$U$53</f>
        <v>0</v>
      </c>
      <c r="P67" s="26">
        <f t="shared" si="43"/>
        <v>1</v>
      </c>
      <c r="Q67" s="26"/>
      <c r="U67" s="28"/>
    </row>
    <row r="68" spans="1:29" x14ac:dyDescent="0.2">
      <c r="A68" t="s">
        <v>9</v>
      </c>
      <c r="C68" s="26">
        <f>+Composition!$W$44</f>
        <v>0.21201394203841109</v>
      </c>
      <c r="D68" s="26">
        <f>+Composition!$W$45</f>
        <v>0.19288505978780307</v>
      </c>
      <c r="E68" s="26">
        <f>+Composition!$W$46</f>
        <v>0.29016032849598838</v>
      </c>
      <c r="F68" s="280"/>
      <c r="G68" s="280"/>
      <c r="H68" s="280"/>
      <c r="I68" s="26">
        <f>+Composition!$W$47</f>
        <v>2.3776640532557184E-2</v>
      </c>
      <c r="J68" s="26">
        <f>+Composition!$W$49</f>
        <v>2.3921303400071963E-2</v>
      </c>
      <c r="K68" s="26">
        <f>+Composition!$W$48</f>
        <v>0.19801379119336976</v>
      </c>
      <c r="L68" s="26">
        <f>+Composition!$W$50</f>
        <v>4.2414658181427027E-2</v>
      </c>
      <c r="M68" s="26">
        <f>+Composition!$W$51</f>
        <v>6.2959258238055741E-3</v>
      </c>
      <c r="N68" s="26">
        <f>+Composition!$W$52</f>
        <v>1.0518350546565988E-2</v>
      </c>
      <c r="O68" s="26">
        <f>+Composition!$W$53</f>
        <v>0</v>
      </c>
      <c r="P68" s="26">
        <f t="shared" si="43"/>
        <v>1</v>
      </c>
      <c r="Q68" s="26"/>
      <c r="U68" s="28"/>
    </row>
    <row r="69" spans="1:29" x14ac:dyDescent="0.2">
      <c r="A69" t="s">
        <v>2</v>
      </c>
      <c r="C69" s="26">
        <f>+Composition!$Y$44</f>
        <v>0.20783690759862322</v>
      </c>
      <c r="D69" s="26">
        <f>+Composition!$Y$45</f>
        <v>0.19962684943834749</v>
      </c>
      <c r="E69" s="26">
        <f>+Composition!$Y$46</f>
        <v>0.28288467012471086</v>
      </c>
      <c r="F69" s="280"/>
      <c r="G69" s="280"/>
      <c r="H69" s="280"/>
      <c r="I69" s="26">
        <f>+Composition!$Y$47</f>
        <v>2.3312587554272773E-2</v>
      </c>
      <c r="J69" s="26">
        <f>+Composition!$Y$49</f>
        <v>2.0124275793317846E-2</v>
      </c>
      <c r="K69" s="26">
        <f>+Composition!$Y$48</f>
        <v>0.19195749912057286</v>
      </c>
      <c r="L69" s="26">
        <f>+Composition!$Y$50</f>
        <v>5.2708449088316858E-2</v>
      </c>
      <c r="M69" s="26">
        <f>+Composition!$Y$51</f>
        <v>6.9757526715317937E-3</v>
      </c>
      <c r="N69" s="26">
        <f>+Composition!$Y$52</f>
        <v>1.4573008610306264E-2</v>
      </c>
      <c r="O69" s="26">
        <f>+Composition!$Y$53</f>
        <v>0</v>
      </c>
      <c r="P69" s="26">
        <f t="shared" si="43"/>
        <v>1</v>
      </c>
      <c r="Q69" s="26"/>
      <c r="U69" s="28"/>
    </row>
    <row r="70" spans="1:29" x14ac:dyDescent="0.2">
      <c r="C70"/>
      <c r="Q70" s="26"/>
      <c r="U70" s="28"/>
    </row>
    <row r="71" spans="1:29" x14ac:dyDescent="0.2">
      <c r="C71"/>
      <c r="Q71" s="26"/>
      <c r="U71" s="28"/>
    </row>
    <row r="72" spans="1:29" x14ac:dyDescent="0.2">
      <c r="A72" s="3" t="s">
        <v>48</v>
      </c>
      <c r="B72" s="3"/>
      <c r="C72"/>
      <c r="U72" s="28"/>
    </row>
    <row r="73" spans="1:29" x14ac:dyDescent="0.2">
      <c r="A73" s="63" t="s">
        <v>180</v>
      </c>
      <c r="C73" s="18">
        <f>+Prices!B5</f>
        <v>99.38</v>
      </c>
      <c r="D73" s="18">
        <f>+Prices!C5</f>
        <v>0</v>
      </c>
      <c r="E73" s="18">
        <f>+Prices!D5</f>
        <v>132.5</v>
      </c>
      <c r="F73" s="281"/>
      <c r="G73" s="281"/>
      <c r="H73" s="281"/>
      <c r="I73" s="18">
        <f>+Prices!E5</f>
        <v>1615.88</v>
      </c>
      <c r="J73" s="18">
        <f>+Prices!F5</f>
        <v>214.93</v>
      </c>
      <c r="K73" s="18">
        <f>+Prices!G5</f>
        <v>-58.5</v>
      </c>
      <c r="L73" s="18">
        <f>+Prices!H5</f>
        <v>600</v>
      </c>
      <c r="M73" s="18">
        <f>+Prices!I5</f>
        <v>1145</v>
      </c>
      <c r="N73" s="18">
        <f>+Prices!J5</f>
        <v>480</v>
      </c>
      <c r="O73" s="18">
        <f>+Prices!K5</f>
        <v>-205</v>
      </c>
      <c r="R73" s="18"/>
      <c r="S73" s="18"/>
      <c r="U73" s="28"/>
      <c r="V73" s="18"/>
      <c r="W73" s="18"/>
      <c r="X73" s="18"/>
      <c r="Y73" s="18"/>
      <c r="Z73" s="18"/>
      <c r="AA73" s="18"/>
      <c r="AB73" s="18"/>
      <c r="AC73" s="18"/>
    </row>
    <row r="74" spans="1:29" x14ac:dyDescent="0.2">
      <c r="A74" t="s">
        <v>148</v>
      </c>
      <c r="C74" s="18">
        <f>+Prices!B6</f>
        <v>101.68</v>
      </c>
      <c r="D74" s="18">
        <f>+Prices!C6</f>
        <v>0</v>
      </c>
      <c r="E74" s="18">
        <f>+Prices!D6</f>
        <v>142.5</v>
      </c>
      <c r="F74" s="281"/>
      <c r="G74" s="281"/>
      <c r="H74" s="281"/>
      <c r="I74" s="18">
        <f>+Prices!E6</f>
        <v>1488.14</v>
      </c>
      <c r="J74" s="18">
        <f>+Prices!F6</f>
        <v>170.77</v>
      </c>
      <c r="K74" s="18">
        <f>+Prices!G6</f>
        <v>-58.5</v>
      </c>
      <c r="L74" s="18">
        <f>+Prices!H6</f>
        <v>310.97000000000003</v>
      </c>
      <c r="M74" s="18">
        <f>+Prices!I6</f>
        <v>860</v>
      </c>
      <c r="N74" s="18">
        <f>+Prices!J6</f>
        <v>340</v>
      </c>
      <c r="O74" s="18">
        <f>+Prices!K6</f>
        <v>-205</v>
      </c>
      <c r="R74" s="18"/>
      <c r="S74" s="18"/>
      <c r="U74" s="28"/>
      <c r="V74" s="18"/>
      <c r="W74" s="18"/>
      <c r="X74" s="18"/>
      <c r="Y74" s="18"/>
      <c r="Z74" s="18"/>
      <c r="AA74" s="18"/>
      <c r="AB74" s="18"/>
      <c r="AC74" s="18"/>
    </row>
    <row r="75" spans="1:29" x14ac:dyDescent="0.2">
      <c r="A75" t="s">
        <v>149</v>
      </c>
      <c r="C75" s="18">
        <f>+Prices!B7</f>
        <v>103.84</v>
      </c>
      <c r="D75" s="18">
        <f>+Prices!C7</f>
        <v>0</v>
      </c>
      <c r="E75" s="18">
        <f>+Prices!D7</f>
        <v>132.5</v>
      </c>
      <c r="F75" s="281"/>
      <c r="G75" s="281"/>
      <c r="H75" s="281"/>
      <c r="I75" s="18">
        <f>+Prices!E7</f>
        <v>1477.2</v>
      </c>
      <c r="J75" s="18">
        <f>+Prices!F7</f>
        <v>161.69</v>
      </c>
      <c r="K75" s="18">
        <f>+Prices!G7</f>
        <v>-58.5</v>
      </c>
      <c r="L75" s="18">
        <f>+Prices!H7</f>
        <v>102.25</v>
      </c>
      <c r="M75" s="18">
        <f>+Prices!I7</f>
        <v>780</v>
      </c>
      <c r="N75" s="18">
        <f>+Prices!J7</f>
        <v>200</v>
      </c>
      <c r="O75" s="18">
        <f>+Prices!K7</f>
        <v>-205</v>
      </c>
      <c r="R75" s="18"/>
      <c r="S75" s="18"/>
      <c r="U75" s="28"/>
      <c r="V75" s="18"/>
      <c r="W75" s="18"/>
      <c r="X75" s="18"/>
      <c r="Y75" s="18"/>
      <c r="Z75" s="18"/>
      <c r="AA75" s="18"/>
      <c r="AB75" s="18"/>
      <c r="AC75" s="18"/>
    </row>
    <row r="76" spans="1:29" x14ac:dyDescent="0.2">
      <c r="A76" t="s">
        <v>150</v>
      </c>
      <c r="C76" s="18">
        <f>+Prices!B8</f>
        <v>84.29</v>
      </c>
      <c r="D76" s="18">
        <f>+Prices!C8</f>
        <v>0</v>
      </c>
      <c r="E76" s="18">
        <f>+Prices!D8</f>
        <v>95.11</v>
      </c>
      <c r="F76" s="281"/>
      <c r="G76" s="281"/>
      <c r="H76" s="281"/>
      <c r="I76" s="18">
        <f>+Prices!E8</f>
        <v>1285.56</v>
      </c>
      <c r="J76" s="18">
        <f>+Prices!F8</f>
        <v>160.51</v>
      </c>
      <c r="K76" s="18">
        <f>+Prices!G8</f>
        <v>-58.5</v>
      </c>
      <c r="L76" s="18">
        <f>+Prices!H8</f>
        <v>60</v>
      </c>
      <c r="M76" s="18">
        <f>+Prices!I8</f>
        <v>680</v>
      </c>
      <c r="N76" s="18">
        <f>+Prices!J8</f>
        <v>110</v>
      </c>
      <c r="O76" s="18">
        <f>+Prices!K8</f>
        <v>-205</v>
      </c>
      <c r="R76" s="18"/>
      <c r="S76" s="18"/>
      <c r="U76" s="28"/>
      <c r="V76" s="18"/>
      <c r="W76" s="18"/>
      <c r="X76" s="18"/>
      <c r="Y76" s="18"/>
      <c r="Z76" s="18"/>
      <c r="AA76" s="18"/>
      <c r="AB76" s="18"/>
      <c r="AC76" s="18"/>
    </row>
    <row r="77" spans="1:29" x14ac:dyDescent="0.2">
      <c r="A77" t="s">
        <v>151</v>
      </c>
      <c r="C77" s="18">
        <f>+Prices!B9</f>
        <v>-15.51</v>
      </c>
      <c r="D77" s="18">
        <f>+Prices!C9</f>
        <v>0</v>
      </c>
      <c r="E77" s="18">
        <f>+Prices!D9</f>
        <v>62.5</v>
      </c>
      <c r="F77" s="281"/>
      <c r="G77" s="281"/>
      <c r="H77" s="281"/>
      <c r="I77" s="18">
        <f>+Prices!E9</f>
        <v>1199.49</v>
      </c>
      <c r="J77" s="18">
        <f>+Prices!F9</f>
        <v>150.80000000000001</v>
      </c>
      <c r="K77" s="18">
        <f>+Prices!G9</f>
        <v>-58.5</v>
      </c>
      <c r="L77" s="18">
        <f>+Prices!H9</f>
        <v>60</v>
      </c>
      <c r="M77" s="18">
        <f>+Prices!I9</f>
        <v>780</v>
      </c>
      <c r="N77" s="18">
        <f>+Prices!J9</f>
        <v>130</v>
      </c>
      <c r="O77" s="18">
        <f>+Prices!K9</f>
        <v>-205</v>
      </c>
      <c r="R77" s="18"/>
      <c r="S77" s="18"/>
      <c r="U77" s="28"/>
      <c r="V77" s="18"/>
      <c r="W77" s="18"/>
      <c r="X77" s="18"/>
      <c r="Y77" s="18"/>
      <c r="Z77" s="18"/>
      <c r="AA77" s="18"/>
      <c r="AB77" s="18"/>
      <c r="AC77" s="18"/>
    </row>
    <row r="78" spans="1:29" x14ac:dyDescent="0.2">
      <c r="A78" t="s">
        <v>152</v>
      </c>
      <c r="C78" s="18">
        <f>+Prices!B10</f>
        <v>-7.32</v>
      </c>
      <c r="D78" s="18">
        <f>+Prices!C10</f>
        <v>0</v>
      </c>
      <c r="E78" s="18">
        <f>+Prices!D10</f>
        <v>47.5</v>
      </c>
      <c r="F78" s="281"/>
      <c r="G78" s="281"/>
      <c r="H78" s="281"/>
      <c r="I78" s="18">
        <f>+Prices!E10</f>
        <v>1268.21</v>
      </c>
      <c r="J78" s="18">
        <f>+Prices!F10</f>
        <v>140.88999999999999</v>
      </c>
      <c r="K78" s="18">
        <f>+Prices!G10</f>
        <v>-58.5</v>
      </c>
      <c r="L78" s="18">
        <f>+Prices!H10</f>
        <v>86.94</v>
      </c>
      <c r="M78" s="18">
        <f>+Prices!I10</f>
        <v>1090</v>
      </c>
      <c r="N78" s="18">
        <f>+Prices!J10</f>
        <v>160</v>
      </c>
      <c r="O78" s="18">
        <f>+Prices!K10</f>
        <v>-205</v>
      </c>
      <c r="R78" s="18"/>
      <c r="S78" s="18"/>
      <c r="U78" s="28"/>
      <c r="V78" s="18"/>
      <c r="W78" s="18"/>
      <c r="X78" s="18"/>
      <c r="Y78" s="18"/>
      <c r="Z78" s="18"/>
      <c r="AA78" s="18"/>
      <c r="AB78" s="18"/>
      <c r="AC78" s="18"/>
    </row>
    <row r="79" spans="1:29" x14ac:dyDescent="0.2">
      <c r="A79" t="s">
        <v>7</v>
      </c>
      <c r="C79" s="18">
        <f>+Prices!B11</f>
        <v>32.31</v>
      </c>
      <c r="D79" s="18">
        <f>+Prices!C11</f>
        <v>0</v>
      </c>
      <c r="E79" s="18">
        <f>+Prices!D11</f>
        <v>47.5</v>
      </c>
      <c r="F79" s="281"/>
      <c r="G79" s="281"/>
      <c r="H79" s="281"/>
      <c r="I79" s="18">
        <f>+Prices!E11</f>
        <v>1278.6400000000001</v>
      </c>
      <c r="J79" s="18">
        <f>+Prices!F11</f>
        <v>151.63</v>
      </c>
      <c r="K79" s="18">
        <f>+Prices!G11</f>
        <v>-58.5</v>
      </c>
      <c r="L79" s="18">
        <f>+Prices!H11</f>
        <v>80</v>
      </c>
      <c r="M79" s="18">
        <f>+Prices!I11</f>
        <v>1090</v>
      </c>
      <c r="N79" s="18">
        <f>+Prices!J11</f>
        <v>160</v>
      </c>
      <c r="O79" s="18">
        <f>+Prices!K11</f>
        <v>-205</v>
      </c>
      <c r="R79" s="18"/>
      <c r="S79" s="18"/>
      <c r="U79" s="28"/>
      <c r="V79" s="18"/>
      <c r="W79" s="18"/>
      <c r="X79" s="18"/>
      <c r="Y79" s="18"/>
      <c r="Z79" s="18"/>
      <c r="AA79" s="18"/>
      <c r="AB79" s="18"/>
      <c r="AC79" s="18"/>
    </row>
    <row r="80" spans="1:29" x14ac:dyDescent="0.2">
      <c r="A80" s="63" t="s">
        <v>181</v>
      </c>
      <c r="C80" s="18">
        <f>+Prices!B12</f>
        <v>27.51</v>
      </c>
      <c r="D80" s="18">
        <f>+Prices!C12</f>
        <v>0</v>
      </c>
      <c r="E80" s="18">
        <f>+Prices!D12</f>
        <v>47.5</v>
      </c>
      <c r="F80" s="281"/>
      <c r="G80" s="281"/>
      <c r="H80" s="281"/>
      <c r="I80" s="18">
        <f>+Prices!E12</f>
        <v>1565.92</v>
      </c>
      <c r="J80" s="18">
        <f>+Prices!F12</f>
        <v>181.51</v>
      </c>
      <c r="K80" s="18">
        <f>+Prices!G12</f>
        <v>-60.55</v>
      </c>
      <c r="L80" s="18">
        <f>+Prices!H12</f>
        <v>120</v>
      </c>
      <c r="M80" s="18">
        <f>+Prices!I12</f>
        <v>1120</v>
      </c>
      <c r="N80" s="18">
        <f>+Prices!J12</f>
        <v>100</v>
      </c>
      <c r="O80" s="18">
        <f>+Prices!K12</f>
        <v>-205</v>
      </c>
      <c r="R80" s="18"/>
      <c r="S80" s="18"/>
      <c r="U80" s="28"/>
      <c r="V80" s="18"/>
      <c r="W80" s="18"/>
      <c r="X80" s="18"/>
      <c r="Y80" s="18"/>
      <c r="Z80" s="18"/>
      <c r="AA80" s="18"/>
      <c r="AB80" s="18"/>
      <c r="AC80" s="18"/>
    </row>
    <row r="81" spans="1:29" x14ac:dyDescent="0.2">
      <c r="A81" t="s">
        <v>10</v>
      </c>
      <c r="C81" s="18">
        <f>+Prices!B13</f>
        <v>41.35</v>
      </c>
      <c r="D81" s="18">
        <f>+Prices!C13</f>
        <v>0</v>
      </c>
      <c r="E81" s="18">
        <f>+Prices!D13</f>
        <v>69.7</v>
      </c>
      <c r="F81" s="281"/>
      <c r="G81" s="281"/>
      <c r="H81" s="281"/>
      <c r="I81" s="18">
        <f>+Prices!E13</f>
        <v>1422</v>
      </c>
      <c r="J81" s="18">
        <f>+Prices!F13</f>
        <v>206.05</v>
      </c>
      <c r="K81" s="18">
        <f>+Prices!G13</f>
        <v>-60.55</v>
      </c>
      <c r="L81" s="18">
        <f>+Prices!H13</f>
        <v>120</v>
      </c>
      <c r="M81" s="18">
        <f>+Prices!I13</f>
        <v>1200</v>
      </c>
      <c r="N81" s="18">
        <f>+Prices!J13</f>
        <v>150</v>
      </c>
      <c r="O81" s="18">
        <f>+Prices!K13</f>
        <v>-205</v>
      </c>
      <c r="R81" s="18"/>
      <c r="S81" s="18"/>
      <c r="U81" s="28"/>
      <c r="V81" s="18"/>
      <c r="W81" s="18"/>
      <c r="X81" s="18"/>
      <c r="Y81" s="18"/>
      <c r="Z81" s="18"/>
      <c r="AA81" s="18"/>
      <c r="AB81" s="18"/>
      <c r="AC81" s="18"/>
    </row>
    <row r="82" spans="1:29" x14ac:dyDescent="0.2">
      <c r="A82" t="s">
        <v>8</v>
      </c>
      <c r="C82" s="18">
        <f>+Prices!B14</f>
        <v>35.39</v>
      </c>
      <c r="D82" s="18">
        <f>+Prices!C14</f>
        <v>0</v>
      </c>
      <c r="E82" s="18">
        <f>+Prices!D14</f>
        <v>75.489999999999995</v>
      </c>
      <c r="F82" s="281"/>
      <c r="G82" s="281"/>
      <c r="H82" s="281"/>
      <c r="I82" s="18">
        <f>+Prices!E14</f>
        <v>1374.53</v>
      </c>
      <c r="J82" s="18">
        <f>+Prices!F14</f>
        <v>235.39</v>
      </c>
      <c r="K82" s="18">
        <f>+Prices!G14</f>
        <v>-60.55</v>
      </c>
      <c r="L82" s="18">
        <f>+Prices!H14</f>
        <v>180</v>
      </c>
      <c r="M82" s="18">
        <f>+Prices!I14</f>
        <v>1270</v>
      </c>
      <c r="N82" s="18">
        <f>+Prices!J14</f>
        <v>140</v>
      </c>
      <c r="O82" s="18">
        <f>+Prices!K14</f>
        <v>-205</v>
      </c>
      <c r="R82" s="18"/>
      <c r="S82" s="18"/>
      <c r="U82" s="28"/>
      <c r="V82" s="18"/>
      <c r="W82" s="18"/>
      <c r="X82" s="18"/>
      <c r="Y82" s="18"/>
      <c r="Z82" s="18"/>
      <c r="AA82" s="18"/>
      <c r="AB82" s="18"/>
      <c r="AC82" s="18"/>
    </row>
    <row r="83" spans="1:29" x14ac:dyDescent="0.2">
      <c r="A83" t="s">
        <v>9</v>
      </c>
      <c r="C83" s="18">
        <f>+Prices!B15</f>
        <v>30.68</v>
      </c>
      <c r="D83" s="18">
        <f>+Prices!C15</f>
        <v>0</v>
      </c>
      <c r="E83" s="18">
        <f>+Prices!D15</f>
        <v>77.650000000000006</v>
      </c>
      <c r="F83" s="281"/>
      <c r="G83" s="281"/>
      <c r="H83" s="281"/>
      <c r="I83" s="18">
        <f>+Prices!E15</f>
        <v>1411.06</v>
      </c>
      <c r="J83" s="18">
        <f>+Prices!F15</f>
        <v>225.38</v>
      </c>
      <c r="K83" s="18">
        <f>+Prices!G15</f>
        <v>-60.55</v>
      </c>
      <c r="L83" s="18">
        <f>+Prices!H15</f>
        <v>200</v>
      </c>
      <c r="M83" s="18">
        <f>+Prices!I15</f>
        <v>1313.68</v>
      </c>
      <c r="N83" s="18">
        <f>+Prices!J15</f>
        <v>140</v>
      </c>
      <c r="O83" s="18">
        <f>+Prices!K15</f>
        <v>-205</v>
      </c>
      <c r="R83" s="18"/>
      <c r="S83" s="18"/>
      <c r="U83" s="28"/>
      <c r="V83" s="18"/>
      <c r="W83" s="18"/>
      <c r="X83" s="18"/>
      <c r="Y83" s="18"/>
      <c r="Z83" s="18"/>
      <c r="AA83" s="18"/>
      <c r="AB83" s="18"/>
      <c r="AC83" s="18"/>
    </row>
    <row r="84" spans="1:29" x14ac:dyDescent="0.2">
      <c r="A84" t="s">
        <v>2</v>
      </c>
      <c r="C84" s="18">
        <f>+Prices!B16</f>
        <v>17.61</v>
      </c>
      <c r="D84" s="18">
        <f>+Prices!C16</f>
        <v>0</v>
      </c>
      <c r="E84" s="18">
        <f>+Prices!D16</f>
        <v>78.36</v>
      </c>
      <c r="F84" s="281"/>
      <c r="G84" s="281"/>
      <c r="H84" s="281"/>
      <c r="I84" s="18">
        <f>+Prices!E16</f>
        <v>1389.4</v>
      </c>
      <c r="J84" s="18">
        <f>+Prices!F16</f>
        <v>196.81</v>
      </c>
      <c r="K84" s="18">
        <f>+Prices!G16</f>
        <v>-60.55</v>
      </c>
      <c r="L84" s="18">
        <f>+Prices!H16</f>
        <v>200</v>
      </c>
      <c r="M84" s="18">
        <f>+Prices!I16</f>
        <v>1400.35</v>
      </c>
      <c r="N84" s="18">
        <f>+Prices!J16</f>
        <v>220</v>
      </c>
      <c r="O84" s="18">
        <f>+Prices!K16</f>
        <v>-205</v>
      </c>
      <c r="R84" s="62"/>
      <c r="S84" s="18"/>
      <c r="U84" s="28"/>
      <c r="V84" s="29"/>
      <c r="W84" s="29"/>
      <c r="X84" s="18"/>
      <c r="Y84" s="29"/>
      <c r="Z84" s="29"/>
      <c r="AA84" s="29"/>
      <c r="AB84" s="29"/>
      <c r="AC84" s="29"/>
    </row>
    <row r="85" spans="1:29" x14ac:dyDescent="0.2">
      <c r="A85" t="s">
        <v>147</v>
      </c>
      <c r="C85" s="18">
        <f>+Prices!B20</f>
        <v>9.33</v>
      </c>
      <c r="D85" s="18">
        <f>+Prices!C20</f>
        <v>0</v>
      </c>
      <c r="E85" s="18">
        <f>+Prices!D20</f>
        <v>61.64</v>
      </c>
      <c r="F85" s="281"/>
      <c r="G85" s="281"/>
      <c r="H85" s="281"/>
      <c r="I85" s="18">
        <f>+Prices!E20</f>
        <v>1333.92</v>
      </c>
      <c r="J85" s="18">
        <f>+Prices!F20</f>
        <v>170.44</v>
      </c>
      <c r="K85" s="18">
        <f>+Prices!G20</f>
        <v>-60.55</v>
      </c>
      <c r="L85" s="18">
        <f>+Prices!H20</f>
        <v>128.18</v>
      </c>
      <c r="M85" s="18">
        <f>+Prices!I20</f>
        <v>840</v>
      </c>
      <c r="N85" s="18">
        <f>+Prices!J20</f>
        <v>220</v>
      </c>
      <c r="O85" s="18">
        <f>+Prices!K20</f>
        <v>-205</v>
      </c>
      <c r="R85" s="62"/>
      <c r="S85" s="18"/>
      <c r="U85" s="28"/>
      <c r="V85" s="29"/>
      <c r="W85" s="29"/>
      <c r="X85" s="18"/>
      <c r="Y85" s="29"/>
      <c r="Z85" s="29"/>
      <c r="AA85" s="29"/>
      <c r="AB85" s="29"/>
      <c r="AC85" s="29"/>
    </row>
    <row r="86" spans="1:29" x14ac:dyDescent="0.2">
      <c r="A86" t="s">
        <v>148</v>
      </c>
      <c r="C86" s="18">
        <f>+Prices!B21</f>
        <v>13.67</v>
      </c>
      <c r="D86" s="18">
        <f>+Prices!C21</f>
        <v>0</v>
      </c>
      <c r="E86" s="18">
        <f>+Prices!D21</f>
        <v>69.7</v>
      </c>
      <c r="F86" s="281"/>
      <c r="G86" s="281"/>
      <c r="H86" s="281"/>
      <c r="I86" s="18">
        <f>+Prices!E21</f>
        <v>1266.28</v>
      </c>
      <c r="J86" s="18">
        <f>+Prices!F21</f>
        <v>171.57</v>
      </c>
      <c r="K86" s="18">
        <f>+Prices!G21</f>
        <v>-60.55</v>
      </c>
      <c r="L86" s="18">
        <f>+Prices!H21</f>
        <v>40</v>
      </c>
      <c r="M86" s="18">
        <f>+Prices!I21</f>
        <v>540</v>
      </c>
      <c r="N86" s="18">
        <f>+Prices!J21</f>
        <v>130</v>
      </c>
      <c r="O86" s="18">
        <f>+Prices!K21</f>
        <v>-205</v>
      </c>
      <c r="R86" s="62"/>
      <c r="S86" s="18"/>
      <c r="U86" s="28"/>
      <c r="V86" s="29"/>
      <c r="W86" s="29"/>
      <c r="X86" s="18"/>
      <c r="Y86" s="29"/>
      <c r="Z86" s="29"/>
      <c r="AA86" s="29"/>
      <c r="AB86" s="29"/>
      <c r="AC86" s="29"/>
    </row>
    <row r="87" spans="1:29" x14ac:dyDescent="0.2">
      <c r="A87" t="s">
        <v>149</v>
      </c>
      <c r="C87" s="18">
        <f>+Prices!B22</f>
        <v>22.49</v>
      </c>
      <c r="D87" s="18">
        <f>+Prices!C22</f>
        <v>0</v>
      </c>
      <c r="E87" s="18">
        <f>+Prices!D22</f>
        <v>65.98</v>
      </c>
      <c r="F87" s="281"/>
      <c r="G87" s="281"/>
      <c r="H87" s="281"/>
      <c r="I87" s="18">
        <f>+Prices!E22</f>
        <v>1209.6400000000001</v>
      </c>
      <c r="J87" s="18">
        <f>+Prices!F22</f>
        <v>171.87</v>
      </c>
      <c r="K87" s="18">
        <f>+Prices!G22</f>
        <v>-60.55</v>
      </c>
      <c r="L87" s="18">
        <f>+Prices!H22</f>
        <v>47.7</v>
      </c>
      <c r="M87" s="18">
        <f>+Prices!I22</f>
        <v>260</v>
      </c>
      <c r="N87" s="18">
        <f>+Prices!J22</f>
        <v>170</v>
      </c>
      <c r="O87" s="18">
        <f>+Prices!K22</f>
        <v>-205</v>
      </c>
      <c r="R87" s="62"/>
      <c r="S87" s="18"/>
      <c r="U87" s="28"/>
      <c r="V87" s="29"/>
      <c r="W87" s="29"/>
      <c r="X87" s="18"/>
      <c r="Y87" s="29"/>
      <c r="Z87" s="29"/>
      <c r="AA87" s="29"/>
      <c r="AB87" s="29"/>
      <c r="AC87" s="29"/>
    </row>
    <row r="88" spans="1:29" x14ac:dyDescent="0.2">
      <c r="A88" t="s">
        <v>150</v>
      </c>
      <c r="C88" s="18">
        <f>+Prices!B23</f>
        <v>40</v>
      </c>
      <c r="D88" s="18">
        <f>+Prices!C23</f>
        <v>0</v>
      </c>
      <c r="E88" s="18">
        <f>+Prices!D23</f>
        <v>82.24</v>
      </c>
      <c r="F88" s="281"/>
      <c r="G88" s="281"/>
      <c r="H88" s="281"/>
      <c r="I88" s="18">
        <f>+Prices!E23</f>
        <v>1223.71</v>
      </c>
      <c r="J88" s="18">
        <f>+Prices!F23</f>
        <v>190.89</v>
      </c>
      <c r="K88" s="18">
        <f>+Prices!G23</f>
        <v>-60.55</v>
      </c>
      <c r="L88" s="18">
        <f>+Prices!H23</f>
        <v>-272.5</v>
      </c>
      <c r="M88" s="18">
        <f>+Prices!I23</f>
        <v>460</v>
      </c>
      <c r="N88" s="18">
        <f>+Prices!J23</f>
        <v>240</v>
      </c>
      <c r="O88" s="18">
        <f>+Prices!K23</f>
        <v>-205</v>
      </c>
      <c r="R88" s="62"/>
      <c r="S88" s="18"/>
      <c r="U88" s="28"/>
      <c r="V88" s="29"/>
      <c r="W88" s="29"/>
      <c r="X88" s="18"/>
      <c r="Y88" s="29"/>
      <c r="Z88" s="29"/>
      <c r="AA88" s="29"/>
      <c r="AB88" s="29"/>
      <c r="AC88" s="29"/>
    </row>
    <row r="89" spans="1:29" x14ac:dyDescent="0.2">
      <c r="A89" t="s">
        <v>151</v>
      </c>
      <c r="C89" s="18">
        <f>+Prices!B24</f>
        <v>50</v>
      </c>
      <c r="D89" s="18">
        <f>+Prices!C24</f>
        <v>0</v>
      </c>
      <c r="E89" s="18">
        <f>+Prices!D24</f>
        <v>92.61</v>
      </c>
      <c r="F89" s="281"/>
      <c r="G89" s="281"/>
      <c r="H89" s="281"/>
      <c r="I89" s="18">
        <f>+Prices!E24</f>
        <v>1219.05</v>
      </c>
      <c r="J89" s="18">
        <f>+Prices!F24</f>
        <v>186.24</v>
      </c>
      <c r="K89" s="18">
        <f>+Prices!G24</f>
        <v>-60.55</v>
      </c>
      <c r="L89" s="18">
        <f>+Prices!H24</f>
        <v>-272.5</v>
      </c>
      <c r="M89" s="18">
        <f>+Prices!I24</f>
        <v>460.92</v>
      </c>
      <c r="N89" s="18">
        <f>+Prices!J24</f>
        <v>110</v>
      </c>
      <c r="O89" s="18">
        <f>+Prices!K24</f>
        <v>-205</v>
      </c>
      <c r="R89" s="62"/>
      <c r="S89" s="18"/>
      <c r="U89" s="28"/>
      <c r="V89" s="29"/>
      <c r="W89" s="29"/>
      <c r="X89" s="18"/>
      <c r="Y89" s="29"/>
      <c r="Z89" s="29"/>
      <c r="AA89" s="29"/>
      <c r="AB89" s="29"/>
      <c r="AC89" s="29"/>
    </row>
    <row r="90" spans="1:29" x14ac:dyDescent="0.2">
      <c r="A90" t="s">
        <v>152</v>
      </c>
      <c r="C90" s="18">
        <f>+Prices!B25</f>
        <v>50</v>
      </c>
      <c r="D90" s="18">
        <f>+Prices!C25</f>
        <v>0</v>
      </c>
      <c r="E90" s="18">
        <f>+Prices!D25</f>
        <v>88.06</v>
      </c>
      <c r="F90" s="281"/>
      <c r="G90" s="281"/>
      <c r="H90" s="281"/>
      <c r="I90" s="18">
        <f>+Prices!E25</f>
        <v>1201.7</v>
      </c>
      <c r="J90" s="18">
        <f>+Prices!F25</f>
        <v>197.02</v>
      </c>
      <c r="K90" s="18">
        <f>+Prices!G25</f>
        <v>-60.5</v>
      </c>
      <c r="L90" s="18">
        <f>+Prices!H25</f>
        <v>-272.5</v>
      </c>
      <c r="M90" s="18">
        <f>+Prices!I25</f>
        <v>540</v>
      </c>
      <c r="N90" s="18">
        <f>+Prices!J25</f>
        <v>300</v>
      </c>
      <c r="O90" s="18">
        <f>+Prices!K25</f>
        <v>-205</v>
      </c>
      <c r="R90" s="62"/>
      <c r="S90" s="18"/>
      <c r="U90" s="28"/>
      <c r="V90" s="29"/>
      <c r="W90" s="29"/>
      <c r="X90" s="18"/>
      <c r="Y90" s="29"/>
      <c r="Z90" s="29"/>
      <c r="AA90" s="29"/>
      <c r="AB90" s="29"/>
      <c r="AC90" s="29"/>
    </row>
    <row r="91" spans="1:29" x14ac:dyDescent="0.2">
      <c r="A91" t="s">
        <v>7</v>
      </c>
      <c r="C91" s="18">
        <f>+Prices!B26</f>
        <v>60.63</v>
      </c>
      <c r="D91" s="18">
        <f>+Prices!C26</f>
        <v>0</v>
      </c>
      <c r="E91" s="18">
        <f>+Prices!D26</f>
        <v>101.53</v>
      </c>
      <c r="F91" s="281"/>
      <c r="G91" s="281"/>
      <c r="H91" s="281"/>
      <c r="I91" s="18">
        <f>+Prices!E26</f>
        <v>1422.93</v>
      </c>
      <c r="J91" s="18">
        <f>+Prices!F26</f>
        <v>243.57</v>
      </c>
      <c r="K91" s="18">
        <f>+Prices!G26</f>
        <v>-60.5</v>
      </c>
      <c r="L91" s="18">
        <f>+Prices!H26</f>
        <v>143.30000000000001</v>
      </c>
      <c r="M91" s="18">
        <f>+Prices!I26</f>
        <v>617.16</v>
      </c>
      <c r="N91" s="18">
        <f>+Prices!J26</f>
        <v>352.74</v>
      </c>
      <c r="O91" s="18">
        <f>+Prices!K26</f>
        <v>-205</v>
      </c>
      <c r="R91" s="62"/>
      <c r="S91" s="18"/>
      <c r="U91" s="28"/>
      <c r="V91" s="29"/>
      <c r="W91" s="29"/>
      <c r="X91" s="18"/>
      <c r="Y91" s="29"/>
      <c r="Z91" s="29"/>
      <c r="AA91" s="29"/>
      <c r="AB91" s="29"/>
      <c r="AC91" s="29"/>
    </row>
    <row r="92" spans="1:29" x14ac:dyDescent="0.2">
      <c r="A92" s="63" t="s">
        <v>183</v>
      </c>
      <c r="C92" s="18">
        <f>+Prices!B27</f>
        <v>0</v>
      </c>
      <c r="D92" s="18">
        <f>+Prices!C27</f>
        <v>46.61</v>
      </c>
      <c r="E92" s="18">
        <f>+Prices!D27</f>
        <v>104.12</v>
      </c>
      <c r="F92" s="281"/>
      <c r="G92" s="281"/>
      <c r="H92" s="281"/>
      <c r="I92" s="18">
        <f>+Prices!E27</f>
        <v>1198.5899999999999</v>
      </c>
      <c r="J92" s="18">
        <f>+Prices!F27</f>
        <v>208.69</v>
      </c>
      <c r="K92" s="18">
        <f>+Prices!G27</f>
        <v>-60.55</v>
      </c>
      <c r="L92" s="18">
        <f>+Prices!H27</f>
        <v>150</v>
      </c>
      <c r="M92" s="18">
        <f>+Prices!I27</f>
        <v>590.4</v>
      </c>
      <c r="N92" s="18">
        <f>+Prices!J27</f>
        <v>279.89</v>
      </c>
      <c r="O92" s="18">
        <f>+Prices!K27</f>
        <v>-205</v>
      </c>
      <c r="R92" s="62"/>
      <c r="S92" s="18"/>
      <c r="U92" s="28"/>
      <c r="V92" s="29"/>
      <c r="W92" s="29"/>
      <c r="X92" s="18"/>
      <c r="Y92" s="29"/>
      <c r="Z92" s="29"/>
      <c r="AA92" s="29"/>
      <c r="AB92" s="29"/>
      <c r="AC92" s="29"/>
    </row>
    <row r="93" spans="1:29" x14ac:dyDescent="0.2">
      <c r="A93" t="s">
        <v>10</v>
      </c>
      <c r="C93" s="18">
        <f>+Prices!B28</f>
        <v>0</v>
      </c>
      <c r="D93" s="18">
        <f>+Prices!C28</f>
        <v>66.48</v>
      </c>
      <c r="E93" s="18">
        <f>+Prices!D28</f>
        <v>157.72999999999999</v>
      </c>
      <c r="F93" s="281"/>
      <c r="G93" s="281"/>
      <c r="H93" s="281"/>
      <c r="I93" s="18">
        <f>+Prices!E28</f>
        <v>1319.47</v>
      </c>
      <c r="J93" s="18">
        <f>+Prices!F28</f>
        <v>220.58</v>
      </c>
      <c r="K93" s="18">
        <f>+Prices!G28</f>
        <v>-28.95</v>
      </c>
      <c r="L93" s="18">
        <f>+Prices!H28</f>
        <v>150</v>
      </c>
      <c r="M93" s="18">
        <f>+Prices!I28</f>
        <v>543.30999999999995</v>
      </c>
      <c r="N93" s="18">
        <f>+Prices!J28</f>
        <v>340</v>
      </c>
      <c r="O93" s="18">
        <f>+Prices!K28</f>
        <v>-187.5</v>
      </c>
      <c r="R93" s="62"/>
      <c r="S93" s="18"/>
      <c r="U93" s="28"/>
      <c r="V93" s="29"/>
      <c r="W93" s="29"/>
      <c r="X93" s="18"/>
      <c r="Y93" s="29"/>
      <c r="Z93" s="29"/>
      <c r="AA93" s="29"/>
      <c r="AB93" s="29"/>
      <c r="AC93" s="29"/>
    </row>
    <row r="94" spans="1:29" x14ac:dyDescent="0.2">
      <c r="A94" t="s">
        <v>8</v>
      </c>
      <c r="C94" s="18">
        <f>+Prices!B29</f>
        <v>0</v>
      </c>
      <c r="D94" s="18">
        <f>+Prices!C29</f>
        <v>67.63</v>
      </c>
      <c r="E94" s="18">
        <f>+Prices!D29</f>
        <v>175.48</v>
      </c>
      <c r="F94" s="281"/>
      <c r="G94" s="281"/>
      <c r="H94" s="281"/>
      <c r="I94" s="18">
        <f>+Prices!E29</f>
        <v>1325.07</v>
      </c>
      <c r="J94" s="18">
        <f>+Prices!F29</f>
        <v>194.68</v>
      </c>
      <c r="K94" s="18">
        <f>+Prices!G29</f>
        <v>-28.49</v>
      </c>
      <c r="L94" s="18">
        <f>+Prices!H29</f>
        <v>150</v>
      </c>
      <c r="M94" s="18">
        <f>+Prices!I29</f>
        <v>560</v>
      </c>
      <c r="N94" s="18">
        <f>+Prices!J29</f>
        <v>340</v>
      </c>
      <c r="O94" s="18">
        <f>+Prices!K29</f>
        <v>-187.5</v>
      </c>
      <c r="R94" s="62"/>
      <c r="S94" s="18"/>
      <c r="U94" s="28"/>
      <c r="V94" s="29"/>
      <c r="W94" s="29"/>
      <c r="X94" s="18"/>
      <c r="Y94" s="29"/>
      <c r="Z94" s="29"/>
      <c r="AA94" s="29"/>
      <c r="AB94" s="29"/>
      <c r="AC94" s="29"/>
    </row>
    <row r="95" spans="1:29" x14ac:dyDescent="0.2">
      <c r="A95" t="s">
        <v>9</v>
      </c>
      <c r="C95" s="18">
        <f>+Prices!B30</f>
        <v>0</v>
      </c>
      <c r="D95" s="18">
        <f>+Prices!C30</f>
        <v>81.92</v>
      </c>
      <c r="E95" s="18">
        <f>+Prices!D30</f>
        <v>150.25</v>
      </c>
      <c r="F95" s="281"/>
      <c r="G95" s="281"/>
      <c r="H95" s="281"/>
      <c r="I95" s="18">
        <f>+Prices!E30</f>
        <v>1538.59</v>
      </c>
      <c r="J95" s="18">
        <f>+Prices!F30</f>
        <v>193.42</v>
      </c>
      <c r="K95" s="18">
        <f>+Prices!G30</f>
        <v>-27.25</v>
      </c>
      <c r="L95" s="18">
        <f>+Prices!H30</f>
        <v>171.08</v>
      </c>
      <c r="M95" s="18">
        <f>+Prices!I30</f>
        <v>560</v>
      </c>
      <c r="N95" s="18">
        <f>+Prices!J30</f>
        <v>340</v>
      </c>
      <c r="O95" s="18">
        <f>+Prices!K30</f>
        <v>-187.5</v>
      </c>
      <c r="R95" s="62"/>
      <c r="S95" s="18"/>
      <c r="U95" s="28"/>
      <c r="V95" s="29"/>
      <c r="W95" s="29"/>
      <c r="X95" s="18"/>
      <c r="Y95" s="29"/>
      <c r="Z95" s="29"/>
      <c r="AA95" s="29"/>
      <c r="AB95" s="29"/>
      <c r="AC95" s="29"/>
    </row>
    <row r="96" spans="1:29" x14ac:dyDescent="0.2">
      <c r="A96" t="s">
        <v>2</v>
      </c>
      <c r="C96" s="18">
        <f>+Prices!B31</f>
        <v>0</v>
      </c>
      <c r="D96" s="18">
        <f>+Prices!C31</f>
        <v>91.75</v>
      </c>
      <c r="E96" s="18">
        <f>+Prices!D31</f>
        <v>180.01</v>
      </c>
      <c r="F96" s="281"/>
      <c r="G96" s="281"/>
      <c r="H96" s="281"/>
      <c r="I96" s="18">
        <f>+Prices!E31</f>
        <v>1579.12</v>
      </c>
      <c r="J96" s="18">
        <f>+Prices!F31</f>
        <v>198</v>
      </c>
      <c r="K96" s="18">
        <f>+Prices!G31</f>
        <v>-26.1</v>
      </c>
      <c r="L96" s="18">
        <f>+Prices!H31</f>
        <v>210</v>
      </c>
      <c r="M96" s="18">
        <f>+Prices!I31</f>
        <v>600</v>
      </c>
      <c r="N96" s="18">
        <f>+Prices!J31</f>
        <v>346.65</v>
      </c>
      <c r="O96" s="18">
        <f>+Prices!K31</f>
        <v>-187.5</v>
      </c>
      <c r="R96" s="62"/>
      <c r="S96" s="18"/>
      <c r="U96" s="28"/>
      <c r="V96" s="29"/>
      <c r="W96" s="29"/>
      <c r="X96" s="18"/>
      <c r="Y96" s="29"/>
      <c r="Z96" s="29"/>
      <c r="AA96" s="29"/>
      <c r="AB96" s="29"/>
      <c r="AC96" s="29"/>
    </row>
    <row r="97" spans="1:29" x14ac:dyDescent="0.2">
      <c r="C97" s="18"/>
      <c r="D97" s="18"/>
      <c r="E97" s="18"/>
      <c r="F97" s="281"/>
      <c r="G97" s="281"/>
      <c r="H97" s="281"/>
      <c r="I97" s="18"/>
      <c r="J97" s="18"/>
      <c r="K97" s="18"/>
      <c r="L97" s="18"/>
      <c r="M97" s="18"/>
      <c r="N97" s="18"/>
      <c r="O97" s="18"/>
      <c r="R97" s="62"/>
      <c r="S97" s="18"/>
      <c r="U97" s="28"/>
      <c r="V97" s="29"/>
      <c r="W97" s="29"/>
      <c r="X97" s="18"/>
      <c r="Y97" s="29"/>
      <c r="Z97" s="29"/>
      <c r="AA97" s="29"/>
      <c r="AB97" s="29"/>
      <c r="AC97" s="29"/>
    </row>
    <row r="98" spans="1:29" x14ac:dyDescent="0.2">
      <c r="C98" s="63"/>
      <c r="D98" s="63"/>
      <c r="E98" s="63"/>
      <c r="F98" s="282"/>
      <c r="G98" s="282"/>
      <c r="H98" s="282"/>
      <c r="I98" s="63"/>
      <c r="J98" s="63"/>
      <c r="K98" s="63"/>
      <c r="L98" s="63"/>
      <c r="M98" s="63"/>
      <c r="N98" s="63"/>
      <c r="O98" s="63"/>
      <c r="S98" s="4"/>
      <c r="T98" s="4"/>
      <c r="U98" s="4"/>
      <c r="V98" s="4"/>
      <c r="W98" s="4"/>
    </row>
    <row r="99" spans="1:29" x14ac:dyDescent="0.2">
      <c r="C99"/>
      <c r="S99" s="4"/>
      <c r="T99" s="4"/>
      <c r="U99" s="4"/>
      <c r="V99" s="4"/>
      <c r="W99" s="4"/>
      <c r="X99" s="4"/>
    </row>
    <row r="100" spans="1:29" x14ac:dyDescent="0.2">
      <c r="C100" s="306" t="s">
        <v>34</v>
      </c>
      <c r="D100" s="306"/>
      <c r="E100" s="306"/>
      <c r="F100" s="306"/>
      <c r="G100" s="306"/>
      <c r="H100" s="306"/>
      <c r="I100" s="306"/>
      <c r="J100" s="306"/>
      <c r="K100" s="306"/>
      <c r="L100" s="306"/>
      <c r="M100" s="306"/>
      <c r="N100" s="306"/>
      <c r="O100" s="306"/>
      <c r="S100" s="4"/>
      <c r="T100" s="4"/>
      <c r="U100" s="4"/>
      <c r="V100" s="4"/>
      <c r="W100" s="4"/>
      <c r="X100" s="4"/>
    </row>
    <row r="101" spans="1:29" x14ac:dyDescent="0.2">
      <c r="C101" s="24" t="s">
        <v>35</v>
      </c>
      <c r="D101" s="24" t="s">
        <v>36</v>
      </c>
      <c r="E101" s="24"/>
      <c r="F101" s="278"/>
      <c r="G101" s="278"/>
      <c r="H101" s="278"/>
      <c r="I101" s="24" t="s">
        <v>37</v>
      </c>
      <c r="J101" s="24" t="s">
        <v>38</v>
      </c>
      <c r="K101" s="24"/>
      <c r="L101" s="24"/>
      <c r="M101" s="24" t="s">
        <v>0</v>
      </c>
      <c r="N101" s="24" t="s">
        <v>0</v>
      </c>
      <c r="O101" s="24" t="s">
        <v>39</v>
      </c>
      <c r="Q101" s="99"/>
      <c r="S101" s="4"/>
      <c r="T101" s="4"/>
      <c r="U101" s="4"/>
      <c r="V101" s="4"/>
      <c r="W101" s="4"/>
      <c r="X101" s="4"/>
    </row>
    <row r="102" spans="1:29" x14ac:dyDescent="0.2">
      <c r="C102" s="25" t="s">
        <v>40</v>
      </c>
      <c r="D102" s="25" t="s">
        <v>41</v>
      </c>
      <c r="E102" s="25" t="s">
        <v>19</v>
      </c>
      <c r="F102" s="279"/>
      <c r="G102" s="279"/>
      <c r="H102" s="279"/>
      <c r="I102" s="25" t="s">
        <v>17</v>
      </c>
      <c r="J102" s="25" t="s">
        <v>18</v>
      </c>
      <c r="K102" s="25" t="s">
        <v>11</v>
      </c>
      <c r="L102" s="25" t="s">
        <v>1</v>
      </c>
      <c r="M102" s="25" t="s">
        <v>42</v>
      </c>
      <c r="N102" s="25" t="s">
        <v>43</v>
      </c>
      <c r="O102" s="25" t="s">
        <v>44</v>
      </c>
      <c r="P102" s="30" t="s">
        <v>3</v>
      </c>
      <c r="Q102" s="30"/>
      <c r="S102" s="4"/>
      <c r="T102" s="4"/>
      <c r="U102" s="4"/>
      <c r="V102" s="4"/>
      <c r="W102" s="4"/>
      <c r="X102" s="4"/>
    </row>
    <row r="103" spans="1:29" x14ac:dyDescent="0.2">
      <c r="A103" s="3" t="s">
        <v>49</v>
      </c>
      <c r="B103" s="3"/>
      <c r="S103" s="5"/>
      <c r="T103" s="5"/>
      <c r="U103" s="5"/>
      <c r="V103" s="5"/>
      <c r="W103" s="5"/>
      <c r="X103" s="5"/>
      <c r="Y103" s="5"/>
    </row>
    <row r="104" spans="1:29" x14ac:dyDescent="0.2">
      <c r="A104" s="63" t="s">
        <v>180</v>
      </c>
      <c r="C104" s="2">
        <f t="shared" ref="C104:E115" si="44">+$K9*C46</f>
        <v>108.63801607673524</v>
      </c>
      <c r="D104" s="2">
        <f t="shared" si="44"/>
        <v>0</v>
      </c>
      <c r="E104" s="2">
        <f t="shared" si="44"/>
        <v>215.49587247215976</v>
      </c>
      <c r="F104" s="272"/>
      <c r="G104" s="272"/>
      <c r="H104" s="272"/>
      <c r="I104" s="2">
        <f t="shared" ref="I104:O115" si="45">+$K9*I46</f>
        <v>10.125789644879283</v>
      </c>
      <c r="J104" s="2">
        <f t="shared" si="45"/>
        <v>9.425794651550321</v>
      </c>
      <c r="K104" s="2">
        <f t="shared" si="45"/>
        <v>71.311989945387907</v>
      </c>
      <c r="L104" s="2">
        <f t="shared" si="45"/>
        <v>20.360199202516508</v>
      </c>
      <c r="M104" s="2">
        <f t="shared" si="45"/>
        <v>4.8486722167225889</v>
      </c>
      <c r="N104" s="2">
        <f t="shared" si="45"/>
        <v>3.1228224917908398</v>
      </c>
      <c r="O104" s="2">
        <f t="shared" si="45"/>
        <v>0</v>
      </c>
      <c r="P104" s="6">
        <f t="shared" ref="P104:P115" si="46">SUM(C104:O104)</f>
        <v>443.32915670174248</v>
      </c>
      <c r="Q104" s="2"/>
      <c r="R104" s="6"/>
      <c r="S104" s="79"/>
      <c r="T104" s="17"/>
      <c r="U104" s="76"/>
      <c r="V104" s="9"/>
      <c r="W104" s="76"/>
      <c r="X104" s="76"/>
      <c r="Y104" s="18"/>
    </row>
    <row r="105" spans="1:29" x14ac:dyDescent="0.2">
      <c r="A105" t="s">
        <v>148</v>
      </c>
      <c r="C105" s="2">
        <f t="shared" si="44"/>
        <v>73.139658373731251</v>
      </c>
      <c r="D105" s="2">
        <f t="shared" si="44"/>
        <v>0</v>
      </c>
      <c r="E105" s="2">
        <f t="shared" si="44"/>
        <v>217.10240332023375</v>
      </c>
      <c r="F105" s="272"/>
      <c r="G105" s="272"/>
      <c r="H105" s="272"/>
      <c r="I105" s="2">
        <f t="shared" si="45"/>
        <v>10.717192700230843</v>
      </c>
      <c r="J105" s="2">
        <f t="shared" si="45"/>
        <v>8.0257020420101846</v>
      </c>
      <c r="K105" s="2">
        <f t="shared" si="45"/>
        <v>54.677190744238025</v>
      </c>
      <c r="L105" s="2">
        <f t="shared" si="45"/>
        <v>20.870483054175367</v>
      </c>
      <c r="M105" s="2">
        <f t="shared" si="45"/>
        <v>5.6176866173280562</v>
      </c>
      <c r="N105" s="2">
        <f t="shared" si="45"/>
        <v>3.1639493807848735</v>
      </c>
      <c r="O105" s="2">
        <f t="shared" si="45"/>
        <v>0</v>
      </c>
      <c r="P105" s="6">
        <f t="shared" si="46"/>
        <v>393.31426623273234</v>
      </c>
      <c r="Q105" s="2">
        <f>+P105+P104</f>
        <v>836.64342293447476</v>
      </c>
      <c r="R105" s="6"/>
      <c r="S105" s="79"/>
      <c r="T105" s="17"/>
      <c r="U105" s="76"/>
      <c r="V105" s="9"/>
      <c r="W105" s="76"/>
      <c r="X105" s="76"/>
      <c r="Y105" s="18"/>
    </row>
    <row r="106" spans="1:29" x14ac:dyDescent="0.2">
      <c r="A106" t="s">
        <v>149</v>
      </c>
      <c r="C106" s="2">
        <f t="shared" si="44"/>
        <v>80.580695152920981</v>
      </c>
      <c r="D106" s="2">
        <f t="shared" si="44"/>
        <v>0</v>
      </c>
      <c r="E106" s="2">
        <f t="shared" si="44"/>
        <v>230.53410350800928</v>
      </c>
      <c r="F106" s="272"/>
      <c r="G106" s="272"/>
      <c r="H106" s="272"/>
      <c r="I106" s="2">
        <f t="shared" si="45"/>
        <v>11.111672761058649</v>
      </c>
      <c r="J106" s="2">
        <f t="shared" si="45"/>
        <v>7.7829863922258031</v>
      </c>
      <c r="K106" s="2">
        <f t="shared" si="45"/>
        <v>59.479953623185828</v>
      </c>
      <c r="L106" s="2">
        <f t="shared" si="45"/>
        <v>19.975127875175041</v>
      </c>
      <c r="M106" s="2">
        <f t="shared" si="45"/>
        <v>4.2586719818250236</v>
      </c>
      <c r="N106" s="2">
        <f t="shared" si="45"/>
        <v>3.2323771791378624</v>
      </c>
      <c r="O106" s="2">
        <f t="shared" si="45"/>
        <v>0</v>
      </c>
      <c r="P106" s="6">
        <f t="shared" si="46"/>
        <v>416.95558847353846</v>
      </c>
      <c r="Q106" s="2">
        <f>+Q105+P106</f>
        <v>1253.5990114080132</v>
      </c>
      <c r="R106" s="6"/>
      <c r="S106" s="79"/>
      <c r="T106" s="17"/>
      <c r="U106" s="76"/>
      <c r="V106" s="9"/>
      <c r="W106" s="76"/>
      <c r="X106" s="76"/>
      <c r="Y106" s="18"/>
    </row>
    <row r="107" spans="1:29" x14ac:dyDescent="0.2">
      <c r="A107" t="s">
        <v>150</v>
      </c>
      <c r="C107" s="2">
        <f t="shared" si="44"/>
        <v>87.766510411528174</v>
      </c>
      <c r="D107" s="2">
        <f t="shared" si="44"/>
        <v>0</v>
      </c>
      <c r="E107" s="2">
        <f t="shared" si="44"/>
        <v>223.28038675685374</v>
      </c>
      <c r="F107" s="272"/>
      <c r="G107" s="272"/>
      <c r="H107" s="272"/>
      <c r="I107" s="2">
        <f t="shared" si="45"/>
        <v>10.363311857085261</v>
      </c>
      <c r="J107" s="2">
        <f t="shared" si="45"/>
        <v>7.4006794241371958</v>
      </c>
      <c r="K107" s="2">
        <f t="shared" si="45"/>
        <v>53.622466704713368</v>
      </c>
      <c r="L107" s="2">
        <f t="shared" si="45"/>
        <v>17.952844344677317</v>
      </c>
      <c r="M107" s="2">
        <f t="shared" si="45"/>
        <v>4.7272282446043814</v>
      </c>
      <c r="N107" s="2">
        <f t="shared" si="45"/>
        <v>3.1042722305392068</v>
      </c>
      <c r="O107" s="2">
        <f t="shared" si="45"/>
        <v>0</v>
      </c>
      <c r="P107" s="6">
        <f t="shared" si="46"/>
        <v>408.21769997413861</v>
      </c>
      <c r="Q107" s="2">
        <f t="shared" ref="Q107:Q115" si="47">+Q106+P107</f>
        <v>1661.8167113821519</v>
      </c>
      <c r="R107" s="6"/>
      <c r="S107" s="79"/>
      <c r="T107" s="17"/>
      <c r="U107" s="76"/>
      <c r="V107" s="9"/>
      <c r="W107" s="76"/>
      <c r="X107" s="76"/>
      <c r="Y107" s="18"/>
    </row>
    <row r="108" spans="1:29" x14ac:dyDescent="0.2">
      <c r="A108" t="s">
        <v>151</v>
      </c>
      <c r="C108" s="2">
        <f t="shared" si="44"/>
        <v>77.067146694293342</v>
      </c>
      <c r="D108" s="2">
        <f t="shared" si="44"/>
        <v>0</v>
      </c>
      <c r="E108" s="2">
        <f t="shared" si="44"/>
        <v>210.73608093548745</v>
      </c>
      <c r="F108" s="272"/>
      <c r="G108" s="272"/>
      <c r="H108" s="272"/>
      <c r="I108" s="2">
        <f t="shared" si="45"/>
        <v>8.5009018548700137</v>
      </c>
      <c r="J108" s="2">
        <f t="shared" si="45"/>
        <v>8.6771178332768972</v>
      </c>
      <c r="K108" s="2">
        <f t="shared" si="45"/>
        <v>64.732028205811474</v>
      </c>
      <c r="L108" s="2">
        <f t="shared" si="45"/>
        <v>15.801712132658663</v>
      </c>
      <c r="M108" s="2">
        <f t="shared" si="45"/>
        <v>4.1106934273192026</v>
      </c>
      <c r="N108" s="2">
        <f t="shared" si="45"/>
        <v>3.0047862524897941</v>
      </c>
      <c r="O108" s="2">
        <f t="shared" si="45"/>
        <v>0</v>
      </c>
      <c r="P108" s="6">
        <f t="shared" si="46"/>
        <v>392.63046733620683</v>
      </c>
      <c r="Q108" s="2">
        <f t="shared" si="47"/>
        <v>2054.4471787183588</v>
      </c>
      <c r="R108" s="6"/>
      <c r="S108" s="79"/>
      <c r="T108" s="17"/>
      <c r="U108" s="76"/>
      <c r="V108" s="9"/>
      <c r="W108" s="76"/>
      <c r="X108" s="76"/>
      <c r="Y108" s="18"/>
    </row>
    <row r="109" spans="1:29" x14ac:dyDescent="0.2">
      <c r="A109" t="s">
        <v>152</v>
      </c>
      <c r="C109" s="2">
        <f t="shared" si="44"/>
        <v>82.230952835809774</v>
      </c>
      <c r="D109" s="2">
        <f t="shared" si="44"/>
        <v>0</v>
      </c>
      <c r="E109" s="2">
        <f t="shared" si="44"/>
        <v>196.0239843175608</v>
      </c>
      <c r="F109" s="272"/>
      <c r="G109" s="272"/>
      <c r="H109" s="272"/>
      <c r="I109" s="2">
        <f t="shared" si="45"/>
        <v>8.0802241161566375</v>
      </c>
      <c r="J109" s="2">
        <f t="shared" si="45"/>
        <v>9.5978597535272154</v>
      </c>
      <c r="K109" s="2">
        <f t="shared" si="45"/>
        <v>48.837040549448545</v>
      </c>
      <c r="L109" s="2">
        <f t="shared" si="45"/>
        <v>15.134858524246438</v>
      </c>
      <c r="M109" s="2">
        <f t="shared" si="45"/>
        <v>2.679575422232428</v>
      </c>
      <c r="N109" s="2">
        <f t="shared" si="45"/>
        <v>4.1527490780394158</v>
      </c>
      <c r="O109" s="2">
        <f t="shared" si="45"/>
        <v>0</v>
      </c>
      <c r="P109" s="6">
        <f t="shared" si="46"/>
        <v>366.73724459702117</v>
      </c>
      <c r="Q109" s="2">
        <f t="shared" si="47"/>
        <v>2421.1844233153802</v>
      </c>
      <c r="R109" s="6"/>
      <c r="S109" s="79"/>
      <c r="T109" s="17"/>
      <c r="U109" s="76"/>
      <c r="V109" s="9"/>
      <c r="W109" s="76"/>
      <c r="X109" s="76"/>
      <c r="Y109" s="18"/>
    </row>
    <row r="110" spans="1:29" x14ac:dyDescent="0.2">
      <c r="A110" t="s">
        <v>7</v>
      </c>
      <c r="C110" s="2">
        <f t="shared" si="44"/>
        <v>89.411668172968845</v>
      </c>
      <c r="D110" s="2">
        <f t="shared" si="44"/>
        <v>0</v>
      </c>
      <c r="E110" s="2">
        <f t="shared" si="44"/>
        <v>218.82674112056233</v>
      </c>
      <c r="F110" s="272"/>
      <c r="G110" s="272"/>
      <c r="H110" s="272"/>
      <c r="I110" s="2">
        <f t="shared" si="45"/>
        <v>9.4655763654288467</v>
      </c>
      <c r="J110" s="2">
        <f t="shared" si="45"/>
        <v>10.091927806220221</v>
      </c>
      <c r="K110" s="2">
        <f t="shared" si="45"/>
        <v>56.071236633293232</v>
      </c>
      <c r="L110" s="2">
        <f t="shared" si="45"/>
        <v>18.413454091019922</v>
      </c>
      <c r="M110" s="2">
        <f t="shared" si="45"/>
        <v>4.7839189125749435</v>
      </c>
      <c r="N110" s="2">
        <f t="shared" si="45"/>
        <v>2.9112559314333826</v>
      </c>
      <c r="O110" s="2">
        <f t="shared" si="45"/>
        <v>0</v>
      </c>
      <c r="P110" s="6">
        <f t="shared" si="46"/>
        <v>409.97577903350168</v>
      </c>
      <c r="Q110" s="2">
        <f t="shared" si="47"/>
        <v>2831.1602023488817</v>
      </c>
      <c r="R110" s="6"/>
      <c r="S110" s="79"/>
      <c r="T110" s="17"/>
      <c r="U110" s="76"/>
      <c r="V110" s="9"/>
      <c r="W110" s="76"/>
      <c r="X110" s="76"/>
      <c r="Y110" s="18"/>
    </row>
    <row r="111" spans="1:29" x14ac:dyDescent="0.2">
      <c r="A111" s="63" t="s">
        <v>181</v>
      </c>
      <c r="C111" s="2">
        <f t="shared" si="44"/>
        <v>94.128851627470823</v>
      </c>
      <c r="D111" s="2">
        <f t="shared" si="44"/>
        <v>0</v>
      </c>
      <c r="E111" s="2">
        <f t="shared" si="44"/>
        <v>244.21076718543884</v>
      </c>
      <c r="F111" s="272"/>
      <c r="G111" s="272"/>
      <c r="H111" s="272"/>
      <c r="I111" s="2">
        <f t="shared" si="45"/>
        <v>9.2891864215595419</v>
      </c>
      <c r="J111" s="2">
        <f t="shared" si="45"/>
        <v>9.8252143000388816</v>
      </c>
      <c r="K111" s="2">
        <f t="shared" si="45"/>
        <v>57.29018841857205</v>
      </c>
      <c r="L111" s="2">
        <f t="shared" si="45"/>
        <v>17.244193563167759</v>
      </c>
      <c r="M111" s="2">
        <f t="shared" si="45"/>
        <v>4.4325382258868462</v>
      </c>
      <c r="N111" s="2">
        <f t="shared" si="45"/>
        <v>2.9363724991423159</v>
      </c>
      <c r="O111" s="2">
        <f t="shared" si="45"/>
        <v>0</v>
      </c>
      <c r="P111" s="6">
        <f t="shared" si="46"/>
        <v>439.35731224127699</v>
      </c>
      <c r="Q111" s="2">
        <f t="shared" si="47"/>
        <v>3270.5175145901585</v>
      </c>
      <c r="R111" s="6"/>
      <c r="S111" s="79"/>
      <c r="T111" s="17"/>
      <c r="U111" s="76"/>
      <c r="V111" s="9"/>
      <c r="W111" s="76"/>
      <c r="X111" s="76"/>
      <c r="Y111" s="18"/>
    </row>
    <row r="112" spans="1:29" x14ac:dyDescent="0.2">
      <c r="A112" t="s">
        <v>10</v>
      </c>
      <c r="C112" s="2">
        <f t="shared" si="44"/>
        <v>72.166881564569479</v>
      </c>
      <c r="D112" s="2">
        <f t="shared" si="44"/>
        <v>0</v>
      </c>
      <c r="E112" s="2">
        <f t="shared" si="44"/>
        <v>190.15794303827494</v>
      </c>
      <c r="F112" s="272"/>
      <c r="G112" s="272"/>
      <c r="H112" s="272"/>
      <c r="I112" s="2">
        <f t="shared" si="45"/>
        <v>7.6776618843169606</v>
      </c>
      <c r="J112" s="2">
        <f t="shared" si="45"/>
        <v>7.9257335771026618</v>
      </c>
      <c r="K112" s="2">
        <f t="shared" si="45"/>
        <v>50.286330231268636</v>
      </c>
      <c r="L112" s="2">
        <f t="shared" si="45"/>
        <v>12.880949939756997</v>
      </c>
      <c r="M112" s="2">
        <f t="shared" si="45"/>
        <v>3.5918033485860859</v>
      </c>
      <c r="N112" s="2">
        <f t="shared" si="45"/>
        <v>2.3532504697632981</v>
      </c>
      <c r="O112" s="2">
        <f t="shared" si="45"/>
        <v>0</v>
      </c>
      <c r="P112" s="6">
        <f t="shared" si="46"/>
        <v>347.04055405363897</v>
      </c>
      <c r="Q112" s="2">
        <f t="shared" si="47"/>
        <v>3617.5580686437975</v>
      </c>
      <c r="R112" s="6"/>
      <c r="S112" s="79"/>
      <c r="T112" s="17"/>
      <c r="U112" s="76"/>
      <c r="V112" s="9"/>
      <c r="W112" s="76"/>
      <c r="X112" s="76"/>
      <c r="Y112" s="18"/>
    </row>
    <row r="113" spans="1:25" x14ac:dyDescent="0.2">
      <c r="A113" t="s">
        <v>8</v>
      </c>
      <c r="C113" s="2">
        <f t="shared" si="44"/>
        <v>79.702447930276932</v>
      </c>
      <c r="D113" s="2">
        <f t="shared" si="44"/>
        <v>0</v>
      </c>
      <c r="E113" s="2">
        <f t="shared" si="44"/>
        <v>215.06475498818324</v>
      </c>
      <c r="F113" s="272"/>
      <c r="G113" s="272"/>
      <c r="H113" s="272"/>
      <c r="I113" s="2">
        <f t="shared" si="45"/>
        <v>8.7975000640563685</v>
      </c>
      <c r="J113" s="2">
        <f t="shared" si="45"/>
        <v>9.7245410336003051</v>
      </c>
      <c r="K113" s="2">
        <f t="shared" si="45"/>
        <v>64.701305314908069</v>
      </c>
      <c r="L113" s="2">
        <f t="shared" si="45"/>
        <v>15.979522200941203</v>
      </c>
      <c r="M113" s="2">
        <f t="shared" si="45"/>
        <v>4.4469006736564207</v>
      </c>
      <c r="N113" s="2">
        <f t="shared" si="45"/>
        <v>2.9320224221910469</v>
      </c>
      <c r="O113" s="2">
        <f t="shared" si="45"/>
        <v>0</v>
      </c>
      <c r="P113" s="6">
        <f t="shared" si="46"/>
        <v>401.34899462781357</v>
      </c>
      <c r="Q113" s="2">
        <f t="shared" si="47"/>
        <v>4018.9070632716112</v>
      </c>
      <c r="R113" s="6"/>
      <c r="S113" s="79"/>
      <c r="T113" s="17"/>
      <c r="U113" s="76"/>
      <c r="V113" s="9"/>
      <c r="W113" s="76"/>
      <c r="X113" s="76"/>
      <c r="Y113" s="18"/>
    </row>
    <row r="114" spans="1:25" x14ac:dyDescent="0.2">
      <c r="A114" t="s">
        <v>9</v>
      </c>
      <c r="C114" s="2">
        <f t="shared" si="44"/>
        <v>101.14930674253927</v>
      </c>
      <c r="D114" s="2">
        <f t="shared" si="44"/>
        <v>0</v>
      </c>
      <c r="E114" s="2">
        <f t="shared" si="44"/>
        <v>266.42347966011783</v>
      </c>
      <c r="F114" s="272"/>
      <c r="G114" s="272"/>
      <c r="H114" s="272"/>
      <c r="I114" s="2">
        <f t="shared" si="45"/>
        <v>11.025682682376148</v>
      </c>
      <c r="J114" s="2">
        <f t="shared" si="45"/>
        <v>10.725500741663485</v>
      </c>
      <c r="K114" s="2">
        <f t="shared" si="45"/>
        <v>72.391876822266056</v>
      </c>
      <c r="L114" s="2">
        <f t="shared" si="45"/>
        <v>19.772984434743179</v>
      </c>
      <c r="M114" s="2">
        <f t="shared" si="45"/>
        <v>5.1541239220364412</v>
      </c>
      <c r="N114" s="2">
        <f t="shared" si="45"/>
        <v>3.836325202307846</v>
      </c>
      <c r="O114" s="2">
        <f t="shared" si="45"/>
        <v>0</v>
      </c>
      <c r="P114" s="6">
        <f t="shared" si="46"/>
        <v>490.47928020805028</v>
      </c>
      <c r="Q114" s="2">
        <f t="shared" si="47"/>
        <v>4509.3863434796613</v>
      </c>
      <c r="R114" s="6"/>
      <c r="S114" s="79"/>
      <c r="T114" s="17"/>
      <c r="U114" s="76"/>
      <c r="V114" s="9"/>
      <c r="W114" s="76"/>
      <c r="X114" s="76"/>
      <c r="Y114" s="18"/>
    </row>
    <row r="115" spans="1:25" ht="15" x14ac:dyDescent="0.35">
      <c r="A115" t="s">
        <v>2</v>
      </c>
      <c r="C115" s="12">
        <f t="shared" si="44"/>
        <v>75.14766964703351</v>
      </c>
      <c r="D115" s="12">
        <f t="shared" si="44"/>
        <v>0</v>
      </c>
      <c r="E115" s="12">
        <f t="shared" si="44"/>
        <v>221.93232235405475</v>
      </c>
      <c r="F115" s="283"/>
      <c r="G115" s="283"/>
      <c r="H115" s="283"/>
      <c r="I115" s="12">
        <f t="shared" si="45"/>
        <v>8.9664833101574075</v>
      </c>
      <c r="J115" s="12">
        <f t="shared" si="45"/>
        <v>7.0213731740915142</v>
      </c>
      <c r="K115" s="12">
        <f t="shared" si="45"/>
        <v>51.37937261852101</v>
      </c>
      <c r="L115" s="12">
        <f t="shared" si="45"/>
        <v>15.560881088527143</v>
      </c>
      <c r="M115" s="12">
        <f t="shared" si="45"/>
        <v>3.9851036934032917</v>
      </c>
      <c r="N115" s="12">
        <f t="shared" si="45"/>
        <v>2.8939443487809617</v>
      </c>
      <c r="O115" s="12">
        <f t="shared" si="45"/>
        <v>0</v>
      </c>
      <c r="P115" s="7">
        <f t="shared" si="46"/>
        <v>386.88715023456962</v>
      </c>
      <c r="Q115" s="2">
        <f t="shared" si="47"/>
        <v>4896.2734937142304</v>
      </c>
      <c r="R115" s="7"/>
      <c r="S115" s="79"/>
      <c r="T115" s="78"/>
      <c r="U115" s="76"/>
      <c r="V115" s="9"/>
      <c r="W115" s="76"/>
      <c r="X115" s="76"/>
      <c r="Y115" s="18"/>
    </row>
    <row r="116" spans="1:25" ht="15" x14ac:dyDescent="0.35">
      <c r="C116" s="15">
        <f t="shared" ref="C116:P116" si="48">SUM(C104:C115)</f>
        <v>1021.1298052298775</v>
      </c>
      <c r="D116" s="15">
        <f t="shared" si="48"/>
        <v>0</v>
      </c>
      <c r="E116" s="15">
        <f t="shared" si="48"/>
        <v>2649.7888396569365</v>
      </c>
      <c r="F116" s="275"/>
      <c r="G116" s="275"/>
      <c r="H116" s="275"/>
      <c r="I116" s="15">
        <f t="shared" si="48"/>
        <v>114.12118366217595</v>
      </c>
      <c r="J116" s="15">
        <f t="shared" si="48"/>
        <v>106.22443072944468</v>
      </c>
      <c r="K116" s="15">
        <f t="shared" si="48"/>
        <v>704.78097981161397</v>
      </c>
      <c r="L116" s="15">
        <f t="shared" si="48"/>
        <v>209.94721045160554</v>
      </c>
      <c r="M116" s="15">
        <f t="shared" si="48"/>
        <v>52.636916686175709</v>
      </c>
      <c r="N116" s="15">
        <f t="shared" si="48"/>
        <v>37.644127486400841</v>
      </c>
      <c r="O116" s="15">
        <f t="shared" si="48"/>
        <v>0</v>
      </c>
      <c r="P116" s="8">
        <f t="shared" si="48"/>
        <v>4896.2734937142304</v>
      </c>
      <c r="Q116" s="8"/>
      <c r="R116" s="8"/>
      <c r="T116" s="17"/>
    </row>
    <row r="117" spans="1:25" x14ac:dyDescent="0.2">
      <c r="C117" s="80">
        <f>+C116/$P116</f>
        <v>0.20855244433154932</v>
      </c>
      <c r="D117" s="80">
        <f>+D116/$P116</f>
        <v>0</v>
      </c>
      <c r="E117" s="80">
        <f>+E116/$P116</f>
        <v>0.54118480984746864</v>
      </c>
      <c r="F117" s="284"/>
      <c r="G117" s="284"/>
      <c r="H117" s="284"/>
      <c r="I117" s="80">
        <f t="shared" ref="I117:P117" si="49">+I116/$P116</f>
        <v>2.330776330380302E-2</v>
      </c>
      <c r="J117" s="80">
        <f t="shared" si="49"/>
        <v>2.1694954513021825E-2</v>
      </c>
      <c r="K117" s="80">
        <f t="shared" si="49"/>
        <v>0.14394232281272731</v>
      </c>
      <c r="L117" s="80">
        <f t="shared" si="49"/>
        <v>4.2878979436327021E-2</v>
      </c>
      <c r="M117" s="80">
        <f t="shared" si="49"/>
        <v>1.0750403700640961E-2</v>
      </c>
      <c r="N117" s="80">
        <f t="shared" si="49"/>
        <v>7.6883220544620027E-3</v>
      </c>
      <c r="O117" s="80">
        <f t="shared" si="49"/>
        <v>0</v>
      </c>
      <c r="P117" s="80">
        <f t="shared" si="49"/>
        <v>1</v>
      </c>
    </row>
    <row r="119" spans="1:25" x14ac:dyDescent="0.2">
      <c r="A119" s="3" t="s">
        <v>49</v>
      </c>
      <c r="B119" s="3"/>
    </row>
    <row r="120" spans="1:25" x14ac:dyDescent="0.2">
      <c r="A120" s="63" t="s">
        <v>182</v>
      </c>
      <c r="C120" s="2">
        <f>+$K$23*C58</f>
        <v>159.42117946934042</v>
      </c>
      <c r="D120" s="2">
        <f>+$K$23*D58</f>
        <v>0</v>
      </c>
      <c r="E120" s="2">
        <f>+$K$23*E58</f>
        <v>440.85693046934045</v>
      </c>
      <c r="F120" s="272"/>
      <c r="G120" s="272"/>
      <c r="H120" s="272"/>
      <c r="I120" s="2">
        <f t="shared" ref="I120:O120" si="50">+$K$23*I58</f>
        <v>17.164129328471994</v>
      </c>
      <c r="J120" s="2">
        <f t="shared" si="50"/>
        <v>11.846980569108386</v>
      </c>
      <c r="K120" s="2">
        <f t="shared" si="50"/>
        <v>117.91010582167716</v>
      </c>
      <c r="L120" s="2">
        <f t="shared" si="50"/>
        <v>23.507394515081209</v>
      </c>
      <c r="M120" s="2">
        <f t="shared" si="50"/>
        <v>6.6231151213125621</v>
      </c>
      <c r="N120" s="2">
        <f t="shared" si="50"/>
        <v>5.2238654477958235</v>
      </c>
      <c r="O120" s="2">
        <f t="shared" si="50"/>
        <v>0</v>
      </c>
      <c r="P120" s="6">
        <f t="shared" ref="P120:P131" si="51">SUM(C120:O120)</f>
        <v>782.55370074212794</v>
      </c>
      <c r="Q120" s="2"/>
    </row>
    <row r="121" spans="1:25" x14ac:dyDescent="0.2">
      <c r="A121" t="s">
        <v>148</v>
      </c>
      <c r="C121" s="2">
        <f>+$K$24*C59</f>
        <v>110.20607944550119</v>
      </c>
      <c r="D121" s="2">
        <f>+$K$24*D59</f>
        <v>0</v>
      </c>
      <c r="E121" s="2">
        <f>+$K$24*E59</f>
        <v>424.25575002937808</v>
      </c>
      <c r="F121" s="272"/>
      <c r="G121" s="272"/>
      <c r="H121" s="272"/>
      <c r="I121" s="2">
        <f t="shared" ref="I121:O121" si="52">+$K$24*I59</f>
        <v>15.480732496141016</v>
      </c>
      <c r="J121" s="2">
        <f t="shared" si="52"/>
        <v>10.292595119055919</v>
      </c>
      <c r="K121" s="2">
        <f t="shared" si="52"/>
        <v>100.75028067758801</v>
      </c>
      <c r="L121" s="2">
        <f t="shared" si="52"/>
        <v>25.103890534282726</v>
      </c>
      <c r="M121" s="2">
        <f t="shared" si="52"/>
        <v>6.9454097144848879</v>
      </c>
      <c r="N121" s="2">
        <f t="shared" si="52"/>
        <v>4.6023799312851663</v>
      </c>
      <c r="O121" s="2">
        <f t="shared" si="52"/>
        <v>0</v>
      </c>
      <c r="P121" s="6">
        <f t="shared" si="51"/>
        <v>697.63711794771712</v>
      </c>
      <c r="Q121" s="2"/>
    </row>
    <row r="122" spans="1:25" x14ac:dyDescent="0.2">
      <c r="A122" t="s">
        <v>149</v>
      </c>
      <c r="C122" s="2">
        <f t="shared" ref="C122:E131" si="53">+$K$25*C60</f>
        <v>134.95345271566555</v>
      </c>
      <c r="D122" s="2">
        <f t="shared" si="53"/>
        <v>0</v>
      </c>
      <c r="E122" s="2">
        <f t="shared" si="53"/>
        <v>433.55124966922477</v>
      </c>
      <c r="F122" s="272"/>
      <c r="G122" s="272"/>
      <c r="H122" s="272"/>
      <c r="I122" s="2">
        <f t="shared" ref="I122:O131" si="54">+$K$25*I60</f>
        <v>20.721199432720301</v>
      </c>
      <c r="J122" s="2">
        <f t="shared" si="54"/>
        <v>12.574403074556765</v>
      </c>
      <c r="K122" s="2">
        <f t="shared" si="54"/>
        <v>102.98613222330646</v>
      </c>
      <c r="L122" s="2">
        <f t="shared" si="54"/>
        <v>29.487860731178891</v>
      </c>
      <c r="M122" s="2">
        <f t="shared" si="54"/>
        <v>7.7040356865242137</v>
      </c>
      <c r="N122" s="2">
        <f t="shared" si="54"/>
        <v>5.5787844626554648</v>
      </c>
      <c r="O122" s="2">
        <f t="shared" si="54"/>
        <v>0</v>
      </c>
      <c r="P122" s="6">
        <f t="shared" si="51"/>
        <v>747.55711799583241</v>
      </c>
      <c r="Q122" s="2"/>
    </row>
    <row r="123" spans="1:25" x14ac:dyDescent="0.2">
      <c r="A123" t="s">
        <v>150</v>
      </c>
      <c r="C123" s="2">
        <f t="shared" si="53"/>
        <v>133.06975866049129</v>
      </c>
      <c r="D123" s="2">
        <f t="shared" si="53"/>
        <v>0</v>
      </c>
      <c r="E123" s="2">
        <f t="shared" si="53"/>
        <v>433.64670523004168</v>
      </c>
      <c r="F123" s="272"/>
      <c r="G123" s="272"/>
      <c r="H123" s="272"/>
      <c r="I123" s="2">
        <f t="shared" si="54"/>
        <v>15.805897014086225</v>
      </c>
      <c r="J123" s="2">
        <f t="shared" si="54"/>
        <v>24.54770597718419</v>
      </c>
      <c r="K123" s="2">
        <f t="shared" si="54"/>
        <v>96.424801895989717</v>
      </c>
      <c r="L123" s="2">
        <f t="shared" si="54"/>
        <v>31.788396229447159</v>
      </c>
      <c r="M123" s="2">
        <f t="shared" si="54"/>
        <v>4.6799583337797213</v>
      </c>
      <c r="N123" s="2">
        <f t="shared" si="54"/>
        <v>7.5938946548123765</v>
      </c>
      <c r="O123" s="2">
        <f t="shared" si="54"/>
        <v>0</v>
      </c>
      <c r="P123" s="6">
        <f t="shared" si="51"/>
        <v>747.5571179958323</v>
      </c>
      <c r="Q123" s="2"/>
    </row>
    <row r="124" spans="1:25" x14ac:dyDescent="0.2">
      <c r="A124" t="s">
        <v>151</v>
      </c>
      <c r="C124" s="2">
        <f t="shared" si="53"/>
        <v>140.26753385977767</v>
      </c>
      <c r="D124" s="2">
        <f t="shared" si="53"/>
        <v>0</v>
      </c>
      <c r="E124" s="2">
        <f t="shared" si="53"/>
        <v>423.57398051473967</v>
      </c>
      <c r="F124" s="272"/>
      <c r="G124" s="272"/>
      <c r="H124" s="272"/>
      <c r="I124" s="2">
        <f t="shared" si="54"/>
        <v>17.522266817410085</v>
      </c>
      <c r="J124" s="2">
        <f t="shared" si="54"/>
        <v>19.39965254784688</v>
      </c>
      <c r="K124" s="2">
        <f t="shared" si="54"/>
        <v>102.00462468706584</v>
      </c>
      <c r="L124" s="2">
        <f t="shared" si="54"/>
        <v>29.680574405000758</v>
      </c>
      <c r="M124" s="2">
        <f t="shared" si="54"/>
        <v>8.4035361267170821</v>
      </c>
      <c r="N124" s="2">
        <f t="shared" si="54"/>
        <v>6.7049490372742664</v>
      </c>
      <c r="O124" s="2">
        <f t="shared" si="54"/>
        <v>0</v>
      </c>
      <c r="P124" s="6">
        <f t="shared" si="51"/>
        <v>747.55711799583241</v>
      </c>
      <c r="Q124" s="2"/>
    </row>
    <row r="125" spans="1:25" x14ac:dyDescent="0.2">
      <c r="A125" t="s">
        <v>152</v>
      </c>
      <c r="C125" s="2">
        <f t="shared" si="53"/>
        <v>150.71066523464404</v>
      </c>
      <c r="D125" s="2">
        <f t="shared" si="53"/>
        <v>0</v>
      </c>
      <c r="E125" s="2">
        <f t="shared" si="53"/>
        <v>413.73836423976206</v>
      </c>
      <c r="F125" s="272"/>
      <c r="G125" s="272"/>
      <c r="H125" s="272"/>
      <c r="I125" s="2">
        <f t="shared" si="54"/>
        <v>16.10921599895245</v>
      </c>
      <c r="J125" s="2">
        <f t="shared" si="54"/>
        <v>17.272659376654573</v>
      </c>
      <c r="K125" s="2">
        <f t="shared" si="54"/>
        <v>107.93174719298143</v>
      </c>
      <c r="L125" s="2">
        <f t="shared" si="54"/>
        <v>28.191127998166788</v>
      </c>
      <c r="M125" s="2">
        <f t="shared" si="54"/>
        <v>7.7861210661603515</v>
      </c>
      <c r="N125" s="2">
        <f t="shared" si="54"/>
        <v>5.8172168885106066</v>
      </c>
      <c r="O125" s="2">
        <f t="shared" si="54"/>
        <v>0</v>
      </c>
      <c r="P125" s="6">
        <f t="shared" si="51"/>
        <v>747.5571179958323</v>
      </c>
      <c r="Q125" s="2"/>
    </row>
    <row r="126" spans="1:25" x14ac:dyDescent="0.2">
      <c r="A126" t="s">
        <v>7</v>
      </c>
      <c r="C126" s="2">
        <f t="shared" si="53"/>
        <v>153.38031130819564</v>
      </c>
      <c r="D126" s="2">
        <f t="shared" si="53"/>
        <v>0</v>
      </c>
      <c r="E126" s="2">
        <f t="shared" si="53"/>
        <v>409.80872178579477</v>
      </c>
      <c r="F126" s="272"/>
      <c r="G126" s="272"/>
      <c r="H126" s="272"/>
      <c r="I126" s="2">
        <f t="shared" si="54"/>
        <v>17.235803063921569</v>
      </c>
      <c r="J126" s="2">
        <f t="shared" si="54"/>
        <v>20.077876973397998</v>
      </c>
      <c r="K126" s="2">
        <f t="shared" si="54"/>
        <v>105.52345386475386</v>
      </c>
      <c r="L126" s="2">
        <f t="shared" si="54"/>
        <v>28.145699684169799</v>
      </c>
      <c r="M126" s="2">
        <f t="shared" si="54"/>
        <v>8.2511823178347932</v>
      </c>
      <c r="N126" s="2">
        <f t="shared" si="54"/>
        <v>5.1340689977638716</v>
      </c>
      <c r="O126" s="2">
        <f t="shared" si="54"/>
        <v>0</v>
      </c>
      <c r="P126" s="6">
        <f t="shared" si="51"/>
        <v>747.55711799583241</v>
      </c>
      <c r="Q126" s="2"/>
    </row>
    <row r="127" spans="1:25" x14ac:dyDescent="0.2">
      <c r="A127" s="63" t="s">
        <v>183</v>
      </c>
      <c r="C127" s="2">
        <f t="shared" si="53"/>
        <v>0</v>
      </c>
      <c r="D127" s="2">
        <f t="shared" si="53"/>
        <v>163.50528362812071</v>
      </c>
      <c r="E127" s="2">
        <f t="shared" si="53"/>
        <v>409.85933387674731</v>
      </c>
      <c r="F127" s="272"/>
      <c r="G127" s="272"/>
      <c r="H127" s="272"/>
      <c r="I127" s="2">
        <f t="shared" si="54"/>
        <v>16.989934499905281</v>
      </c>
      <c r="J127" s="2">
        <f t="shared" si="54"/>
        <v>20.095621451500872</v>
      </c>
      <c r="K127" s="2">
        <f t="shared" si="54"/>
        <v>97.281076572038316</v>
      </c>
      <c r="L127" s="2">
        <f t="shared" si="54"/>
        <v>27.220432693396631</v>
      </c>
      <c r="M127" s="2">
        <f t="shared" si="54"/>
        <v>7.6728736451185142</v>
      </c>
      <c r="N127" s="2">
        <f t="shared" si="54"/>
        <v>4.93256162900476</v>
      </c>
      <c r="O127" s="2">
        <f t="shared" si="54"/>
        <v>0</v>
      </c>
      <c r="P127" s="6">
        <f t="shared" si="51"/>
        <v>747.55711799583241</v>
      </c>
      <c r="Q127" s="2"/>
    </row>
    <row r="128" spans="1:25" x14ac:dyDescent="0.2">
      <c r="A128" t="s">
        <v>10</v>
      </c>
      <c r="C128" s="2">
        <f t="shared" si="53"/>
        <v>25.454719158438856</v>
      </c>
      <c r="D128" s="2">
        <f t="shared" si="53"/>
        <v>286.94777714565993</v>
      </c>
      <c r="E128" s="2">
        <f t="shared" si="53"/>
        <v>171.78520910680925</v>
      </c>
      <c r="F128" s="272"/>
      <c r="G128" s="272"/>
      <c r="H128" s="272"/>
      <c r="I128" s="2">
        <f t="shared" si="54"/>
        <v>14.020883314404363</v>
      </c>
      <c r="J128" s="2">
        <f t="shared" si="54"/>
        <v>13.588506137324751</v>
      </c>
      <c r="K128" s="2">
        <f t="shared" si="54"/>
        <v>198.16850624959903</v>
      </c>
      <c r="L128" s="2">
        <f t="shared" si="54"/>
        <v>27.024969440949107</v>
      </c>
      <c r="M128" s="2">
        <f t="shared" si="54"/>
        <v>4.6720958898103113</v>
      </c>
      <c r="N128" s="2">
        <f t="shared" si="54"/>
        <v>5.8944515528366157</v>
      </c>
      <c r="O128" s="2">
        <f t="shared" si="54"/>
        <v>0</v>
      </c>
      <c r="P128" s="6">
        <f t="shared" si="51"/>
        <v>747.5571179958323</v>
      </c>
      <c r="Q128" s="2"/>
    </row>
    <row r="129" spans="1:18" x14ac:dyDescent="0.2">
      <c r="A129" t="s">
        <v>8</v>
      </c>
      <c r="C129" s="2">
        <f t="shared" si="53"/>
        <v>82.368504548083166</v>
      </c>
      <c r="D129" s="2">
        <f t="shared" si="53"/>
        <v>233.00873530763894</v>
      </c>
      <c r="E129" s="2">
        <f t="shared" si="53"/>
        <v>205.99108221501939</v>
      </c>
      <c r="F129" s="272"/>
      <c r="G129" s="272"/>
      <c r="H129" s="272"/>
      <c r="I129" s="2">
        <f t="shared" si="54"/>
        <v>16.572555170471997</v>
      </c>
      <c r="J129" s="2">
        <f t="shared" si="54"/>
        <v>14.058602910670519</v>
      </c>
      <c r="K129" s="2">
        <f t="shared" si="54"/>
        <v>148.87964039218758</v>
      </c>
      <c r="L129" s="2">
        <f t="shared" si="54"/>
        <v>33.874160514752319</v>
      </c>
      <c r="M129" s="2">
        <f t="shared" si="54"/>
        <v>4.8392375461411952</v>
      </c>
      <c r="N129" s="2">
        <f t="shared" si="54"/>
        <v>7.9645993908672201</v>
      </c>
      <c r="O129" s="2">
        <f t="shared" si="54"/>
        <v>0</v>
      </c>
      <c r="P129" s="6">
        <f t="shared" si="51"/>
        <v>747.55711799583241</v>
      </c>
      <c r="Q129" s="2"/>
    </row>
    <row r="130" spans="1:18" x14ac:dyDescent="0.2">
      <c r="A130" t="s">
        <v>9</v>
      </c>
      <c r="C130" s="2">
        <f t="shared" si="53"/>
        <v>158.49253148517002</v>
      </c>
      <c r="D130" s="2">
        <f t="shared" si="53"/>
        <v>144.19259939942387</v>
      </c>
      <c r="E130" s="2">
        <f t="shared" si="53"/>
        <v>216.91141892718505</v>
      </c>
      <c r="F130" s="272"/>
      <c r="G130" s="272"/>
      <c r="H130" s="272"/>
      <c r="I130" s="2">
        <f t="shared" si="54"/>
        <v>17.774396872141338</v>
      </c>
      <c r="J130" s="2">
        <f t="shared" si="54"/>
        <v>17.882540628461701</v>
      </c>
      <c r="K130" s="2">
        <f t="shared" si="54"/>
        <v>148.02661906794401</v>
      </c>
      <c r="L130" s="2">
        <f t="shared" si="54"/>
        <v>31.707379630885939</v>
      </c>
      <c r="M130" s="2">
        <f t="shared" si="54"/>
        <v>4.706564163959631</v>
      </c>
      <c r="N130" s="2">
        <f t="shared" si="54"/>
        <v>7.8630678206607572</v>
      </c>
      <c r="O130" s="2">
        <f t="shared" si="54"/>
        <v>0</v>
      </c>
      <c r="P130" s="6">
        <f t="shared" si="51"/>
        <v>747.5571179958323</v>
      </c>
      <c r="Q130" s="2"/>
    </row>
    <row r="131" spans="1:18" ht="15" x14ac:dyDescent="0.35">
      <c r="A131" t="s">
        <v>2</v>
      </c>
      <c r="C131" s="12">
        <f t="shared" si="53"/>
        <v>155.36995965759289</v>
      </c>
      <c r="D131" s="12">
        <f t="shared" si="53"/>
        <v>149.23247224071898</v>
      </c>
      <c r="E131" s="12">
        <f t="shared" si="53"/>
        <v>211.47244872363058</v>
      </c>
      <c r="F131" s="283"/>
      <c r="G131" s="283"/>
      <c r="H131" s="283"/>
      <c r="I131" s="12">
        <f t="shared" si="54"/>
        <v>17.427490765097662</v>
      </c>
      <c r="J131" s="12">
        <f t="shared" si="54"/>
        <v>15.044045613805981</v>
      </c>
      <c r="K131" s="12">
        <f t="shared" si="54"/>
        <v>143.49919482026297</v>
      </c>
      <c r="L131" s="12">
        <f t="shared" si="54"/>
        <v>39.402576294492206</v>
      </c>
      <c r="M131" s="12">
        <f t="shared" si="54"/>
        <v>5.2147735629820353</v>
      </c>
      <c r="N131" s="12">
        <f t="shared" si="54"/>
        <v>10.894156317248999</v>
      </c>
      <c r="O131" s="12">
        <f t="shared" si="54"/>
        <v>0</v>
      </c>
      <c r="P131" s="7">
        <f t="shared" si="51"/>
        <v>747.5571179958323</v>
      </c>
      <c r="Q131" s="2"/>
    </row>
    <row r="132" spans="1:18" ht="15" x14ac:dyDescent="0.35">
      <c r="C132" s="15">
        <f t="shared" ref="C132:P132" si="55">SUM(C120:C131)</f>
        <v>1403.6946955429007</v>
      </c>
      <c r="D132" s="15">
        <f t="shared" si="55"/>
        <v>976.88686772156245</v>
      </c>
      <c r="E132" s="15">
        <f t="shared" si="55"/>
        <v>4195.4511947876736</v>
      </c>
      <c r="F132" s="275"/>
      <c r="G132" s="275"/>
      <c r="H132" s="275"/>
      <c r="I132" s="15">
        <f t="shared" si="55"/>
        <v>202.8245047737243</v>
      </c>
      <c r="J132" s="15">
        <f t="shared" si="55"/>
        <v>196.68119037956853</v>
      </c>
      <c r="K132" s="15">
        <f t="shared" si="55"/>
        <v>1469.3861834653944</v>
      </c>
      <c r="L132" s="15">
        <f t="shared" si="55"/>
        <v>355.13446267180359</v>
      </c>
      <c r="M132" s="15">
        <f t="shared" si="55"/>
        <v>77.498903174825273</v>
      </c>
      <c r="N132" s="15">
        <f t="shared" si="55"/>
        <v>78.203996130715922</v>
      </c>
      <c r="O132" s="15">
        <f t="shared" si="55"/>
        <v>0</v>
      </c>
      <c r="P132" s="8">
        <f t="shared" si="55"/>
        <v>8955.7619986481677</v>
      </c>
      <c r="Q132" s="8"/>
    </row>
    <row r="133" spans="1:18" x14ac:dyDescent="0.2">
      <c r="C133" s="80">
        <f>+C132/$P132</f>
        <v>0.15673648939696946</v>
      </c>
      <c r="D133" s="80">
        <f>+D132/$P132</f>
        <v>0.10907914567950992</v>
      </c>
      <c r="E133" s="80">
        <f>+E132/$P132</f>
        <v>0.46846390015957973</v>
      </c>
      <c r="F133" s="284"/>
      <c r="G133" s="284"/>
      <c r="H133" s="284"/>
      <c r="I133" s="80">
        <f t="shared" ref="I133:P133" si="56">+I132/$P132</f>
        <v>2.2647375489024804E-2</v>
      </c>
      <c r="J133" s="80">
        <f t="shared" si="56"/>
        <v>2.1961413267710405E-2</v>
      </c>
      <c r="K133" s="80">
        <f t="shared" si="56"/>
        <v>0.16407159811607228</v>
      </c>
      <c r="L133" s="80">
        <f t="shared" si="56"/>
        <v>3.9654298844186517E-2</v>
      </c>
      <c r="M133" s="80">
        <f t="shared" si="56"/>
        <v>8.6535241988926672E-3</v>
      </c>
      <c r="N133" s="80">
        <f t="shared" si="56"/>
        <v>8.7322548480542987E-3</v>
      </c>
      <c r="O133" s="80">
        <f t="shared" si="56"/>
        <v>0</v>
      </c>
      <c r="P133" s="80">
        <f t="shared" si="56"/>
        <v>1</v>
      </c>
    </row>
    <row r="134" spans="1:18" x14ac:dyDescent="0.2">
      <c r="C134" s="80"/>
      <c r="D134" s="80"/>
      <c r="E134" s="80"/>
      <c r="F134" s="284"/>
      <c r="G134" s="284"/>
      <c r="H134" s="284"/>
      <c r="I134" s="80"/>
      <c r="J134" s="80"/>
      <c r="K134" s="80"/>
      <c r="L134" s="80"/>
      <c r="M134" s="80"/>
      <c r="N134" s="80"/>
      <c r="O134" s="80"/>
      <c r="P134" s="80"/>
    </row>
    <row r="135" spans="1:18" x14ac:dyDescent="0.2">
      <c r="A135" s="3" t="s">
        <v>50</v>
      </c>
      <c r="B135" s="77">
        <f>+R21</f>
        <v>2.5307014163047824E-2</v>
      </c>
    </row>
    <row r="136" spans="1:18" x14ac:dyDescent="0.2">
      <c r="A136" s="63" t="s">
        <v>180</v>
      </c>
      <c r="C136" s="2">
        <f t="shared" ref="C136:O136" si="57">+$B$135*C104</f>
        <v>2.749303811499356</v>
      </c>
      <c r="D136" s="2">
        <f t="shared" si="57"/>
        <v>0</v>
      </c>
      <c r="E136" s="2">
        <f t="shared" si="57"/>
        <v>5.453557096731295</v>
      </c>
      <c r="F136" s="272"/>
      <c r="G136" s="272"/>
      <c r="H136" s="272"/>
      <c r="I136" s="2">
        <f t="shared" si="57"/>
        <v>0.25625350195500302</v>
      </c>
      <c r="J136" s="2">
        <f t="shared" si="57"/>
        <v>0.2385387187447644</v>
      </c>
      <c r="K136" s="2">
        <f t="shared" si="57"/>
        <v>1.8046935395430559</v>
      </c>
      <c r="L136" s="2">
        <f t="shared" si="57"/>
        <v>0.51525584958056025</v>
      </c>
      <c r="M136" s="2">
        <f t="shared" si="57"/>
        <v>0.12270541646057505</v>
      </c>
      <c r="N136" s="2">
        <f t="shared" si="57"/>
        <v>7.9029313028435078E-2</v>
      </c>
      <c r="O136" s="2">
        <f t="shared" si="57"/>
        <v>0</v>
      </c>
      <c r="P136" s="6">
        <f t="shared" ref="P136:P147" si="58">SUM(C136:O136)</f>
        <v>11.219337247543045</v>
      </c>
      <c r="Q136" s="2"/>
      <c r="R136" s="6"/>
    </row>
    <row r="137" spans="1:18" x14ac:dyDescent="0.2">
      <c r="A137" t="s">
        <v>148</v>
      </c>
      <c r="C137" s="2">
        <f t="shared" ref="C137:O137" si="59">+$B$135*C105</f>
        <v>1.8509463703444962</v>
      </c>
      <c r="D137" s="2">
        <f t="shared" si="59"/>
        <v>0</v>
      </c>
      <c r="E137" s="2">
        <f t="shared" si="59"/>
        <v>5.4942135956568761</v>
      </c>
      <c r="F137" s="272"/>
      <c r="G137" s="272"/>
      <c r="H137" s="272"/>
      <c r="I137" s="2">
        <f t="shared" si="59"/>
        <v>0.27122014745285472</v>
      </c>
      <c r="J137" s="2">
        <f t="shared" si="59"/>
        <v>0.2031065552455536</v>
      </c>
      <c r="K137" s="2">
        <f t="shared" si="59"/>
        <v>1.383716440560099</v>
      </c>
      <c r="L137" s="2">
        <f t="shared" si="59"/>
        <v>0.52816961024166564</v>
      </c>
      <c r="M137" s="2">
        <f t="shared" si="59"/>
        <v>0.14216687478828535</v>
      </c>
      <c r="N137" s="2">
        <f t="shared" si="59"/>
        <v>8.0070111790689194E-2</v>
      </c>
      <c r="O137" s="2">
        <f t="shared" si="59"/>
        <v>0</v>
      </c>
      <c r="P137" s="6">
        <f t="shared" si="58"/>
        <v>9.9536097060805204</v>
      </c>
      <c r="Q137" s="2">
        <f>+P137+P136</f>
        <v>21.172946953623565</v>
      </c>
      <c r="R137" s="6"/>
    </row>
    <row r="138" spans="1:18" x14ac:dyDescent="0.2">
      <c r="A138" t="s">
        <v>149</v>
      </c>
      <c r="C138" s="2">
        <f t="shared" ref="C138:O138" si="60">+$B$135*C106</f>
        <v>2.0392567935032107</v>
      </c>
      <c r="D138" s="2">
        <f t="shared" si="60"/>
        <v>0</v>
      </c>
      <c r="E138" s="2">
        <f t="shared" si="60"/>
        <v>5.8341298225427236</v>
      </c>
      <c r="F138" s="272"/>
      <c r="G138" s="272"/>
      <c r="H138" s="272"/>
      <c r="I138" s="2">
        <f t="shared" si="60"/>
        <v>0.28120325993926398</v>
      </c>
      <c r="J138" s="2">
        <f t="shared" si="60"/>
        <v>0.1969641468588669</v>
      </c>
      <c r="K138" s="2">
        <f t="shared" si="60"/>
        <v>1.5052600287593916</v>
      </c>
      <c r="L138" s="2">
        <f t="shared" si="60"/>
        <v>0.5055108440457462</v>
      </c>
      <c r="M138" s="2">
        <f t="shared" si="60"/>
        <v>0.10777427215982081</v>
      </c>
      <c r="N138" s="2">
        <f t="shared" si="60"/>
        <v>8.1801815052754454E-2</v>
      </c>
      <c r="O138" s="2">
        <f t="shared" si="60"/>
        <v>0</v>
      </c>
      <c r="P138" s="6">
        <f t="shared" si="58"/>
        <v>10.551900982861779</v>
      </c>
      <c r="Q138" s="2">
        <f>+P138+Q137</f>
        <v>31.724847936485347</v>
      </c>
      <c r="R138" s="6"/>
    </row>
    <row r="139" spans="1:18" x14ac:dyDescent="0.2">
      <c r="A139" t="s">
        <v>150</v>
      </c>
      <c r="C139" s="2">
        <f t="shared" ref="C139:O139" si="61">+$B$135*C107</f>
        <v>2.2211083220258279</v>
      </c>
      <c r="D139" s="2">
        <f t="shared" si="61"/>
        <v>0</v>
      </c>
      <c r="E139" s="2">
        <f t="shared" si="61"/>
        <v>5.6505599099864936</v>
      </c>
      <c r="F139" s="272"/>
      <c r="G139" s="272"/>
      <c r="H139" s="272"/>
      <c r="I139" s="2">
        <f t="shared" si="61"/>
        <v>0.26226447994333812</v>
      </c>
      <c r="J139" s="2">
        <f t="shared" si="61"/>
        <v>0.18728909900281662</v>
      </c>
      <c r="K139" s="2">
        <f t="shared" si="61"/>
        <v>1.3570245243537415</v>
      </c>
      <c r="L139" s="2">
        <f t="shared" si="61"/>
        <v>0.45433288609774192</v>
      </c>
      <c r="M139" s="2">
        <f t="shared" si="61"/>
        <v>0.11963203213816279</v>
      </c>
      <c r="N139" s="2">
        <f t="shared" si="61"/>
        <v>7.8559861304211762E-2</v>
      </c>
      <c r="O139" s="2">
        <f t="shared" si="61"/>
        <v>0</v>
      </c>
      <c r="P139" s="6">
        <f t="shared" si="58"/>
        <v>10.330771114852336</v>
      </c>
      <c r="Q139" s="2">
        <f t="shared" ref="Q139:Q147" si="62">+P139+Q138</f>
        <v>42.055619051337686</v>
      </c>
      <c r="R139" s="6"/>
    </row>
    <row r="140" spans="1:18" x14ac:dyDescent="0.2">
      <c r="A140" t="s">
        <v>151</v>
      </c>
      <c r="C140" s="2">
        <f t="shared" ref="C140:O140" si="63">+$B$135*C108</f>
        <v>1.9503393728981659</v>
      </c>
      <c r="D140" s="2">
        <f t="shared" si="63"/>
        <v>0</v>
      </c>
      <c r="E140" s="2">
        <f t="shared" si="63"/>
        <v>5.3331009848995734</v>
      </c>
      <c r="F140" s="272"/>
      <c r="G140" s="272"/>
      <c r="H140" s="272"/>
      <c r="I140" s="2">
        <f t="shared" si="63"/>
        <v>0.21513244363987497</v>
      </c>
      <c r="J140" s="2">
        <f t="shared" si="63"/>
        <v>0.21959194390117329</v>
      </c>
      <c r="K140" s="2">
        <f t="shared" si="63"/>
        <v>1.6381743546072822</v>
      </c>
      <c r="L140" s="2">
        <f t="shared" si="63"/>
        <v>0.39989415274159745</v>
      </c>
      <c r="M140" s="2">
        <f t="shared" si="63"/>
        <v>0.10402937678511466</v>
      </c>
      <c r="N140" s="2">
        <f t="shared" si="63"/>
        <v>7.6042168248690617E-2</v>
      </c>
      <c r="O140" s="2">
        <f t="shared" si="63"/>
        <v>0</v>
      </c>
      <c r="P140" s="6">
        <f t="shared" si="58"/>
        <v>9.9363047977214709</v>
      </c>
      <c r="Q140" s="2">
        <f t="shared" si="62"/>
        <v>51.991923849059155</v>
      </c>
      <c r="R140" s="6"/>
    </row>
    <row r="141" spans="1:18" x14ac:dyDescent="0.2">
      <c r="A141" t="s">
        <v>152</v>
      </c>
      <c r="C141" s="2">
        <f t="shared" ref="C141:O141" si="64">+$B$135*C109</f>
        <v>2.0810198880567556</v>
      </c>
      <c r="D141" s="2">
        <f t="shared" si="64"/>
        <v>0</v>
      </c>
      <c r="E141" s="2">
        <f t="shared" si="64"/>
        <v>4.9607817474215761</v>
      </c>
      <c r="F141" s="272"/>
      <c r="G141" s="272"/>
      <c r="H141" s="272"/>
      <c r="I141" s="2">
        <f t="shared" si="64"/>
        <v>0.20448634614817662</v>
      </c>
      <c r="J141" s="2">
        <f t="shared" si="64"/>
        <v>0.24289317271745994</v>
      </c>
      <c r="K141" s="2">
        <f t="shared" si="64"/>
        <v>1.2359196768662353</v>
      </c>
      <c r="L141" s="2">
        <f t="shared" si="64"/>
        <v>0.38301807902882967</v>
      </c>
      <c r="M141" s="2">
        <f t="shared" si="64"/>
        <v>6.7812053161390912E-2</v>
      </c>
      <c r="N141" s="2">
        <f t="shared" si="64"/>
        <v>0.10509367973352729</v>
      </c>
      <c r="O141" s="2">
        <f t="shared" si="64"/>
        <v>0</v>
      </c>
      <c r="P141" s="6">
        <f t="shared" si="58"/>
        <v>9.2810246431339518</v>
      </c>
      <c r="Q141" s="2">
        <f t="shared" si="62"/>
        <v>61.272948492193109</v>
      </c>
      <c r="R141" s="6"/>
    </row>
    <row r="142" spans="1:18" x14ac:dyDescent="0.2">
      <c r="A142" t="s">
        <v>7</v>
      </c>
      <c r="C142" s="2">
        <f t="shared" ref="C142:O142" si="65">+$B$135*C110</f>
        <v>2.2627423527950548</v>
      </c>
      <c r="D142" s="2">
        <f t="shared" si="65"/>
        <v>0</v>
      </c>
      <c r="E142" s="2">
        <f t="shared" si="65"/>
        <v>5.5378514367916711</v>
      </c>
      <c r="F142" s="272"/>
      <c r="G142" s="272"/>
      <c r="H142" s="272"/>
      <c r="I142" s="2">
        <f t="shared" si="65"/>
        <v>0.23954547514131858</v>
      </c>
      <c r="J142" s="2">
        <f t="shared" si="65"/>
        <v>0.2553965599244713</v>
      </c>
      <c r="K142" s="2">
        <f t="shared" si="65"/>
        <v>1.4189955796183578</v>
      </c>
      <c r="L142" s="2">
        <f t="shared" si="65"/>
        <v>0.46598954347207205</v>
      </c>
      <c r="M142" s="2">
        <f t="shared" si="65"/>
        <v>0.12106670367540644</v>
      </c>
      <c r="N142" s="2">
        <f t="shared" si="65"/>
        <v>7.3675195089041592E-2</v>
      </c>
      <c r="O142" s="2">
        <f t="shared" si="65"/>
        <v>0</v>
      </c>
      <c r="P142" s="6">
        <f t="shared" si="58"/>
        <v>10.375262846507392</v>
      </c>
      <c r="Q142" s="2">
        <f t="shared" si="62"/>
        <v>71.648211338700506</v>
      </c>
      <c r="R142" s="6"/>
    </row>
    <row r="143" spans="1:18" x14ac:dyDescent="0.2">
      <c r="A143" s="63" t="s">
        <v>181</v>
      </c>
      <c r="C143" s="2">
        <f t="shared" ref="C143:O143" si="66">+$B$135*C111</f>
        <v>2.3821201812878314</v>
      </c>
      <c r="D143" s="2">
        <f t="shared" si="66"/>
        <v>0</v>
      </c>
      <c r="E143" s="2">
        <f t="shared" si="66"/>
        <v>6.1802453439306753</v>
      </c>
      <c r="F143" s="272"/>
      <c r="G143" s="272"/>
      <c r="H143" s="272"/>
      <c r="I143" s="2">
        <f t="shared" si="66"/>
        <v>0.23508157233359886</v>
      </c>
      <c r="J143" s="2">
        <f t="shared" si="66"/>
        <v>0.248646837446064</v>
      </c>
      <c r="K143" s="2">
        <f t="shared" si="66"/>
        <v>1.4498436097124814</v>
      </c>
      <c r="L143" s="2">
        <f t="shared" si="66"/>
        <v>0.43639905073342461</v>
      </c>
      <c r="M143" s="2">
        <f t="shared" si="66"/>
        <v>0.11217430766076929</v>
      </c>
      <c r="N143" s="2">
        <f t="shared" si="66"/>
        <v>7.431082042377872E-2</v>
      </c>
      <c r="O143" s="2">
        <f t="shared" si="66"/>
        <v>0</v>
      </c>
      <c r="P143" s="6">
        <f t="shared" si="58"/>
        <v>11.118821723528622</v>
      </c>
      <c r="Q143" s="2">
        <f t="shared" si="62"/>
        <v>82.767033062229132</v>
      </c>
      <c r="R143" s="6"/>
    </row>
    <row r="144" spans="1:18" x14ac:dyDescent="0.2">
      <c r="A144" t="s">
        <v>10</v>
      </c>
      <c r="C144" s="2">
        <f t="shared" ref="C144:O144" si="67">+$B$135*C112</f>
        <v>1.8263282938575547</v>
      </c>
      <c r="D144" s="2">
        <f t="shared" si="67"/>
        <v>0</v>
      </c>
      <c r="E144" s="2">
        <f t="shared" si="67"/>
        <v>4.8123297576856654</v>
      </c>
      <c r="F144" s="272"/>
      <c r="G144" s="272"/>
      <c r="H144" s="272"/>
      <c r="I144" s="2">
        <f t="shared" si="67"/>
        <v>0.19429869804550176</v>
      </c>
      <c r="J144" s="2">
        <f t="shared" si="67"/>
        <v>0.20057665188828075</v>
      </c>
      <c r="K144" s="2">
        <f t="shared" si="67"/>
        <v>1.2725968713704154</v>
      </c>
      <c r="L144" s="2">
        <f t="shared" si="67"/>
        <v>0.32597838255894035</v>
      </c>
      <c r="M144" s="2">
        <f t="shared" si="67"/>
        <v>9.0897818213550682E-2</v>
      </c>
      <c r="N144" s="2">
        <f t="shared" si="67"/>
        <v>5.9553742967498734E-2</v>
      </c>
      <c r="O144" s="2">
        <f t="shared" si="67"/>
        <v>0</v>
      </c>
      <c r="P144" s="6">
        <f t="shared" si="58"/>
        <v>8.7825602165874077</v>
      </c>
      <c r="Q144" s="2">
        <f t="shared" si="62"/>
        <v>91.549593278816545</v>
      </c>
      <c r="R144" s="6"/>
    </row>
    <row r="145" spans="1:20" x14ac:dyDescent="0.2">
      <c r="A145" t="s">
        <v>8</v>
      </c>
      <c r="C145" s="2">
        <f t="shared" ref="C145:O145" si="68">+$B$135*C113</f>
        <v>2.0170309786011003</v>
      </c>
      <c r="D145" s="2">
        <f t="shared" si="68"/>
        <v>0</v>
      </c>
      <c r="E145" s="2">
        <f t="shared" si="68"/>
        <v>5.4426468004583635</v>
      </c>
      <c r="F145" s="272"/>
      <c r="G145" s="272"/>
      <c r="H145" s="272"/>
      <c r="I145" s="2">
        <f t="shared" si="68"/>
        <v>0.22263845872048865</v>
      </c>
      <c r="J145" s="2">
        <f t="shared" si="68"/>
        <v>0.24609909766646265</v>
      </c>
      <c r="K145" s="2">
        <f t="shared" si="68"/>
        <v>1.6373968499720599</v>
      </c>
      <c r="L145" s="2">
        <f t="shared" si="68"/>
        <v>0.40439399465795617</v>
      </c>
      <c r="M145" s="2">
        <f t="shared" si="68"/>
        <v>0.11253777832988995</v>
      </c>
      <c r="N145" s="2">
        <f t="shared" si="68"/>
        <v>7.4200732964762608E-2</v>
      </c>
      <c r="O145" s="2">
        <f t="shared" si="68"/>
        <v>0</v>
      </c>
      <c r="P145" s="6">
        <f t="shared" si="58"/>
        <v>10.156944691371082</v>
      </c>
      <c r="Q145" s="2">
        <f t="shared" si="62"/>
        <v>101.70653797018763</v>
      </c>
      <c r="R145" s="6"/>
    </row>
    <row r="146" spans="1:20" x14ac:dyDescent="0.2">
      <c r="A146" t="s">
        <v>9</v>
      </c>
      <c r="C146" s="2">
        <f t="shared" ref="C146:O146" si="69">+$B$135*C114</f>
        <v>2.5597869383159102</v>
      </c>
      <c r="D146" s="2">
        <f t="shared" si="69"/>
        <v>0</v>
      </c>
      <c r="E146" s="2">
        <f t="shared" si="69"/>
        <v>6.742382773127086</v>
      </c>
      <c r="F146" s="272"/>
      <c r="G146" s="272"/>
      <c r="H146" s="272"/>
      <c r="I146" s="2">
        <f t="shared" si="69"/>
        <v>0.27902710780016432</v>
      </c>
      <c r="J146" s="2">
        <f t="shared" si="69"/>
        <v>0.27143039917505773</v>
      </c>
      <c r="K146" s="2">
        <f t="shared" si="69"/>
        <v>1.8320222520307006</v>
      </c>
      <c r="L146" s="2">
        <f t="shared" si="69"/>
        <v>0.50039519713576985</v>
      </c>
      <c r="M146" s="2">
        <f t="shared" si="69"/>
        <v>0.13043548709307981</v>
      </c>
      <c r="N146" s="2">
        <f t="shared" si="69"/>
        <v>9.7085936228861969E-2</v>
      </c>
      <c r="O146" s="2">
        <f t="shared" si="69"/>
        <v>0</v>
      </c>
      <c r="P146" s="6">
        <f t="shared" si="58"/>
        <v>12.41256609090663</v>
      </c>
      <c r="Q146" s="2">
        <f t="shared" si="62"/>
        <v>114.11910406109425</v>
      </c>
      <c r="R146" s="6"/>
    </row>
    <row r="147" spans="1:20" ht="15" x14ac:dyDescent="0.35">
      <c r="A147" t="s">
        <v>2</v>
      </c>
      <c r="C147" s="12">
        <f t="shared" ref="C147:O147" si="70">+$B$135*C115</f>
        <v>1.9017631400775161</v>
      </c>
      <c r="D147" s="12">
        <f t="shared" si="70"/>
        <v>0</v>
      </c>
      <c r="E147" s="12">
        <f t="shared" si="70"/>
        <v>5.6164444250521584</v>
      </c>
      <c r="F147" s="283"/>
      <c r="G147" s="283"/>
      <c r="H147" s="283"/>
      <c r="I147" s="12">
        <f t="shared" si="70"/>
        <v>0.22691492012288544</v>
      </c>
      <c r="J147" s="12">
        <f t="shared" si="70"/>
        <v>0.17768999036077801</v>
      </c>
      <c r="K147" s="12">
        <f t="shared" si="70"/>
        <v>1.3002585105454227</v>
      </c>
      <c r="L147" s="12">
        <f t="shared" si="70"/>
        <v>0.39379943809685947</v>
      </c>
      <c r="M147" s="12">
        <f t="shared" si="70"/>
        <v>0.1008510756101713</v>
      </c>
      <c r="N147" s="12">
        <f t="shared" si="70"/>
        <v>7.323709062167201E-2</v>
      </c>
      <c r="O147" s="12">
        <f t="shared" si="70"/>
        <v>0</v>
      </c>
      <c r="P147" s="7">
        <f t="shared" si="58"/>
        <v>9.790958590487465</v>
      </c>
      <c r="Q147" s="2">
        <f t="shared" si="62"/>
        <v>123.91006265158171</v>
      </c>
      <c r="R147" s="7"/>
    </row>
    <row r="148" spans="1:20" ht="15" x14ac:dyDescent="0.35">
      <c r="C148" s="15">
        <f t="shared" ref="C148:P148" si="71">SUM(C136:C147)</f>
        <v>25.841746443262775</v>
      </c>
      <c r="D148" s="15">
        <f t="shared" si="71"/>
        <v>0</v>
      </c>
      <c r="E148" s="15">
        <f t="shared" si="71"/>
        <v>67.058243694284158</v>
      </c>
      <c r="F148" s="275"/>
      <c r="G148" s="275"/>
      <c r="H148" s="275"/>
      <c r="I148" s="15">
        <f t="shared" si="71"/>
        <v>2.8880664112424692</v>
      </c>
      <c r="J148" s="15">
        <f t="shared" si="71"/>
        <v>2.6882231729317492</v>
      </c>
      <c r="K148" s="15">
        <f t="shared" si="71"/>
        <v>17.835902237939244</v>
      </c>
      <c r="L148" s="15">
        <f t="shared" si="71"/>
        <v>5.3131370283911634</v>
      </c>
      <c r="M148" s="15">
        <f t="shared" si="71"/>
        <v>1.3320831960762169</v>
      </c>
      <c r="N148" s="15">
        <f t="shared" si="71"/>
        <v>0.95266046745392408</v>
      </c>
      <c r="O148" s="15">
        <f t="shared" si="71"/>
        <v>0</v>
      </c>
      <c r="P148" s="8">
        <f t="shared" si="71"/>
        <v>123.91006265158171</v>
      </c>
      <c r="Q148" s="2"/>
      <c r="R148" s="8"/>
      <c r="S148" s="6"/>
      <c r="T148" s="6"/>
    </row>
    <row r="149" spans="1:20" x14ac:dyDescent="0.2">
      <c r="C149" s="80"/>
      <c r="D149" s="80"/>
      <c r="E149" s="80"/>
      <c r="F149" s="284"/>
      <c r="G149" s="284"/>
      <c r="H149" s="284"/>
      <c r="I149" s="80"/>
      <c r="J149" s="80"/>
      <c r="K149" s="80"/>
      <c r="L149" s="80"/>
      <c r="M149" s="80"/>
      <c r="N149" s="80"/>
      <c r="O149" s="80"/>
      <c r="P149" s="80"/>
    </row>
    <row r="150" spans="1:20" x14ac:dyDescent="0.2">
      <c r="A150" s="3" t="s">
        <v>50</v>
      </c>
      <c r="B150" s="77">
        <f>R35</f>
        <v>2.8001823206234112E-2</v>
      </c>
    </row>
    <row r="151" spans="1:20" x14ac:dyDescent="0.2">
      <c r="A151" s="63" t="s">
        <v>182</v>
      </c>
      <c r="C151" s="2">
        <f>+$B$150*C120</f>
        <v>4.4640836828297896</v>
      </c>
      <c r="D151" s="2">
        <f t="shared" ref="D151:O151" si="72">+$B$150*D120</f>
        <v>0</v>
      </c>
      <c r="E151" s="2">
        <f t="shared" si="72"/>
        <v>12.344797826245516</v>
      </c>
      <c r="F151" s="272"/>
      <c r="G151" s="272"/>
      <c r="H151" s="272"/>
      <c r="I151" s="2">
        <f t="shared" si="72"/>
        <v>0.48062691494481058</v>
      </c>
      <c r="J151" s="2">
        <f t="shared" si="72"/>
        <v>0.33173705542386378</v>
      </c>
      <c r="K151" s="2">
        <f t="shared" si="72"/>
        <v>3.3016979374469595</v>
      </c>
      <c r="L151" s="2">
        <f t="shared" si="72"/>
        <v>0.65824990525050153</v>
      </c>
      <c r="M151" s="2">
        <f t="shared" si="72"/>
        <v>0.18545929870153016</v>
      </c>
      <c r="N151" s="2">
        <f t="shared" si="72"/>
        <v>0.14627775672233365</v>
      </c>
      <c r="O151" s="2">
        <f t="shared" si="72"/>
        <v>0</v>
      </c>
      <c r="P151" s="6">
        <f t="shared" ref="P151:P162" si="73">SUM(C151:O151)</f>
        <v>21.912930377565306</v>
      </c>
      <c r="Q151" s="2"/>
    </row>
    <row r="152" spans="1:20" x14ac:dyDescent="0.2">
      <c r="A152" t="s">
        <v>148</v>
      </c>
      <c r="C152" s="2">
        <f t="shared" ref="C152:O152" si="74">+$B$150*C121</f>
        <v>3.0859711528851155</v>
      </c>
      <c r="D152" s="2">
        <f t="shared" si="74"/>
        <v>0</v>
      </c>
      <c r="E152" s="2">
        <f t="shared" si="74"/>
        <v>11.879934506550898</v>
      </c>
      <c r="F152" s="272"/>
      <c r="G152" s="272"/>
      <c r="H152" s="272"/>
      <c r="I152" s="2">
        <f t="shared" si="74"/>
        <v>0.43348873445994401</v>
      </c>
      <c r="J152" s="2">
        <f t="shared" si="74"/>
        <v>0.28821142885715201</v>
      </c>
      <c r="K152" s="2">
        <f t="shared" si="74"/>
        <v>2.8211915475122842</v>
      </c>
      <c r="L152" s="2">
        <f t="shared" si="74"/>
        <v>0.70295470452963893</v>
      </c>
      <c r="M152" s="2">
        <f t="shared" si="74"/>
        <v>0.19448413491986677</v>
      </c>
      <c r="N152" s="2">
        <f t="shared" si="74"/>
        <v>0.12887502916376711</v>
      </c>
      <c r="O152" s="2">
        <f t="shared" si="74"/>
        <v>0</v>
      </c>
      <c r="P152" s="6">
        <f t="shared" si="73"/>
        <v>19.535111238878667</v>
      </c>
      <c r="Q152" s="2">
        <f>+P152+P151</f>
        <v>41.448041616443973</v>
      </c>
    </row>
    <row r="153" spans="1:20" x14ac:dyDescent="0.2">
      <c r="A153" t="s">
        <v>149</v>
      </c>
      <c r="C153" s="2">
        <f t="shared" ref="C153:O153" si="75">+$B$150*C122</f>
        <v>3.7789427240149416</v>
      </c>
      <c r="D153" s="2">
        <f t="shared" si="75"/>
        <v>0</v>
      </c>
      <c r="E153" s="2">
        <f t="shared" si="75"/>
        <v>12.140225444079498</v>
      </c>
      <c r="F153" s="272"/>
      <c r="G153" s="272"/>
      <c r="H153" s="272"/>
      <c r="I153" s="2">
        <f t="shared" si="75"/>
        <v>0.58023136313615242</v>
      </c>
      <c r="J153" s="2">
        <f t="shared" si="75"/>
        <v>0.35210621181766516</v>
      </c>
      <c r="K153" s="2">
        <f t="shared" si="75"/>
        <v>2.8837994672108773</v>
      </c>
      <c r="L153" s="2">
        <f t="shared" si="75"/>
        <v>0.82571386292452464</v>
      </c>
      <c r="M153" s="2">
        <f t="shared" si="75"/>
        <v>0.21572704526856948</v>
      </c>
      <c r="N153" s="2">
        <f t="shared" si="75"/>
        <v>0.1562161362289641</v>
      </c>
      <c r="O153" s="2">
        <f t="shared" si="75"/>
        <v>0</v>
      </c>
      <c r="P153" s="6">
        <f t="shared" si="73"/>
        <v>20.93296225468119</v>
      </c>
      <c r="Q153" s="2">
        <f>+P153+Q152</f>
        <v>62.381003871125159</v>
      </c>
    </row>
    <row r="154" spans="1:20" x14ac:dyDescent="0.2">
      <c r="A154" t="s">
        <v>150</v>
      </c>
      <c r="C154" s="2">
        <f t="shared" ref="C154:O154" si="76">+$B$150*C123</f>
        <v>3.7261958561073176</v>
      </c>
      <c r="D154" s="2">
        <f t="shared" si="76"/>
        <v>0</v>
      </c>
      <c r="E154" s="2">
        <f t="shared" si="76"/>
        <v>12.142898373817545</v>
      </c>
      <c r="F154" s="272"/>
      <c r="G154" s="272"/>
      <c r="H154" s="272"/>
      <c r="I154" s="2">
        <f t="shared" si="76"/>
        <v>0.44259393380438611</v>
      </c>
      <c r="J154" s="2">
        <f t="shared" si="76"/>
        <v>0.68738052289172802</v>
      </c>
      <c r="K154" s="2">
        <f t="shared" si="76"/>
        <v>2.7000702553876517</v>
      </c>
      <c r="L154" s="2">
        <f t="shared" si="76"/>
        <v>0.89013305122669839</v>
      </c>
      <c r="M154" s="2">
        <f t="shared" si="76"/>
        <v>0.13104736587504173</v>
      </c>
      <c r="N154" s="2">
        <f t="shared" si="76"/>
        <v>0.21264289557082239</v>
      </c>
      <c r="O154" s="2">
        <f t="shared" si="76"/>
        <v>0</v>
      </c>
      <c r="P154" s="6">
        <f t="shared" si="73"/>
        <v>20.93296225468119</v>
      </c>
      <c r="Q154" s="2">
        <f t="shared" ref="Q154:Q162" si="77">+P154+Q153</f>
        <v>83.313966125806346</v>
      </c>
    </row>
    <row r="155" spans="1:20" x14ac:dyDescent="0.2">
      <c r="A155" t="s">
        <v>151</v>
      </c>
      <c r="C155" s="2">
        <f t="shared" ref="C155:O155" si="78">+$B$150*C124</f>
        <v>3.9277466847159515</v>
      </c>
      <c r="D155" s="2">
        <f t="shared" si="78"/>
        <v>0</v>
      </c>
      <c r="E155" s="2">
        <f t="shared" si="78"/>
        <v>11.860843717134593</v>
      </c>
      <c r="F155" s="272"/>
      <c r="G155" s="272"/>
      <c r="H155" s="272"/>
      <c r="I155" s="2">
        <f t="shared" si="78"/>
        <v>0.49065541759357967</v>
      </c>
      <c r="J155" s="2">
        <f t="shared" si="78"/>
        <v>0.54322564090717751</v>
      </c>
      <c r="K155" s="2">
        <f t="shared" si="78"/>
        <v>2.8563154667054813</v>
      </c>
      <c r="L155" s="2">
        <f t="shared" si="78"/>
        <v>0.83111019714830847</v>
      </c>
      <c r="M155" s="2">
        <f t="shared" si="78"/>
        <v>0.23531433292753312</v>
      </c>
      <c r="N155" s="2">
        <f t="shared" si="78"/>
        <v>0.18775079754856361</v>
      </c>
      <c r="O155" s="2">
        <f t="shared" si="78"/>
        <v>0</v>
      </c>
      <c r="P155" s="6">
        <f t="shared" si="73"/>
        <v>20.93296225468119</v>
      </c>
      <c r="Q155" s="2">
        <f t="shared" si="77"/>
        <v>104.24692838048753</v>
      </c>
    </row>
    <row r="156" spans="1:20" x14ac:dyDescent="0.2">
      <c r="A156" t="s">
        <v>152</v>
      </c>
      <c r="C156" s="2">
        <f t="shared" ref="C156:O156" si="79">+$B$150*C125</f>
        <v>4.220173403194436</v>
      </c>
      <c r="D156" s="2">
        <f t="shared" si="79"/>
        <v>0</v>
      </c>
      <c r="E156" s="2">
        <f t="shared" si="79"/>
        <v>11.58542852907831</v>
      </c>
      <c r="F156" s="272"/>
      <c r="G156" s="272"/>
      <c r="H156" s="272"/>
      <c r="I156" s="2">
        <f t="shared" si="79"/>
        <v>0.45108741839370453</v>
      </c>
      <c r="J156" s="2">
        <f t="shared" si="79"/>
        <v>0.48366595416658326</v>
      </c>
      <c r="K156" s="2">
        <f t="shared" si="79"/>
        <v>3.022285703237821</v>
      </c>
      <c r="L156" s="2">
        <f t="shared" si="79"/>
        <v>0.78940298218898297</v>
      </c>
      <c r="M156" s="2">
        <f t="shared" si="79"/>
        <v>0.21802558555695722</v>
      </c>
      <c r="N156" s="2">
        <f t="shared" si="79"/>
        <v>0.16289267886439329</v>
      </c>
      <c r="O156" s="2">
        <f t="shared" si="79"/>
        <v>0</v>
      </c>
      <c r="P156" s="6">
        <f t="shared" si="73"/>
        <v>20.932962254681186</v>
      </c>
      <c r="Q156" s="2">
        <f t="shared" si="77"/>
        <v>125.17989063516872</v>
      </c>
    </row>
    <row r="157" spans="1:20" x14ac:dyDescent="0.2">
      <c r="A157" t="s">
        <v>7</v>
      </c>
      <c r="C157" s="2">
        <f t="shared" ref="C157:O157" si="80">+$B$150*C126</f>
        <v>4.2949283605692452</v>
      </c>
      <c r="D157" s="2">
        <f t="shared" si="80"/>
        <v>0</v>
      </c>
      <c r="E157" s="2">
        <f t="shared" si="80"/>
        <v>11.475391375818607</v>
      </c>
      <c r="F157" s="272"/>
      <c r="G157" s="272"/>
      <c r="H157" s="272"/>
      <c r="I157" s="2">
        <f t="shared" si="80"/>
        <v>0.48263391021340002</v>
      </c>
      <c r="J157" s="2">
        <f t="shared" si="80"/>
        <v>0.56221716136560962</v>
      </c>
      <c r="K157" s="2">
        <f t="shared" si="80"/>
        <v>2.9548490992320393</v>
      </c>
      <c r="L157" s="2">
        <f t="shared" si="80"/>
        <v>0.78813090657188201</v>
      </c>
      <c r="M157" s="2">
        <f t="shared" si="80"/>
        <v>0.23104814850641489</v>
      </c>
      <c r="N157" s="2">
        <f t="shared" si="80"/>
        <v>0.14376329240399149</v>
      </c>
      <c r="O157" s="2">
        <f t="shared" si="80"/>
        <v>0</v>
      </c>
      <c r="P157" s="6">
        <f t="shared" si="73"/>
        <v>20.93296225468119</v>
      </c>
      <c r="Q157" s="2">
        <f t="shared" si="77"/>
        <v>146.1128528898499</v>
      </c>
    </row>
    <row r="158" spans="1:20" x14ac:dyDescent="0.2">
      <c r="A158" s="63" t="s">
        <v>183</v>
      </c>
      <c r="C158" s="2">
        <f t="shared" ref="C158:O158" si="81">+$B$150*C127</f>
        <v>0</v>
      </c>
      <c r="D158" s="2">
        <f t="shared" si="81"/>
        <v>4.5784460454398008</v>
      </c>
      <c r="E158" s="2">
        <f t="shared" si="81"/>
        <v>11.476808606641558</v>
      </c>
      <c r="F158" s="272"/>
      <c r="G158" s="272"/>
      <c r="H158" s="272"/>
      <c r="I158" s="2">
        <f t="shared" si="81"/>
        <v>0.47574914215184527</v>
      </c>
      <c r="J158" s="2">
        <f t="shared" si="81"/>
        <v>0.56271403910433315</v>
      </c>
      <c r="K158" s="2">
        <f t="shared" si="81"/>
        <v>2.7240475074823403</v>
      </c>
      <c r="L158" s="2">
        <f t="shared" si="81"/>
        <v>0.76222174387768749</v>
      </c>
      <c r="M158" s="2">
        <f t="shared" si="81"/>
        <v>0.21485445129438174</v>
      </c>
      <c r="N158" s="2">
        <f t="shared" si="81"/>
        <v>0.13812071868924541</v>
      </c>
      <c r="O158" s="2">
        <f t="shared" si="81"/>
        <v>0</v>
      </c>
      <c r="P158" s="6">
        <f t="shared" si="73"/>
        <v>20.93296225468119</v>
      </c>
      <c r="Q158" s="2">
        <f t="shared" si="77"/>
        <v>167.0458151445311</v>
      </c>
    </row>
    <row r="159" spans="1:20" x14ac:dyDescent="0.2">
      <c r="A159" t="s">
        <v>10</v>
      </c>
      <c r="C159" s="2">
        <f t="shared" ref="C159:O159" si="82">+$B$150*C128</f>
        <v>0.71277854563894516</v>
      </c>
      <c r="D159" s="2">
        <f t="shared" si="82"/>
        <v>8.0350609250546352</v>
      </c>
      <c r="E159" s="2">
        <f t="shared" si="82"/>
        <v>4.8102990548548306</v>
      </c>
      <c r="F159" s="272"/>
      <c r="G159" s="272"/>
      <c r="H159" s="272"/>
      <c r="I159" s="2">
        <f t="shared" si="82"/>
        <v>0.39261029576518874</v>
      </c>
      <c r="J159" s="2">
        <f t="shared" si="82"/>
        <v>0.38050294649419486</v>
      </c>
      <c r="K159" s="2">
        <f t="shared" si="82"/>
        <v>5.5490794770447716</v>
      </c>
      <c r="L159" s="2">
        <f t="shared" si="82"/>
        <v>0.75674841643933644</v>
      </c>
      <c r="M159" s="2">
        <f t="shared" si="82"/>
        <v>0.13082720310904139</v>
      </c>
      <c r="N159" s="2">
        <f t="shared" si="82"/>
        <v>0.16505539028024305</v>
      </c>
      <c r="O159" s="2">
        <f t="shared" si="82"/>
        <v>0</v>
      </c>
      <c r="P159" s="6">
        <f t="shared" si="73"/>
        <v>20.93296225468119</v>
      </c>
      <c r="Q159" s="2">
        <f t="shared" si="77"/>
        <v>187.9787773992123</v>
      </c>
    </row>
    <row r="160" spans="1:20" x14ac:dyDescent="0.2">
      <c r="A160" t="s">
        <v>8</v>
      </c>
      <c r="C160" s="2">
        <f t="shared" ref="C160:O160" si="83">+$B$150*C129</f>
        <v>2.3064683021173153</v>
      </c>
      <c r="D160" s="2">
        <f t="shared" si="83"/>
        <v>6.524669411592706</v>
      </c>
      <c r="E160" s="2">
        <f t="shared" si="83"/>
        <v>5.7681258662458088</v>
      </c>
      <c r="F160" s="272"/>
      <c r="G160" s="272"/>
      <c r="H160" s="272"/>
      <c r="I160" s="2">
        <f t="shared" si="83"/>
        <v>0.46406175995911786</v>
      </c>
      <c r="J160" s="2">
        <f t="shared" si="83"/>
        <v>0.39366651323124419</v>
      </c>
      <c r="K160" s="2">
        <f t="shared" si="83"/>
        <v>4.1689013692697481</v>
      </c>
      <c r="L160" s="2">
        <f t="shared" si="83"/>
        <v>0.94853825399369074</v>
      </c>
      <c r="M160" s="2">
        <f t="shared" si="83"/>
        <v>0.13550747422001594</v>
      </c>
      <c r="N160" s="2">
        <f t="shared" si="83"/>
        <v>0.2230233040515438</v>
      </c>
      <c r="O160" s="2">
        <f t="shared" si="83"/>
        <v>0</v>
      </c>
      <c r="P160" s="6">
        <f t="shared" si="73"/>
        <v>20.93296225468119</v>
      </c>
      <c r="Q160" s="2">
        <f t="shared" si="77"/>
        <v>208.91173965389351</v>
      </c>
    </row>
    <row r="161" spans="1:18" x14ac:dyDescent="0.2">
      <c r="A161" t="s">
        <v>9</v>
      </c>
      <c r="C161" s="2">
        <f t="shared" ref="C161:O162" si="84">+$B$150*C130</f>
        <v>4.4380798461562243</v>
      </c>
      <c r="D161" s="2">
        <f t="shared" si="84"/>
        <v>4.0376556760300062</v>
      </c>
      <c r="E161" s="2">
        <f t="shared" si="84"/>
        <v>6.0739152042124198</v>
      </c>
      <c r="F161" s="272"/>
      <c r="G161" s="272"/>
      <c r="H161" s="272"/>
      <c r="I161" s="2">
        <f t="shared" si="84"/>
        <v>0.49771551881114234</v>
      </c>
      <c r="J161" s="2">
        <f t="shared" si="84"/>
        <v>0.50074374115648324</v>
      </c>
      <c r="K161" s="2">
        <f t="shared" si="84"/>
        <v>4.1450152169571313</v>
      </c>
      <c r="L161" s="2">
        <f t="shared" si="84"/>
        <v>0.88786443875701671</v>
      </c>
      <c r="M161" s="2">
        <f t="shared" si="84"/>
        <v>0.13179237762799464</v>
      </c>
      <c r="N161" s="2">
        <f t="shared" si="84"/>
        <v>0.22018023497277106</v>
      </c>
      <c r="O161" s="2">
        <f t="shared" si="84"/>
        <v>0</v>
      </c>
      <c r="P161" s="6">
        <f t="shared" si="73"/>
        <v>20.932962254681193</v>
      </c>
      <c r="Q161" s="2">
        <f t="shared" si="77"/>
        <v>229.84470190857471</v>
      </c>
    </row>
    <row r="162" spans="1:18" ht="15" x14ac:dyDescent="0.35">
      <c r="A162" t="s">
        <v>2</v>
      </c>
      <c r="C162" s="12">
        <f t="shared" si="84"/>
        <v>4.3506421418916421</v>
      </c>
      <c r="D162" s="12">
        <f t="shared" si="84"/>
        <v>4.1787813043138522</v>
      </c>
      <c r="E162" s="12">
        <f t="shared" si="84"/>
        <v>5.9216141221485117</v>
      </c>
      <c r="F162" s="283"/>
      <c r="G162" s="283"/>
      <c r="H162" s="283"/>
      <c r="I162" s="12">
        <f t="shared" si="84"/>
        <v>0.48800151533254238</v>
      </c>
      <c r="J162" s="12">
        <f t="shared" si="84"/>
        <v>0.42126070558431683</v>
      </c>
      <c r="K162" s="12">
        <f t="shared" si="84"/>
        <v>4.0182390835939499</v>
      </c>
      <c r="L162" s="12">
        <f t="shared" si="84"/>
        <v>1.1033439752685219</v>
      </c>
      <c r="M162" s="12">
        <f t="shared" si="84"/>
        <v>0.1460231673711665</v>
      </c>
      <c r="N162" s="12">
        <f t="shared" si="84"/>
        <v>0.30505623917668495</v>
      </c>
      <c r="O162" s="12">
        <f t="shared" si="84"/>
        <v>0</v>
      </c>
      <c r="P162" s="7">
        <f t="shared" si="73"/>
        <v>20.93296225468119</v>
      </c>
      <c r="Q162" s="2">
        <f t="shared" si="77"/>
        <v>250.77766416325591</v>
      </c>
    </row>
    <row r="163" spans="1:18" ht="15" x14ac:dyDescent="0.35">
      <c r="C163" s="15">
        <f t="shared" ref="C163:P163" si="85">SUM(C151:C162)</f>
        <v>39.306010700120922</v>
      </c>
      <c r="D163" s="15">
        <f t="shared" si="85"/>
        <v>27.354613362431</v>
      </c>
      <c r="E163" s="15">
        <f t="shared" si="85"/>
        <v>117.4802826268281</v>
      </c>
      <c r="F163" s="275"/>
      <c r="G163" s="275"/>
      <c r="H163" s="275"/>
      <c r="I163" s="15">
        <f t="shared" si="85"/>
        <v>5.6794559245658141</v>
      </c>
      <c r="J163" s="15">
        <f t="shared" si="85"/>
        <v>5.5074319210003502</v>
      </c>
      <c r="K163" s="15">
        <f t="shared" si="85"/>
        <v>41.145492131081056</v>
      </c>
      <c r="L163" s="15">
        <f t="shared" si="85"/>
        <v>9.9444124381767924</v>
      </c>
      <c r="M163" s="15">
        <f t="shared" si="85"/>
        <v>2.1701105853785139</v>
      </c>
      <c r="N163" s="15">
        <f t="shared" si="85"/>
        <v>2.1898544736733241</v>
      </c>
      <c r="O163" s="15">
        <f t="shared" si="85"/>
        <v>0</v>
      </c>
      <c r="P163" s="8">
        <f t="shared" si="85"/>
        <v>250.77766416325591</v>
      </c>
      <c r="Q163" s="2"/>
    </row>
    <row r="164" spans="1:18" x14ac:dyDescent="0.2">
      <c r="C164" s="80"/>
      <c r="D164" s="80"/>
      <c r="E164" s="80"/>
      <c r="F164" s="284"/>
      <c r="G164" s="284"/>
      <c r="H164" s="284"/>
      <c r="I164" s="80"/>
      <c r="J164" s="80"/>
      <c r="K164" s="80"/>
      <c r="L164" s="80"/>
      <c r="M164" s="80"/>
      <c r="N164" s="80"/>
      <c r="O164" s="80"/>
      <c r="P164" s="80"/>
    </row>
    <row r="165" spans="1:18" x14ac:dyDescent="0.2">
      <c r="C165" s="80"/>
      <c r="D165" s="80"/>
      <c r="E165" s="80"/>
      <c r="F165" s="284"/>
      <c r="G165" s="284"/>
      <c r="H165" s="284"/>
      <c r="I165" s="80"/>
      <c r="J165" s="80"/>
      <c r="K165" s="80"/>
      <c r="L165" s="80"/>
      <c r="M165" s="80"/>
      <c r="N165" s="80"/>
      <c r="O165" s="80"/>
      <c r="P165" s="80"/>
    </row>
    <row r="167" spans="1:18" x14ac:dyDescent="0.2">
      <c r="A167" s="3" t="s">
        <v>51</v>
      </c>
    </row>
    <row r="168" spans="1:18" x14ac:dyDescent="0.2">
      <c r="A168" s="63" t="s">
        <v>180</v>
      </c>
      <c r="C168" s="2">
        <f t="shared" ref="C168:O168" si="86">+C104-C136</f>
        <v>105.88871226523588</v>
      </c>
      <c r="D168" s="2">
        <f t="shared" si="86"/>
        <v>0</v>
      </c>
      <c r="E168" s="2">
        <f t="shared" si="86"/>
        <v>210.04231537542847</v>
      </c>
      <c r="F168" s="272"/>
      <c r="G168" s="272"/>
      <c r="H168" s="272"/>
      <c r="I168" s="2">
        <f t="shared" si="86"/>
        <v>9.8695361429242805</v>
      </c>
      <c r="J168" s="2">
        <f t="shared" si="86"/>
        <v>9.1872559328055559</v>
      </c>
      <c r="K168" s="2">
        <f t="shared" si="86"/>
        <v>69.507296405844855</v>
      </c>
      <c r="L168" s="2">
        <f t="shared" si="86"/>
        <v>19.84494335293595</v>
      </c>
      <c r="M168" s="2">
        <f t="shared" si="86"/>
        <v>4.7259668002620137</v>
      </c>
      <c r="N168" s="2">
        <f t="shared" si="86"/>
        <v>3.0437931787624048</v>
      </c>
      <c r="O168" s="2">
        <f t="shared" si="86"/>
        <v>0</v>
      </c>
      <c r="P168" s="6">
        <f t="shared" ref="P168:P179" si="87">SUM(C168:O168)</f>
        <v>432.10981945419945</v>
      </c>
      <c r="Q168" s="2"/>
      <c r="R168" s="76"/>
    </row>
    <row r="169" spans="1:18" x14ac:dyDescent="0.2">
      <c r="A169" t="s">
        <v>148</v>
      </c>
      <c r="C169" s="2">
        <f t="shared" ref="C169:O169" si="88">+C105-C137</f>
        <v>71.288712003386749</v>
      </c>
      <c r="D169" s="2">
        <f t="shared" si="88"/>
        <v>0</v>
      </c>
      <c r="E169" s="2">
        <f t="shared" si="88"/>
        <v>211.60818972457687</v>
      </c>
      <c r="F169" s="272"/>
      <c r="G169" s="272"/>
      <c r="H169" s="272"/>
      <c r="I169" s="2">
        <f t="shared" si="88"/>
        <v>10.445972552777988</v>
      </c>
      <c r="J169" s="2">
        <f t="shared" si="88"/>
        <v>7.822595486764631</v>
      </c>
      <c r="K169" s="2">
        <f t="shared" si="88"/>
        <v>53.293474303677925</v>
      </c>
      <c r="L169" s="2">
        <f t="shared" si="88"/>
        <v>20.342313443933701</v>
      </c>
      <c r="M169" s="2">
        <f t="shared" si="88"/>
        <v>5.4755197425397713</v>
      </c>
      <c r="N169" s="2">
        <f t="shared" si="88"/>
        <v>3.0838792689941843</v>
      </c>
      <c r="O169" s="2">
        <f t="shared" si="88"/>
        <v>0</v>
      </c>
      <c r="P169" s="6">
        <f t="shared" si="87"/>
        <v>383.36065652665178</v>
      </c>
      <c r="Q169" s="2">
        <f>+P169+P168</f>
        <v>815.47047598085123</v>
      </c>
      <c r="R169" s="76"/>
    </row>
    <row r="170" spans="1:18" x14ac:dyDescent="0.2">
      <c r="A170" t="s">
        <v>149</v>
      </c>
      <c r="C170" s="2">
        <f t="shared" ref="C170:O170" si="89">+C106-C138</f>
        <v>78.541438359417768</v>
      </c>
      <c r="D170" s="2">
        <f t="shared" si="89"/>
        <v>0</v>
      </c>
      <c r="E170" s="2">
        <f t="shared" si="89"/>
        <v>224.69997368546655</v>
      </c>
      <c r="F170" s="272"/>
      <c r="G170" s="272"/>
      <c r="H170" s="272"/>
      <c r="I170" s="2">
        <f t="shared" si="89"/>
        <v>10.830469501119385</v>
      </c>
      <c r="J170" s="2">
        <f t="shared" si="89"/>
        <v>7.5860222453669364</v>
      </c>
      <c r="K170" s="2">
        <f t="shared" si="89"/>
        <v>57.974693594426434</v>
      </c>
      <c r="L170" s="2">
        <f t="shared" si="89"/>
        <v>19.469617031129296</v>
      </c>
      <c r="M170" s="2">
        <f t="shared" si="89"/>
        <v>4.1508977096652027</v>
      </c>
      <c r="N170" s="2">
        <f t="shared" si="89"/>
        <v>3.1505753640851077</v>
      </c>
      <c r="O170" s="2">
        <f t="shared" si="89"/>
        <v>0</v>
      </c>
      <c r="P170" s="6">
        <f t="shared" si="87"/>
        <v>406.40368749067676</v>
      </c>
      <c r="Q170" s="2">
        <f>+P170+Q169</f>
        <v>1221.8741634715279</v>
      </c>
      <c r="R170" s="76"/>
    </row>
    <row r="171" spans="1:18" x14ac:dyDescent="0.2">
      <c r="A171" t="s">
        <v>150</v>
      </c>
      <c r="C171" s="2">
        <f t="shared" ref="C171:O171" si="90">+C107-C139</f>
        <v>85.545402089502346</v>
      </c>
      <c r="D171" s="2">
        <f t="shared" si="90"/>
        <v>0</v>
      </c>
      <c r="E171" s="2">
        <f t="shared" si="90"/>
        <v>217.62982684686725</v>
      </c>
      <c r="F171" s="272"/>
      <c r="G171" s="272"/>
      <c r="H171" s="272"/>
      <c r="I171" s="2">
        <f t="shared" si="90"/>
        <v>10.101047377141922</v>
      </c>
      <c r="J171" s="2">
        <f t="shared" si="90"/>
        <v>7.2133903251343794</v>
      </c>
      <c r="K171" s="2">
        <f t="shared" si="90"/>
        <v>52.265442180359628</v>
      </c>
      <c r="L171" s="2">
        <f t="shared" si="90"/>
        <v>17.498511458579575</v>
      </c>
      <c r="M171" s="2">
        <f t="shared" si="90"/>
        <v>4.6075962124662189</v>
      </c>
      <c r="N171" s="2">
        <f t="shared" si="90"/>
        <v>3.025712369234995</v>
      </c>
      <c r="O171" s="2">
        <f t="shared" si="90"/>
        <v>0</v>
      </c>
      <c r="P171" s="6">
        <f t="shared" si="87"/>
        <v>397.88692885928629</v>
      </c>
      <c r="Q171" s="2">
        <f t="shared" ref="Q171:Q179" si="91">+P171+Q170</f>
        <v>1619.7610923308143</v>
      </c>
      <c r="R171" s="76"/>
    </row>
    <row r="172" spans="1:18" x14ac:dyDescent="0.2">
      <c r="A172" t="s">
        <v>151</v>
      </c>
      <c r="C172" s="2">
        <f t="shared" ref="C172:O172" si="92">+C108-C140</f>
        <v>75.116807321395171</v>
      </c>
      <c r="D172" s="2">
        <f t="shared" si="92"/>
        <v>0</v>
      </c>
      <c r="E172" s="2">
        <f t="shared" si="92"/>
        <v>205.40297995058788</v>
      </c>
      <c r="F172" s="272"/>
      <c r="G172" s="272"/>
      <c r="H172" s="272"/>
      <c r="I172" s="2">
        <f t="shared" si="92"/>
        <v>8.2857694112301381</v>
      </c>
      <c r="J172" s="2">
        <f t="shared" si="92"/>
        <v>8.4575258893757237</v>
      </c>
      <c r="K172" s="2">
        <f t="shared" si="92"/>
        <v>63.093853851204194</v>
      </c>
      <c r="L172" s="2">
        <f t="shared" si="92"/>
        <v>15.401817979917066</v>
      </c>
      <c r="M172" s="2">
        <f t="shared" si="92"/>
        <v>4.0066640505340878</v>
      </c>
      <c r="N172" s="2">
        <f t="shared" si="92"/>
        <v>2.9287440842411034</v>
      </c>
      <c r="O172" s="2">
        <f t="shared" si="92"/>
        <v>0</v>
      </c>
      <c r="P172" s="6">
        <f t="shared" si="87"/>
        <v>382.69416253848533</v>
      </c>
      <c r="Q172" s="2">
        <f t="shared" si="91"/>
        <v>2002.4552548692996</v>
      </c>
      <c r="R172" s="76"/>
    </row>
    <row r="173" spans="1:18" x14ac:dyDescent="0.2">
      <c r="A173" t="s">
        <v>152</v>
      </c>
      <c r="C173" s="2">
        <f t="shared" ref="C173:O173" si="93">+C109-C141</f>
        <v>80.149932947753015</v>
      </c>
      <c r="D173" s="2">
        <f t="shared" si="93"/>
        <v>0</v>
      </c>
      <c r="E173" s="2">
        <f t="shared" si="93"/>
        <v>191.06320257013923</v>
      </c>
      <c r="F173" s="272"/>
      <c r="G173" s="272"/>
      <c r="H173" s="272"/>
      <c r="I173" s="2">
        <f t="shared" si="93"/>
        <v>7.8757377700084605</v>
      </c>
      <c r="J173" s="2">
        <f t="shared" si="93"/>
        <v>9.3549665808097551</v>
      </c>
      <c r="K173" s="2">
        <f t="shared" si="93"/>
        <v>47.601120872582307</v>
      </c>
      <c r="L173" s="2">
        <f t="shared" si="93"/>
        <v>14.751840445217608</v>
      </c>
      <c r="M173" s="2">
        <f t="shared" si="93"/>
        <v>2.6117633690710371</v>
      </c>
      <c r="N173" s="2">
        <f t="shared" si="93"/>
        <v>4.0476553983058885</v>
      </c>
      <c r="O173" s="2">
        <f t="shared" si="93"/>
        <v>0</v>
      </c>
      <c r="P173" s="6">
        <f t="shared" si="87"/>
        <v>357.45621995388728</v>
      </c>
      <c r="Q173" s="2">
        <f t="shared" si="91"/>
        <v>2359.9114748231868</v>
      </c>
      <c r="R173" s="76"/>
    </row>
    <row r="174" spans="1:18" x14ac:dyDescent="0.2">
      <c r="A174" t="s">
        <v>7</v>
      </c>
      <c r="C174" s="2">
        <f t="shared" ref="C174:O174" si="94">+C110-C142</f>
        <v>87.148925820173787</v>
      </c>
      <c r="D174" s="2">
        <f t="shared" si="94"/>
        <v>0</v>
      </c>
      <c r="E174" s="2">
        <f t="shared" si="94"/>
        <v>213.28888968377066</v>
      </c>
      <c r="F174" s="272"/>
      <c r="G174" s="272"/>
      <c r="H174" s="272"/>
      <c r="I174" s="2">
        <f t="shared" si="94"/>
        <v>9.2260308902875288</v>
      </c>
      <c r="J174" s="2">
        <f t="shared" si="94"/>
        <v>9.8365312462957508</v>
      </c>
      <c r="K174" s="2">
        <f t="shared" si="94"/>
        <v>54.652241053674871</v>
      </c>
      <c r="L174" s="2">
        <f t="shared" si="94"/>
        <v>17.947464547547849</v>
      </c>
      <c r="M174" s="2">
        <f t="shared" si="94"/>
        <v>4.6628522088995368</v>
      </c>
      <c r="N174" s="2">
        <f t="shared" si="94"/>
        <v>2.837580736344341</v>
      </c>
      <c r="O174" s="2">
        <f t="shared" si="94"/>
        <v>0</v>
      </c>
      <c r="P174" s="6">
        <f t="shared" si="87"/>
        <v>399.6005161869943</v>
      </c>
      <c r="Q174" s="2">
        <f t="shared" si="91"/>
        <v>2759.5119910101812</v>
      </c>
      <c r="R174" s="76"/>
    </row>
    <row r="175" spans="1:18" x14ac:dyDescent="0.2">
      <c r="A175" s="63" t="s">
        <v>181</v>
      </c>
      <c r="C175" s="2">
        <f t="shared" ref="C175:O175" si="95">+C111-C143</f>
        <v>91.746731446182991</v>
      </c>
      <c r="D175" s="2">
        <f t="shared" si="95"/>
        <v>0</v>
      </c>
      <c r="E175" s="2">
        <f t="shared" si="95"/>
        <v>238.03052184150818</v>
      </c>
      <c r="F175" s="272"/>
      <c r="G175" s="272"/>
      <c r="H175" s="272"/>
      <c r="I175" s="2">
        <f t="shared" si="95"/>
        <v>9.0541048492259435</v>
      </c>
      <c r="J175" s="2">
        <f t="shared" si="95"/>
        <v>9.5765674625928181</v>
      </c>
      <c r="K175" s="2">
        <f t="shared" si="95"/>
        <v>55.84034480885957</v>
      </c>
      <c r="L175" s="2">
        <f t="shared" si="95"/>
        <v>16.807794512434334</v>
      </c>
      <c r="M175" s="2">
        <f t="shared" si="95"/>
        <v>4.3203639182260769</v>
      </c>
      <c r="N175" s="2">
        <f t="shared" si="95"/>
        <v>2.8620616787185371</v>
      </c>
      <c r="O175" s="2">
        <f t="shared" si="95"/>
        <v>0</v>
      </c>
      <c r="P175" s="6">
        <f t="shared" si="87"/>
        <v>428.23849051774846</v>
      </c>
      <c r="Q175" s="2">
        <f t="shared" si="91"/>
        <v>3187.7504815279299</v>
      </c>
      <c r="R175" s="76"/>
    </row>
    <row r="176" spans="1:18" x14ac:dyDescent="0.2">
      <c r="A176" t="s">
        <v>10</v>
      </c>
      <c r="C176" s="2">
        <f t="shared" ref="C176:O176" si="96">+C112-C144</f>
        <v>70.340553270711922</v>
      </c>
      <c r="D176" s="2">
        <f t="shared" si="96"/>
        <v>0</v>
      </c>
      <c r="E176" s="2">
        <f t="shared" si="96"/>
        <v>185.34561328058928</v>
      </c>
      <c r="F176" s="272"/>
      <c r="G176" s="272"/>
      <c r="H176" s="272"/>
      <c r="I176" s="2">
        <f t="shared" si="96"/>
        <v>7.4833631862714585</v>
      </c>
      <c r="J176" s="2">
        <f t="shared" si="96"/>
        <v>7.7251569252143808</v>
      </c>
      <c r="K176" s="2">
        <f t="shared" si="96"/>
        <v>49.013733359898218</v>
      </c>
      <c r="L176" s="2">
        <f t="shared" si="96"/>
        <v>12.554971557198057</v>
      </c>
      <c r="M176" s="2">
        <f t="shared" si="96"/>
        <v>3.5009055303725352</v>
      </c>
      <c r="N176" s="2">
        <f t="shared" si="96"/>
        <v>2.2936967267957993</v>
      </c>
      <c r="O176" s="2">
        <f t="shared" si="96"/>
        <v>0</v>
      </c>
      <c r="P176" s="6">
        <f t="shared" si="87"/>
        <v>338.25799383705163</v>
      </c>
      <c r="Q176" s="2">
        <f t="shared" si="91"/>
        <v>3526.0084753649817</v>
      </c>
      <c r="R176" s="76"/>
    </row>
    <row r="177" spans="1:19" x14ac:dyDescent="0.2">
      <c r="A177" t="s">
        <v>8</v>
      </c>
      <c r="C177" s="2">
        <f t="shared" ref="C177:O177" si="97">+C113-C145</f>
        <v>77.685416951675833</v>
      </c>
      <c r="D177" s="2">
        <f t="shared" si="97"/>
        <v>0</v>
      </c>
      <c r="E177" s="2">
        <f t="shared" si="97"/>
        <v>209.62210818772488</v>
      </c>
      <c r="F177" s="272"/>
      <c r="G177" s="272"/>
      <c r="H177" s="272"/>
      <c r="I177" s="2">
        <f t="shared" si="97"/>
        <v>8.5748616053358795</v>
      </c>
      <c r="J177" s="2">
        <f t="shared" si="97"/>
        <v>9.4784419359338425</v>
      </c>
      <c r="K177" s="2">
        <f t="shared" si="97"/>
        <v>63.063908464936006</v>
      </c>
      <c r="L177" s="2">
        <f t="shared" si="97"/>
        <v>15.575128206283246</v>
      </c>
      <c r="M177" s="2">
        <f t="shared" si="97"/>
        <v>4.3343628953265307</v>
      </c>
      <c r="N177" s="2">
        <f t="shared" si="97"/>
        <v>2.8578216892262844</v>
      </c>
      <c r="O177" s="2">
        <f t="shared" si="97"/>
        <v>0</v>
      </c>
      <c r="P177" s="6">
        <f t="shared" si="87"/>
        <v>391.19204993644246</v>
      </c>
      <c r="Q177" s="2">
        <f t="shared" si="91"/>
        <v>3917.200525301424</v>
      </c>
      <c r="R177" s="76"/>
    </row>
    <row r="178" spans="1:19" x14ac:dyDescent="0.2">
      <c r="A178" t="s">
        <v>9</v>
      </c>
      <c r="C178" s="2">
        <f t="shared" ref="C178:O178" si="98">+C114-C146</f>
        <v>98.589519804223357</v>
      </c>
      <c r="D178" s="2">
        <f t="shared" si="98"/>
        <v>0</v>
      </c>
      <c r="E178" s="2">
        <f t="shared" si="98"/>
        <v>259.68109688699076</v>
      </c>
      <c r="F178" s="272"/>
      <c r="G178" s="272"/>
      <c r="H178" s="272"/>
      <c r="I178" s="2">
        <f t="shared" si="98"/>
        <v>10.746655574575984</v>
      </c>
      <c r="J178" s="2">
        <f t="shared" si="98"/>
        <v>10.454070342488427</v>
      </c>
      <c r="K178" s="2">
        <f t="shared" si="98"/>
        <v>70.559854570235359</v>
      </c>
      <c r="L178" s="2">
        <f t="shared" si="98"/>
        <v>19.272589237607409</v>
      </c>
      <c r="M178" s="2">
        <f t="shared" si="98"/>
        <v>5.0236884349433613</v>
      </c>
      <c r="N178" s="2">
        <f t="shared" si="98"/>
        <v>3.7392392660789842</v>
      </c>
      <c r="O178" s="2">
        <f t="shared" si="98"/>
        <v>0</v>
      </c>
      <c r="P178" s="6">
        <f t="shared" si="87"/>
        <v>478.06671411714365</v>
      </c>
      <c r="Q178" s="2">
        <f t="shared" si="91"/>
        <v>4395.2672394185674</v>
      </c>
      <c r="R178" s="76"/>
    </row>
    <row r="179" spans="1:19" ht="15" x14ac:dyDescent="0.35">
      <c r="A179" t="s">
        <v>2</v>
      </c>
      <c r="C179" s="12">
        <f t="shared" ref="C179:O179" si="99">+C115-C147</f>
        <v>73.24590650695599</v>
      </c>
      <c r="D179" s="12">
        <f t="shared" si="99"/>
        <v>0</v>
      </c>
      <c r="E179" s="12">
        <f t="shared" si="99"/>
        <v>216.3158779290026</v>
      </c>
      <c r="F179" s="283"/>
      <c r="G179" s="283"/>
      <c r="H179" s="283"/>
      <c r="I179" s="12">
        <f t="shared" si="99"/>
        <v>8.7395683900345222</v>
      </c>
      <c r="J179" s="12">
        <f t="shared" si="99"/>
        <v>6.8436831837307359</v>
      </c>
      <c r="K179" s="12">
        <f t="shared" si="99"/>
        <v>50.079114107975585</v>
      </c>
      <c r="L179" s="12">
        <f t="shared" si="99"/>
        <v>15.167081650430283</v>
      </c>
      <c r="M179" s="12">
        <f t="shared" si="99"/>
        <v>3.8842526177931203</v>
      </c>
      <c r="N179" s="12">
        <f t="shared" si="99"/>
        <v>2.8207072581592896</v>
      </c>
      <c r="O179" s="12">
        <f t="shared" si="99"/>
        <v>0</v>
      </c>
      <c r="P179" s="7">
        <f t="shared" si="87"/>
        <v>377.09619164408213</v>
      </c>
      <c r="Q179" s="2">
        <f t="shared" si="91"/>
        <v>4772.3634310626494</v>
      </c>
      <c r="R179" s="76"/>
    </row>
    <row r="180" spans="1:19" ht="15" x14ac:dyDescent="0.35">
      <c r="C180" s="15">
        <f t="shared" ref="C180:P180" si="100">SUM(C168:C179)</f>
        <v>995.2880587866149</v>
      </c>
      <c r="D180" s="15">
        <f t="shared" si="100"/>
        <v>0</v>
      </c>
      <c r="E180" s="15">
        <f t="shared" si="100"/>
        <v>2582.7305959626528</v>
      </c>
      <c r="F180" s="275"/>
      <c r="G180" s="275"/>
      <c r="H180" s="275"/>
      <c r="I180" s="15">
        <f t="shared" si="100"/>
        <v>111.23311725093349</v>
      </c>
      <c r="J180" s="15">
        <f t="shared" si="100"/>
        <v>103.53620755651293</v>
      </c>
      <c r="K180" s="15">
        <f t="shared" si="100"/>
        <v>686.94507757367501</v>
      </c>
      <c r="L180" s="15">
        <f t="shared" si="100"/>
        <v>204.63407342321437</v>
      </c>
      <c r="M180" s="15">
        <f t="shared" si="100"/>
        <v>51.30483349009949</v>
      </c>
      <c r="N180" s="15">
        <f t="shared" si="100"/>
        <v>36.691467018946916</v>
      </c>
      <c r="O180" s="15">
        <f t="shared" si="100"/>
        <v>0</v>
      </c>
      <c r="P180" s="8">
        <f t="shared" si="100"/>
        <v>4772.3634310626494</v>
      </c>
      <c r="Q180" s="8"/>
      <c r="R180" s="8"/>
      <c r="S180" s="6"/>
    </row>
    <row r="181" spans="1:19" x14ac:dyDescent="0.2">
      <c r="C181" s="80"/>
      <c r="D181" s="80"/>
      <c r="E181" s="80"/>
      <c r="F181" s="284"/>
      <c r="G181" s="284"/>
      <c r="H181" s="284"/>
      <c r="I181" s="80"/>
      <c r="J181" s="80"/>
      <c r="K181" s="80"/>
      <c r="L181" s="80"/>
      <c r="M181" s="80"/>
      <c r="N181" s="80"/>
      <c r="O181" s="80"/>
      <c r="P181" s="80"/>
    </row>
    <row r="182" spans="1:19" x14ac:dyDescent="0.2">
      <c r="C182" s="80"/>
      <c r="D182" s="80"/>
      <c r="E182" s="80"/>
      <c r="F182" s="284"/>
      <c r="G182" s="284"/>
      <c r="H182" s="284"/>
      <c r="I182" s="80"/>
      <c r="J182" s="80"/>
      <c r="K182" s="80"/>
      <c r="L182" s="80"/>
      <c r="M182" s="80"/>
      <c r="N182" s="80"/>
      <c r="O182" s="80"/>
      <c r="P182" s="80"/>
    </row>
    <row r="183" spans="1:19" x14ac:dyDescent="0.2">
      <c r="A183" s="3" t="s">
        <v>51</v>
      </c>
    </row>
    <row r="184" spans="1:19" x14ac:dyDescent="0.2">
      <c r="A184" s="63" t="s">
        <v>182</v>
      </c>
      <c r="C184" s="2">
        <f>+C120-C151</f>
        <v>154.95709578651062</v>
      </c>
      <c r="D184" s="2">
        <f t="shared" ref="D184:O184" si="101">+D120-D151</f>
        <v>0</v>
      </c>
      <c r="E184" s="2">
        <f t="shared" si="101"/>
        <v>428.51213264309496</v>
      </c>
      <c r="F184" s="272"/>
      <c r="G184" s="272"/>
      <c r="H184" s="272"/>
      <c r="I184" s="2">
        <f t="shared" si="101"/>
        <v>16.683502413527183</v>
      </c>
      <c r="J184" s="2">
        <f t="shared" si="101"/>
        <v>11.515243513684522</v>
      </c>
      <c r="K184" s="2">
        <f t="shared" si="101"/>
        <v>114.6084078842302</v>
      </c>
      <c r="L184" s="2">
        <f t="shared" si="101"/>
        <v>22.849144609830709</v>
      </c>
      <c r="M184" s="2">
        <f t="shared" si="101"/>
        <v>6.4376558226110321</v>
      </c>
      <c r="N184" s="2">
        <f t="shared" si="101"/>
        <v>5.0775876910734903</v>
      </c>
      <c r="O184" s="2">
        <f t="shared" si="101"/>
        <v>0</v>
      </c>
      <c r="P184" s="6">
        <f t="shared" ref="P184:P195" si="102">SUM(C184:O184)</f>
        <v>760.64077036456274</v>
      </c>
      <c r="Q184" s="2"/>
    </row>
    <row r="185" spans="1:19" x14ac:dyDescent="0.2">
      <c r="A185" t="s">
        <v>148</v>
      </c>
      <c r="C185" s="2">
        <f t="shared" ref="C185:O186" si="103">+C121-C152</f>
        <v>107.12010829261607</v>
      </c>
      <c r="D185" s="2">
        <f t="shared" si="103"/>
        <v>0</v>
      </c>
      <c r="E185" s="2">
        <f t="shared" si="103"/>
        <v>412.37581552282717</v>
      </c>
      <c r="F185" s="272"/>
      <c r="G185" s="272"/>
      <c r="H185" s="272"/>
      <c r="I185" s="2">
        <f t="shared" si="103"/>
        <v>15.047243761681072</v>
      </c>
      <c r="J185" s="2">
        <f t="shared" si="103"/>
        <v>10.004383690198768</v>
      </c>
      <c r="K185" s="2">
        <f t="shared" si="103"/>
        <v>97.929089130075724</v>
      </c>
      <c r="L185" s="2">
        <f t="shared" si="103"/>
        <v>24.400935829753088</v>
      </c>
      <c r="M185" s="2">
        <f t="shared" si="103"/>
        <v>6.7509255795650214</v>
      </c>
      <c r="N185" s="2">
        <f t="shared" si="103"/>
        <v>4.4735049021213991</v>
      </c>
      <c r="O185" s="2">
        <f t="shared" si="103"/>
        <v>0</v>
      </c>
      <c r="P185" s="6">
        <f t="shared" si="102"/>
        <v>678.10200670883819</v>
      </c>
      <c r="Q185" s="2">
        <f>+P185+P184</f>
        <v>1438.7427770734009</v>
      </c>
    </row>
    <row r="186" spans="1:19" x14ac:dyDescent="0.2">
      <c r="A186" t="s">
        <v>149</v>
      </c>
      <c r="C186" s="2">
        <f t="shared" si="103"/>
        <v>131.17450999165061</v>
      </c>
      <c r="D186" s="2">
        <f t="shared" si="103"/>
        <v>0</v>
      </c>
      <c r="E186" s="2">
        <f t="shared" si="103"/>
        <v>421.4110242251453</v>
      </c>
      <c r="F186" s="272"/>
      <c r="G186" s="272"/>
      <c r="H186" s="272"/>
      <c r="I186" s="2">
        <f t="shared" si="103"/>
        <v>20.140968069584147</v>
      </c>
      <c r="J186" s="2">
        <f t="shared" si="103"/>
        <v>12.2222968627391</v>
      </c>
      <c r="K186" s="2">
        <f t="shared" si="103"/>
        <v>100.10233275609558</v>
      </c>
      <c r="L186" s="2">
        <f t="shared" si="103"/>
        <v>28.662146868254368</v>
      </c>
      <c r="M186" s="2">
        <f t="shared" si="103"/>
        <v>7.4883086412556441</v>
      </c>
      <c r="N186" s="2">
        <f t="shared" si="103"/>
        <v>5.422568326426501</v>
      </c>
      <c r="O186" s="2">
        <f t="shared" si="103"/>
        <v>0</v>
      </c>
      <c r="P186" s="6">
        <f t="shared" si="102"/>
        <v>726.62415574115118</v>
      </c>
      <c r="Q186" s="2">
        <f>+P186+Q185</f>
        <v>2165.366932814552</v>
      </c>
    </row>
    <row r="187" spans="1:19" x14ac:dyDescent="0.2">
      <c r="A187" t="s">
        <v>150</v>
      </c>
      <c r="C187" s="2">
        <f t="shared" ref="C187:O187" si="104">+C123-C154</f>
        <v>129.34356280438396</v>
      </c>
      <c r="D187" s="2">
        <f t="shared" si="104"/>
        <v>0</v>
      </c>
      <c r="E187" s="2">
        <f t="shared" si="104"/>
        <v>421.50380685622412</v>
      </c>
      <c r="F187" s="272"/>
      <c r="G187" s="272"/>
      <c r="H187" s="272"/>
      <c r="I187" s="2">
        <f t="shared" si="104"/>
        <v>15.36330308028184</v>
      </c>
      <c r="J187" s="2">
        <f t="shared" si="104"/>
        <v>23.860325454292461</v>
      </c>
      <c r="K187" s="2">
        <f t="shared" si="104"/>
        <v>93.724731640602059</v>
      </c>
      <c r="L187" s="2">
        <f t="shared" si="104"/>
        <v>30.898263178220461</v>
      </c>
      <c r="M187" s="2">
        <f t="shared" si="104"/>
        <v>4.5489109679046793</v>
      </c>
      <c r="N187" s="2">
        <f t="shared" si="104"/>
        <v>7.3812517592415539</v>
      </c>
      <c r="O187" s="2">
        <f t="shared" si="104"/>
        <v>0</v>
      </c>
      <c r="P187" s="6">
        <f t="shared" si="102"/>
        <v>726.62415574115118</v>
      </c>
      <c r="Q187" s="2">
        <f t="shared" ref="Q187:Q195" si="105">+P187+Q186</f>
        <v>2891.9910885557033</v>
      </c>
    </row>
    <row r="188" spans="1:19" x14ac:dyDescent="0.2">
      <c r="A188" t="s">
        <v>151</v>
      </c>
      <c r="C188" s="2">
        <f t="shared" ref="C188:O188" si="106">+C124-C155</f>
        <v>136.33978717506173</v>
      </c>
      <c r="D188" s="2">
        <f t="shared" si="106"/>
        <v>0</v>
      </c>
      <c r="E188" s="2">
        <f t="shared" si="106"/>
        <v>411.7131367976051</v>
      </c>
      <c r="F188" s="272"/>
      <c r="G188" s="272"/>
      <c r="H188" s="272"/>
      <c r="I188" s="2">
        <f t="shared" si="106"/>
        <v>17.031611399816505</v>
      </c>
      <c r="J188" s="2">
        <f t="shared" si="106"/>
        <v>18.856426906939703</v>
      </c>
      <c r="K188" s="2">
        <f t="shared" si="106"/>
        <v>99.14830922036036</v>
      </c>
      <c r="L188" s="2">
        <f t="shared" si="106"/>
        <v>28.849464207852449</v>
      </c>
      <c r="M188" s="2">
        <f t="shared" si="106"/>
        <v>8.1682217937895487</v>
      </c>
      <c r="N188" s="2">
        <f t="shared" si="106"/>
        <v>6.5171982397257029</v>
      </c>
      <c r="O188" s="2">
        <f t="shared" si="106"/>
        <v>0</v>
      </c>
      <c r="P188" s="6">
        <f t="shared" si="102"/>
        <v>726.62415574115118</v>
      </c>
      <c r="Q188" s="2">
        <f t="shared" si="105"/>
        <v>3618.6152442968546</v>
      </c>
    </row>
    <row r="189" spans="1:19" x14ac:dyDescent="0.2">
      <c r="A189" t="s">
        <v>152</v>
      </c>
      <c r="C189" s="2">
        <f t="shared" ref="C189:O189" si="107">+C125-C156</f>
        <v>146.49049183144962</v>
      </c>
      <c r="D189" s="2">
        <f t="shared" si="107"/>
        <v>0</v>
      </c>
      <c r="E189" s="2">
        <f t="shared" si="107"/>
        <v>402.15293571068378</v>
      </c>
      <c r="F189" s="272"/>
      <c r="G189" s="272"/>
      <c r="H189" s="272"/>
      <c r="I189" s="2">
        <f t="shared" si="107"/>
        <v>15.658128580558746</v>
      </c>
      <c r="J189" s="2">
        <f t="shared" si="107"/>
        <v>16.788993422487991</v>
      </c>
      <c r="K189" s="2">
        <f t="shared" si="107"/>
        <v>104.90946148974361</v>
      </c>
      <c r="L189" s="2">
        <f t="shared" si="107"/>
        <v>27.401725015977807</v>
      </c>
      <c r="M189" s="2">
        <f t="shared" si="107"/>
        <v>7.568095480603394</v>
      </c>
      <c r="N189" s="2">
        <f t="shared" si="107"/>
        <v>5.6543242096462132</v>
      </c>
      <c r="O189" s="2">
        <f t="shared" si="107"/>
        <v>0</v>
      </c>
      <c r="P189" s="6">
        <f t="shared" si="102"/>
        <v>726.62415574115118</v>
      </c>
      <c r="Q189" s="2">
        <f t="shared" si="105"/>
        <v>4345.2394000380054</v>
      </c>
    </row>
    <row r="190" spans="1:19" x14ac:dyDescent="0.2">
      <c r="A190" t="s">
        <v>7</v>
      </c>
      <c r="C190" s="2">
        <f t="shared" ref="C190:O190" si="108">+C126-C157</f>
        <v>149.08538294762639</v>
      </c>
      <c r="D190" s="2">
        <f t="shared" si="108"/>
        <v>0</v>
      </c>
      <c r="E190" s="2">
        <f t="shared" si="108"/>
        <v>398.33333040997616</v>
      </c>
      <c r="F190" s="272"/>
      <c r="G190" s="272"/>
      <c r="H190" s="272"/>
      <c r="I190" s="2">
        <f t="shared" si="108"/>
        <v>16.753169153708168</v>
      </c>
      <c r="J190" s="2">
        <f t="shared" si="108"/>
        <v>19.515659812032389</v>
      </c>
      <c r="K190" s="2">
        <f t="shared" si="108"/>
        <v>102.56860476552183</v>
      </c>
      <c r="L190" s="2">
        <f t="shared" si="108"/>
        <v>27.357568777597915</v>
      </c>
      <c r="M190" s="2">
        <f t="shared" si="108"/>
        <v>8.0201341693283776</v>
      </c>
      <c r="N190" s="2">
        <f t="shared" si="108"/>
        <v>4.9903057053598801</v>
      </c>
      <c r="O190" s="2">
        <f t="shared" si="108"/>
        <v>0</v>
      </c>
      <c r="P190" s="6">
        <f t="shared" si="102"/>
        <v>726.62415574115107</v>
      </c>
      <c r="Q190" s="2">
        <f t="shared" si="105"/>
        <v>5071.8635557791567</v>
      </c>
    </row>
    <row r="191" spans="1:19" x14ac:dyDescent="0.2">
      <c r="A191" s="63" t="s">
        <v>183</v>
      </c>
      <c r="C191" s="2">
        <f t="shared" ref="C191:O191" si="109">+C127-C158</f>
        <v>0</v>
      </c>
      <c r="D191" s="2">
        <f t="shared" si="109"/>
        <v>158.92683758268092</v>
      </c>
      <c r="E191" s="2">
        <f t="shared" si="109"/>
        <v>398.38252527010576</v>
      </c>
      <c r="F191" s="272"/>
      <c r="G191" s="272"/>
      <c r="H191" s="272"/>
      <c r="I191" s="2">
        <f t="shared" si="109"/>
        <v>16.514185357753437</v>
      </c>
      <c r="J191" s="2">
        <f t="shared" si="109"/>
        <v>19.53290741239654</v>
      </c>
      <c r="K191" s="2">
        <f t="shared" si="109"/>
        <v>94.557029064555977</v>
      </c>
      <c r="L191" s="2">
        <f t="shared" si="109"/>
        <v>26.458210949518943</v>
      </c>
      <c r="M191" s="2">
        <f t="shared" si="109"/>
        <v>7.458019193824132</v>
      </c>
      <c r="N191" s="2">
        <f t="shared" si="109"/>
        <v>4.7944409103155143</v>
      </c>
      <c r="O191" s="2">
        <f t="shared" si="109"/>
        <v>0</v>
      </c>
      <c r="P191" s="6">
        <f t="shared" si="102"/>
        <v>726.6241557411513</v>
      </c>
      <c r="Q191" s="2">
        <f t="shared" si="105"/>
        <v>5798.487711520308</v>
      </c>
    </row>
    <row r="192" spans="1:19" x14ac:dyDescent="0.2">
      <c r="A192" t="s">
        <v>10</v>
      </c>
      <c r="C192" s="2">
        <f t="shared" ref="C192:O192" si="110">+C128-C159</f>
        <v>24.741940612799912</v>
      </c>
      <c r="D192" s="2">
        <f t="shared" si="110"/>
        <v>278.91271622060532</v>
      </c>
      <c r="E192" s="2">
        <f t="shared" si="110"/>
        <v>166.97491005195442</v>
      </c>
      <c r="F192" s="272"/>
      <c r="G192" s="272"/>
      <c r="H192" s="272"/>
      <c r="I192" s="2">
        <f t="shared" si="110"/>
        <v>13.628273018639174</v>
      </c>
      <c r="J192" s="2">
        <f t="shared" si="110"/>
        <v>13.208003190830556</v>
      </c>
      <c r="K192" s="2">
        <f t="shared" si="110"/>
        <v>192.61942677255425</v>
      </c>
      <c r="L192" s="2">
        <f t="shared" si="110"/>
        <v>26.268221024509771</v>
      </c>
      <c r="M192" s="2">
        <f t="shared" si="110"/>
        <v>4.5412686867012697</v>
      </c>
      <c r="N192" s="2">
        <f t="shared" si="110"/>
        <v>5.7293961625563723</v>
      </c>
      <c r="O192" s="2">
        <f t="shared" si="110"/>
        <v>0</v>
      </c>
      <c r="P192" s="6">
        <f t="shared" si="102"/>
        <v>726.62415574115096</v>
      </c>
      <c r="Q192" s="2">
        <f t="shared" si="105"/>
        <v>6525.1118672614593</v>
      </c>
    </row>
    <row r="193" spans="1:17" x14ac:dyDescent="0.2">
      <c r="A193" t="s">
        <v>8</v>
      </c>
      <c r="C193" s="2">
        <f t="shared" ref="C193:O193" si="111">+C129-C160</f>
        <v>80.062036245965857</v>
      </c>
      <c r="D193" s="2">
        <f t="shared" si="111"/>
        <v>226.48406589604625</v>
      </c>
      <c r="E193" s="2">
        <f t="shared" si="111"/>
        <v>200.22295634877358</v>
      </c>
      <c r="F193" s="272"/>
      <c r="G193" s="272"/>
      <c r="H193" s="272"/>
      <c r="I193" s="2">
        <f t="shared" si="111"/>
        <v>16.108493410512878</v>
      </c>
      <c r="J193" s="2">
        <f t="shared" si="111"/>
        <v>13.664936397439275</v>
      </c>
      <c r="K193" s="2">
        <f t="shared" si="111"/>
        <v>144.71073902291783</v>
      </c>
      <c r="L193" s="2">
        <f t="shared" si="111"/>
        <v>32.92562226075863</v>
      </c>
      <c r="M193" s="2">
        <f t="shared" si="111"/>
        <v>4.7037300719211794</v>
      </c>
      <c r="N193" s="2">
        <f t="shared" si="111"/>
        <v>7.7415760868156767</v>
      </c>
      <c r="O193" s="2">
        <f t="shared" si="111"/>
        <v>0</v>
      </c>
      <c r="P193" s="6">
        <f t="shared" si="102"/>
        <v>726.62415574115118</v>
      </c>
      <c r="Q193" s="2">
        <f t="shared" si="105"/>
        <v>7251.7360230026106</v>
      </c>
    </row>
    <row r="194" spans="1:17" x14ac:dyDescent="0.2">
      <c r="A194" t="s">
        <v>9</v>
      </c>
      <c r="C194" s="2">
        <f t="shared" ref="C194:O194" si="112">+C130-C161</f>
        <v>154.05445163901379</v>
      </c>
      <c r="D194" s="2">
        <f t="shared" si="112"/>
        <v>140.15494372339387</v>
      </c>
      <c r="E194" s="2">
        <f t="shared" si="112"/>
        <v>210.83750372297263</v>
      </c>
      <c r="F194" s="272"/>
      <c r="G194" s="272"/>
      <c r="H194" s="272"/>
      <c r="I194" s="2">
        <f t="shared" si="112"/>
        <v>17.276681353330197</v>
      </c>
      <c r="J194" s="2">
        <f t="shared" si="112"/>
        <v>17.381796887305217</v>
      </c>
      <c r="K194" s="2">
        <f t="shared" si="112"/>
        <v>143.88160385098689</v>
      </c>
      <c r="L194" s="2">
        <f t="shared" si="112"/>
        <v>30.819515192128922</v>
      </c>
      <c r="M194" s="2">
        <f t="shared" si="112"/>
        <v>4.5747717863316364</v>
      </c>
      <c r="N194" s="2">
        <f t="shared" si="112"/>
        <v>7.6428875856879861</v>
      </c>
      <c r="O194" s="2">
        <f t="shared" si="112"/>
        <v>0</v>
      </c>
      <c r="P194" s="6">
        <f t="shared" si="102"/>
        <v>726.62415574115118</v>
      </c>
      <c r="Q194" s="2">
        <f t="shared" si="105"/>
        <v>7978.3601787437619</v>
      </c>
    </row>
    <row r="195" spans="1:17" ht="15" x14ac:dyDescent="0.35">
      <c r="A195" t="s">
        <v>2</v>
      </c>
      <c r="C195" s="12">
        <f t="shared" ref="C195:O195" si="113">+C131-C162</f>
        <v>151.01931751570123</v>
      </c>
      <c r="D195" s="12">
        <f t="shared" si="113"/>
        <v>145.05369093640513</v>
      </c>
      <c r="E195" s="12">
        <f t="shared" si="113"/>
        <v>205.55083460148205</v>
      </c>
      <c r="F195" s="283"/>
      <c r="G195" s="283"/>
      <c r="H195" s="283"/>
      <c r="I195" s="12">
        <f t="shared" si="113"/>
        <v>16.939489249765121</v>
      </c>
      <c r="J195" s="12">
        <f t="shared" si="113"/>
        <v>14.622784908221664</v>
      </c>
      <c r="K195" s="12">
        <f t="shared" si="113"/>
        <v>139.48095573666902</v>
      </c>
      <c r="L195" s="12">
        <f t="shared" si="113"/>
        <v>38.299232319223684</v>
      </c>
      <c r="M195" s="12">
        <f t="shared" si="113"/>
        <v>5.068750395610869</v>
      </c>
      <c r="N195" s="12">
        <f t="shared" si="113"/>
        <v>10.589100078072315</v>
      </c>
      <c r="O195" s="12">
        <f t="shared" si="113"/>
        <v>0</v>
      </c>
      <c r="P195" s="7">
        <f t="shared" si="102"/>
        <v>726.62415574115107</v>
      </c>
      <c r="Q195" s="2">
        <f t="shared" si="105"/>
        <v>8704.9843344849123</v>
      </c>
    </row>
    <row r="196" spans="1:17" ht="15" x14ac:dyDescent="0.35">
      <c r="C196" s="15">
        <f t="shared" ref="C196:P196" si="114">SUM(C184:C195)</f>
        <v>1364.3886848427799</v>
      </c>
      <c r="D196" s="15">
        <f t="shared" si="114"/>
        <v>949.53225435913146</v>
      </c>
      <c r="E196" s="15">
        <f t="shared" si="114"/>
        <v>4077.9709121608448</v>
      </c>
      <c r="F196" s="275"/>
      <c r="G196" s="275"/>
      <c r="H196" s="275"/>
      <c r="I196" s="15">
        <f t="shared" si="114"/>
        <v>197.14504884915848</v>
      </c>
      <c r="J196" s="15">
        <f t="shared" si="114"/>
        <v>191.17375845856819</v>
      </c>
      <c r="K196" s="15">
        <f t="shared" si="114"/>
        <v>1428.2406913343134</v>
      </c>
      <c r="L196" s="15">
        <f t="shared" si="114"/>
        <v>345.19005023362672</v>
      </c>
      <c r="M196" s="15">
        <f t="shared" si="114"/>
        <v>75.328792589446792</v>
      </c>
      <c r="N196" s="15">
        <f t="shared" si="114"/>
        <v>76.0141416570426</v>
      </c>
      <c r="O196" s="15">
        <f t="shared" si="114"/>
        <v>0</v>
      </c>
      <c r="P196" s="8">
        <f t="shared" si="114"/>
        <v>8704.9843344849123</v>
      </c>
      <c r="Q196" s="8"/>
    </row>
    <row r="197" spans="1:17" x14ac:dyDescent="0.2">
      <c r="C197" s="80"/>
      <c r="D197" s="80"/>
      <c r="E197" s="80"/>
      <c r="F197" s="284"/>
      <c r="G197" s="284"/>
      <c r="H197" s="284"/>
      <c r="I197" s="80"/>
      <c r="J197" s="80"/>
      <c r="K197" s="80"/>
      <c r="L197" s="80"/>
      <c r="M197" s="80"/>
      <c r="N197" s="80"/>
      <c r="O197" s="80"/>
      <c r="P197" s="80"/>
    </row>
    <row r="198" spans="1:17" x14ac:dyDescent="0.2">
      <c r="C198" s="80"/>
      <c r="D198" s="80"/>
      <c r="E198" s="80"/>
      <c r="F198" s="284"/>
      <c r="G198" s="284"/>
      <c r="H198" s="284"/>
      <c r="I198" s="80"/>
      <c r="J198" s="80"/>
      <c r="K198" s="80"/>
      <c r="L198" s="80"/>
      <c r="M198" s="80"/>
      <c r="N198" s="80"/>
      <c r="O198" s="80"/>
      <c r="P198" s="80"/>
    </row>
    <row r="199" spans="1:17" x14ac:dyDescent="0.2">
      <c r="C199" s="80"/>
      <c r="D199" s="80"/>
      <c r="E199" s="80"/>
      <c r="F199" s="284"/>
      <c r="G199" s="284"/>
      <c r="H199" s="284"/>
      <c r="I199" s="80"/>
      <c r="J199" s="80"/>
      <c r="K199" s="80"/>
      <c r="L199" s="80"/>
      <c r="M199" s="80"/>
      <c r="N199" s="80"/>
      <c r="O199" s="80"/>
      <c r="P199" s="80"/>
    </row>
    <row r="200" spans="1:17" x14ac:dyDescent="0.2">
      <c r="C200" s="82"/>
      <c r="D200" s="82"/>
      <c r="E200" s="82"/>
      <c r="F200" s="285"/>
      <c r="G200" s="285"/>
      <c r="H200" s="285"/>
      <c r="I200" s="82"/>
      <c r="J200" s="82"/>
      <c r="K200" s="82"/>
      <c r="L200" s="82"/>
      <c r="M200" s="82"/>
      <c r="N200" s="82"/>
      <c r="O200" s="82"/>
      <c r="P200" s="82"/>
    </row>
    <row r="201" spans="1:17" x14ac:dyDescent="0.2">
      <c r="C201" s="306" t="s">
        <v>34</v>
      </c>
      <c r="D201" s="306"/>
      <c r="E201" s="306"/>
      <c r="F201" s="306"/>
      <c r="G201" s="306"/>
      <c r="H201" s="306"/>
      <c r="I201" s="306"/>
      <c r="J201" s="306"/>
      <c r="K201" s="306"/>
      <c r="L201" s="306"/>
      <c r="M201" s="306"/>
      <c r="N201" s="306"/>
      <c r="O201" s="306"/>
    </row>
    <row r="202" spans="1:17" x14ac:dyDescent="0.2">
      <c r="C202" s="24" t="s">
        <v>35</v>
      </c>
      <c r="D202" s="24" t="s">
        <v>36</v>
      </c>
      <c r="E202" s="24"/>
      <c r="F202" s="278"/>
      <c r="G202" s="278"/>
      <c r="H202" s="278"/>
      <c r="I202" s="24" t="s">
        <v>37</v>
      </c>
      <c r="J202" s="24" t="s">
        <v>38</v>
      </c>
      <c r="K202" s="24"/>
      <c r="L202" s="24"/>
      <c r="M202" s="24" t="s">
        <v>0</v>
      </c>
      <c r="N202" s="24" t="s">
        <v>0</v>
      </c>
      <c r="O202" s="24" t="s">
        <v>39</v>
      </c>
    </row>
    <row r="203" spans="1:17" x14ac:dyDescent="0.2">
      <c r="C203" s="25" t="s">
        <v>40</v>
      </c>
      <c r="D203" s="25" t="s">
        <v>41</v>
      </c>
      <c r="E203" s="25" t="s">
        <v>19</v>
      </c>
      <c r="F203" s="279"/>
      <c r="G203" s="279"/>
      <c r="H203" s="279"/>
      <c r="I203" s="25" t="s">
        <v>17</v>
      </c>
      <c r="J203" s="25" t="s">
        <v>18</v>
      </c>
      <c r="K203" s="25" t="s">
        <v>11</v>
      </c>
      <c r="L203" s="25" t="s">
        <v>1</v>
      </c>
      <c r="M203" s="25" t="s">
        <v>42</v>
      </c>
      <c r="N203" s="25" t="s">
        <v>43</v>
      </c>
      <c r="O203" s="25" t="s">
        <v>44</v>
      </c>
      <c r="P203" s="30" t="s">
        <v>3</v>
      </c>
    </row>
    <row r="204" spans="1:17" x14ac:dyDescent="0.2">
      <c r="A204" s="3" t="s">
        <v>52</v>
      </c>
    </row>
    <row r="205" spans="1:17" x14ac:dyDescent="0.2">
      <c r="A205" s="63" t="s">
        <v>180</v>
      </c>
      <c r="C205" s="9">
        <f t="shared" ref="C205:O205" si="115">+C136*C73</f>
        <v>273.22581278680599</v>
      </c>
      <c r="D205" s="9">
        <f t="shared" si="115"/>
        <v>0</v>
      </c>
      <c r="E205" s="9">
        <f t="shared" si="115"/>
        <v>722.59631531689661</v>
      </c>
      <c r="F205" s="286"/>
      <c r="G205" s="286"/>
      <c r="H205" s="286"/>
      <c r="I205" s="9">
        <f t="shared" si="115"/>
        <v>414.07490873905033</v>
      </c>
      <c r="J205" s="9">
        <f t="shared" si="115"/>
        <v>51.269126819812215</v>
      </c>
      <c r="K205" s="9">
        <f t="shared" si="115"/>
        <v>-105.57457206326877</v>
      </c>
      <c r="L205" s="9">
        <f t="shared" si="115"/>
        <v>309.15350974833615</v>
      </c>
      <c r="M205" s="9">
        <f t="shared" si="115"/>
        <v>140.49770184735843</v>
      </c>
      <c r="N205" s="9">
        <f t="shared" si="115"/>
        <v>37.934070253648841</v>
      </c>
      <c r="O205" s="9">
        <f t="shared" si="115"/>
        <v>0</v>
      </c>
      <c r="P205" s="9">
        <f t="shared" ref="P205:P216" si="116">SUM(C205:O205)</f>
        <v>1843.17687344864</v>
      </c>
    </row>
    <row r="206" spans="1:17" x14ac:dyDescent="0.2">
      <c r="A206" t="s">
        <v>148</v>
      </c>
      <c r="C206" s="9">
        <f t="shared" ref="C206:O206" si="117">+C137*C74</f>
        <v>188.20422693662837</v>
      </c>
      <c r="D206" s="9">
        <f t="shared" si="117"/>
        <v>0</v>
      </c>
      <c r="E206" s="9">
        <f t="shared" si="117"/>
        <v>782.92543738110487</v>
      </c>
      <c r="F206" s="286"/>
      <c r="G206" s="286"/>
      <c r="H206" s="286"/>
      <c r="I206" s="9">
        <f t="shared" si="117"/>
        <v>403.61355023049123</v>
      </c>
      <c r="J206" s="9">
        <f t="shared" si="117"/>
        <v>34.68450643928319</v>
      </c>
      <c r="K206" s="9">
        <f t="shared" si="117"/>
        <v>-80.94741177276579</v>
      </c>
      <c r="L206" s="9">
        <f t="shared" si="117"/>
        <v>164.24490369685077</v>
      </c>
      <c r="M206" s="9">
        <f t="shared" si="117"/>
        <v>122.2635123179254</v>
      </c>
      <c r="N206" s="9">
        <f t="shared" si="117"/>
        <v>27.223838008834328</v>
      </c>
      <c r="O206" s="9">
        <f t="shared" si="117"/>
        <v>0</v>
      </c>
      <c r="P206" s="9">
        <f t="shared" si="116"/>
        <v>1642.2125632383525</v>
      </c>
      <c r="Q206" s="157">
        <f>+P206+P205</f>
        <v>3485.3894366869927</v>
      </c>
    </row>
    <row r="207" spans="1:17" x14ac:dyDescent="0.2">
      <c r="A207" t="s">
        <v>149</v>
      </c>
      <c r="C207" s="9">
        <f t="shared" ref="C207:O207" si="118">+C138*C75</f>
        <v>211.75642543737339</v>
      </c>
      <c r="D207" s="9">
        <f t="shared" si="118"/>
        <v>0</v>
      </c>
      <c r="E207" s="9">
        <f t="shared" si="118"/>
        <v>773.02220148691083</v>
      </c>
      <c r="F207" s="286"/>
      <c r="G207" s="286"/>
      <c r="H207" s="286"/>
      <c r="I207" s="9">
        <f t="shared" si="118"/>
        <v>415.39345558228075</v>
      </c>
      <c r="J207" s="9">
        <f t="shared" si="118"/>
        <v>31.847132905610188</v>
      </c>
      <c r="K207" s="9">
        <f t="shared" si="118"/>
        <v>-88.057711682424411</v>
      </c>
      <c r="L207" s="9">
        <f t="shared" si="118"/>
        <v>51.688483803677549</v>
      </c>
      <c r="M207" s="9">
        <f t="shared" si="118"/>
        <v>84.06393228466024</v>
      </c>
      <c r="N207" s="9">
        <f t="shared" si="118"/>
        <v>16.360363010550891</v>
      </c>
      <c r="O207" s="9">
        <f t="shared" si="118"/>
        <v>0</v>
      </c>
      <c r="P207" s="9">
        <f t="shared" si="116"/>
        <v>1496.0742828286393</v>
      </c>
      <c r="Q207" s="157">
        <f>+P207+Q206</f>
        <v>4981.463719515632</v>
      </c>
    </row>
    <row r="208" spans="1:17" x14ac:dyDescent="0.2">
      <c r="A208" t="s">
        <v>150</v>
      </c>
      <c r="C208" s="9">
        <f t="shared" ref="C208:O208" si="119">+C139*C76</f>
        <v>187.21722046355706</v>
      </c>
      <c r="D208" s="9">
        <f t="shared" si="119"/>
        <v>0</v>
      </c>
      <c r="E208" s="9">
        <f t="shared" si="119"/>
        <v>537.42475303881542</v>
      </c>
      <c r="F208" s="286"/>
      <c r="G208" s="286"/>
      <c r="H208" s="286"/>
      <c r="I208" s="9">
        <f t="shared" si="119"/>
        <v>337.15672483595773</v>
      </c>
      <c r="J208" s="9">
        <f t="shared" si="119"/>
        <v>30.061773280942095</v>
      </c>
      <c r="K208" s="9">
        <f t="shared" si="119"/>
        <v>-79.385934674693885</v>
      </c>
      <c r="L208" s="9">
        <f t="shared" si="119"/>
        <v>27.259973165864515</v>
      </c>
      <c r="M208" s="9">
        <f t="shared" si="119"/>
        <v>81.349781853950688</v>
      </c>
      <c r="N208" s="9">
        <f t="shared" si="119"/>
        <v>8.6415847434632944</v>
      </c>
      <c r="O208" s="9">
        <f t="shared" si="119"/>
        <v>0</v>
      </c>
      <c r="P208" s="9">
        <f t="shared" si="116"/>
        <v>1129.725876707857</v>
      </c>
      <c r="Q208" s="157">
        <f t="shared" ref="Q208:Q216" si="120">+P208+Q207</f>
        <v>6111.1895962234885</v>
      </c>
    </row>
    <row r="209" spans="1:17" x14ac:dyDescent="0.2">
      <c r="A209" t="s">
        <v>151</v>
      </c>
      <c r="C209" s="9">
        <f t="shared" ref="C209:O209" si="121">+C140*C77</f>
        <v>-30.249763673650552</v>
      </c>
      <c r="D209" s="9">
        <f t="shared" si="121"/>
        <v>0</v>
      </c>
      <c r="E209" s="9">
        <f t="shared" si="121"/>
        <v>333.31881155622335</v>
      </c>
      <c r="F209" s="286"/>
      <c r="G209" s="286"/>
      <c r="H209" s="286"/>
      <c r="I209" s="9">
        <f t="shared" si="121"/>
        <v>258.04921482159364</v>
      </c>
      <c r="J209" s="9">
        <f t="shared" si="121"/>
        <v>33.114465140296936</v>
      </c>
      <c r="K209" s="9">
        <f t="shared" si="121"/>
        <v>-95.833199744526013</v>
      </c>
      <c r="L209" s="9">
        <f t="shared" si="121"/>
        <v>23.993649164495846</v>
      </c>
      <c r="M209" s="9">
        <f t="shared" si="121"/>
        <v>81.14291389238943</v>
      </c>
      <c r="N209" s="9">
        <f t="shared" si="121"/>
        <v>9.8854818723297804</v>
      </c>
      <c r="O209" s="9">
        <f t="shared" si="121"/>
        <v>0</v>
      </c>
      <c r="P209" s="9">
        <f t="shared" si="116"/>
        <v>613.42157302915246</v>
      </c>
      <c r="Q209" s="157">
        <f t="shared" si="120"/>
        <v>6724.611169252641</v>
      </c>
    </row>
    <row r="210" spans="1:17" x14ac:dyDescent="0.2">
      <c r="A210" t="s">
        <v>152</v>
      </c>
      <c r="C210" s="9">
        <f t="shared" ref="C210:O210" si="122">+C141*C78</f>
        <v>-15.233065580575452</v>
      </c>
      <c r="D210" s="9">
        <f t="shared" si="122"/>
        <v>0</v>
      </c>
      <c r="E210" s="9">
        <f t="shared" si="122"/>
        <v>235.63713300252488</v>
      </c>
      <c r="F210" s="286"/>
      <c r="G210" s="286"/>
      <c r="H210" s="286"/>
      <c r="I210" s="9">
        <f t="shared" si="122"/>
        <v>259.33162904857909</v>
      </c>
      <c r="J210" s="9">
        <f t="shared" si="122"/>
        <v>34.221219104162927</v>
      </c>
      <c r="K210" s="9">
        <f t="shared" si="122"/>
        <v>-72.301301096674763</v>
      </c>
      <c r="L210" s="9">
        <f t="shared" si="122"/>
        <v>33.299591790766449</v>
      </c>
      <c r="M210" s="9">
        <f t="shared" si="122"/>
        <v>73.915137945916101</v>
      </c>
      <c r="N210" s="9">
        <f t="shared" si="122"/>
        <v>16.814988757364368</v>
      </c>
      <c r="O210" s="9">
        <f t="shared" si="122"/>
        <v>0</v>
      </c>
      <c r="P210" s="9">
        <f t="shared" si="116"/>
        <v>565.68533297206363</v>
      </c>
      <c r="Q210" s="157">
        <f t="shared" si="120"/>
        <v>7290.2965022247045</v>
      </c>
    </row>
    <row r="211" spans="1:17" x14ac:dyDescent="0.2">
      <c r="A211" t="s">
        <v>7</v>
      </c>
      <c r="C211" s="9">
        <f t="shared" ref="C211:O211" si="123">+C142*C79</f>
        <v>73.10920541880823</v>
      </c>
      <c r="D211" s="9">
        <f t="shared" si="123"/>
        <v>0</v>
      </c>
      <c r="E211" s="9">
        <f t="shared" si="123"/>
        <v>263.04794324760439</v>
      </c>
      <c r="F211" s="286"/>
      <c r="G211" s="286"/>
      <c r="H211" s="286"/>
      <c r="I211" s="9">
        <f t="shared" si="123"/>
        <v>306.29242633469562</v>
      </c>
      <c r="J211" s="9">
        <f t="shared" si="123"/>
        <v>38.725780381347583</v>
      </c>
      <c r="K211" s="9">
        <f t="shared" si="123"/>
        <v>-83.011241407673936</v>
      </c>
      <c r="L211" s="9">
        <f t="shared" si="123"/>
        <v>37.279163477765763</v>
      </c>
      <c r="M211" s="9">
        <f t="shared" si="123"/>
        <v>131.96270700619303</v>
      </c>
      <c r="N211" s="9">
        <f t="shared" si="123"/>
        <v>11.788031214246654</v>
      </c>
      <c r="O211" s="9">
        <f t="shared" si="123"/>
        <v>0</v>
      </c>
      <c r="P211" s="9">
        <f t="shared" si="116"/>
        <v>779.19401567298735</v>
      </c>
      <c r="Q211" s="157">
        <f t="shared" si="120"/>
        <v>8069.4905178976915</v>
      </c>
    </row>
    <row r="212" spans="1:17" x14ac:dyDescent="0.2">
      <c r="A212" s="63" t="s">
        <v>181</v>
      </c>
      <c r="C212" s="9">
        <f t="shared" ref="C212:O212" si="124">+C143*C80</f>
        <v>65.532126187228243</v>
      </c>
      <c r="D212" s="9">
        <f t="shared" si="124"/>
        <v>0</v>
      </c>
      <c r="E212" s="9">
        <f t="shared" si="124"/>
        <v>293.56165383670708</v>
      </c>
      <c r="F212" s="286"/>
      <c r="G212" s="286"/>
      <c r="H212" s="286"/>
      <c r="I212" s="9">
        <f t="shared" si="124"/>
        <v>368.11893574862916</v>
      </c>
      <c r="J212" s="9">
        <f t="shared" si="124"/>
        <v>45.131887464835074</v>
      </c>
      <c r="K212" s="9">
        <f t="shared" si="124"/>
        <v>-87.788030568090747</v>
      </c>
      <c r="L212" s="9">
        <f t="shared" si="124"/>
        <v>52.367886088010955</v>
      </c>
      <c r="M212" s="9">
        <f t="shared" si="124"/>
        <v>125.6352245800616</v>
      </c>
      <c r="N212" s="9">
        <f t="shared" si="124"/>
        <v>7.4310820423778718</v>
      </c>
      <c r="O212" s="9">
        <f t="shared" si="124"/>
        <v>0</v>
      </c>
      <c r="P212" s="9">
        <f t="shared" si="116"/>
        <v>869.99076537975918</v>
      </c>
      <c r="Q212" s="157">
        <f t="shared" si="120"/>
        <v>8939.4812832774514</v>
      </c>
    </row>
    <row r="213" spans="1:17" x14ac:dyDescent="0.2">
      <c r="A213" t="s">
        <v>10</v>
      </c>
      <c r="C213" s="9">
        <f t="shared" ref="C213:O213" si="125">+C144*C81</f>
        <v>75.518674951009885</v>
      </c>
      <c r="D213" s="9">
        <f t="shared" si="125"/>
        <v>0</v>
      </c>
      <c r="E213" s="9">
        <f t="shared" si="125"/>
        <v>335.41938411069088</v>
      </c>
      <c r="F213" s="286"/>
      <c r="G213" s="286"/>
      <c r="H213" s="286"/>
      <c r="I213" s="9">
        <f t="shared" si="125"/>
        <v>276.29274862070349</v>
      </c>
      <c r="J213" s="9">
        <f t="shared" si="125"/>
        <v>41.328819121580253</v>
      </c>
      <c r="K213" s="9">
        <f t="shared" si="125"/>
        <v>-77.055740561478657</v>
      </c>
      <c r="L213" s="9">
        <f t="shared" si="125"/>
        <v>39.117405907072843</v>
      </c>
      <c r="M213" s="9">
        <f t="shared" si="125"/>
        <v>109.07738185626081</v>
      </c>
      <c r="N213" s="9">
        <f t="shared" si="125"/>
        <v>8.9330614451248103</v>
      </c>
      <c r="O213" s="9">
        <f t="shared" si="125"/>
        <v>0</v>
      </c>
      <c r="P213" s="9">
        <f t="shared" si="116"/>
        <v>808.63173545096436</v>
      </c>
      <c r="Q213" s="157">
        <f t="shared" si="120"/>
        <v>9748.1130187284161</v>
      </c>
    </row>
    <row r="214" spans="1:17" x14ac:dyDescent="0.2">
      <c r="A214" t="s">
        <v>8</v>
      </c>
      <c r="C214" s="9">
        <f t="shared" ref="C214:O214" si="126">+C145*C82</f>
        <v>71.38272633269294</v>
      </c>
      <c r="D214" s="9">
        <f t="shared" si="126"/>
        <v>0</v>
      </c>
      <c r="E214" s="9">
        <f t="shared" si="126"/>
        <v>410.86540696660182</v>
      </c>
      <c r="F214" s="286"/>
      <c r="G214" s="286"/>
      <c r="H214" s="286"/>
      <c r="I214" s="9">
        <f t="shared" si="126"/>
        <v>306.02324066507327</v>
      </c>
      <c r="J214" s="9">
        <f t="shared" si="126"/>
        <v>57.92926659970864</v>
      </c>
      <c r="K214" s="9">
        <f t="shared" si="126"/>
        <v>-99.144379265808226</v>
      </c>
      <c r="L214" s="9">
        <f t="shared" si="126"/>
        <v>72.790919038432108</v>
      </c>
      <c r="M214" s="9">
        <f t="shared" si="126"/>
        <v>142.92297847896023</v>
      </c>
      <c r="N214" s="9">
        <f t="shared" si="126"/>
        <v>10.388102615066765</v>
      </c>
      <c r="O214" s="9">
        <f t="shared" si="126"/>
        <v>0</v>
      </c>
      <c r="P214" s="9">
        <f t="shared" si="116"/>
        <v>973.15826143072741</v>
      </c>
      <c r="Q214" s="157">
        <f t="shared" si="120"/>
        <v>10721.271280159144</v>
      </c>
    </row>
    <row r="215" spans="1:17" x14ac:dyDescent="0.2">
      <c r="A215" t="s">
        <v>9</v>
      </c>
      <c r="C215" s="9">
        <f t="shared" ref="C215:O215" si="127">+C146*C83</f>
        <v>78.534263267532125</v>
      </c>
      <c r="D215" s="9">
        <f t="shared" si="127"/>
        <v>0</v>
      </c>
      <c r="E215" s="9">
        <f t="shared" si="127"/>
        <v>523.54602233331832</v>
      </c>
      <c r="F215" s="286"/>
      <c r="G215" s="286"/>
      <c r="H215" s="286"/>
      <c r="I215" s="9">
        <f t="shared" si="127"/>
        <v>393.72399073249983</v>
      </c>
      <c r="J215" s="9">
        <f t="shared" si="127"/>
        <v>61.174983366074514</v>
      </c>
      <c r="K215" s="9">
        <f t="shared" si="127"/>
        <v>-110.92894736045892</v>
      </c>
      <c r="L215" s="9">
        <f t="shared" si="127"/>
        <v>100.07903942715397</v>
      </c>
      <c r="M215" s="9">
        <f t="shared" si="127"/>
        <v>171.35049068443709</v>
      </c>
      <c r="N215" s="9">
        <f t="shared" si="127"/>
        <v>13.592031072040676</v>
      </c>
      <c r="O215" s="9">
        <f t="shared" si="127"/>
        <v>0</v>
      </c>
      <c r="P215" s="9">
        <f t="shared" si="116"/>
        <v>1231.0718735225978</v>
      </c>
      <c r="Q215" s="157">
        <f t="shared" si="120"/>
        <v>11952.343153681742</v>
      </c>
    </row>
    <row r="216" spans="1:17" ht="15" x14ac:dyDescent="0.35">
      <c r="A216" t="s">
        <v>2</v>
      </c>
      <c r="C216" s="10">
        <f t="shared" ref="C216:O216" si="128">+C147*C84</f>
        <v>33.49004889676506</v>
      </c>
      <c r="D216" s="10">
        <f t="shared" si="128"/>
        <v>0</v>
      </c>
      <c r="E216" s="10">
        <f t="shared" si="128"/>
        <v>440.10458514708711</v>
      </c>
      <c r="F216" s="287"/>
      <c r="G216" s="287"/>
      <c r="H216" s="287"/>
      <c r="I216" s="10">
        <f t="shared" si="128"/>
        <v>315.27559001873703</v>
      </c>
      <c r="J216" s="10">
        <f t="shared" si="128"/>
        <v>34.971167002904721</v>
      </c>
      <c r="K216" s="10">
        <f t="shared" si="128"/>
        <v>-78.730652813525339</v>
      </c>
      <c r="L216" s="10">
        <f t="shared" si="128"/>
        <v>78.759887619371895</v>
      </c>
      <c r="M216" s="10">
        <f t="shared" si="128"/>
        <v>141.22680373070338</v>
      </c>
      <c r="N216" s="10">
        <f t="shared" si="128"/>
        <v>16.112159936767842</v>
      </c>
      <c r="O216" s="10">
        <f t="shared" si="128"/>
        <v>0</v>
      </c>
      <c r="P216" s="10">
        <f t="shared" si="116"/>
        <v>981.20958953881166</v>
      </c>
      <c r="Q216" s="157">
        <f t="shared" si="120"/>
        <v>12933.552743220554</v>
      </c>
    </row>
    <row r="217" spans="1:17" ht="15" x14ac:dyDescent="0.35">
      <c r="C217" s="11">
        <f t="shared" ref="C217:P217" si="129">SUM(C205:C216)</f>
        <v>1212.4879014241753</v>
      </c>
      <c r="D217" s="11">
        <f t="shared" si="129"/>
        <v>0</v>
      </c>
      <c r="E217" s="11">
        <f t="shared" si="129"/>
        <v>5651.4696474244856</v>
      </c>
      <c r="F217" s="288"/>
      <c r="G217" s="288"/>
      <c r="H217" s="288"/>
      <c r="I217" s="11">
        <f t="shared" si="129"/>
        <v>4053.3464153782911</v>
      </c>
      <c r="J217" s="11">
        <f t="shared" si="129"/>
        <v>494.46012762655835</v>
      </c>
      <c r="K217" s="11">
        <f t="shared" si="129"/>
        <v>-1058.7591230113892</v>
      </c>
      <c r="L217" s="11">
        <f t="shared" si="129"/>
        <v>990.03441292779883</v>
      </c>
      <c r="M217" s="11">
        <f t="shared" si="129"/>
        <v>1405.4085664788163</v>
      </c>
      <c r="N217" s="11">
        <f t="shared" si="129"/>
        <v>185.10479497181615</v>
      </c>
      <c r="O217" s="11">
        <f t="shared" si="129"/>
        <v>0</v>
      </c>
      <c r="P217" s="11">
        <f t="shared" si="129"/>
        <v>12933.552743220554</v>
      </c>
    </row>
    <row r="218" spans="1:17" ht="15" x14ac:dyDescent="0.35">
      <c r="C218" s="15"/>
      <c r="D218" s="15"/>
      <c r="E218" s="15"/>
      <c r="F218" s="275"/>
      <c r="G218" s="275"/>
      <c r="H218" s="275"/>
      <c r="I218" s="15"/>
      <c r="J218" s="15"/>
      <c r="K218" s="15"/>
      <c r="L218" s="15"/>
      <c r="M218" s="15"/>
      <c r="N218" s="15"/>
      <c r="O218" s="15"/>
    </row>
    <row r="219" spans="1:17" x14ac:dyDescent="0.2">
      <c r="A219" s="63" t="s">
        <v>182</v>
      </c>
      <c r="C219" s="9">
        <f>+C151*C85</f>
        <v>41.649900760801934</v>
      </c>
      <c r="D219" s="9">
        <f t="shared" ref="D219:O219" si="130">+D151*D85</f>
        <v>0</v>
      </c>
      <c r="E219" s="9">
        <f t="shared" si="130"/>
        <v>760.93333800977359</v>
      </c>
      <c r="F219" s="286"/>
      <c r="G219" s="286"/>
      <c r="H219" s="286"/>
      <c r="I219" s="9">
        <f t="shared" si="130"/>
        <v>641.11785438318179</v>
      </c>
      <c r="J219" s="9">
        <f t="shared" si="130"/>
        <v>56.54126372644334</v>
      </c>
      <c r="K219" s="9">
        <f t="shared" si="130"/>
        <v>-199.91781011241338</v>
      </c>
      <c r="L219" s="9">
        <f t="shared" si="130"/>
        <v>84.374472855009287</v>
      </c>
      <c r="M219" s="9">
        <f t="shared" si="130"/>
        <v>155.78581090928535</v>
      </c>
      <c r="N219" s="9">
        <f t="shared" si="130"/>
        <v>32.181106478913399</v>
      </c>
      <c r="O219" s="9">
        <f t="shared" si="130"/>
        <v>0</v>
      </c>
      <c r="P219" s="9">
        <f t="shared" ref="P219:P230" si="131">SUM(C219:O219)</f>
        <v>1572.6659370109953</v>
      </c>
      <c r="Q219" s="157">
        <f>+P219+Q216</f>
        <v>14506.21868023155</v>
      </c>
    </row>
    <row r="220" spans="1:17" x14ac:dyDescent="0.2">
      <c r="A220" t="s">
        <v>148</v>
      </c>
      <c r="C220" s="9">
        <f t="shared" ref="C220:O220" si="132">+C152*C86</f>
        <v>42.185225659939526</v>
      </c>
      <c r="D220" s="9">
        <f t="shared" si="132"/>
        <v>0</v>
      </c>
      <c r="E220" s="9">
        <f t="shared" si="132"/>
        <v>828.03143510659766</v>
      </c>
      <c r="F220" s="286"/>
      <c r="G220" s="286"/>
      <c r="H220" s="286"/>
      <c r="I220" s="9">
        <f t="shared" si="132"/>
        <v>548.91811467193793</v>
      </c>
      <c r="J220" s="9">
        <f t="shared" si="132"/>
        <v>49.448434849021567</v>
      </c>
      <c r="K220" s="9">
        <f t="shared" si="132"/>
        <v>-170.8231482018688</v>
      </c>
      <c r="L220" s="9">
        <f t="shared" si="132"/>
        <v>28.118188181185559</v>
      </c>
      <c r="M220" s="9">
        <f t="shared" si="132"/>
        <v>105.02143285672805</v>
      </c>
      <c r="N220" s="9">
        <f t="shared" si="132"/>
        <v>16.753753791289725</v>
      </c>
      <c r="O220" s="9">
        <f t="shared" si="132"/>
        <v>0</v>
      </c>
      <c r="P220" s="9">
        <f t="shared" si="131"/>
        <v>1447.6534369148312</v>
      </c>
      <c r="Q220" s="157">
        <f>+P220+Q219</f>
        <v>15953.87211714638</v>
      </c>
    </row>
    <row r="221" spans="1:17" x14ac:dyDescent="0.2">
      <c r="A221" t="s">
        <v>149</v>
      </c>
      <c r="C221" s="9">
        <f t="shared" ref="C221:O221" si="133">+C153*C87</f>
        <v>84.988421863096036</v>
      </c>
      <c r="D221" s="9">
        <f t="shared" si="133"/>
        <v>0</v>
      </c>
      <c r="E221" s="9">
        <f t="shared" si="133"/>
        <v>801.01207480036533</v>
      </c>
      <c r="F221" s="286"/>
      <c r="G221" s="286"/>
      <c r="H221" s="286"/>
      <c r="I221" s="9">
        <f t="shared" si="133"/>
        <v>701.87106610401543</v>
      </c>
      <c r="J221" s="9">
        <f t="shared" si="133"/>
        <v>60.516494625102112</v>
      </c>
      <c r="K221" s="9">
        <f t="shared" si="133"/>
        <v>-174.6140577396186</v>
      </c>
      <c r="L221" s="9">
        <f t="shared" si="133"/>
        <v>39.386551261499825</v>
      </c>
      <c r="M221" s="9">
        <f t="shared" si="133"/>
        <v>56.089031769828061</v>
      </c>
      <c r="N221" s="9">
        <f t="shared" si="133"/>
        <v>26.556743158923897</v>
      </c>
      <c r="O221" s="9">
        <f t="shared" si="133"/>
        <v>0</v>
      </c>
      <c r="P221" s="9">
        <f t="shared" si="131"/>
        <v>1595.8063258432121</v>
      </c>
      <c r="Q221" s="157">
        <f t="shared" ref="Q221:Q230" si="134">+P221+Q220</f>
        <v>17549.678442989592</v>
      </c>
    </row>
    <row r="222" spans="1:17" x14ac:dyDescent="0.2">
      <c r="A222" t="s">
        <v>150</v>
      </c>
      <c r="C222" s="9">
        <f t="shared" ref="C222:O222" si="135">+C154*C88</f>
        <v>149.04783424429272</v>
      </c>
      <c r="D222" s="9">
        <f t="shared" si="135"/>
        <v>0</v>
      </c>
      <c r="E222" s="9">
        <f t="shared" si="135"/>
        <v>998.63196226275477</v>
      </c>
      <c r="F222" s="286"/>
      <c r="G222" s="286"/>
      <c r="H222" s="286"/>
      <c r="I222" s="9">
        <f t="shared" si="135"/>
        <v>541.60662273576531</v>
      </c>
      <c r="J222" s="9">
        <f t="shared" si="135"/>
        <v>131.21406801480194</v>
      </c>
      <c r="K222" s="9">
        <f t="shared" si="135"/>
        <v>-163.48925396372229</v>
      </c>
      <c r="L222" s="9">
        <f t="shared" si="135"/>
        <v>-242.56125645927531</v>
      </c>
      <c r="M222" s="9">
        <f t="shared" si="135"/>
        <v>60.281788302519196</v>
      </c>
      <c r="N222" s="9">
        <f t="shared" si="135"/>
        <v>51.03429493699737</v>
      </c>
      <c r="O222" s="9">
        <f t="shared" si="135"/>
        <v>0</v>
      </c>
      <c r="P222" s="9">
        <f t="shared" si="131"/>
        <v>1525.7660600741337</v>
      </c>
      <c r="Q222" s="157">
        <f t="shared" si="134"/>
        <v>19075.444503063725</v>
      </c>
    </row>
    <row r="223" spans="1:17" x14ac:dyDescent="0.2">
      <c r="A223" t="s">
        <v>151</v>
      </c>
      <c r="C223" s="9">
        <f t="shared" ref="C223:O223" si="136">+C155*C89</f>
        <v>196.38733423579757</v>
      </c>
      <c r="D223" s="9">
        <f t="shared" si="136"/>
        <v>0</v>
      </c>
      <c r="E223" s="9">
        <f t="shared" si="136"/>
        <v>1098.4327366438347</v>
      </c>
      <c r="F223" s="286"/>
      <c r="G223" s="286"/>
      <c r="H223" s="286"/>
      <c r="I223" s="9">
        <f t="shared" si="136"/>
        <v>598.13348681745322</v>
      </c>
      <c r="J223" s="9">
        <f t="shared" si="136"/>
        <v>101.17034336255274</v>
      </c>
      <c r="K223" s="9">
        <f t="shared" si="136"/>
        <v>-172.94990150901688</v>
      </c>
      <c r="L223" s="9">
        <f t="shared" si="136"/>
        <v>-226.47752872291406</v>
      </c>
      <c r="M223" s="9">
        <f t="shared" si="136"/>
        <v>108.46108233295857</v>
      </c>
      <c r="N223" s="9">
        <f t="shared" si="136"/>
        <v>20.652587730341995</v>
      </c>
      <c r="O223" s="9">
        <f t="shared" si="136"/>
        <v>0</v>
      </c>
      <c r="P223" s="9">
        <f t="shared" si="131"/>
        <v>1723.8101408910081</v>
      </c>
      <c r="Q223" s="157">
        <f t="shared" si="134"/>
        <v>20799.254643954733</v>
      </c>
    </row>
    <row r="224" spans="1:17" x14ac:dyDescent="0.2">
      <c r="A224" t="s">
        <v>152</v>
      </c>
      <c r="C224" s="9">
        <f t="shared" ref="C224:O224" si="137">+C156*C90</f>
        <v>211.00867015972179</v>
      </c>
      <c r="D224" s="9">
        <f t="shared" si="137"/>
        <v>0</v>
      </c>
      <c r="E224" s="9">
        <f t="shared" si="137"/>
        <v>1020.212836270636</v>
      </c>
      <c r="F224" s="286"/>
      <c r="G224" s="286"/>
      <c r="H224" s="286"/>
      <c r="I224" s="9">
        <f t="shared" si="137"/>
        <v>542.07175068371475</v>
      </c>
      <c r="J224" s="9">
        <f t="shared" si="137"/>
        <v>95.291866289900241</v>
      </c>
      <c r="K224" s="9">
        <f t="shared" si="137"/>
        <v>-182.84828504588816</v>
      </c>
      <c r="L224" s="9">
        <f t="shared" si="137"/>
        <v>-215.11231264649786</v>
      </c>
      <c r="M224" s="9">
        <f t="shared" si="137"/>
        <v>117.73381620075691</v>
      </c>
      <c r="N224" s="9">
        <f t="shared" si="137"/>
        <v>48.867803659317985</v>
      </c>
      <c r="O224" s="9">
        <f t="shared" si="137"/>
        <v>0</v>
      </c>
      <c r="P224" s="9">
        <f t="shared" si="131"/>
        <v>1637.2261455716618</v>
      </c>
      <c r="Q224" s="157">
        <f t="shared" si="134"/>
        <v>22436.480789526395</v>
      </c>
    </row>
    <row r="225" spans="1:22" x14ac:dyDescent="0.2">
      <c r="A225" t="s">
        <v>7</v>
      </c>
      <c r="C225" s="9">
        <f t="shared" ref="C225:O225" si="138">+C157*C91</f>
        <v>260.40150650131335</v>
      </c>
      <c r="D225" s="9">
        <f t="shared" si="138"/>
        <v>0</v>
      </c>
      <c r="E225" s="9">
        <f t="shared" si="138"/>
        <v>1165.096486386863</v>
      </c>
      <c r="F225" s="286"/>
      <c r="G225" s="286"/>
      <c r="H225" s="286"/>
      <c r="I225" s="9">
        <f t="shared" si="138"/>
        <v>686.7542698599533</v>
      </c>
      <c r="J225" s="9">
        <f t="shared" si="138"/>
        <v>136.93923399382152</v>
      </c>
      <c r="K225" s="9">
        <f t="shared" si="138"/>
        <v>-178.76837050353839</v>
      </c>
      <c r="L225" s="9">
        <f t="shared" si="138"/>
        <v>112.9391589117507</v>
      </c>
      <c r="M225" s="9">
        <f t="shared" si="138"/>
        <v>142.59367533221899</v>
      </c>
      <c r="N225" s="9">
        <f t="shared" si="138"/>
        <v>50.711063762583962</v>
      </c>
      <c r="O225" s="9">
        <f t="shared" si="138"/>
        <v>0</v>
      </c>
      <c r="P225" s="9">
        <f t="shared" si="131"/>
        <v>2376.6670242449668</v>
      </c>
      <c r="Q225" s="157">
        <f t="shared" si="134"/>
        <v>24813.14781377136</v>
      </c>
    </row>
    <row r="226" spans="1:22" x14ac:dyDescent="0.2">
      <c r="A226" s="63" t="s">
        <v>183</v>
      </c>
      <c r="C226" s="9">
        <f t="shared" ref="C226:O226" si="139">+C158*C92</f>
        <v>0</v>
      </c>
      <c r="D226" s="9">
        <f t="shared" si="139"/>
        <v>213.4013701779491</v>
      </c>
      <c r="E226" s="9">
        <f t="shared" si="139"/>
        <v>1194.9653121235192</v>
      </c>
      <c r="F226" s="286"/>
      <c r="G226" s="286"/>
      <c r="H226" s="286"/>
      <c r="I226" s="9">
        <f t="shared" si="139"/>
        <v>570.22816429178022</v>
      </c>
      <c r="J226" s="9">
        <f t="shared" si="139"/>
        <v>117.43279282068329</v>
      </c>
      <c r="K226" s="9">
        <f t="shared" si="139"/>
        <v>-164.94107657805569</v>
      </c>
      <c r="L226" s="9">
        <f t="shared" si="139"/>
        <v>114.33326158165312</v>
      </c>
      <c r="M226" s="9">
        <f t="shared" si="139"/>
        <v>126.85006804420297</v>
      </c>
      <c r="N226" s="9">
        <f t="shared" si="139"/>
        <v>38.658607953932901</v>
      </c>
      <c r="O226" s="9">
        <f t="shared" si="139"/>
        <v>0</v>
      </c>
      <c r="P226" s="9">
        <f t="shared" si="131"/>
        <v>2210.928500415665</v>
      </c>
      <c r="Q226" s="157">
        <f t="shared" si="134"/>
        <v>27024.076314187027</v>
      </c>
    </row>
    <row r="227" spans="1:22" x14ac:dyDescent="0.2">
      <c r="A227" t="s">
        <v>10</v>
      </c>
      <c r="C227" s="9">
        <f t="shared" ref="C227:O227" si="140">+C159*C93</f>
        <v>0</v>
      </c>
      <c r="D227" s="9">
        <f t="shared" si="140"/>
        <v>534.17085029763223</v>
      </c>
      <c r="E227" s="9">
        <f t="shared" si="140"/>
        <v>758.72846992225243</v>
      </c>
      <c r="F227" s="286"/>
      <c r="G227" s="286"/>
      <c r="H227" s="286"/>
      <c r="I227" s="9">
        <f t="shared" si="140"/>
        <v>518.03750695329359</v>
      </c>
      <c r="J227" s="9">
        <f t="shared" si="140"/>
        <v>83.931339937689501</v>
      </c>
      <c r="K227" s="9">
        <f t="shared" si="140"/>
        <v>-160.64585086044613</v>
      </c>
      <c r="L227" s="9">
        <f t="shared" si="140"/>
        <v>113.51226246590046</v>
      </c>
      <c r="M227" s="9">
        <f t="shared" si="140"/>
        <v>71.079727721173271</v>
      </c>
      <c r="N227" s="9">
        <f t="shared" si="140"/>
        <v>56.118832695282634</v>
      </c>
      <c r="O227" s="9">
        <f t="shared" si="140"/>
        <v>0</v>
      </c>
      <c r="P227" s="9">
        <f t="shared" si="131"/>
        <v>1974.9331391327778</v>
      </c>
      <c r="Q227" s="157">
        <f t="shared" si="134"/>
        <v>28999.009453319806</v>
      </c>
    </row>
    <row r="228" spans="1:22" x14ac:dyDescent="0.2">
      <c r="A228" t="s">
        <v>8</v>
      </c>
      <c r="C228" s="9">
        <f t="shared" ref="C228:O228" si="141">+C160*C94</f>
        <v>0</v>
      </c>
      <c r="D228" s="9">
        <f t="shared" si="141"/>
        <v>441.26339230601468</v>
      </c>
      <c r="E228" s="9">
        <f t="shared" si="141"/>
        <v>1012.1907270088145</v>
      </c>
      <c r="F228" s="286"/>
      <c r="G228" s="286"/>
      <c r="H228" s="286"/>
      <c r="I228" s="9">
        <f t="shared" si="141"/>
        <v>614.91431626902829</v>
      </c>
      <c r="J228" s="9">
        <f t="shared" si="141"/>
        <v>76.638996795858617</v>
      </c>
      <c r="K228" s="9">
        <f t="shared" si="141"/>
        <v>-118.77200001049512</v>
      </c>
      <c r="L228" s="9">
        <f t="shared" si="141"/>
        <v>142.28073809905362</v>
      </c>
      <c r="M228" s="9">
        <f t="shared" si="141"/>
        <v>75.884185563208931</v>
      </c>
      <c r="N228" s="9">
        <f t="shared" si="141"/>
        <v>75.827923377524897</v>
      </c>
      <c r="O228" s="9">
        <f t="shared" si="141"/>
        <v>0</v>
      </c>
      <c r="P228" s="9">
        <f t="shared" si="131"/>
        <v>2320.2282794090083</v>
      </c>
      <c r="Q228" s="157">
        <f t="shared" si="134"/>
        <v>31319.237732728816</v>
      </c>
    </row>
    <row r="229" spans="1:22" x14ac:dyDescent="0.2">
      <c r="A229" t="s">
        <v>9</v>
      </c>
      <c r="C229" s="9">
        <f t="shared" ref="C229:O229" si="142">+C161*C95</f>
        <v>0</v>
      </c>
      <c r="D229" s="9">
        <f t="shared" si="142"/>
        <v>330.76475298037809</v>
      </c>
      <c r="E229" s="9">
        <f t="shared" si="142"/>
        <v>912.6057594329161</v>
      </c>
      <c r="F229" s="286"/>
      <c r="G229" s="286"/>
      <c r="H229" s="286"/>
      <c r="I229" s="9">
        <f t="shared" si="142"/>
        <v>765.78012008763551</v>
      </c>
      <c r="J229" s="9">
        <f t="shared" si="142"/>
        <v>96.853854414486975</v>
      </c>
      <c r="K229" s="9">
        <f t="shared" si="142"/>
        <v>-112.95166466208182</v>
      </c>
      <c r="L229" s="9">
        <f t="shared" si="142"/>
        <v>151.89584818255042</v>
      </c>
      <c r="M229" s="9">
        <f t="shared" si="142"/>
        <v>73.803731471676997</v>
      </c>
      <c r="N229" s="9">
        <f t="shared" si="142"/>
        <v>74.861279890742168</v>
      </c>
      <c r="O229" s="9">
        <f t="shared" si="142"/>
        <v>0</v>
      </c>
      <c r="P229" s="9">
        <f t="shared" si="131"/>
        <v>2293.6136817983042</v>
      </c>
      <c r="Q229" s="157">
        <f t="shared" si="134"/>
        <v>33612.851414527118</v>
      </c>
    </row>
    <row r="230" spans="1:22" ht="15" x14ac:dyDescent="0.35">
      <c r="A230" t="s">
        <v>2</v>
      </c>
      <c r="C230" s="10">
        <f t="shared" ref="C230:O230" si="143">+C162*C96</f>
        <v>0</v>
      </c>
      <c r="D230" s="10">
        <f t="shared" si="143"/>
        <v>383.40318467079595</v>
      </c>
      <c r="E230" s="10">
        <f t="shared" si="143"/>
        <v>1065.9497581279536</v>
      </c>
      <c r="F230" s="287"/>
      <c r="G230" s="287"/>
      <c r="H230" s="287"/>
      <c r="I230" s="10">
        <f t="shared" si="143"/>
        <v>770.61295289192424</v>
      </c>
      <c r="J230" s="10">
        <f t="shared" si="143"/>
        <v>83.409619705694737</v>
      </c>
      <c r="K230" s="10">
        <f t="shared" si="143"/>
        <v>-104.8760400818021</v>
      </c>
      <c r="L230" s="10">
        <f t="shared" si="143"/>
        <v>231.70223480638961</v>
      </c>
      <c r="M230" s="10">
        <f t="shared" si="143"/>
        <v>87.613900422699899</v>
      </c>
      <c r="N230" s="10">
        <f t="shared" si="143"/>
        <v>105.74774531059784</v>
      </c>
      <c r="O230" s="10">
        <f t="shared" si="143"/>
        <v>0</v>
      </c>
      <c r="P230" s="10">
        <f t="shared" si="131"/>
        <v>2623.563355854254</v>
      </c>
      <c r="Q230" s="157">
        <f t="shared" si="134"/>
        <v>36236.414770381372</v>
      </c>
    </row>
    <row r="231" spans="1:22" ht="15" x14ac:dyDescent="0.35">
      <c r="C231" s="11">
        <f t="shared" ref="C231:P231" si="144">SUM(C219:C230)</f>
        <v>985.66889342496279</v>
      </c>
      <c r="D231" s="11">
        <f t="shared" si="144"/>
        <v>1903.00355043277</v>
      </c>
      <c r="E231" s="11">
        <f t="shared" si="144"/>
        <v>11616.790896096281</v>
      </c>
      <c r="F231" s="288"/>
      <c r="G231" s="288"/>
      <c r="H231" s="288"/>
      <c r="I231" s="11">
        <f t="shared" si="144"/>
        <v>7500.0462257496847</v>
      </c>
      <c r="J231" s="11">
        <f t="shared" si="144"/>
        <v>1089.3883085360565</v>
      </c>
      <c r="K231" s="11">
        <f t="shared" si="144"/>
        <v>-1905.5974592689472</v>
      </c>
      <c r="L231" s="11">
        <f t="shared" si="144"/>
        <v>334.39161851630536</v>
      </c>
      <c r="M231" s="11">
        <f t="shared" si="144"/>
        <v>1181.1982509272573</v>
      </c>
      <c r="N231" s="11">
        <f t="shared" si="144"/>
        <v>597.97174274644874</v>
      </c>
      <c r="O231" s="11">
        <f t="shared" si="144"/>
        <v>0</v>
      </c>
      <c r="P231" s="11">
        <f t="shared" si="144"/>
        <v>23302.862027160816</v>
      </c>
    </row>
    <row r="232" spans="1:22" ht="15" x14ac:dyDescent="0.35">
      <c r="C232" s="15"/>
      <c r="D232" s="15"/>
      <c r="E232" s="15"/>
      <c r="F232" s="275"/>
      <c r="G232" s="275"/>
      <c r="H232" s="275"/>
      <c r="I232" s="15"/>
      <c r="J232" s="15"/>
      <c r="K232" s="15"/>
      <c r="L232" s="15"/>
      <c r="M232" s="15"/>
      <c r="N232" s="15"/>
      <c r="O232" s="15"/>
    </row>
    <row r="233" spans="1:22" ht="15" x14ac:dyDescent="0.35">
      <c r="C233" s="15"/>
      <c r="D233" s="15"/>
      <c r="E233" s="15"/>
      <c r="F233" s="275"/>
      <c r="G233" s="275"/>
      <c r="H233" s="275"/>
      <c r="I233" s="15"/>
      <c r="J233" s="15"/>
      <c r="K233" s="15"/>
      <c r="L233" s="15"/>
      <c r="M233" s="15"/>
      <c r="N233" s="15"/>
      <c r="O233" s="15"/>
    </row>
    <row r="234" spans="1:22" x14ac:dyDescent="0.2">
      <c r="A234" s="3" t="s">
        <v>53</v>
      </c>
    </row>
    <row r="235" spans="1:22" x14ac:dyDescent="0.2">
      <c r="A235" s="63" t="s">
        <v>180</v>
      </c>
      <c r="C235" s="9">
        <f t="shared" ref="C235:O235" si="145">+C168*C73</f>
        <v>10523.220224919141</v>
      </c>
      <c r="D235" s="9">
        <f t="shared" si="145"/>
        <v>0</v>
      </c>
      <c r="E235" s="9">
        <f t="shared" si="145"/>
        <v>27830.606787244273</v>
      </c>
      <c r="F235" s="286"/>
      <c r="G235" s="286"/>
      <c r="H235" s="286"/>
      <c r="I235" s="9">
        <f t="shared" si="145"/>
        <v>15947.986062628488</v>
      </c>
      <c r="J235" s="9">
        <f t="shared" si="145"/>
        <v>1974.6169176378983</v>
      </c>
      <c r="K235" s="9">
        <f t="shared" si="145"/>
        <v>-4066.1768397419241</v>
      </c>
      <c r="L235" s="9">
        <f t="shared" si="145"/>
        <v>11906.966011761569</v>
      </c>
      <c r="M235" s="9">
        <f t="shared" si="145"/>
        <v>5411.2319863000057</v>
      </c>
      <c r="N235" s="9">
        <f t="shared" si="145"/>
        <v>1461.0207258059543</v>
      </c>
      <c r="O235" s="9">
        <f t="shared" si="145"/>
        <v>0</v>
      </c>
      <c r="P235" s="9">
        <f t="shared" ref="P235:P246" si="146">SUM(C235:O235)</f>
        <v>70989.471876555399</v>
      </c>
    </row>
    <row r="236" spans="1:22" x14ac:dyDescent="0.2">
      <c r="A236" t="s">
        <v>148</v>
      </c>
      <c r="C236" s="9">
        <f t="shared" ref="C236:O236" si="147">+C169*C74</f>
        <v>7248.6362365043651</v>
      </c>
      <c r="D236" s="9">
        <f t="shared" si="147"/>
        <v>0</v>
      </c>
      <c r="E236" s="9">
        <f t="shared" si="147"/>
        <v>30154.167035752205</v>
      </c>
      <c r="F236" s="286"/>
      <c r="G236" s="286"/>
      <c r="H236" s="286"/>
      <c r="I236" s="9">
        <f t="shared" si="147"/>
        <v>15545.069594691036</v>
      </c>
      <c r="J236" s="9">
        <f t="shared" si="147"/>
        <v>1335.864631274796</v>
      </c>
      <c r="K236" s="9">
        <f t="shared" si="147"/>
        <v>-3117.6682467651585</v>
      </c>
      <c r="L236" s="9">
        <f t="shared" si="147"/>
        <v>6325.8492116600637</v>
      </c>
      <c r="M236" s="9">
        <f t="shared" si="147"/>
        <v>4708.946978584203</v>
      </c>
      <c r="N236" s="9">
        <f t="shared" si="147"/>
        <v>1048.5189514580227</v>
      </c>
      <c r="O236" s="9">
        <f t="shared" si="147"/>
        <v>0</v>
      </c>
      <c r="P236" s="9">
        <f t="shared" si="146"/>
        <v>63249.384393159526</v>
      </c>
      <c r="Q236" s="157">
        <f>+P236+P235</f>
        <v>134238.85626971492</v>
      </c>
    </row>
    <row r="237" spans="1:22" x14ac:dyDescent="0.2">
      <c r="A237" t="s">
        <v>149</v>
      </c>
      <c r="C237" s="9">
        <f t="shared" ref="C237:O237" si="148">+C170*C75</f>
        <v>8155.7429592419412</v>
      </c>
      <c r="D237" s="9">
        <f t="shared" si="148"/>
        <v>0</v>
      </c>
      <c r="E237" s="9">
        <f t="shared" si="148"/>
        <v>29772.746513324317</v>
      </c>
      <c r="F237" s="286"/>
      <c r="G237" s="286"/>
      <c r="H237" s="286"/>
      <c r="I237" s="9">
        <f t="shared" si="148"/>
        <v>15998.769547053556</v>
      </c>
      <c r="J237" s="9">
        <f t="shared" si="148"/>
        <v>1226.58393685338</v>
      </c>
      <c r="K237" s="9">
        <f t="shared" si="148"/>
        <v>-3391.5195752739464</v>
      </c>
      <c r="L237" s="9">
        <f t="shared" si="148"/>
        <v>1990.7683414329706</v>
      </c>
      <c r="M237" s="9">
        <f t="shared" si="148"/>
        <v>3237.700213538858</v>
      </c>
      <c r="N237" s="9">
        <f t="shared" si="148"/>
        <v>630.11507281702154</v>
      </c>
      <c r="O237" s="9">
        <f t="shared" si="148"/>
        <v>0</v>
      </c>
      <c r="P237" s="9">
        <f t="shared" si="146"/>
        <v>57620.907008988106</v>
      </c>
      <c r="Q237" s="157">
        <f>+P237+Q236</f>
        <v>191859.76327870303</v>
      </c>
      <c r="V237" t="s">
        <v>197</v>
      </c>
    </row>
    <row r="238" spans="1:22" x14ac:dyDescent="0.2">
      <c r="A238" t="s">
        <v>150</v>
      </c>
      <c r="C238" s="9">
        <f t="shared" ref="C238:O238" si="149">+C171*C76</f>
        <v>7210.6219421241531</v>
      </c>
      <c r="D238" s="9">
        <f t="shared" si="149"/>
        <v>0</v>
      </c>
      <c r="E238" s="9">
        <f t="shared" si="149"/>
        <v>20698.772831405542</v>
      </c>
      <c r="F238" s="286"/>
      <c r="G238" s="286"/>
      <c r="H238" s="286"/>
      <c r="I238" s="9">
        <f t="shared" si="149"/>
        <v>12985.502466158568</v>
      </c>
      <c r="J238" s="9">
        <f t="shared" si="149"/>
        <v>1157.8212810873192</v>
      </c>
      <c r="K238" s="9">
        <f t="shared" si="149"/>
        <v>-3057.5283675510382</v>
      </c>
      <c r="L238" s="9">
        <f t="shared" si="149"/>
        <v>1049.9106875147745</v>
      </c>
      <c r="M238" s="9">
        <f t="shared" si="149"/>
        <v>3133.1654244770289</v>
      </c>
      <c r="N238" s="9">
        <f t="shared" si="149"/>
        <v>332.82836061584942</v>
      </c>
      <c r="O238" s="9">
        <f t="shared" si="149"/>
        <v>0</v>
      </c>
      <c r="P238" s="9">
        <f t="shared" si="146"/>
        <v>43511.094625832207</v>
      </c>
      <c r="Q238" s="157">
        <f t="shared" ref="Q238:Q246" si="150">+P238+Q237</f>
        <v>235370.85790453525</v>
      </c>
    </row>
    <row r="239" spans="1:22" x14ac:dyDescent="0.2">
      <c r="A239" t="s">
        <v>151</v>
      </c>
      <c r="C239" s="9">
        <f t="shared" ref="C239:O239" si="151">+C172*C77</f>
        <v>-1165.0616815548392</v>
      </c>
      <c r="D239" s="9">
        <f t="shared" si="151"/>
        <v>0</v>
      </c>
      <c r="E239" s="9">
        <f t="shared" si="151"/>
        <v>12837.686246911742</v>
      </c>
      <c r="F239" s="286"/>
      <c r="G239" s="286"/>
      <c r="H239" s="286"/>
      <c r="I239" s="9">
        <f t="shared" si="151"/>
        <v>9938.6975510764387</v>
      </c>
      <c r="J239" s="9">
        <f t="shared" si="151"/>
        <v>1275.3949041178591</v>
      </c>
      <c r="K239" s="9">
        <f t="shared" si="151"/>
        <v>-3690.9904502954455</v>
      </c>
      <c r="L239" s="9">
        <f t="shared" si="151"/>
        <v>924.10907879502395</v>
      </c>
      <c r="M239" s="9">
        <f t="shared" si="151"/>
        <v>3125.1979594165887</v>
      </c>
      <c r="N239" s="9">
        <f t="shared" si="151"/>
        <v>380.73673095134347</v>
      </c>
      <c r="O239" s="9">
        <f t="shared" si="151"/>
        <v>0</v>
      </c>
      <c r="P239" s="9">
        <f t="shared" si="146"/>
        <v>23625.770339418712</v>
      </c>
      <c r="Q239" s="157">
        <f t="shared" si="150"/>
        <v>258996.62824395398</v>
      </c>
    </row>
    <row r="240" spans="1:22" x14ac:dyDescent="0.2">
      <c r="A240" t="s">
        <v>152</v>
      </c>
      <c r="C240" s="9">
        <f t="shared" ref="C240:O240" si="152">+C173*C78</f>
        <v>-586.69750917755209</v>
      </c>
      <c r="D240" s="9">
        <f t="shared" si="152"/>
        <v>0</v>
      </c>
      <c r="E240" s="9">
        <f t="shared" si="152"/>
        <v>9075.5021220816125</v>
      </c>
      <c r="F240" s="286"/>
      <c r="G240" s="286"/>
      <c r="H240" s="286"/>
      <c r="I240" s="9">
        <f t="shared" si="152"/>
        <v>9988.0893973024304</v>
      </c>
      <c r="J240" s="9">
        <f t="shared" si="152"/>
        <v>1318.0212415702863</v>
      </c>
      <c r="K240" s="9">
        <f t="shared" si="152"/>
        <v>-2784.665571046065</v>
      </c>
      <c r="L240" s="9">
        <f t="shared" si="152"/>
        <v>1282.5250083072187</v>
      </c>
      <c r="M240" s="9">
        <f t="shared" si="152"/>
        <v>2846.8220722874303</v>
      </c>
      <c r="N240" s="9">
        <f t="shared" si="152"/>
        <v>647.62486372894216</v>
      </c>
      <c r="O240" s="9">
        <f t="shared" si="152"/>
        <v>0</v>
      </c>
      <c r="P240" s="9">
        <f t="shared" si="146"/>
        <v>21787.221625054302</v>
      </c>
      <c r="Q240" s="157">
        <f t="shared" si="150"/>
        <v>280783.84986900829</v>
      </c>
    </row>
    <row r="241" spans="1:21" x14ac:dyDescent="0.2">
      <c r="A241" t="s">
        <v>7</v>
      </c>
      <c r="C241" s="9">
        <f t="shared" ref="C241:O241" si="153">+C174*C79</f>
        <v>2815.7817932498151</v>
      </c>
      <c r="D241" s="9">
        <f t="shared" si="153"/>
        <v>0</v>
      </c>
      <c r="E241" s="9">
        <f t="shared" si="153"/>
        <v>10131.222259979106</v>
      </c>
      <c r="F241" s="286"/>
      <c r="G241" s="286"/>
      <c r="H241" s="286"/>
      <c r="I241" s="9">
        <f t="shared" si="153"/>
        <v>11796.772137557247</v>
      </c>
      <c r="J241" s="9">
        <f t="shared" si="153"/>
        <v>1491.5132328758245</v>
      </c>
      <c r="K241" s="9">
        <f t="shared" si="153"/>
        <v>-3197.1561016399801</v>
      </c>
      <c r="L241" s="9">
        <f t="shared" si="153"/>
        <v>1435.797163803828</v>
      </c>
      <c r="M241" s="9">
        <f t="shared" si="153"/>
        <v>5082.508907700495</v>
      </c>
      <c r="N241" s="9">
        <f t="shared" si="153"/>
        <v>454.01291781509457</v>
      </c>
      <c r="O241" s="9">
        <f t="shared" si="153"/>
        <v>0</v>
      </c>
      <c r="P241" s="9">
        <f t="shared" si="146"/>
        <v>30010.452311341429</v>
      </c>
      <c r="Q241" s="157">
        <f t="shared" si="150"/>
        <v>310794.30218034971</v>
      </c>
    </row>
    <row r="242" spans="1:21" x14ac:dyDescent="0.2">
      <c r="A242" s="63" t="s">
        <v>181</v>
      </c>
      <c r="C242" s="9">
        <f t="shared" ref="C242:O242" si="154">+C175*C80</f>
        <v>2523.9525820844942</v>
      </c>
      <c r="D242" s="9">
        <f t="shared" si="154"/>
        <v>0</v>
      </c>
      <c r="E242" s="9">
        <f t="shared" si="154"/>
        <v>11306.449787471638</v>
      </c>
      <c r="F242" s="286"/>
      <c r="G242" s="286"/>
      <c r="H242" s="286"/>
      <c r="I242" s="9">
        <f t="shared" si="154"/>
        <v>14178.00386549989</v>
      </c>
      <c r="J242" s="9">
        <f t="shared" si="154"/>
        <v>1738.2427601352224</v>
      </c>
      <c r="K242" s="9">
        <f t="shared" si="154"/>
        <v>-3381.1328781764469</v>
      </c>
      <c r="L242" s="9">
        <f t="shared" si="154"/>
        <v>2016.9353414921202</v>
      </c>
      <c r="M242" s="9">
        <f t="shared" si="154"/>
        <v>4838.8075884132058</v>
      </c>
      <c r="N242" s="9">
        <f t="shared" si="154"/>
        <v>286.20616787185372</v>
      </c>
      <c r="O242" s="9">
        <f t="shared" si="154"/>
        <v>0</v>
      </c>
      <c r="P242" s="9">
        <f t="shared" si="146"/>
        <v>33507.465214791977</v>
      </c>
      <c r="Q242" s="157">
        <f t="shared" si="150"/>
        <v>344301.76739514171</v>
      </c>
    </row>
    <row r="243" spans="1:21" x14ac:dyDescent="0.2">
      <c r="A243" t="s">
        <v>10</v>
      </c>
      <c r="C243" s="9">
        <f t="shared" ref="C243:O243" si="155">+C176*C81</f>
        <v>2908.5818777439381</v>
      </c>
      <c r="D243" s="9">
        <f t="shared" si="155"/>
        <v>0</v>
      </c>
      <c r="E243" s="9">
        <f t="shared" si="155"/>
        <v>12918.589245657073</v>
      </c>
      <c r="F243" s="286"/>
      <c r="G243" s="286"/>
      <c r="H243" s="286"/>
      <c r="I243" s="9">
        <f t="shared" si="155"/>
        <v>10641.342450878014</v>
      </c>
      <c r="J243" s="9">
        <f t="shared" si="155"/>
        <v>1591.7685844404232</v>
      </c>
      <c r="K243" s="9">
        <f t="shared" si="155"/>
        <v>-2967.7815549418369</v>
      </c>
      <c r="L243" s="9">
        <f t="shared" si="155"/>
        <v>1506.5965868637668</v>
      </c>
      <c r="M243" s="9">
        <f t="shared" si="155"/>
        <v>4201.0866364470421</v>
      </c>
      <c r="N243" s="9">
        <f t="shared" si="155"/>
        <v>344.0545090193699</v>
      </c>
      <c r="O243" s="9">
        <f t="shared" si="155"/>
        <v>0</v>
      </c>
      <c r="P243" s="9">
        <f t="shared" si="146"/>
        <v>31144.238336107788</v>
      </c>
      <c r="Q243" s="157">
        <f t="shared" si="150"/>
        <v>375446.00573124952</v>
      </c>
    </row>
    <row r="244" spans="1:21" x14ac:dyDescent="0.2">
      <c r="A244" t="s">
        <v>8</v>
      </c>
      <c r="C244" s="9">
        <f t="shared" ref="C244:O244" si="156">+C177*C82</f>
        <v>2749.2869059198079</v>
      </c>
      <c r="D244" s="9">
        <f t="shared" si="156"/>
        <v>0</v>
      </c>
      <c r="E244" s="9">
        <f t="shared" si="156"/>
        <v>15824.372947091349</v>
      </c>
      <c r="F244" s="286"/>
      <c r="G244" s="286"/>
      <c r="H244" s="286"/>
      <c r="I244" s="9">
        <f t="shared" si="156"/>
        <v>11786.404522382327</v>
      </c>
      <c r="J244" s="9">
        <f t="shared" si="156"/>
        <v>2231.1304472994671</v>
      </c>
      <c r="K244" s="9">
        <f t="shared" si="156"/>
        <v>-3818.5196575518748</v>
      </c>
      <c r="L244" s="9">
        <f t="shared" si="156"/>
        <v>2803.5230771309843</v>
      </c>
      <c r="M244" s="9">
        <f t="shared" si="156"/>
        <v>5504.640877064694</v>
      </c>
      <c r="N244" s="9">
        <f t="shared" si="156"/>
        <v>400.09503649167982</v>
      </c>
      <c r="O244" s="9">
        <f t="shared" si="156"/>
        <v>0</v>
      </c>
      <c r="P244" s="9">
        <f t="shared" si="146"/>
        <v>37480.934155828436</v>
      </c>
      <c r="Q244" s="157">
        <f t="shared" si="150"/>
        <v>412926.93988707796</v>
      </c>
    </row>
    <row r="245" spans="1:21" x14ac:dyDescent="0.2">
      <c r="A245" t="s">
        <v>9</v>
      </c>
      <c r="C245" s="9">
        <f t="shared" ref="C245:O245" si="157">+C178*C83</f>
        <v>3024.7264675935726</v>
      </c>
      <c r="D245" s="9">
        <f t="shared" si="157"/>
        <v>0</v>
      </c>
      <c r="E245" s="9">
        <f t="shared" si="157"/>
        <v>20164.237173274832</v>
      </c>
      <c r="F245" s="286"/>
      <c r="G245" s="286"/>
      <c r="H245" s="286"/>
      <c r="I245" s="9">
        <f t="shared" si="157"/>
        <v>15164.175815061188</v>
      </c>
      <c r="J245" s="9">
        <f t="shared" si="157"/>
        <v>2356.1383737900414</v>
      </c>
      <c r="K245" s="9">
        <f t="shared" si="157"/>
        <v>-4272.3991942277507</v>
      </c>
      <c r="L245" s="9">
        <f t="shared" si="157"/>
        <v>3854.5178475214821</v>
      </c>
      <c r="M245" s="9">
        <f t="shared" si="157"/>
        <v>6599.519023216395</v>
      </c>
      <c r="N245" s="9">
        <f t="shared" si="157"/>
        <v>523.49349725105776</v>
      </c>
      <c r="O245" s="9">
        <f t="shared" si="157"/>
        <v>0</v>
      </c>
      <c r="P245" s="9">
        <f t="shared" si="146"/>
        <v>47414.409003480825</v>
      </c>
      <c r="Q245" s="157">
        <f t="shared" si="150"/>
        <v>460341.34889055876</v>
      </c>
    </row>
    <row r="246" spans="1:21" ht="15" x14ac:dyDescent="0.35">
      <c r="A246" t="s">
        <v>2</v>
      </c>
      <c r="C246" s="10">
        <f t="shared" ref="C246:O246" si="158">+C179*C84</f>
        <v>1289.860413587495</v>
      </c>
      <c r="D246" s="10">
        <f t="shared" si="158"/>
        <v>0</v>
      </c>
      <c r="E246" s="10">
        <f t="shared" si="158"/>
        <v>16950.512194516643</v>
      </c>
      <c r="F246" s="287"/>
      <c r="G246" s="287"/>
      <c r="H246" s="287"/>
      <c r="I246" s="10">
        <f t="shared" si="158"/>
        <v>12142.756321113966</v>
      </c>
      <c r="J246" s="10">
        <f t="shared" si="158"/>
        <v>1346.9052873900462</v>
      </c>
      <c r="K246" s="10">
        <f t="shared" si="158"/>
        <v>-3032.2903592379216</v>
      </c>
      <c r="L246" s="10">
        <f t="shared" si="158"/>
        <v>3033.4163300860569</v>
      </c>
      <c r="M246" s="10">
        <f t="shared" si="158"/>
        <v>5439.313153326596</v>
      </c>
      <c r="N246" s="10">
        <f t="shared" si="158"/>
        <v>620.5555967950437</v>
      </c>
      <c r="O246" s="10">
        <f t="shared" si="158"/>
        <v>0</v>
      </c>
      <c r="P246" s="10">
        <f t="shared" si="146"/>
        <v>37791.028937577925</v>
      </c>
      <c r="Q246" s="157">
        <f t="shared" si="150"/>
        <v>498132.37782813667</v>
      </c>
      <c r="R246">
        <f>SUM('Res''l &amp; MF Customers'!C12:N12)</f>
        <v>323987</v>
      </c>
      <c r="S246" s="18">
        <f>Q246/R246</f>
        <v>1.5375073006884123</v>
      </c>
    </row>
    <row r="247" spans="1:21" ht="15" x14ac:dyDescent="0.35">
      <c r="C247" s="11">
        <f t="shared" ref="C247:P247" si="159">SUM(C235:C246)</f>
        <v>46698.652212236331</v>
      </c>
      <c r="D247" s="11">
        <f t="shared" si="159"/>
        <v>0</v>
      </c>
      <c r="E247" s="11">
        <f t="shared" si="159"/>
        <v>217664.86514471035</v>
      </c>
      <c r="F247" s="288"/>
      <c r="G247" s="288"/>
      <c r="H247" s="288"/>
      <c r="I247" s="11">
        <f t="shared" si="159"/>
        <v>156113.56973140317</v>
      </c>
      <c r="J247" s="11">
        <f t="shared" si="159"/>
        <v>19044.001598472565</v>
      </c>
      <c r="K247" s="11">
        <f t="shared" si="159"/>
        <v>-40777.828796449387</v>
      </c>
      <c r="L247" s="11">
        <f t="shared" si="159"/>
        <v>38130.914686369855</v>
      </c>
      <c r="M247" s="11">
        <f t="shared" si="159"/>
        <v>54128.94082077255</v>
      </c>
      <c r="N247" s="11">
        <f t="shared" si="159"/>
        <v>7129.2624306212329</v>
      </c>
      <c r="O247" s="11">
        <f t="shared" si="159"/>
        <v>0</v>
      </c>
      <c r="P247" s="11">
        <f t="shared" si="159"/>
        <v>498132.37782813667</v>
      </c>
      <c r="Q247" s="11"/>
      <c r="S247" s="63"/>
    </row>
    <row r="248" spans="1:21" ht="15" x14ac:dyDescent="0.35">
      <c r="C248" s="11"/>
      <c r="D248" s="11"/>
      <c r="E248" s="11"/>
      <c r="F248" s="288"/>
      <c r="G248" s="288"/>
      <c r="H248" s="288"/>
      <c r="I248" s="11"/>
      <c r="J248" s="11"/>
      <c r="K248" s="11"/>
      <c r="L248" s="11"/>
      <c r="M248" s="11"/>
      <c r="N248" s="11"/>
      <c r="O248" s="11"/>
      <c r="P248" s="11"/>
      <c r="Q248" s="11"/>
      <c r="S248" s="63"/>
    </row>
    <row r="249" spans="1:21" x14ac:dyDescent="0.2">
      <c r="A249" s="63" t="s">
        <v>182</v>
      </c>
      <c r="C249" s="9">
        <f>+C184*C85</f>
        <v>1445.7497036881441</v>
      </c>
      <c r="D249" s="9">
        <f t="shared" ref="D249:O249" si="160">+D184*D85</f>
        <v>0</v>
      </c>
      <c r="E249" s="9">
        <f t="shared" si="160"/>
        <v>26413.487856120373</v>
      </c>
      <c r="F249" s="286"/>
      <c r="G249" s="286"/>
      <c r="H249" s="286"/>
      <c r="I249" s="9">
        <f t="shared" si="160"/>
        <v>22254.457539452182</v>
      </c>
      <c r="J249" s="9">
        <f t="shared" si="160"/>
        <v>1962.6581044723901</v>
      </c>
      <c r="K249" s="9">
        <f t="shared" si="160"/>
        <v>-6939.5390973901385</v>
      </c>
      <c r="L249" s="9">
        <f t="shared" si="160"/>
        <v>2928.8033560881004</v>
      </c>
      <c r="M249" s="9">
        <f t="shared" si="160"/>
        <v>5407.6308909932668</v>
      </c>
      <c r="N249" s="9">
        <f t="shared" si="160"/>
        <v>1117.0692920361678</v>
      </c>
      <c r="O249" s="9">
        <f t="shared" si="160"/>
        <v>0</v>
      </c>
      <c r="P249" s="9">
        <f t="shared" ref="P249:P260" si="161">SUM(C249:O249)</f>
        <v>54590.317645460491</v>
      </c>
      <c r="Q249" s="157">
        <f>+P249+Q246</f>
        <v>552722.69547359715</v>
      </c>
      <c r="S249" s="63"/>
    </row>
    <row r="250" spans="1:21" x14ac:dyDescent="0.2">
      <c r="A250" t="s">
        <v>148</v>
      </c>
      <c r="C250" s="9">
        <f t="shared" ref="C250:O250" si="162">+C185*C86</f>
        <v>1464.3318803600616</v>
      </c>
      <c r="D250" s="9">
        <f t="shared" si="162"/>
        <v>0</v>
      </c>
      <c r="E250" s="9">
        <f t="shared" si="162"/>
        <v>28742.594341941054</v>
      </c>
      <c r="F250" s="286"/>
      <c r="G250" s="286"/>
      <c r="H250" s="286"/>
      <c r="I250" s="9">
        <f t="shared" si="162"/>
        <v>19054.023830541508</v>
      </c>
      <c r="J250" s="9">
        <f t="shared" si="162"/>
        <v>1716.4521097274026</v>
      </c>
      <c r="K250" s="9">
        <f t="shared" si="162"/>
        <v>-5929.6063468260845</v>
      </c>
      <c r="L250" s="9">
        <f t="shared" si="162"/>
        <v>976.03743319012347</v>
      </c>
      <c r="M250" s="9">
        <f t="shared" si="162"/>
        <v>3645.4998129651117</v>
      </c>
      <c r="N250" s="9">
        <f t="shared" si="162"/>
        <v>581.55563727578192</v>
      </c>
      <c r="O250" s="9">
        <f t="shared" si="162"/>
        <v>0</v>
      </c>
      <c r="P250" s="9">
        <f t="shared" si="161"/>
        <v>50250.888699174975</v>
      </c>
      <c r="Q250" s="157">
        <f>+P250+Q249</f>
        <v>602973.58417277213</v>
      </c>
      <c r="S250" s="63"/>
    </row>
    <row r="251" spans="1:21" x14ac:dyDescent="0.2">
      <c r="A251" t="s">
        <v>149</v>
      </c>
      <c r="C251" s="9">
        <f t="shared" ref="C251:O251" si="163">+C186*C87</f>
        <v>2950.114729712222</v>
      </c>
      <c r="D251" s="9">
        <f t="shared" si="163"/>
        <v>0</v>
      </c>
      <c r="E251" s="9">
        <f t="shared" si="163"/>
        <v>27804.699378375088</v>
      </c>
      <c r="F251" s="286"/>
      <c r="G251" s="286"/>
      <c r="H251" s="286"/>
      <c r="I251" s="9">
        <f t="shared" si="163"/>
        <v>24363.320615691769</v>
      </c>
      <c r="J251" s="9">
        <f t="shared" si="163"/>
        <v>2100.6461617989689</v>
      </c>
      <c r="K251" s="9">
        <f t="shared" si="163"/>
        <v>-6061.1962483815869</v>
      </c>
      <c r="L251" s="9">
        <f t="shared" si="163"/>
        <v>1367.1844056157333</v>
      </c>
      <c r="M251" s="9">
        <f t="shared" si="163"/>
        <v>1946.9602467264674</v>
      </c>
      <c r="N251" s="9">
        <f t="shared" si="163"/>
        <v>921.83661549250519</v>
      </c>
      <c r="O251" s="9">
        <f t="shared" si="163"/>
        <v>0</v>
      </c>
      <c r="P251" s="9">
        <f t="shared" si="161"/>
        <v>55393.565905031166</v>
      </c>
      <c r="Q251" s="157">
        <f t="shared" ref="Q251:Q260" si="164">+P251+Q250</f>
        <v>658367.15007780329</v>
      </c>
      <c r="S251" s="63"/>
    </row>
    <row r="252" spans="1:21" x14ac:dyDescent="0.2">
      <c r="A252" t="s">
        <v>150</v>
      </c>
      <c r="C252" s="9">
        <f t="shared" ref="C252:O252" si="165">+C187*C88</f>
        <v>5173.7425121753586</v>
      </c>
      <c r="D252" s="9">
        <f t="shared" si="165"/>
        <v>0</v>
      </c>
      <c r="E252" s="9">
        <f t="shared" si="165"/>
        <v>34664.473075855873</v>
      </c>
      <c r="F252" s="286"/>
      <c r="G252" s="286"/>
      <c r="H252" s="286"/>
      <c r="I252" s="9">
        <f t="shared" si="165"/>
        <v>18800.227612371691</v>
      </c>
      <c r="J252" s="9">
        <f t="shared" si="165"/>
        <v>4554.6975259698875</v>
      </c>
      <c r="K252" s="9">
        <f t="shared" si="165"/>
        <v>-5675.0325008384543</v>
      </c>
      <c r="L252" s="9">
        <f t="shared" si="165"/>
        <v>-8419.7767160650747</v>
      </c>
      <c r="M252" s="9">
        <f t="shared" si="165"/>
        <v>2092.4990452361526</v>
      </c>
      <c r="N252" s="9">
        <f t="shared" si="165"/>
        <v>1771.500422217973</v>
      </c>
      <c r="O252" s="9">
        <f t="shared" si="165"/>
        <v>0</v>
      </c>
      <c r="P252" s="9">
        <f t="shared" si="161"/>
        <v>52962.330976923404</v>
      </c>
      <c r="Q252" s="157">
        <f t="shared" si="164"/>
        <v>711329.48105472676</v>
      </c>
      <c r="S252" s="63"/>
    </row>
    <row r="253" spans="1:21" x14ac:dyDescent="0.2">
      <c r="A253" t="s">
        <v>151</v>
      </c>
      <c r="C253" s="9">
        <f t="shared" ref="C253:O253" si="166">+C188*C89</f>
        <v>6816.9893587530869</v>
      </c>
      <c r="D253" s="9">
        <f t="shared" si="166"/>
        <v>0</v>
      </c>
      <c r="E253" s="9">
        <f t="shared" si="166"/>
        <v>38128.75359882621</v>
      </c>
      <c r="F253" s="286"/>
      <c r="G253" s="286"/>
      <c r="H253" s="286"/>
      <c r="I253" s="9">
        <f t="shared" si="166"/>
        <v>20762.385876946311</v>
      </c>
      <c r="J253" s="9">
        <f t="shared" si="166"/>
        <v>3511.8209471484506</v>
      </c>
      <c r="K253" s="9">
        <f t="shared" si="166"/>
        <v>-6003.4301232928192</v>
      </c>
      <c r="L253" s="9">
        <f t="shared" si="166"/>
        <v>-7861.4789966397921</v>
      </c>
      <c r="M253" s="9">
        <f t="shared" si="166"/>
        <v>3764.896789193479</v>
      </c>
      <c r="N253" s="9">
        <f t="shared" si="166"/>
        <v>716.89180636982735</v>
      </c>
      <c r="O253" s="9">
        <f t="shared" si="166"/>
        <v>0</v>
      </c>
      <c r="P253" s="9">
        <f t="shared" si="161"/>
        <v>59836.829257304758</v>
      </c>
      <c r="Q253" s="157">
        <f t="shared" si="164"/>
        <v>771166.31031203154</v>
      </c>
      <c r="S253" s="63"/>
    </row>
    <row r="254" spans="1:21" x14ac:dyDescent="0.2">
      <c r="A254" t="s">
        <v>152</v>
      </c>
      <c r="C254" s="9">
        <f t="shared" ref="C254:O254" si="167">+C189*C90</f>
        <v>7324.5245915724809</v>
      </c>
      <c r="D254" s="9">
        <f t="shared" si="167"/>
        <v>0</v>
      </c>
      <c r="E254" s="9">
        <f t="shared" si="167"/>
        <v>35413.587518682813</v>
      </c>
      <c r="F254" s="286"/>
      <c r="G254" s="286"/>
      <c r="H254" s="286"/>
      <c r="I254" s="9">
        <f t="shared" si="167"/>
        <v>18816.373115257444</v>
      </c>
      <c r="J254" s="9">
        <f t="shared" si="167"/>
        <v>3307.7674840985842</v>
      </c>
      <c r="K254" s="9">
        <f t="shared" si="167"/>
        <v>-6347.0224201294877</v>
      </c>
      <c r="L254" s="9">
        <f t="shared" si="167"/>
        <v>-7466.9700668539526</v>
      </c>
      <c r="M254" s="9">
        <f t="shared" si="167"/>
        <v>4086.7715595258328</v>
      </c>
      <c r="N254" s="9">
        <f t="shared" si="167"/>
        <v>1696.2972628938639</v>
      </c>
      <c r="O254" s="9">
        <f t="shared" si="167"/>
        <v>0</v>
      </c>
      <c r="P254" s="9">
        <f t="shared" si="161"/>
        <v>56831.329045047576</v>
      </c>
      <c r="Q254" s="157">
        <f t="shared" si="164"/>
        <v>827997.63935707905</v>
      </c>
      <c r="R254" s="18">
        <f>SUM(P249:P254)+AVERAGE(P253:P254)</f>
        <v>388199.34068011853</v>
      </c>
      <c r="S254" s="294">
        <f>SUM('Res''l &amp; MF Customers'!C43:I43)</f>
        <v>190303</v>
      </c>
      <c r="T254" s="18">
        <f>R254/S254</f>
        <v>2.0399013188447821</v>
      </c>
      <c r="U254" s="18"/>
    </row>
    <row r="255" spans="1:21" x14ac:dyDescent="0.2">
      <c r="A255" t="s">
        <v>7</v>
      </c>
      <c r="C255" s="9">
        <f t="shared" ref="C255:O255" si="168">+C190*C91</f>
        <v>9039.0467681145874</v>
      </c>
      <c r="D255" s="9">
        <f t="shared" si="168"/>
        <v>0</v>
      </c>
      <c r="E255" s="9">
        <f t="shared" si="168"/>
        <v>40442.783036524881</v>
      </c>
      <c r="F255" s="286"/>
      <c r="G255" s="286"/>
      <c r="H255" s="286"/>
      <c r="I255" s="9">
        <f t="shared" si="168"/>
        <v>23838.586983885965</v>
      </c>
      <c r="J255" s="9">
        <f t="shared" si="168"/>
        <v>4753.4292604167285</v>
      </c>
      <c r="K255" s="9">
        <f t="shared" si="168"/>
        <v>-6205.4005883140708</v>
      </c>
      <c r="L255" s="9">
        <f t="shared" si="168"/>
        <v>3920.3396058297817</v>
      </c>
      <c r="M255" s="9">
        <f t="shared" si="168"/>
        <v>4949.7060039427015</v>
      </c>
      <c r="N255" s="9">
        <f t="shared" si="168"/>
        <v>1760.2804345086442</v>
      </c>
      <c r="O255" s="9">
        <f t="shared" si="168"/>
        <v>0</v>
      </c>
      <c r="P255" s="9">
        <f t="shared" si="161"/>
        <v>82498.771504909237</v>
      </c>
      <c r="Q255" s="157">
        <f t="shared" si="164"/>
        <v>910496.41086198832</v>
      </c>
      <c r="R255" s="157">
        <f>SUM(P249:P254,P242:P246)</f>
        <v>517203.33717672934</v>
      </c>
      <c r="S255" s="295">
        <f>AVERAGE(P253:P254)</f>
        <v>58334.079151176164</v>
      </c>
    </row>
    <row r="256" spans="1:21" x14ac:dyDescent="0.2">
      <c r="A256" s="63" t="s">
        <v>183</v>
      </c>
      <c r="C256" s="9">
        <f t="shared" ref="C256:O256" si="169">+C191*C92</f>
        <v>0</v>
      </c>
      <c r="D256" s="9">
        <f t="shared" si="169"/>
        <v>7407.5798997287575</v>
      </c>
      <c r="E256" s="9">
        <f t="shared" si="169"/>
        <v>41479.588531123416</v>
      </c>
      <c r="F256" s="286"/>
      <c r="G256" s="286"/>
      <c r="H256" s="286"/>
      <c r="I256" s="9">
        <f t="shared" si="169"/>
        <v>19793.737427949691</v>
      </c>
      <c r="J256" s="9">
        <f t="shared" si="169"/>
        <v>4076.3224478930338</v>
      </c>
      <c r="K256" s="9">
        <f t="shared" si="169"/>
        <v>-5725.4281098588644</v>
      </c>
      <c r="L256" s="9">
        <f t="shared" si="169"/>
        <v>3968.7316424278415</v>
      </c>
      <c r="M256" s="9">
        <f t="shared" si="169"/>
        <v>4403.2145320337677</v>
      </c>
      <c r="N256" s="9">
        <f t="shared" si="169"/>
        <v>1341.9160663882092</v>
      </c>
      <c r="O256" s="9">
        <f t="shared" si="169"/>
        <v>0</v>
      </c>
      <c r="P256" s="9">
        <f t="shared" si="161"/>
        <v>76745.662437685853</v>
      </c>
      <c r="Q256" s="157">
        <f t="shared" si="164"/>
        <v>987242.0732996742</v>
      </c>
      <c r="S256" s="63"/>
    </row>
    <row r="257" spans="1:19" x14ac:dyDescent="0.2">
      <c r="A257" t="s">
        <v>10</v>
      </c>
      <c r="C257" s="9">
        <f t="shared" ref="C257:O257" si="170">+C192*C93</f>
        <v>0</v>
      </c>
      <c r="D257" s="9">
        <f t="shared" si="170"/>
        <v>18542.117374345842</v>
      </c>
      <c r="E257" s="9">
        <f t="shared" si="170"/>
        <v>26336.952562494771</v>
      </c>
      <c r="F257" s="286"/>
      <c r="G257" s="286"/>
      <c r="H257" s="286"/>
      <c r="I257" s="9">
        <f t="shared" si="170"/>
        <v>17982.097399903832</v>
      </c>
      <c r="J257" s="9">
        <f t="shared" si="170"/>
        <v>2913.4213438334041</v>
      </c>
      <c r="K257" s="9">
        <f t="shared" si="170"/>
        <v>-5576.3324050654455</v>
      </c>
      <c r="L257" s="9">
        <f t="shared" si="170"/>
        <v>3940.2331536764655</v>
      </c>
      <c r="M257" s="9">
        <f t="shared" si="170"/>
        <v>2467.3166901716668</v>
      </c>
      <c r="N257" s="9">
        <f t="shared" si="170"/>
        <v>1947.9946952691666</v>
      </c>
      <c r="O257" s="9">
        <f t="shared" si="170"/>
        <v>0</v>
      </c>
      <c r="P257" s="9">
        <f t="shared" si="161"/>
        <v>68553.800814629692</v>
      </c>
      <c r="Q257" s="157">
        <f t="shared" si="164"/>
        <v>1055795.8741143038</v>
      </c>
      <c r="S257" s="63"/>
    </row>
    <row r="258" spans="1:19" x14ac:dyDescent="0.2">
      <c r="A258" t="s">
        <v>8</v>
      </c>
      <c r="C258" s="9">
        <f t="shared" ref="C258:O258" si="171">+C193*C94</f>
        <v>0</v>
      </c>
      <c r="D258" s="9">
        <f t="shared" si="171"/>
        <v>15317.117376549606</v>
      </c>
      <c r="E258" s="9">
        <f t="shared" si="171"/>
        <v>35135.124380082787</v>
      </c>
      <c r="F258" s="286"/>
      <c r="G258" s="286"/>
      <c r="H258" s="286"/>
      <c r="I258" s="9">
        <f t="shared" si="171"/>
        <v>21344.881363468299</v>
      </c>
      <c r="J258" s="9">
        <f t="shared" si="171"/>
        <v>2660.2898178534783</v>
      </c>
      <c r="K258" s="9">
        <f t="shared" si="171"/>
        <v>-4122.8089547629288</v>
      </c>
      <c r="L258" s="9">
        <f t="shared" si="171"/>
        <v>4938.8433391137942</v>
      </c>
      <c r="M258" s="9">
        <f t="shared" si="171"/>
        <v>2634.0888402758605</v>
      </c>
      <c r="N258" s="9">
        <f t="shared" si="171"/>
        <v>2632.1358695173299</v>
      </c>
      <c r="O258" s="9">
        <f t="shared" si="171"/>
        <v>0</v>
      </c>
      <c r="P258" s="9">
        <f t="shared" si="161"/>
        <v>80539.672032098213</v>
      </c>
      <c r="Q258" s="157">
        <f t="shared" si="164"/>
        <v>1136335.5461464021</v>
      </c>
      <c r="S258" s="63"/>
    </row>
    <row r="259" spans="1:19" x14ac:dyDescent="0.2">
      <c r="A259" t="s">
        <v>9</v>
      </c>
      <c r="C259" s="9">
        <f t="shared" ref="C259:O259" si="172">+C194*C95</f>
        <v>0</v>
      </c>
      <c r="D259" s="9">
        <f t="shared" si="172"/>
        <v>11481.492989820426</v>
      </c>
      <c r="E259" s="9">
        <f t="shared" si="172"/>
        <v>31678.334934376639</v>
      </c>
      <c r="F259" s="286"/>
      <c r="G259" s="286"/>
      <c r="H259" s="286"/>
      <c r="I259" s="9">
        <f t="shared" si="172"/>
        <v>26581.729163420307</v>
      </c>
      <c r="J259" s="9">
        <f t="shared" si="172"/>
        <v>3361.9871539425749</v>
      </c>
      <c r="K259" s="9">
        <f t="shared" si="172"/>
        <v>-3920.7737049393927</v>
      </c>
      <c r="L259" s="9">
        <f t="shared" si="172"/>
        <v>5272.6026590694164</v>
      </c>
      <c r="M259" s="9">
        <f t="shared" si="172"/>
        <v>2561.8722003457165</v>
      </c>
      <c r="N259" s="9">
        <f t="shared" si="172"/>
        <v>2598.5817791339155</v>
      </c>
      <c r="O259" s="9">
        <f t="shared" si="172"/>
        <v>0</v>
      </c>
      <c r="P259" s="9">
        <f t="shared" si="161"/>
        <v>79615.82717516963</v>
      </c>
      <c r="Q259" s="157">
        <f t="shared" si="164"/>
        <v>1215951.3733215719</v>
      </c>
      <c r="S259" s="63"/>
    </row>
    <row r="260" spans="1:19" ht="15" x14ac:dyDescent="0.35">
      <c r="A260" t="s">
        <v>2</v>
      </c>
      <c r="C260" s="10">
        <f t="shared" ref="C260:O260" si="173">+C195*C96</f>
        <v>0</v>
      </c>
      <c r="D260" s="10">
        <f t="shared" si="173"/>
        <v>13308.67614341517</v>
      </c>
      <c r="E260" s="10">
        <f t="shared" si="173"/>
        <v>37001.205736612785</v>
      </c>
      <c r="F260" s="287"/>
      <c r="G260" s="287"/>
      <c r="H260" s="287"/>
      <c r="I260" s="10">
        <f t="shared" si="173"/>
        <v>26749.486264089097</v>
      </c>
      <c r="J260" s="10">
        <f t="shared" si="173"/>
        <v>2895.3114118278895</v>
      </c>
      <c r="K260" s="10">
        <f t="shared" si="173"/>
        <v>-3640.4529447270615</v>
      </c>
      <c r="L260" s="10">
        <f t="shared" si="173"/>
        <v>8042.8387870369734</v>
      </c>
      <c r="M260" s="10">
        <f t="shared" si="173"/>
        <v>3041.2502373665216</v>
      </c>
      <c r="N260" s="10">
        <f t="shared" si="173"/>
        <v>3670.7115420637679</v>
      </c>
      <c r="O260" s="10">
        <f t="shared" si="173"/>
        <v>0</v>
      </c>
      <c r="P260" s="10">
        <f t="shared" si="161"/>
        <v>91069.027177685144</v>
      </c>
      <c r="Q260" s="157">
        <f t="shared" si="164"/>
        <v>1307020.400499257</v>
      </c>
      <c r="S260" s="63"/>
    </row>
    <row r="261" spans="1:19" ht="15" x14ac:dyDescent="0.35">
      <c r="C261" s="11">
        <f t="shared" ref="C261:P261" si="174">SUM(C249:C260)</f>
        <v>34214.49954437594</v>
      </c>
      <c r="D261" s="11">
        <f t="shared" si="174"/>
        <v>66056.983783859803</v>
      </c>
      <c r="E261" s="11">
        <f t="shared" si="174"/>
        <v>403241.5849510167</v>
      </c>
      <c r="F261" s="288"/>
      <c r="G261" s="288"/>
      <c r="H261" s="288"/>
      <c r="I261" s="11">
        <f t="shared" si="174"/>
        <v>260341.3071929781</v>
      </c>
      <c r="J261" s="11">
        <f t="shared" si="174"/>
        <v>37814.803768982798</v>
      </c>
      <c r="K261" s="11">
        <f t="shared" si="174"/>
        <v>-66147.023444526334</v>
      </c>
      <c r="L261" s="11">
        <f t="shared" si="174"/>
        <v>11607.388602489413</v>
      </c>
      <c r="M261" s="11">
        <f t="shared" si="174"/>
        <v>41001.706848776543</v>
      </c>
      <c r="N261" s="11">
        <f t="shared" si="174"/>
        <v>20756.771423167149</v>
      </c>
      <c r="O261" s="11">
        <f t="shared" si="174"/>
        <v>0</v>
      </c>
      <c r="P261" s="11">
        <f t="shared" si="174"/>
        <v>808888.02267112012</v>
      </c>
      <c r="Q261" s="11"/>
      <c r="S261" s="63"/>
    </row>
    <row r="262" spans="1:19" ht="15" x14ac:dyDescent="0.35">
      <c r="C262" s="11"/>
      <c r="D262" s="11"/>
      <c r="E262" s="11"/>
      <c r="F262" s="288"/>
      <c r="G262" s="288"/>
      <c r="H262" s="288"/>
      <c r="I262" s="11"/>
      <c r="J262" s="11"/>
      <c r="K262" s="11"/>
      <c r="L262" s="11"/>
      <c r="M262" s="11"/>
      <c r="N262" s="11"/>
      <c r="O262" s="11"/>
      <c r="P262" s="11"/>
      <c r="Q262" s="11"/>
      <c r="S262" s="63"/>
    </row>
    <row r="263" spans="1:19" ht="15" x14ac:dyDescent="0.35">
      <c r="C263" s="11"/>
      <c r="D263" s="11"/>
      <c r="E263" s="11"/>
      <c r="F263" s="288"/>
      <c r="G263" s="288"/>
      <c r="H263" s="288"/>
      <c r="I263" s="11"/>
      <c r="J263" s="11"/>
      <c r="K263" s="11"/>
      <c r="L263" s="11"/>
      <c r="M263" s="11"/>
      <c r="N263" s="11"/>
      <c r="O263" s="11"/>
      <c r="P263" s="11"/>
    </row>
    <row r="264" spans="1:19" ht="15" x14ac:dyDescent="0.35">
      <c r="A264" s="128" t="s">
        <v>97</v>
      </c>
      <c r="B264" s="129"/>
      <c r="C264" s="81">
        <f t="shared" ref="C264:P264" si="175">+C247/C180</f>
        <v>46.919735246465265</v>
      </c>
      <c r="D264" s="81" t="e">
        <f t="shared" si="175"/>
        <v>#DIV/0!</v>
      </c>
      <c r="E264" s="81">
        <f t="shared" si="175"/>
        <v>84.277030475019728</v>
      </c>
      <c r="F264" s="289"/>
      <c r="G264" s="289"/>
      <c r="H264" s="289"/>
      <c r="I264" s="81">
        <f t="shared" si="175"/>
        <v>1403.4810278599205</v>
      </c>
      <c r="J264" s="81">
        <f t="shared" si="175"/>
        <v>183.935668959845</v>
      </c>
      <c r="K264" s="81">
        <f t="shared" si="175"/>
        <v>-59.361119436911544</v>
      </c>
      <c r="L264" s="81">
        <f t="shared" si="175"/>
        <v>186.33707499683754</v>
      </c>
      <c r="M264" s="81">
        <f t="shared" si="175"/>
        <v>1055.0456387548365</v>
      </c>
      <c r="N264" s="81">
        <f t="shared" si="175"/>
        <v>194.30300856980699</v>
      </c>
      <c r="O264" s="81" t="e">
        <f t="shared" si="175"/>
        <v>#DIV/0!</v>
      </c>
      <c r="P264" s="81">
        <f t="shared" si="175"/>
        <v>104.37855059106822</v>
      </c>
    </row>
    <row r="265" spans="1:19" x14ac:dyDescent="0.2">
      <c r="A265" s="129"/>
      <c r="B265" s="129"/>
      <c r="I265" s="299">
        <f t="shared" ref="I265:N265" si="176">I261/I196</f>
        <v>1320.5571669830417</v>
      </c>
      <c r="J265" s="299">
        <f t="shared" si="176"/>
        <v>197.80331816397359</v>
      </c>
      <c r="K265" s="299">
        <f t="shared" si="176"/>
        <v>-46.313638762616002</v>
      </c>
      <c r="L265" s="299">
        <f t="shared" si="176"/>
        <v>33.626081037484894</v>
      </c>
      <c r="M265" s="299">
        <f t="shared" si="176"/>
        <v>544.3032529705074</v>
      </c>
      <c r="N265" s="299">
        <f t="shared" si="176"/>
        <v>273.06460312104389</v>
      </c>
      <c r="P265" s="299">
        <f>P261/P196</f>
        <v>92.922398431746672</v>
      </c>
    </row>
    <row r="266" spans="1:19" x14ac:dyDescent="0.2">
      <c r="C266" s="25"/>
      <c r="D266" s="25"/>
      <c r="E266" s="25"/>
      <c r="F266" s="279"/>
      <c r="G266" s="279"/>
      <c r="H266" s="279"/>
      <c r="I266" s="25"/>
      <c r="J266" s="25"/>
      <c r="K266" s="25"/>
      <c r="L266" s="25"/>
      <c r="M266" s="25"/>
      <c r="N266" s="25"/>
      <c r="O266" s="25"/>
      <c r="P266" s="30"/>
    </row>
  </sheetData>
  <mergeCells count="3">
    <mergeCell ref="C41:O41"/>
    <mergeCell ref="C100:O100"/>
    <mergeCell ref="C201:O201"/>
  </mergeCells>
  <pageMargins left="0.45" right="0.45" top="0.5" bottom="0.5" header="0.3" footer="0"/>
  <pageSetup scale="79" fitToHeight="3" orientation="landscape" r:id="rId1"/>
  <headerFooter>
    <oddFooter>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A58"/>
  <sheetViews>
    <sheetView zoomScaleNormal="100" workbookViewId="0">
      <pane xSplit="1" ySplit="2" topLeftCell="G22" activePane="bottomRight" state="frozen"/>
      <selection pane="topRight" activeCell="B1" sqref="B1"/>
      <selection pane="bottomLeft" activeCell="A6" sqref="A6"/>
      <selection pane="bottomRight" activeCell="Z54" sqref="Z54"/>
    </sheetView>
  </sheetViews>
  <sheetFormatPr defaultRowHeight="12.75" x14ac:dyDescent="0.2"/>
  <cols>
    <col min="1" max="1" width="16.85546875" style="84" customWidth="1"/>
    <col min="2" max="2" width="10" style="84" bestFit="1" customWidth="1"/>
    <col min="3" max="3" width="7" style="84" bestFit="1" customWidth="1"/>
    <col min="4" max="4" width="9" style="84" bestFit="1" customWidth="1"/>
    <col min="5" max="5" width="6.7109375" style="84" bestFit="1" customWidth="1"/>
    <col min="6" max="6" width="9" style="84" bestFit="1" customWidth="1"/>
    <col min="7" max="7" width="6.7109375" style="84" bestFit="1" customWidth="1"/>
    <col min="8" max="8" width="9" style="84" bestFit="1" customWidth="1"/>
    <col min="9" max="9" width="6.7109375" style="84" bestFit="1" customWidth="1"/>
    <col min="10" max="10" width="9.5703125" style="84" bestFit="1" customWidth="1"/>
    <col min="11" max="11" width="6.7109375" style="84" bestFit="1" customWidth="1"/>
    <col min="12" max="12" width="9.5703125" style="84" bestFit="1" customWidth="1"/>
    <col min="13" max="13" width="6.7109375" style="84" bestFit="1" customWidth="1"/>
    <col min="14" max="14" width="9" style="84" bestFit="1" customWidth="1"/>
    <col min="15" max="15" width="6.7109375" style="84" customWidth="1"/>
    <col min="16" max="16" width="9" style="84" bestFit="1" customWidth="1"/>
    <col min="17" max="17" width="6.7109375" style="84" customWidth="1"/>
    <col min="18" max="18" width="10" style="84" bestFit="1" customWidth="1"/>
    <col min="19" max="19" width="6.7109375" style="84" customWidth="1"/>
    <col min="20" max="20" width="9" style="84" bestFit="1" customWidth="1"/>
    <col min="21" max="21" width="6.7109375" style="84" customWidth="1"/>
    <col min="22" max="22" width="10" style="84" bestFit="1" customWidth="1"/>
    <col min="23" max="23" width="6.7109375" style="84" customWidth="1"/>
    <col min="24" max="24" width="10" style="84" bestFit="1" customWidth="1"/>
    <col min="25" max="25" width="6.7109375" style="84" customWidth="1"/>
    <col min="26" max="26" width="10" bestFit="1" customWidth="1"/>
    <col min="27" max="27" width="6.7109375" bestFit="1" customWidth="1"/>
    <col min="29" max="29" width="10" style="84" bestFit="1" customWidth="1"/>
    <col min="30" max="172" width="9.140625" style="84"/>
    <col min="173" max="173" width="18.42578125" style="84" customWidth="1"/>
    <col min="174" max="183" width="9.140625" style="84"/>
    <col min="184" max="184" width="10.28515625" style="84" bestFit="1" customWidth="1"/>
    <col min="185" max="428" width="9.140625" style="84"/>
    <col min="429" max="429" width="18.42578125" style="84" customWidth="1"/>
    <col min="430" max="439" width="9.140625" style="84"/>
    <col min="440" max="440" width="10.28515625" style="84" bestFit="1" customWidth="1"/>
    <col min="441" max="684" width="9.140625" style="84"/>
    <col min="685" max="685" width="18.42578125" style="84" customWidth="1"/>
    <col min="686" max="695" width="9.140625" style="84"/>
    <col min="696" max="696" width="10.28515625" style="84" bestFit="1" customWidth="1"/>
    <col min="697" max="940" width="9.140625" style="84"/>
    <col min="941" max="941" width="18.42578125" style="84" customWidth="1"/>
    <col min="942" max="951" width="9.140625" style="84"/>
    <col min="952" max="952" width="10.28515625" style="84" bestFit="1" customWidth="1"/>
    <col min="953" max="1196" width="9.140625" style="84"/>
    <col min="1197" max="1197" width="18.42578125" style="84" customWidth="1"/>
    <col min="1198" max="1207" width="9.140625" style="84"/>
    <col min="1208" max="1208" width="10.28515625" style="84" bestFit="1" customWidth="1"/>
    <col min="1209" max="1452" width="9.140625" style="84"/>
    <col min="1453" max="1453" width="18.42578125" style="84" customWidth="1"/>
    <col min="1454" max="1463" width="9.140625" style="84"/>
    <col min="1464" max="1464" width="10.28515625" style="84" bestFit="1" customWidth="1"/>
    <col min="1465" max="1708" width="9.140625" style="84"/>
    <col min="1709" max="1709" width="18.42578125" style="84" customWidth="1"/>
    <col min="1710" max="1719" width="9.140625" style="84"/>
    <col min="1720" max="1720" width="10.28515625" style="84" bestFit="1" customWidth="1"/>
    <col min="1721" max="1964" width="9.140625" style="84"/>
    <col min="1965" max="1965" width="18.42578125" style="84" customWidth="1"/>
    <col min="1966" max="1975" width="9.140625" style="84"/>
    <col min="1976" max="1976" width="10.28515625" style="84" bestFit="1" customWidth="1"/>
    <col min="1977" max="2220" width="9.140625" style="84"/>
    <col min="2221" max="2221" width="18.42578125" style="84" customWidth="1"/>
    <col min="2222" max="2231" width="9.140625" style="84"/>
    <col min="2232" max="2232" width="10.28515625" style="84" bestFit="1" customWidth="1"/>
    <col min="2233" max="2476" width="9.140625" style="84"/>
    <col min="2477" max="2477" width="18.42578125" style="84" customWidth="1"/>
    <col min="2478" max="2487" width="9.140625" style="84"/>
    <col min="2488" max="2488" width="10.28515625" style="84" bestFit="1" customWidth="1"/>
    <col min="2489" max="2732" width="9.140625" style="84"/>
    <col min="2733" max="2733" width="18.42578125" style="84" customWidth="1"/>
    <col min="2734" max="2743" width="9.140625" style="84"/>
    <col min="2744" max="2744" width="10.28515625" style="84" bestFit="1" customWidth="1"/>
    <col min="2745" max="2988" width="9.140625" style="84"/>
    <col min="2989" max="2989" width="18.42578125" style="84" customWidth="1"/>
    <col min="2990" max="2999" width="9.140625" style="84"/>
    <col min="3000" max="3000" width="10.28515625" style="84" bestFit="1" customWidth="1"/>
    <col min="3001" max="3244" width="9.140625" style="84"/>
    <col min="3245" max="3245" width="18.42578125" style="84" customWidth="1"/>
    <col min="3246" max="3255" width="9.140625" style="84"/>
    <col min="3256" max="3256" width="10.28515625" style="84" bestFit="1" customWidth="1"/>
    <col min="3257" max="3500" width="9.140625" style="84"/>
    <col min="3501" max="3501" width="18.42578125" style="84" customWidth="1"/>
    <col min="3502" max="3511" width="9.140625" style="84"/>
    <col min="3512" max="3512" width="10.28515625" style="84" bestFit="1" customWidth="1"/>
    <col min="3513" max="3756" width="9.140625" style="84"/>
    <col min="3757" max="3757" width="18.42578125" style="84" customWidth="1"/>
    <col min="3758" max="3767" width="9.140625" style="84"/>
    <col min="3768" max="3768" width="10.28515625" style="84" bestFit="1" customWidth="1"/>
    <col min="3769" max="4012" width="9.140625" style="84"/>
    <col min="4013" max="4013" width="18.42578125" style="84" customWidth="1"/>
    <col min="4014" max="4023" width="9.140625" style="84"/>
    <col min="4024" max="4024" width="10.28515625" style="84" bestFit="1" customWidth="1"/>
    <col min="4025" max="4268" width="9.140625" style="84"/>
    <col min="4269" max="4269" width="18.42578125" style="84" customWidth="1"/>
    <col min="4270" max="4279" width="9.140625" style="84"/>
    <col min="4280" max="4280" width="10.28515625" style="84" bestFit="1" customWidth="1"/>
    <col min="4281" max="4524" width="9.140625" style="84"/>
    <col min="4525" max="4525" width="18.42578125" style="84" customWidth="1"/>
    <col min="4526" max="4535" width="9.140625" style="84"/>
    <col min="4536" max="4536" width="10.28515625" style="84" bestFit="1" customWidth="1"/>
    <col min="4537" max="4780" width="9.140625" style="84"/>
    <col min="4781" max="4781" width="18.42578125" style="84" customWidth="1"/>
    <col min="4782" max="4791" width="9.140625" style="84"/>
    <col min="4792" max="4792" width="10.28515625" style="84" bestFit="1" customWidth="1"/>
    <col min="4793" max="5036" width="9.140625" style="84"/>
    <col min="5037" max="5037" width="18.42578125" style="84" customWidth="1"/>
    <col min="5038" max="5047" width="9.140625" style="84"/>
    <col min="5048" max="5048" width="10.28515625" style="84" bestFit="1" customWidth="1"/>
    <col min="5049" max="5292" width="9.140625" style="84"/>
    <col min="5293" max="5293" width="18.42578125" style="84" customWidth="1"/>
    <col min="5294" max="5303" width="9.140625" style="84"/>
    <col min="5304" max="5304" width="10.28515625" style="84" bestFit="1" customWidth="1"/>
    <col min="5305" max="5548" width="9.140625" style="84"/>
    <col min="5549" max="5549" width="18.42578125" style="84" customWidth="1"/>
    <col min="5550" max="5559" width="9.140625" style="84"/>
    <col min="5560" max="5560" width="10.28515625" style="84" bestFit="1" customWidth="1"/>
    <col min="5561" max="5804" width="9.140625" style="84"/>
    <col min="5805" max="5805" width="18.42578125" style="84" customWidth="1"/>
    <col min="5806" max="5815" width="9.140625" style="84"/>
    <col min="5816" max="5816" width="10.28515625" style="84" bestFit="1" customWidth="1"/>
    <col min="5817" max="6060" width="9.140625" style="84"/>
    <col min="6061" max="6061" width="18.42578125" style="84" customWidth="1"/>
    <col min="6062" max="6071" width="9.140625" style="84"/>
    <col min="6072" max="6072" width="10.28515625" style="84" bestFit="1" customWidth="1"/>
    <col min="6073" max="6316" width="9.140625" style="84"/>
    <col min="6317" max="6317" width="18.42578125" style="84" customWidth="1"/>
    <col min="6318" max="6327" width="9.140625" style="84"/>
    <col min="6328" max="6328" width="10.28515625" style="84" bestFit="1" customWidth="1"/>
    <col min="6329" max="6572" width="9.140625" style="84"/>
    <col min="6573" max="6573" width="18.42578125" style="84" customWidth="1"/>
    <col min="6574" max="6583" width="9.140625" style="84"/>
    <col min="6584" max="6584" width="10.28515625" style="84" bestFit="1" customWidth="1"/>
    <col min="6585" max="6828" width="9.140625" style="84"/>
    <col min="6829" max="6829" width="18.42578125" style="84" customWidth="1"/>
    <col min="6830" max="6839" width="9.140625" style="84"/>
    <col min="6840" max="6840" width="10.28515625" style="84" bestFit="1" customWidth="1"/>
    <col min="6841" max="7084" width="9.140625" style="84"/>
    <col min="7085" max="7085" width="18.42578125" style="84" customWidth="1"/>
    <col min="7086" max="7095" width="9.140625" style="84"/>
    <col min="7096" max="7096" width="10.28515625" style="84" bestFit="1" customWidth="1"/>
    <col min="7097" max="7340" width="9.140625" style="84"/>
    <col min="7341" max="7341" width="18.42578125" style="84" customWidth="1"/>
    <col min="7342" max="7351" width="9.140625" style="84"/>
    <col min="7352" max="7352" width="10.28515625" style="84" bestFit="1" customWidth="1"/>
    <col min="7353" max="7596" width="9.140625" style="84"/>
    <col min="7597" max="7597" width="18.42578125" style="84" customWidth="1"/>
    <col min="7598" max="7607" width="9.140625" style="84"/>
    <col min="7608" max="7608" width="10.28515625" style="84" bestFit="1" customWidth="1"/>
    <col min="7609" max="7852" width="9.140625" style="84"/>
    <col min="7853" max="7853" width="18.42578125" style="84" customWidth="1"/>
    <col min="7854" max="7863" width="9.140625" style="84"/>
    <col min="7864" max="7864" width="10.28515625" style="84" bestFit="1" customWidth="1"/>
    <col min="7865" max="8108" width="9.140625" style="84"/>
    <col min="8109" max="8109" width="18.42578125" style="84" customWidth="1"/>
    <col min="8110" max="8119" width="9.140625" style="84"/>
    <col min="8120" max="8120" width="10.28515625" style="84" bestFit="1" customWidth="1"/>
    <col min="8121" max="8364" width="9.140625" style="84"/>
    <col min="8365" max="8365" width="18.42578125" style="84" customWidth="1"/>
    <col min="8366" max="8375" width="9.140625" style="84"/>
    <col min="8376" max="8376" width="10.28515625" style="84" bestFit="1" customWidth="1"/>
    <col min="8377" max="8620" width="9.140625" style="84"/>
    <col min="8621" max="8621" width="18.42578125" style="84" customWidth="1"/>
    <col min="8622" max="8631" width="9.140625" style="84"/>
    <col min="8632" max="8632" width="10.28515625" style="84" bestFit="1" customWidth="1"/>
    <col min="8633" max="8876" width="9.140625" style="84"/>
    <col min="8877" max="8877" width="18.42578125" style="84" customWidth="1"/>
    <col min="8878" max="8887" width="9.140625" style="84"/>
    <col min="8888" max="8888" width="10.28515625" style="84" bestFit="1" customWidth="1"/>
    <col min="8889" max="9132" width="9.140625" style="84"/>
    <col min="9133" max="9133" width="18.42578125" style="84" customWidth="1"/>
    <col min="9134" max="9143" width="9.140625" style="84"/>
    <col min="9144" max="9144" width="10.28515625" style="84" bestFit="1" customWidth="1"/>
    <col min="9145" max="9388" width="9.140625" style="84"/>
    <col min="9389" max="9389" width="18.42578125" style="84" customWidth="1"/>
    <col min="9390" max="9399" width="9.140625" style="84"/>
    <col min="9400" max="9400" width="10.28515625" style="84" bestFit="1" customWidth="1"/>
    <col min="9401" max="9644" width="9.140625" style="84"/>
    <col min="9645" max="9645" width="18.42578125" style="84" customWidth="1"/>
    <col min="9646" max="9655" width="9.140625" style="84"/>
    <col min="9656" max="9656" width="10.28515625" style="84" bestFit="1" customWidth="1"/>
    <col min="9657" max="9900" width="9.140625" style="84"/>
    <col min="9901" max="9901" width="18.42578125" style="84" customWidth="1"/>
    <col min="9902" max="9911" width="9.140625" style="84"/>
    <col min="9912" max="9912" width="10.28515625" style="84" bestFit="1" customWidth="1"/>
    <col min="9913" max="10156" width="9.140625" style="84"/>
    <col min="10157" max="10157" width="18.42578125" style="84" customWidth="1"/>
    <col min="10158" max="10167" width="9.140625" style="84"/>
    <col min="10168" max="10168" width="10.28515625" style="84" bestFit="1" customWidth="1"/>
    <col min="10169" max="10412" width="9.140625" style="84"/>
    <col min="10413" max="10413" width="18.42578125" style="84" customWidth="1"/>
    <col min="10414" max="10423" width="9.140625" style="84"/>
    <col min="10424" max="10424" width="10.28515625" style="84" bestFit="1" customWidth="1"/>
    <col min="10425" max="10668" width="9.140625" style="84"/>
    <col min="10669" max="10669" width="18.42578125" style="84" customWidth="1"/>
    <col min="10670" max="10679" width="9.140625" style="84"/>
    <col min="10680" max="10680" width="10.28515625" style="84" bestFit="1" customWidth="1"/>
    <col min="10681" max="10924" width="9.140625" style="84"/>
    <col min="10925" max="10925" width="18.42578125" style="84" customWidth="1"/>
    <col min="10926" max="10935" width="9.140625" style="84"/>
    <col min="10936" max="10936" width="10.28515625" style="84" bestFit="1" customWidth="1"/>
    <col min="10937" max="11180" width="9.140625" style="84"/>
    <col min="11181" max="11181" width="18.42578125" style="84" customWidth="1"/>
    <col min="11182" max="11191" width="9.140625" style="84"/>
    <col min="11192" max="11192" width="10.28515625" style="84" bestFit="1" customWidth="1"/>
    <col min="11193" max="11436" width="9.140625" style="84"/>
    <col min="11437" max="11437" width="18.42578125" style="84" customWidth="1"/>
    <col min="11438" max="11447" width="9.140625" style="84"/>
    <col min="11448" max="11448" width="10.28515625" style="84" bestFit="1" customWidth="1"/>
    <col min="11449" max="11692" width="9.140625" style="84"/>
    <col min="11693" max="11693" width="18.42578125" style="84" customWidth="1"/>
    <col min="11694" max="11703" width="9.140625" style="84"/>
    <col min="11704" max="11704" width="10.28515625" style="84" bestFit="1" customWidth="1"/>
    <col min="11705" max="11948" width="9.140625" style="84"/>
    <col min="11949" max="11949" width="18.42578125" style="84" customWidth="1"/>
    <col min="11950" max="11959" width="9.140625" style="84"/>
    <col min="11960" max="11960" width="10.28515625" style="84" bestFit="1" customWidth="1"/>
    <col min="11961" max="12204" width="9.140625" style="84"/>
    <col min="12205" max="12205" width="18.42578125" style="84" customWidth="1"/>
    <col min="12206" max="12215" width="9.140625" style="84"/>
    <col min="12216" max="12216" width="10.28515625" style="84" bestFit="1" customWidth="1"/>
    <col min="12217" max="12460" width="9.140625" style="84"/>
    <col min="12461" max="12461" width="18.42578125" style="84" customWidth="1"/>
    <col min="12462" max="12471" width="9.140625" style="84"/>
    <col min="12472" max="12472" width="10.28515625" style="84" bestFit="1" customWidth="1"/>
    <col min="12473" max="12716" width="9.140625" style="84"/>
    <col min="12717" max="12717" width="18.42578125" style="84" customWidth="1"/>
    <col min="12718" max="12727" width="9.140625" style="84"/>
    <col min="12728" max="12728" width="10.28515625" style="84" bestFit="1" customWidth="1"/>
    <col min="12729" max="12972" width="9.140625" style="84"/>
    <col min="12973" max="12973" width="18.42578125" style="84" customWidth="1"/>
    <col min="12974" max="12983" width="9.140625" style="84"/>
    <col min="12984" max="12984" width="10.28515625" style="84" bestFit="1" customWidth="1"/>
    <col min="12985" max="13228" width="9.140625" style="84"/>
    <col min="13229" max="13229" width="18.42578125" style="84" customWidth="1"/>
    <col min="13230" max="13239" width="9.140625" style="84"/>
    <col min="13240" max="13240" width="10.28515625" style="84" bestFit="1" customWidth="1"/>
    <col min="13241" max="13484" width="9.140625" style="84"/>
    <col min="13485" max="13485" width="18.42578125" style="84" customWidth="1"/>
    <col min="13486" max="13495" width="9.140625" style="84"/>
    <col min="13496" max="13496" width="10.28515625" style="84" bestFit="1" customWidth="1"/>
    <col min="13497" max="13740" width="9.140625" style="84"/>
    <col min="13741" max="13741" width="18.42578125" style="84" customWidth="1"/>
    <col min="13742" max="13751" width="9.140625" style="84"/>
    <col min="13752" max="13752" width="10.28515625" style="84" bestFit="1" customWidth="1"/>
    <col min="13753" max="13996" width="9.140625" style="84"/>
    <col min="13997" max="13997" width="18.42578125" style="84" customWidth="1"/>
    <col min="13998" max="14007" width="9.140625" style="84"/>
    <col min="14008" max="14008" width="10.28515625" style="84" bestFit="1" customWidth="1"/>
    <col min="14009" max="14252" width="9.140625" style="84"/>
    <col min="14253" max="14253" width="18.42578125" style="84" customWidth="1"/>
    <col min="14254" max="14263" width="9.140625" style="84"/>
    <col min="14264" max="14264" width="10.28515625" style="84" bestFit="1" customWidth="1"/>
    <col min="14265" max="14508" width="9.140625" style="84"/>
    <col min="14509" max="14509" width="18.42578125" style="84" customWidth="1"/>
    <col min="14510" max="14519" width="9.140625" style="84"/>
    <col min="14520" max="14520" width="10.28515625" style="84" bestFit="1" customWidth="1"/>
    <col min="14521" max="14764" width="9.140625" style="84"/>
    <col min="14765" max="14765" width="18.42578125" style="84" customWidth="1"/>
    <col min="14766" max="14775" width="9.140625" style="84"/>
    <col min="14776" max="14776" width="10.28515625" style="84" bestFit="1" customWidth="1"/>
    <col min="14777" max="15020" width="9.140625" style="84"/>
    <col min="15021" max="15021" width="18.42578125" style="84" customWidth="1"/>
    <col min="15022" max="15031" width="9.140625" style="84"/>
    <col min="15032" max="15032" width="10.28515625" style="84" bestFit="1" customWidth="1"/>
    <col min="15033" max="15276" width="9.140625" style="84"/>
    <col min="15277" max="15277" width="18.42578125" style="84" customWidth="1"/>
    <col min="15278" max="15287" width="9.140625" style="84"/>
    <col min="15288" max="15288" width="10.28515625" style="84" bestFit="1" customWidth="1"/>
    <col min="15289" max="15532" width="9.140625" style="84"/>
    <col min="15533" max="15533" width="18.42578125" style="84" customWidth="1"/>
    <col min="15534" max="15543" width="9.140625" style="84"/>
    <col min="15544" max="15544" width="10.28515625" style="84" bestFit="1" customWidth="1"/>
    <col min="15545" max="15788" width="9.140625" style="84"/>
    <col min="15789" max="15789" width="18.42578125" style="84" customWidth="1"/>
    <col min="15790" max="15799" width="9.140625" style="84"/>
    <col min="15800" max="15800" width="10.28515625" style="84" bestFit="1" customWidth="1"/>
    <col min="15801" max="16044" width="9.140625" style="84"/>
    <col min="16045" max="16045" width="18.42578125" style="84" customWidth="1"/>
    <col min="16046" max="16055" width="9.140625" style="84"/>
    <col min="16056" max="16056" width="10.28515625" style="84" bestFit="1" customWidth="1"/>
    <col min="16057" max="16384" width="9.140625" style="84"/>
  </cols>
  <sheetData>
    <row r="1" spans="1:53" ht="12" x14ac:dyDescent="0.2">
      <c r="A1" s="83" t="s">
        <v>186</v>
      </c>
      <c r="Z1" s="84"/>
      <c r="AA1" s="84"/>
      <c r="AB1" s="84"/>
    </row>
    <row r="2" spans="1:53" s="85" customFormat="1" ht="12" hidden="1" x14ac:dyDescent="0.2"/>
    <row r="3" spans="1:53" ht="12" hidden="1" x14ac:dyDescent="0.2">
      <c r="A3" s="86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4"/>
      <c r="AA3" s="84"/>
      <c r="AB3" s="84"/>
    </row>
    <row r="4" spans="1:53" hidden="1" x14ac:dyDescent="0.2">
      <c r="A4" s="85"/>
      <c r="B4" s="307">
        <v>43070</v>
      </c>
      <c r="C4" s="307"/>
      <c r="D4" s="307">
        <v>43101</v>
      </c>
      <c r="E4" s="307"/>
      <c r="F4" s="307">
        <v>43132</v>
      </c>
      <c r="G4" s="307"/>
      <c r="H4" s="307">
        <v>43160</v>
      </c>
      <c r="I4" s="307"/>
      <c r="J4" s="307">
        <v>43191</v>
      </c>
      <c r="K4" s="307"/>
      <c r="L4" s="307">
        <v>43221</v>
      </c>
      <c r="M4" s="30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307" t="s">
        <v>3</v>
      </c>
      <c r="AA4" s="307"/>
    </row>
    <row r="5" spans="1:53" hidden="1" x14ac:dyDescent="0.2">
      <c r="A5" s="85"/>
      <c r="B5" s="87" t="s">
        <v>12</v>
      </c>
      <c r="C5" s="87" t="s">
        <v>4</v>
      </c>
      <c r="D5" s="87" t="s">
        <v>12</v>
      </c>
      <c r="E5" s="87" t="s">
        <v>4</v>
      </c>
      <c r="F5" s="87" t="s">
        <v>12</v>
      </c>
      <c r="G5" s="87" t="s">
        <v>4</v>
      </c>
      <c r="H5" s="87" t="s">
        <v>12</v>
      </c>
      <c r="I5" s="87" t="s">
        <v>4</v>
      </c>
      <c r="J5" s="87" t="s">
        <v>12</v>
      </c>
      <c r="K5" s="87" t="s">
        <v>4</v>
      </c>
      <c r="L5" s="87" t="s">
        <v>12</v>
      </c>
      <c r="M5" s="87" t="s">
        <v>4</v>
      </c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 t="s">
        <v>12</v>
      </c>
      <c r="AA5" s="87" t="s">
        <v>4</v>
      </c>
    </row>
    <row r="6" spans="1:53" hidden="1" x14ac:dyDescent="0.2">
      <c r="A6" s="85" t="s">
        <v>35</v>
      </c>
      <c r="B6" s="88">
        <v>464.47</v>
      </c>
      <c r="C6" s="89">
        <f>+B6/B$16</f>
        <v>0.42682411321448271</v>
      </c>
      <c r="D6" s="137">
        <v>429.16</v>
      </c>
      <c r="E6" s="89">
        <f>+D6/D$16</f>
        <v>0.38245463943250274</v>
      </c>
      <c r="F6" s="137">
        <v>324.49</v>
      </c>
      <c r="G6" s="89">
        <f>+F6/F$16</f>
        <v>0.38597138133244524</v>
      </c>
      <c r="H6" s="137">
        <v>325.77</v>
      </c>
      <c r="I6" s="89">
        <f>+H6/H$16</f>
        <v>0.34665602553870706</v>
      </c>
      <c r="J6" s="137">
        <v>299.68</v>
      </c>
      <c r="K6" s="89">
        <f>+J6/J$16</f>
        <v>0.33496523819104462</v>
      </c>
      <c r="L6" s="137">
        <v>319.27</v>
      </c>
      <c r="M6" s="89">
        <f>+L6/L$16</f>
        <v>0.33040121700075542</v>
      </c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8" t="e">
        <f>+#REF!+#REF!+#REF!+#REF!+#REF!+#REF!+B6+D6+F6+H6+J6+L6</f>
        <v>#REF!</v>
      </c>
      <c r="AA6" s="89" t="e">
        <f>+Z6/Z$16</f>
        <v>#REF!</v>
      </c>
      <c r="AC6" s="137" t="e">
        <f>+Z6/7*12</f>
        <v>#REF!</v>
      </c>
      <c r="AD6" s="89"/>
      <c r="AE6" s="88"/>
      <c r="AF6" s="89"/>
      <c r="AG6" s="88"/>
      <c r="AH6" s="89"/>
      <c r="AI6" s="88"/>
      <c r="AJ6" s="89"/>
      <c r="AK6" s="88"/>
      <c r="AL6" s="89"/>
      <c r="AM6" s="88"/>
      <c r="AN6" s="121"/>
      <c r="AO6" s="88"/>
      <c r="AP6" s="89"/>
      <c r="AQ6" s="88"/>
      <c r="AR6" s="89"/>
      <c r="AS6" s="88"/>
      <c r="AT6" s="89"/>
      <c r="AU6" s="88"/>
      <c r="AV6" s="89"/>
      <c r="AW6" s="88"/>
      <c r="AX6" s="89"/>
      <c r="AY6" s="88"/>
      <c r="AZ6" s="89"/>
      <c r="BA6" s="88"/>
    </row>
    <row r="7" spans="1:53" hidden="1" x14ac:dyDescent="0.2">
      <c r="A7" s="85" t="s">
        <v>64</v>
      </c>
      <c r="B7" s="88">
        <v>0</v>
      </c>
      <c r="C7" s="89">
        <f t="shared" ref="C7:E7" si="0">+B7/B$16</f>
        <v>0</v>
      </c>
      <c r="D7" s="137">
        <v>0</v>
      </c>
      <c r="E7" s="89">
        <f t="shared" si="0"/>
        <v>0</v>
      </c>
      <c r="F7" s="137">
        <v>0</v>
      </c>
      <c r="G7" s="89">
        <f t="shared" ref="G7" si="1">+F7/F$16</f>
        <v>0</v>
      </c>
      <c r="H7" s="137">
        <v>0</v>
      </c>
      <c r="I7" s="89">
        <f t="shared" ref="I7" si="2">+H7/H$16</f>
        <v>0</v>
      </c>
      <c r="J7" s="137">
        <v>0</v>
      </c>
      <c r="K7" s="89">
        <f t="shared" ref="K7" si="3">+J7/J$16</f>
        <v>0</v>
      </c>
      <c r="L7" s="137">
        <v>0</v>
      </c>
      <c r="M7" s="89">
        <f t="shared" ref="M7" si="4">+L7/L$16</f>
        <v>0</v>
      </c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8" t="e">
        <f>+#REF!+#REF!+#REF!+#REF!+#REF!+#REF!+B7+D7+F7+H7+J7+L7</f>
        <v>#REF!</v>
      </c>
      <c r="AA7" s="89" t="e">
        <f t="shared" ref="AA7" si="5">+Z7/Z$16</f>
        <v>#REF!</v>
      </c>
      <c r="AC7" s="137" t="e">
        <f t="shared" ref="AC7:AC15" si="6">+Z7/7*12</f>
        <v>#REF!</v>
      </c>
      <c r="AD7" s="89"/>
      <c r="AE7" s="88"/>
      <c r="AF7" s="89"/>
      <c r="AG7" s="88"/>
      <c r="AH7" s="89"/>
      <c r="AI7" s="88"/>
      <c r="AJ7" s="89"/>
      <c r="AK7" s="88"/>
      <c r="AL7" s="89"/>
      <c r="AM7" s="88"/>
      <c r="AN7" s="121"/>
      <c r="AO7" s="88"/>
      <c r="AP7" s="89"/>
      <c r="AQ7" s="88"/>
      <c r="AR7" s="89"/>
      <c r="AS7" s="88"/>
      <c r="AT7" s="89"/>
      <c r="AU7" s="88"/>
      <c r="AV7" s="89"/>
      <c r="AW7" s="88"/>
      <c r="AX7" s="89"/>
      <c r="AY7" s="88"/>
      <c r="AZ7" s="89"/>
      <c r="BA7" s="88"/>
    </row>
    <row r="8" spans="1:53" hidden="1" x14ac:dyDescent="0.2">
      <c r="A8" s="85" t="s">
        <v>19</v>
      </c>
      <c r="B8" s="88">
        <v>375.59</v>
      </c>
      <c r="C8" s="89">
        <f t="shared" ref="C8:E8" si="7">+B8/B$16</f>
        <v>0.34514795074434851</v>
      </c>
      <c r="D8" s="137">
        <v>415.2</v>
      </c>
      <c r="E8" s="89">
        <f t="shared" si="7"/>
        <v>0.37001390225644309</v>
      </c>
      <c r="F8" s="137">
        <v>281.02</v>
      </c>
      <c r="G8" s="89">
        <f t="shared" ref="G8" si="8">+F8/F$16</f>
        <v>0.33426508546347733</v>
      </c>
      <c r="H8" s="137">
        <v>354.22</v>
      </c>
      <c r="I8" s="89">
        <f t="shared" ref="I8" si="9">+H8/H$16</f>
        <v>0.37693003458366592</v>
      </c>
      <c r="J8" s="137">
        <v>354.01</v>
      </c>
      <c r="K8" s="89">
        <f t="shared" ref="K8" si="10">+J8/J$16</f>
        <v>0.39569221827286338</v>
      </c>
      <c r="L8" s="137">
        <v>400</v>
      </c>
      <c r="M8" s="89">
        <f t="shared" ref="M8" si="11">+L8/L$16</f>
        <v>0.41394583518746569</v>
      </c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8" t="e">
        <f>+#REF!+#REF!+#REF!+#REF!+#REF!+#REF!+B8+D8+F8+H8+J8+L8</f>
        <v>#REF!</v>
      </c>
      <c r="AA8" s="89" t="e">
        <f t="shared" ref="AA8" si="12">+Z8/Z$16</f>
        <v>#REF!</v>
      </c>
      <c r="AC8" s="137" t="e">
        <f t="shared" si="6"/>
        <v>#REF!</v>
      </c>
      <c r="AD8" s="89"/>
      <c r="AE8" s="88"/>
      <c r="AF8" s="89"/>
      <c r="AG8" s="88"/>
      <c r="AH8" s="89"/>
      <c r="AI8" s="88"/>
      <c r="AJ8" s="89"/>
      <c r="AK8" s="88"/>
      <c r="AL8" s="89"/>
      <c r="AM8" s="88"/>
      <c r="AN8" s="121"/>
      <c r="AO8" s="88"/>
      <c r="AP8" s="89"/>
      <c r="AQ8" s="88"/>
      <c r="AR8" s="89"/>
      <c r="AS8" s="88"/>
      <c r="AT8" s="89"/>
      <c r="AU8" s="88"/>
      <c r="AV8" s="89"/>
      <c r="AW8" s="88"/>
      <c r="AX8" s="89"/>
      <c r="AY8" s="88"/>
      <c r="AZ8" s="89"/>
      <c r="BA8" s="88"/>
    </row>
    <row r="9" spans="1:53" hidden="1" x14ac:dyDescent="0.2">
      <c r="A9" s="85" t="s">
        <v>17</v>
      </c>
      <c r="B9" s="88">
        <v>13.48</v>
      </c>
      <c r="C9" s="89">
        <f t="shared" ref="C9:E9" si="13">+B9/B$16</f>
        <v>1.2387428781473996E-2</v>
      </c>
      <c r="D9" s="137">
        <v>13.71</v>
      </c>
      <c r="E9" s="89">
        <f t="shared" si="13"/>
        <v>1.2217944604855095E-2</v>
      </c>
      <c r="F9" s="137">
        <v>10.28</v>
      </c>
      <c r="G9" s="89">
        <f t="shared" ref="G9" si="14">+F9/F$16</f>
        <v>1.2227759869634E-2</v>
      </c>
      <c r="H9" s="137">
        <v>12.41</v>
      </c>
      <c r="I9" s="89">
        <f t="shared" ref="I9" si="15">+H9/H$16</f>
        <v>1.3205639797818568E-2</v>
      </c>
      <c r="J9" s="137">
        <v>12.7</v>
      </c>
      <c r="K9" s="89">
        <f t="shared" ref="K9" si="16">+J9/J$16</f>
        <v>1.4195336775981934E-2</v>
      </c>
      <c r="L9" s="137">
        <v>14.34</v>
      </c>
      <c r="M9" s="89">
        <f t="shared" ref="M9" si="17">+L9/L$16</f>
        <v>1.4839958191470645E-2</v>
      </c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8" t="e">
        <f>+#REF!+#REF!+#REF!+#REF!+#REF!+#REF!+B9+D9+F9+H9+J9+L9</f>
        <v>#REF!</v>
      </c>
      <c r="AA9" s="89" t="e">
        <f t="shared" ref="AA9" si="18">+Z9/Z$16</f>
        <v>#REF!</v>
      </c>
      <c r="AC9" s="137" t="e">
        <f t="shared" si="6"/>
        <v>#REF!</v>
      </c>
      <c r="AD9" s="89"/>
      <c r="AE9" s="88"/>
      <c r="AF9" s="89"/>
      <c r="AG9" s="88"/>
      <c r="AH9" s="89"/>
      <c r="AI9" s="88"/>
      <c r="AJ9" s="89"/>
      <c r="AK9" s="88"/>
      <c r="AL9" s="89"/>
      <c r="AM9" s="88"/>
      <c r="AN9" s="121"/>
      <c r="AO9" s="88"/>
      <c r="AP9" s="89"/>
      <c r="AQ9" s="88"/>
      <c r="AR9" s="89"/>
      <c r="AS9" s="122"/>
      <c r="AT9" s="89"/>
      <c r="AU9" s="122"/>
      <c r="AV9" s="89"/>
      <c r="AW9" s="88"/>
      <c r="AX9" s="89"/>
      <c r="AY9" s="88"/>
      <c r="AZ9" s="89"/>
      <c r="BA9" s="88"/>
    </row>
    <row r="10" spans="1:53" hidden="1" x14ac:dyDescent="0.2">
      <c r="A10" s="85" t="s">
        <v>11</v>
      </c>
      <c r="B10" s="88">
        <v>154.78</v>
      </c>
      <c r="C10" s="89">
        <f t="shared" ref="C10:E10" si="19">+B10/B$16</f>
        <v>0.14223488329351225</v>
      </c>
      <c r="D10" s="137">
        <v>166.16</v>
      </c>
      <c r="E10" s="89">
        <f t="shared" si="19"/>
        <v>0.14807685452536268</v>
      </c>
      <c r="F10" s="137">
        <v>159.09</v>
      </c>
      <c r="G10" s="89">
        <f t="shared" ref="G10" si="20">+F10/F$16</f>
        <v>0.18923291027821723</v>
      </c>
      <c r="H10" s="137">
        <v>172.66</v>
      </c>
      <c r="I10" s="89">
        <f t="shared" ref="I10" si="21">+H10/H$16</f>
        <v>0.18372971534982707</v>
      </c>
      <c r="J10" s="137">
        <v>153.04</v>
      </c>
      <c r="K10" s="89">
        <f t="shared" ref="K10" si="22">+J10/J$16</f>
        <v>0.17105939686584845</v>
      </c>
      <c r="L10" s="137">
        <v>154.36000000000001</v>
      </c>
      <c r="M10" s="89">
        <f t="shared" ref="M10" si="23">+L10/L$16</f>
        <v>0.15974169779884304</v>
      </c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8" t="e">
        <f>+#REF!+#REF!+#REF!+#REF!+#REF!+#REF!+B10+D10+F10+H10+J10+L10</f>
        <v>#REF!</v>
      </c>
      <c r="AA10" s="89" t="e">
        <f t="shared" ref="AA10" si="24">+Z10/Z$16</f>
        <v>#REF!</v>
      </c>
      <c r="AC10" s="137" t="e">
        <f t="shared" si="6"/>
        <v>#REF!</v>
      </c>
      <c r="AD10" s="89"/>
      <c r="AE10" s="88"/>
      <c r="AF10" s="89"/>
      <c r="AG10" s="88"/>
      <c r="AH10" s="89"/>
      <c r="AI10" s="88"/>
      <c r="AJ10" s="89"/>
      <c r="AK10" s="88"/>
      <c r="AL10" s="89"/>
      <c r="AM10" s="88"/>
      <c r="AN10" s="121"/>
      <c r="AO10" s="88"/>
      <c r="AP10" s="89"/>
      <c r="AQ10" s="88"/>
      <c r="AR10" s="89"/>
      <c r="AS10" s="122"/>
      <c r="AT10" s="89"/>
      <c r="AU10" s="122"/>
      <c r="AV10" s="89"/>
      <c r="AW10" s="88"/>
      <c r="AX10" s="89"/>
      <c r="AY10" s="88"/>
      <c r="AZ10" s="89"/>
      <c r="BA10" s="88"/>
    </row>
    <row r="11" spans="1:53" hidden="1" x14ac:dyDescent="0.2">
      <c r="A11" s="85" t="s">
        <v>95</v>
      </c>
      <c r="B11" s="88">
        <v>28.96</v>
      </c>
      <c r="C11" s="89">
        <f t="shared" ref="C11:E11" si="25">+B11/B$16</f>
        <v>2.6612755008270542E-2</v>
      </c>
      <c r="D11" s="137">
        <v>30.9</v>
      </c>
      <c r="E11" s="89">
        <f t="shared" si="25"/>
        <v>2.7537161800876907E-2</v>
      </c>
      <c r="F11" s="137">
        <v>22.92</v>
      </c>
      <c r="G11" s="89">
        <f t="shared" ref="G11" si="26">+F11/F$16</f>
        <v>2.7262670837744293E-2</v>
      </c>
      <c r="H11" s="137">
        <v>23.83</v>
      </c>
      <c r="I11" s="89">
        <f t="shared" ref="I11" si="27">+H11/H$16</f>
        <v>2.5357807927640329E-2</v>
      </c>
      <c r="J11" s="137">
        <v>24.01</v>
      </c>
      <c r="K11" s="89">
        <f t="shared" ref="K11" si="28">+J11/J$16</f>
        <v>2.6837010707978448E-2</v>
      </c>
      <c r="L11" s="137">
        <v>24.89</v>
      </c>
      <c r="M11" s="89">
        <f t="shared" ref="M11" si="29">+L11/L$16</f>
        <v>2.5757779594540054E-2</v>
      </c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8" t="e">
        <f>+#REF!+#REF!+#REF!+#REF!+#REF!+#REF!+B11+D11+F11+H11+J11+L11</f>
        <v>#REF!</v>
      </c>
      <c r="AA11" s="89" t="e">
        <f t="shared" ref="AA11" si="30">+Z11/Z$16</f>
        <v>#REF!</v>
      </c>
      <c r="AC11" s="137" t="e">
        <f t="shared" si="6"/>
        <v>#REF!</v>
      </c>
      <c r="AD11" s="89"/>
      <c r="AE11" s="88"/>
      <c r="AF11" s="89"/>
      <c r="AG11" s="88"/>
      <c r="AH11" s="89"/>
      <c r="AI11" s="88"/>
      <c r="AJ11" s="89"/>
      <c r="AK11" s="88"/>
      <c r="AL11" s="89"/>
      <c r="AM11" s="88"/>
      <c r="AN11" s="121"/>
      <c r="AO11" s="88"/>
      <c r="AP11" s="89"/>
      <c r="AQ11" s="88"/>
      <c r="AR11" s="89"/>
      <c r="AS11" s="122"/>
      <c r="AT11" s="89"/>
      <c r="AU11" s="122"/>
      <c r="AV11" s="89"/>
      <c r="AW11" s="88"/>
      <c r="AX11" s="89"/>
      <c r="AY11" s="88"/>
      <c r="AZ11" s="89"/>
      <c r="BA11" s="88"/>
    </row>
    <row r="12" spans="1:53" hidden="1" x14ac:dyDescent="0.2">
      <c r="A12" s="85" t="s">
        <v>1</v>
      </c>
      <c r="B12" s="88">
        <v>33.950000000000003</v>
      </c>
      <c r="C12" s="89">
        <f t="shared" ref="C12:E12" si="31">+B12/B$16</f>
        <v>3.1198309134350313E-2</v>
      </c>
      <c r="D12" s="137">
        <v>46.94</v>
      </c>
      <c r="E12" s="89">
        <f t="shared" si="31"/>
        <v>4.1831533169357997E-2</v>
      </c>
      <c r="F12" s="137">
        <v>25.65</v>
      </c>
      <c r="G12" s="89">
        <f t="shared" ref="G12" si="32">+F12/F$16</f>
        <v>3.0509926133863045E-2</v>
      </c>
      <c r="H12" s="137">
        <v>30.53</v>
      </c>
      <c r="I12" s="89">
        <f t="shared" ref="I12" si="33">+H12/H$16</f>
        <v>3.2487363660548017E-2</v>
      </c>
      <c r="J12" s="137">
        <v>32.119999999999997</v>
      </c>
      <c r="K12" s="89">
        <f t="shared" ref="K12" si="34">+J12/J$16</f>
        <v>3.5901906869648802E-2</v>
      </c>
      <c r="L12" s="137">
        <v>35.21</v>
      </c>
      <c r="M12" s="89">
        <f t="shared" ref="M12" si="35">+L12/L$16</f>
        <v>3.6437582142376669E-2</v>
      </c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8" t="e">
        <f>+#REF!+#REF!+#REF!+#REF!+#REF!+#REF!+B12+D12+F12+H12+J12+L12</f>
        <v>#REF!</v>
      </c>
      <c r="AA12" s="89" t="e">
        <f t="shared" ref="AA12" si="36">+Z12/Z$16</f>
        <v>#REF!</v>
      </c>
      <c r="AC12" s="137" t="e">
        <f t="shared" si="6"/>
        <v>#REF!</v>
      </c>
      <c r="AD12" s="89"/>
      <c r="AE12" s="88"/>
      <c r="AF12" s="89"/>
      <c r="AG12" s="88"/>
      <c r="AH12" s="89"/>
      <c r="AI12" s="88"/>
      <c r="AJ12" s="89"/>
      <c r="AK12" s="88"/>
      <c r="AL12" s="89"/>
      <c r="AM12" s="88"/>
      <c r="AN12" s="121"/>
      <c r="AO12" s="88"/>
      <c r="AP12" s="89"/>
      <c r="AQ12" s="88"/>
      <c r="AR12" s="89"/>
      <c r="AS12" s="122"/>
      <c r="AT12" s="89"/>
      <c r="AU12" s="122"/>
      <c r="AV12" s="89"/>
      <c r="AW12" s="88"/>
      <c r="AX12" s="89"/>
      <c r="AY12" s="88"/>
      <c r="AZ12" s="89"/>
      <c r="BA12" s="88"/>
    </row>
    <row r="13" spans="1:53" hidden="1" x14ac:dyDescent="0.2">
      <c r="A13" s="85" t="s">
        <v>65</v>
      </c>
      <c r="B13" s="88">
        <v>9.36</v>
      </c>
      <c r="C13" s="89">
        <f t="shared" ref="C13:E13" si="37">+B13/B$16</f>
        <v>8.6013600441095395E-3</v>
      </c>
      <c r="D13" s="137">
        <v>10.220000000000001</v>
      </c>
      <c r="E13" s="89">
        <f t="shared" si="37"/>
        <v>9.1077603108401951E-3</v>
      </c>
      <c r="F13" s="137">
        <v>8.02</v>
      </c>
      <c r="G13" s="89">
        <f t="shared" ref="G13" si="38">+F13/F$16</f>
        <v>9.5395558516016225E-3</v>
      </c>
      <c r="H13" s="137">
        <v>9.7799999999999994</v>
      </c>
      <c r="I13" s="89">
        <f t="shared" ref="I13" si="39">+H13/H$16</f>
        <v>1.0407023144453312E-2</v>
      </c>
      <c r="J13" s="137">
        <v>8.9600000000000009</v>
      </c>
      <c r="K13" s="89">
        <f t="shared" ref="K13" si="40">+J13/J$16</f>
        <v>1.001497775691324E-2</v>
      </c>
      <c r="L13" s="137">
        <v>9.52</v>
      </c>
      <c r="M13" s="89">
        <f t="shared" ref="M13" si="41">+L13/L$16</f>
        <v>9.8519108774616834E-3</v>
      </c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8" t="e">
        <f>+#REF!+#REF!+#REF!+#REF!+#REF!+#REF!+B13+D13+F13+H13+J13+L13</f>
        <v>#REF!</v>
      </c>
      <c r="AA13" s="89" t="e">
        <f t="shared" ref="AA13" si="42">+Z13/Z$16</f>
        <v>#REF!</v>
      </c>
      <c r="AC13" s="137" t="e">
        <f t="shared" si="6"/>
        <v>#REF!</v>
      </c>
      <c r="AD13" s="89"/>
      <c r="AE13" s="88"/>
      <c r="AF13" s="89"/>
      <c r="AG13" s="88"/>
      <c r="AH13" s="89"/>
      <c r="AI13" s="88"/>
      <c r="AJ13" s="89"/>
      <c r="AK13" s="88"/>
      <c r="AL13" s="89"/>
      <c r="AM13" s="88"/>
      <c r="AN13" s="121"/>
      <c r="AO13" s="88"/>
      <c r="AP13" s="89"/>
      <c r="AQ13" s="88"/>
      <c r="AR13" s="89"/>
      <c r="AS13" s="122"/>
      <c r="AT13" s="89"/>
      <c r="AU13" s="122"/>
      <c r="AV13" s="89"/>
      <c r="AW13" s="88"/>
      <c r="AX13" s="89"/>
      <c r="AY13" s="88"/>
      <c r="AZ13" s="89"/>
      <c r="BA13" s="88"/>
    </row>
    <row r="14" spans="1:53" hidden="1" x14ac:dyDescent="0.2">
      <c r="A14" s="85" t="s">
        <v>66</v>
      </c>
      <c r="B14" s="88">
        <v>7.61</v>
      </c>
      <c r="C14" s="89">
        <f t="shared" ref="C14:E14" si="43">+B14/B$16</f>
        <v>6.9931997794523077E-3</v>
      </c>
      <c r="D14" s="137">
        <v>7.76</v>
      </c>
      <c r="E14" s="89">
        <f t="shared" si="43"/>
        <v>6.9154814101878579E-3</v>
      </c>
      <c r="F14" s="137">
        <v>6.32</v>
      </c>
      <c r="G14" s="89">
        <f t="shared" ref="G14" si="44">+F14/F$16</f>
        <v>7.5174554840551451E-3</v>
      </c>
      <c r="H14" s="137">
        <v>7.47</v>
      </c>
      <c r="I14" s="89">
        <f t="shared" ref="I14" si="45">+H14/H$16</f>
        <v>7.9489225857940944E-3</v>
      </c>
      <c r="J14" s="137">
        <v>7.9</v>
      </c>
      <c r="K14" s="89">
        <f t="shared" ref="K14" si="46">+J14/J$16</f>
        <v>8.8301701204927009E-3</v>
      </c>
      <c r="L14" s="137">
        <v>8.49</v>
      </c>
      <c r="M14" s="89">
        <f t="shared" ref="M14" si="47">+L14/L$16</f>
        <v>8.7860003518539596E-3</v>
      </c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8" t="e">
        <f>+#REF!+#REF!+#REF!+#REF!+#REF!+#REF!+B14+D14+F14+H14+J14+L14</f>
        <v>#REF!</v>
      </c>
      <c r="AA14" s="89" t="e">
        <f t="shared" ref="AA14" si="48">+Z14/Z$16</f>
        <v>#REF!</v>
      </c>
      <c r="AC14" s="137" t="e">
        <f t="shared" si="6"/>
        <v>#REF!</v>
      </c>
      <c r="AD14" s="89"/>
      <c r="AE14" s="88"/>
      <c r="AF14" s="89"/>
      <c r="AG14" s="88"/>
      <c r="AH14" s="89"/>
      <c r="AI14" s="88"/>
      <c r="AJ14" s="89"/>
      <c r="AK14" s="88"/>
      <c r="AL14" s="89"/>
      <c r="AM14" s="88"/>
      <c r="AN14" s="121"/>
      <c r="AO14" s="88"/>
      <c r="AP14" s="89"/>
      <c r="AQ14" s="88"/>
      <c r="AR14" s="89"/>
      <c r="AS14" s="122"/>
      <c r="AT14" s="89"/>
      <c r="AU14" s="122"/>
      <c r="AV14" s="89"/>
      <c r="AW14" s="88"/>
      <c r="AX14" s="89"/>
      <c r="AY14" s="88"/>
      <c r="AZ14" s="89"/>
      <c r="BA14" s="88"/>
    </row>
    <row r="15" spans="1:53" ht="15" hidden="1" x14ac:dyDescent="0.35">
      <c r="A15" s="85" t="s">
        <v>67</v>
      </c>
      <c r="B15" s="88">
        <v>0</v>
      </c>
      <c r="C15" s="89">
        <f t="shared" ref="C15:E15" si="49">+B15/B$16</f>
        <v>0</v>
      </c>
      <c r="D15" s="137">
        <v>2.0699999999999998</v>
      </c>
      <c r="E15" s="89">
        <f t="shared" si="49"/>
        <v>1.8447224895733073E-3</v>
      </c>
      <c r="F15" s="137">
        <v>2.92</v>
      </c>
      <c r="G15" s="89">
        <f t="shared" ref="G15" si="50">+F15/F$16</f>
        <v>3.4732547489621868E-3</v>
      </c>
      <c r="H15" s="137">
        <v>3.08</v>
      </c>
      <c r="I15" s="89">
        <f t="shared" ref="I15" si="51">+H15/H$16</f>
        <v>3.277467411545624E-3</v>
      </c>
      <c r="J15" s="137">
        <v>2.2400000000000002</v>
      </c>
      <c r="K15" s="89">
        <f t="shared" ref="K15" si="52">+J15/J$16</f>
        <v>2.50374443922831E-3</v>
      </c>
      <c r="L15" s="137">
        <v>0.23</v>
      </c>
      <c r="M15" s="89">
        <f t="shared" ref="M15" si="53">+L15/L$16</f>
        <v>2.3801885523279278E-4</v>
      </c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8" t="e">
        <f>+#REF!+#REF!+#REF!+#REF!+#REF!+#REF!+B15+D15+F15+H15+J15+L15</f>
        <v>#REF!</v>
      </c>
      <c r="AA15" s="89" t="e">
        <f t="shared" ref="AA15" si="54">+Z15/Z$16</f>
        <v>#REF!</v>
      </c>
      <c r="AC15" s="147" t="e">
        <f t="shared" si="6"/>
        <v>#REF!</v>
      </c>
      <c r="AD15" s="89"/>
      <c r="AE15" s="88"/>
      <c r="AF15" s="89"/>
      <c r="AG15" s="88"/>
      <c r="AH15" s="89"/>
      <c r="AI15" s="88"/>
      <c r="AJ15" s="89"/>
      <c r="AK15" s="88"/>
      <c r="AL15" s="89"/>
      <c r="AM15" s="88"/>
      <c r="AN15" s="121"/>
      <c r="AO15" s="88"/>
      <c r="AP15" s="89"/>
      <c r="AQ15" s="88"/>
      <c r="AR15" s="89"/>
      <c r="AS15" s="122"/>
      <c r="AT15" s="89"/>
      <c r="AU15" s="122"/>
      <c r="AV15" s="89"/>
      <c r="AW15" s="88"/>
      <c r="AX15" s="89"/>
      <c r="AY15" s="88"/>
      <c r="AZ15" s="89"/>
      <c r="BA15" s="88"/>
    </row>
    <row r="16" spans="1:53" s="123" customFormat="1" ht="13.5" hidden="1" thickBot="1" x14ac:dyDescent="0.25">
      <c r="A16" s="90"/>
      <c r="B16" s="91">
        <f t="shared" ref="B16:AA16" si="55">SUM(B6:B15)</f>
        <v>1088.1999999999998</v>
      </c>
      <c r="C16" s="102">
        <f t="shared" si="55"/>
        <v>1.0000000000000002</v>
      </c>
      <c r="D16" s="91">
        <f t="shared" si="55"/>
        <v>1122.1200000000001</v>
      </c>
      <c r="E16" s="102">
        <f t="shared" si="55"/>
        <v>0.99999999999999989</v>
      </c>
      <c r="F16" s="91">
        <f t="shared" si="55"/>
        <v>840.70999999999992</v>
      </c>
      <c r="G16" s="102">
        <f t="shared" si="55"/>
        <v>1</v>
      </c>
      <c r="H16" s="91">
        <f t="shared" si="55"/>
        <v>939.75</v>
      </c>
      <c r="I16" s="102">
        <f t="shared" si="55"/>
        <v>0.99999999999999989</v>
      </c>
      <c r="J16" s="91">
        <f t="shared" si="55"/>
        <v>894.66000000000008</v>
      </c>
      <c r="K16" s="102">
        <f t="shared" si="55"/>
        <v>0.99999999999999989</v>
      </c>
      <c r="L16" s="91">
        <f t="shared" si="55"/>
        <v>966.31000000000006</v>
      </c>
      <c r="M16" s="102">
        <f t="shared" si="55"/>
        <v>1.0000000000000002</v>
      </c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91" t="e">
        <f t="shared" si="55"/>
        <v>#REF!</v>
      </c>
      <c r="AA16" s="102" t="e">
        <f t="shared" si="55"/>
        <v>#REF!</v>
      </c>
      <c r="AB16" s="1"/>
      <c r="AC16" s="138" t="e">
        <f>SUM(AC6:AC15)</f>
        <v>#REF!</v>
      </c>
    </row>
    <row r="17" spans="1:29" hidden="1" x14ac:dyDescent="0.2"/>
    <row r="18" spans="1:29" ht="15" hidden="1" x14ac:dyDescent="0.35">
      <c r="A18" s="85" t="s">
        <v>68</v>
      </c>
      <c r="B18" s="126">
        <v>153.16999999999999</v>
      </c>
      <c r="C18" s="127">
        <f>+B18/B20</f>
        <v>0.12338786985346835</v>
      </c>
      <c r="D18" s="136">
        <v>166.01</v>
      </c>
      <c r="E18" s="127">
        <f>+D18/D20</f>
        <v>0.12887674380691388</v>
      </c>
      <c r="F18" s="136">
        <v>98.34</v>
      </c>
      <c r="G18" s="127">
        <f>+F18/F20</f>
        <v>0.10472285820776317</v>
      </c>
      <c r="H18" s="136">
        <v>153.34</v>
      </c>
      <c r="I18" s="127">
        <f>+H18/H20</f>
        <v>0.14028122112543343</v>
      </c>
      <c r="J18" s="136">
        <v>165.76</v>
      </c>
      <c r="K18" s="127">
        <f>+J18/J20</f>
        <v>0.15631542219120723</v>
      </c>
      <c r="L18" s="147">
        <f>169.25+9.98+1.26</f>
        <v>180.48999999999998</v>
      </c>
      <c r="M18" s="127">
        <f>+L18/L20</f>
        <v>0.15738576909661667</v>
      </c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6" t="e">
        <f>+L18+J18+H18+F18+D18+B18+#REF!+#REF!+#REF!+#REF!+#REF!+#REF!</f>
        <v>#REF!</v>
      </c>
      <c r="AA18" s="127" t="e">
        <f>+Z18/Z20</f>
        <v>#REF!</v>
      </c>
      <c r="AC18" s="137" t="e">
        <f t="shared" ref="AC18" si="56">+Z18/7*12</f>
        <v>#REF!</v>
      </c>
    </row>
    <row r="19" spans="1:29" hidden="1" x14ac:dyDescent="0.2"/>
    <row r="20" spans="1:29" ht="15" hidden="1" x14ac:dyDescent="0.35">
      <c r="A20" s="86" t="s">
        <v>93</v>
      </c>
      <c r="B20" s="125">
        <f t="shared" ref="B20" si="57">+B18+B16</f>
        <v>1241.3699999999999</v>
      </c>
      <c r="C20" s="125"/>
      <c r="D20" s="125">
        <f t="shared" ref="D20" si="58">+D18+D16</f>
        <v>1288.1300000000001</v>
      </c>
      <c r="E20" s="125"/>
      <c r="F20" s="125">
        <f t="shared" ref="F20" si="59">+F18+F16</f>
        <v>939.05</v>
      </c>
      <c r="G20" s="125"/>
      <c r="H20" s="125">
        <f t="shared" ref="H20" si="60">+H18+H16</f>
        <v>1093.0899999999999</v>
      </c>
      <c r="I20" s="125"/>
      <c r="J20" s="125">
        <f t="shared" ref="J20" si="61">+J18+J16</f>
        <v>1060.42</v>
      </c>
      <c r="K20" s="125"/>
      <c r="L20" s="125">
        <f t="shared" ref="L20" si="62">+L18+L16</f>
        <v>1146.8</v>
      </c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 t="e">
        <f t="shared" ref="Z20" si="63">+Z18+Z16</f>
        <v>#REF!</v>
      </c>
    </row>
    <row r="21" spans="1:29" hidden="1" x14ac:dyDescent="0.2"/>
    <row r="23" spans="1:29" x14ac:dyDescent="0.2">
      <c r="A23" s="85"/>
      <c r="B23" s="307">
        <v>44713</v>
      </c>
      <c r="C23" s="307"/>
      <c r="D23" s="307">
        <v>44743</v>
      </c>
      <c r="E23" s="307"/>
      <c r="F23" s="307">
        <v>44774</v>
      </c>
      <c r="G23" s="307"/>
      <c r="H23" s="307">
        <v>44805</v>
      </c>
      <c r="I23" s="307"/>
      <c r="J23" s="307">
        <v>44835</v>
      </c>
      <c r="K23" s="307"/>
      <c r="L23" s="307">
        <v>44866</v>
      </c>
      <c r="M23" s="307"/>
      <c r="N23" s="307">
        <v>44896</v>
      </c>
      <c r="O23" s="307"/>
      <c r="P23" s="307">
        <v>44927</v>
      </c>
      <c r="Q23" s="307"/>
      <c r="R23" s="307">
        <v>44958</v>
      </c>
      <c r="S23" s="307"/>
      <c r="T23" s="307">
        <v>44986</v>
      </c>
      <c r="U23" s="307"/>
      <c r="V23" s="307">
        <v>45017</v>
      </c>
      <c r="W23" s="307"/>
      <c r="X23" s="307">
        <v>45047</v>
      </c>
      <c r="Y23" s="307"/>
      <c r="Z23" s="307" t="s">
        <v>3</v>
      </c>
      <c r="AA23" s="307"/>
    </row>
    <row r="24" spans="1:29" x14ac:dyDescent="0.2">
      <c r="A24" s="85"/>
      <c r="B24" s="87" t="s">
        <v>12</v>
      </c>
      <c r="C24" s="87" t="s">
        <v>4</v>
      </c>
      <c r="D24" s="87" t="s">
        <v>12</v>
      </c>
      <c r="E24" s="87" t="s">
        <v>4</v>
      </c>
      <c r="F24" s="87" t="s">
        <v>12</v>
      </c>
      <c r="G24" s="87" t="s">
        <v>4</v>
      </c>
      <c r="H24" s="87" t="s">
        <v>12</v>
      </c>
      <c r="I24" s="87" t="s">
        <v>4</v>
      </c>
      <c r="J24" s="87" t="s">
        <v>12</v>
      </c>
      <c r="K24" s="87" t="s">
        <v>4</v>
      </c>
      <c r="L24" s="87" t="s">
        <v>12</v>
      </c>
      <c r="M24" s="87" t="s">
        <v>4</v>
      </c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 t="s">
        <v>12</v>
      </c>
      <c r="AA24" s="87" t="s">
        <v>4</v>
      </c>
    </row>
    <row r="25" spans="1:29" x14ac:dyDescent="0.2">
      <c r="A25" s="85" t="s">
        <v>35</v>
      </c>
      <c r="B25" s="88">
        <v>360.06</v>
      </c>
      <c r="C25" s="89">
        <f>+B25/B$35</f>
        <v>0.24505046517800635</v>
      </c>
      <c r="D25" s="137">
        <v>239.95</v>
      </c>
      <c r="E25" s="89">
        <f>+D25/D$35</f>
        <v>0.18595729840740882</v>
      </c>
      <c r="F25" s="137">
        <v>267.74</v>
      </c>
      <c r="G25" s="89">
        <f>+F25/F$35</f>
        <v>0.19325965973480391</v>
      </c>
      <c r="H25" s="137">
        <v>297.43</v>
      </c>
      <c r="I25" s="89">
        <f>+H25/H$35</f>
        <v>0.21499927714327027</v>
      </c>
      <c r="J25" s="137">
        <v>253.66</v>
      </c>
      <c r="K25" s="89">
        <f>+J25/J$35</f>
        <v>0.19628417330207149</v>
      </c>
      <c r="L25" s="171">
        <v>277.42</v>
      </c>
      <c r="M25" s="89">
        <f>+L25/L$35</f>
        <v>0.22422307536876138</v>
      </c>
      <c r="N25" s="171">
        <v>279.79000000000002</v>
      </c>
      <c r="O25" s="89">
        <f>+N25/N$35</f>
        <v>0.21809012323545698</v>
      </c>
      <c r="P25" s="171">
        <v>319.60000000000002</v>
      </c>
      <c r="Q25" s="89">
        <f>+P25/P$35</f>
        <v>0.21424214188514321</v>
      </c>
      <c r="R25" s="171">
        <v>229.82</v>
      </c>
      <c r="S25" s="89">
        <f>+R25/R$35</f>
        <v>0.20794941894143953</v>
      </c>
      <c r="T25" s="171">
        <v>258.11</v>
      </c>
      <c r="U25" s="89">
        <f>+T25/T$35</f>
        <v>0.19858638989288632</v>
      </c>
      <c r="V25" s="171">
        <v>336.96</v>
      </c>
      <c r="W25" s="89">
        <f>+V25/V$35</f>
        <v>0.20622544279471702</v>
      </c>
      <c r="X25" s="171">
        <v>253.71086400000002</v>
      </c>
      <c r="Y25" s="89">
        <f>+X25/X$35</f>
        <v>0.19423666462293074</v>
      </c>
      <c r="Z25" s="88">
        <f>+B25+D25+F25+H25+J25+L25+N25+P25+R25+T25+V25+X25</f>
        <v>3374.2508640000005</v>
      </c>
      <c r="AA25" s="89">
        <f>+Z25/Z$35</f>
        <v>0.20857350931995208</v>
      </c>
    </row>
    <row r="26" spans="1:29" x14ac:dyDescent="0.2">
      <c r="A26" s="85" t="s">
        <v>64</v>
      </c>
      <c r="B26" s="88">
        <v>0</v>
      </c>
      <c r="C26" s="89">
        <f t="shared" ref="C26" si="64">+B26/B$35</f>
        <v>0</v>
      </c>
      <c r="D26" s="137">
        <v>0</v>
      </c>
      <c r="E26" s="89">
        <f t="shared" ref="E26" si="65">+D26/D$35</f>
        <v>0</v>
      </c>
      <c r="F26" s="137">
        <v>0</v>
      </c>
      <c r="G26" s="89">
        <f t="shared" ref="G26" si="66">+F26/F$35</f>
        <v>0</v>
      </c>
      <c r="H26" s="137">
        <v>0</v>
      </c>
      <c r="I26" s="89">
        <f t="shared" ref="I26" si="67">+H26/H$35</f>
        <v>0</v>
      </c>
      <c r="J26" s="137">
        <v>0</v>
      </c>
      <c r="K26" s="89">
        <f t="shared" ref="K26" si="68">+J26/J$35</f>
        <v>0</v>
      </c>
      <c r="L26" s="171">
        <v>0</v>
      </c>
      <c r="M26" s="89">
        <f t="shared" ref="M26" si="69">+L26/L$35</f>
        <v>0</v>
      </c>
      <c r="N26" s="171">
        <v>0</v>
      </c>
      <c r="O26" s="89">
        <f t="shared" ref="O26:O34" si="70">+N26/N$35</f>
        <v>0</v>
      </c>
      <c r="P26" s="171">
        <v>0</v>
      </c>
      <c r="Q26" s="89">
        <f t="shared" ref="Q26:Q34" si="71">+P26/P$35</f>
        <v>0</v>
      </c>
      <c r="R26" s="171">
        <v>0</v>
      </c>
      <c r="S26" s="89">
        <f t="shared" ref="S26:S34" si="72">+R26/R$35</f>
        <v>0</v>
      </c>
      <c r="T26" s="171">
        <v>0</v>
      </c>
      <c r="U26" s="89">
        <f t="shared" ref="U26:U34" si="73">+T26/T$35</f>
        <v>0</v>
      </c>
      <c r="V26" s="171">
        <v>0</v>
      </c>
      <c r="W26" s="89">
        <f t="shared" ref="W26:W34" si="74">+V26/V$35</f>
        <v>0</v>
      </c>
      <c r="X26" s="171">
        <v>0</v>
      </c>
      <c r="Y26" s="89">
        <f t="shared" ref="Y26:Y34" si="75">+X26/X$35</f>
        <v>0</v>
      </c>
      <c r="Z26" s="88">
        <f t="shared" ref="Z26:Z34" si="76">+B26+D26+F26+H26+J26+L26+N26+P26+R26+T26+V26+X26</f>
        <v>0</v>
      </c>
      <c r="AA26" s="89">
        <f t="shared" ref="AA26" si="77">+Z26/Z$35</f>
        <v>0</v>
      </c>
    </row>
    <row r="27" spans="1:29" x14ac:dyDescent="0.2">
      <c r="A27" s="85" t="s">
        <v>19</v>
      </c>
      <c r="B27" s="88">
        <v>714.22</v>
      </c>
      <c r="C27" s="89">
        <f t="shared" ref="C27" si="78">+B27/B$35</f>
        <v>0.48608549474930762</v>
      </c>
      <c r="D27" s="137">
        <v>712.25</v>
      </c>
      <c r="E27" s="89">
        <f t="shared" ref="E27" si="79">+D27/D$35</f>
        <v>0.55198202038206678</v>
      </c>
      <c r="F27" s="137">
        <v>765.98</v>
      </c>
      <c r="G27" s="89">
        <f t="shared" ref="G27" si="80">+F27/F$35</f>
        <v>0.55289846180497904</v>
      </c>
      <c r="H27" s="137">
        <v>756.67</v>
      </c>
      <c r="I27" s="89">
        <f t="shared" ref="I27" si="81">+H27/H$35</f>
        <v>0.54696400173485626</v>
      </c>
      <c r="J27" s="137">
        <v>693.62</v>
      </c>
      <c r="K27" s="89">
        <f t="shared" ref="K27" si="82">+J27/J$35</f>
        <v>0.53672880346047003</v>
      </c>
      <c r="L27" s="171">
        <v>661.32</v>
      </c>
      <c r="M27" s="89">
        <f t="shared" ref="M27" si="83">+L27/L$35</f>
        <v>0.53450798141038602</v>
      </c>
      <c r="N27" s="171">
        <v>684.76</v>
      </c>
      <c r="O27" s="89">
        <f t="shared" si="70"/>
        <v>0.53375529070628502</v>
      </c>
      <c r="P27" s="171">
        <v>829.18</v>
      </c>
      <c r="Q27" s="89">
        <f t="shared" si="71"/>
        <v>0.55583635547034738</v>
      </c>
      <c r="R27" s="171">
        <v>605.57000000000005</v>
      </c>
      <c r="S27" s="89">
        <f t="shared" si="72"/>
        <v>0.54794156134525951</v>
      </c>
      <c r="T27" s="171">
        <v>696.47</v>
      </c>
      <c r="U27" s="89">
        <f t="shared" si="73"/>
        <v>0.53585472460849459</v>
      </c>
      <c r="V27" s="171">
        <v>887.54</v>
      </c>
      <c r="W27" s="89">
        <f t="shared" si="74"/>
        <v>0.54319008041910954</v>
      </c>
      <c r="X27" s="171">
        <v>749.27993800000002</v>
      </c>
      <c r="Y27" s="89">
        <f t="shared" si="75"/>
        <v>0.57363580625383204</v>
      </c>
      <c r="Z27" s="88">
        <f t="shared" si="76"/>
        <v>8756.8599379999996</v>
      </c>
      <c r="AA27" s="89">
        <f t="shared" ref="AA27" si="84">+Z27/Z$35</f>
        <v>0.54129022455870301</v>
      </c>
    </row>
    <row r="28" spans="1:29" x14ac:dyDescent="0.2">
      <c r="A28" s="85" t="s">
        <v>17</v>
      </c>
      <c r="B28" s="88">
        <v>33.56</v>
      </c>
      <c r="C28" s="89">
        <f t="shared" ref="C28" si="85">+B28/B$35</f>
        <v>2.2840342196783575E-2</v>
      </c>
      <c r="D28" s="137">
        <v>35.159999999999997</v>
      </c>
      <c r="E28" s="89">
        <f t="shared" ref="E28" si="86">+D28/D$35</f>
        <v>2.7248420971054361E-2</v>
      </c>
      <c r="F28" s="137">
        <v>36.92</v>
      </c>
      <c r="G28" s="89">
        <f t="shared" ref="G28" si="87">+F28/F$35</f>
        <v>2.664953550985643E-2</v>
      </c>
      <c r="H28" s="137">
        <v>35.119999999999997</v>
      </c>
      <c r="I28" s="89">
        <f t="shared" ref="I28" si="88">+H28/H$35</f>
        <v>2.5386728350440948E-2</v>
      </c>
      <c r="J28" s="137">
        <v>27.98</v>
      </c>
      <c r="K28" s="89">
        <f t="shared" ref="K28" si="89">+J28/J$35</f>
        <v>2.1651151813419381E-2</v>
      </c>
      <c r="L28" s="171">
        <v>27.26</v>
      </c>
      <c r="M28" s="89">
        <f t="shared" ref="M28" si="90">+L28/L$35</f>
        <v>2.2032733885633461E-2</v>
      </c>
      <c r="N28" s="171">
        <v>29.62</v>
      </c>
      <c r="O28" s="89">
        <f t="shared" si="70"/>
        <v>2.3088135566797365E-2</v>
      </c>
      <c r="P28" s="171">
        <v>31.54</v>
      </c>
      <c r="Q28" s="89">
        <f t="shared" si="71"/>
        <v>2.1142669446362377E-2</v>
      </c>
      <c r="R28" s="171">
        <v>24.45</v>
      </c>
      <c r="S28" s="89">
        <f t="shared" si="72"/>
        <v>2.2123241202324413E-2</v>
      </c>
      <c r="T28" s="171">
        <v>28.49</v>
      </c>
      <c r="U28" s="89">
        <f t="shared" si="73"/>
        <v>2.1919825841882647E-2</v>
      </c>
      <c r="V28" s="171">
        <v>36.729999999999997</v>
      </c>
      <c r="W28" s="89">
        <f t="shared" si="74"/>
        <v>2.2479405608529072E-2</v>
      </c>
      <c r="X28" s="171">
        <v>30.272319</v>
      </c>
      <c r="Y28" s="89">
        <f t="shared" si="75"/>
        <v>2.3175965665236054E-2</v>
      </c>
      <c r="Z28" s="88">
        <f t="shared" si="76"/>
        <v>377.10231899999997</v>
      </c>
      <c r="AA28" s="89">
        <f t="shared" ref="AA28" si="91">+Z28/Z$35</f>
        <v>2.3309930771798722E-2</v>
      </c>
    </row>
    <row r="29" spans="1:29" x14ac:dyDescent="0.2">
      <c r="A29" s="85" t="s">
        <v>11</v>
      </c>
      <c r="B29" s="88">
        <v>236.35</v>
      </c>
      <c r="C29" s="89">
        <f t="shared" ref="C29" si="92">+B29/B$35</f>
        <v>0.16085562807538131</v>
      </c>
      <c r="D29" s="137">
        <v>179.38</v>
      </c>
      <c r="E29" s="89">
        <f t="shared" ref="E29" si="93">+D29/D$35</f>
        <v>0.13901654589839965</v>
      </c>
      <c r="F29" s="137">
        <v>197.63</v>
      </c>
      <c r="G29" s="89">
        <f t="shared" ref="G29" si="94">+F29/F$35</f>
        <v>0.14265297136546387</v>
      </c>
      <c r="H29" s="137">
        <v>181.72</v>
      </c>
      <c r="I29" s="89">
        <f t="shared" ref="I29" si="95">+H29/H$35</f>
        <v>0.13135752493855721</v>
      </c>
      <c r="J29" s="137">
        <v>213.06</v>
      </c>
      <c r="K29" s="89">
        <f t="shared" ref="K29" si="96">+J29/J$35</f>
        <v>0.16486756273649511</v>
      </c>
      <c r="L29" s="171">
        <v>164.76</v>
      </c>
      <c r="M29" s="89">
        <f t="shared" ref="M29" si="97">+L29/L$35</f>
        <v>0.13316629622145887</v>
      </c>
      <c r="N29" s="171">
        <v>175.46</v>
      </c>
      <c r="O29" s="89">
        <f t="shared" si="70"/>
        <v>0.136767193333905</v>
      </c>
      <c r="P29" s="171">
        <v>194.52</v>
      </c>
      <c r="Q29" s="89">
        <f t="shared" si="71"/>
        <v>0.13039543629379868</v>
      </c>
      <c r="R29" s="171">
        <v>160.13999999999999</v>
      </c>
      <c r="S29" s="89">
        <f t="shared" si="72"/>
        <v>0.14490044360491744</v>
      </c>
      <c r="T29" s="171">
        <v>209.53</v>
      </c>
      <c r="U29" s="89">
        <f t="shared" si="73"/>
        <v>0.16120958612318959</v>
      </c>
      <c r="V29" s="171">
        <v>241.16</v>
      </c>
      <c r="W29" s="89">
        <f t="shared" si="74"/>
        <v>0.14759415890424371</v>
      </c>
      <c r="X29" s="171">
        <v>173.465193</v>
      </c>
      <c r="Y29" s="89">
        <f t="shared" si="75"/>
        <v>0.13280196198651134</v>
      </c>
      <c r="Z29" s="88">
        <f t="shared" si="76"/>
        <v>2327.175193</v>
      </c>
      <c r="AA29" s="89">
        <f t="shared" ref="AA29" si="98">+Z29/Z$35</f>
        <v>0.14385032896781877</v>
      </c>
    </row>
    <row r="30" spans="1:29" x14ac:dyDescent="0.2">
      <c r="A30" s="85" t="s">
        <v>95</v>
      </c>
      <c r="B30" s="88">
        <v>31.24</v>
      </c>
      <c r="C30" s="89">
        <f t="shared" ref="C30" si="99">+B30/B$35</f>
        <v>2.1261391246350382E-2</v>
      </c>
      <c r="D30" s="137">
        <v>26.33</v>
      </c>
      <c r="E30" s="89">
        <f t="shared" ref="E30" si="100">+D30/D$35</f>
        <v>2.0405316387026771E-2</v>
      </c>
      <c r="F30" s="137">
        <v>25.86</v>
      </c>
      <c r="G30" s="89">
        <f t="shared" ref="G30" si="101">+F30/F$35</f>
        <v>1.8666223951378312E-2</v>
      </c>
      <c r="H30" s="137">
        <v>25.08</v>
      </c>
      <c r="I30" s="89">
        <f t="shared" ref="I30" si="102">+H30/H$35</f>
        <v>1.8129246783287555E-2</v>
      </c>
      <c r="J30" s="137">
        <v>28.56</v>
      </c>
      <c r="K30" s="89">
        <f t="shared" ref="K30" si="103">+J30/J$35</f>
        <v>2.2099960535784759E-2</v>
      </c>
      <c r="L30" s="171">
        <v>32.380000000000003</v>
      </c>
      <c r="M30" s="89">
        <f t="shared" ref="M30" si="104">+L30/L$35</f>
        <v>2.6170943624974744E-2</v>
      </c>
      <c r="N30" s="171">
        <v>31.58</v>
      </c>
      <c r="O30" s="89">
        <f t="shared" si="70"/>
        <v>2.4615912261966941E-2</v>
      </c>
      <c r="P30" s="171">
        <v>33.36</v>
      </c>
      <c r="Q30" s="89">
        <f t="shared" si="71"/>
        <v>2.2362696662354121E-2</v>
      </c>
      <c r="R30" s="171">
        <v>25.24</v>
      </c>
      <c r="S30" s="89">
        <f t="shared" si="72"/>
        <v>2.2838061674710353E-2</v>
      </c>
      <c r="T30" s="171">
        <v>31.492148</v>
      </c>
      <c r="U30" s="89">
        <f t="shared" si="73"/>
        <v>2.4229638453730887E-2</v>
      </c>
      <c r="V30" s="171">
        <v>35.729999999999997</v>
      </c>
      <c r="W30" s="89">
        <f t="shared" si="74"/>
        <v>2.1867388031384254E-2</v>
      </c>
      <c r="X30" s="171">
        <v>23.705308000000002</v>
      </c>
      <c r="Y30" s="89">
        <f t="shared" si="75"/>
        <v>1.8148375229920296E-2</v>
      </c>
      <c r="Z30" s="88">
        <f t="shared" si="76"/>
        <v>350.557456</v>
      </c>
      <c r="AA30" s="89">
        <f t="shared" ref="AA30" si="105">+Z30/Z$35</f>
        <v>2.1669105755082553E-2</v>
      </c>
    </row>
    <row r="31" spans="1:29" x14ac:dyDescent="0.2">
      <c r="A31" s="85" t="s">
        <v>1</v>
      </c>
      <c r="B31" s="88">
        <v>67.48</v>
      </c>
      <c r="C31" s="89">
        <f t="shared" ref="C31" si="106">+B31/B$35</f>
        <v>4.5925694023806779E-2</v>
      </c>
      <c r="D31" s="137">
        <v>68.47</v>
      </c>
      <c r="E31" s="89">
        <f t="shared" ref="E31" si="107">+D31/D$35</f>
        <v>5.3063122408648807E-2</v>
      </c>
      <c r="F31" s="137">
        <v>66.37</v>
      </c>
      <c r="G31" s="89">
        <f t="shared" ref="G31" si="108">+F31/F$35</f>
        <v>4.7907087534917965E-2</v>
      </c>
      <c r="H31" s="137">
        <v>60.84</v>
      </c>
      <c r="I31" s="89">
        <f t="shared" ref="I31" si="109">+H31/H$35</f>
        <v>4.3978603440798049E-2</v>
      </c>
      <c r="J31" s="137">
        <v>52.01</v>
      </c>
      <c r="K31" s="89">
        <f t="shared" ref="K31" si="110">+J31/J$35</f>
        <v>4.0245761465902141E-2</v>
      </c>
      <c r="L31" s="171">
        <v>51.06</v>
      </c>
      <c r="M31" s="89">
        <f t="shared" ref="M31" si="111">+L31/L$35</f>
        <v>4.12689432208527E-2</v>
      </c>
      <c r="N31" s="171">
        <v>57.62</v>
      </c>
      <c r="O31" s="89">
        <f t="shared" si="70"/>
        <v>4.491351692636273E-2</v>
      </c>
      <c r="P31" s="171">
        <v>58.55</v>
      </c>
      <c r="Q31" s="89">
        <f t="shared" si="71"/>
        <v>3.9248677745228826E-2</v>
      </c>
      <c r="R31" s="171">
        <v>41.020199999999996</v>
      </c>
      <c r="S31" s="89">
        <f t="shared" si="72"/>
        <v>3.71165553688175E-2</v>
      </c>
      <c r="T31" s="171">
        <v>51.748404000000001</v>
      </c>
      <c r="U31" s="89">
        <f t="shared" si="73"/>
        <v>3.9814531529497488E-2</v>
      </c>
      <c r="V31" s="171">
        <v>65.87</v>
      </c>
      <c r="W31" s="89">
        <f t="shared" si="74"/>
        <v>4.0313597806528996E-2</v>
      </c>
      <c r="X31" s="171">
        <v>52.536088000000007</v>
      </c>
      <c r="Y31" s="89">
        <f t="shared" si="75"/>
        <v>4.0220723482526068E-2</v>
      </c>
      <c r="Z31" s="88">
        <f t="shared" si="76"/>
        <v>693.57469200000014</v>
      </c>
      <c r="AA31" s="89">
        <f t="shared" ref="AA31" si="112">+Z31/Z$35</f>
        <v>4.2872125789265234E-2</v>
      </c>
    </row>
    <row r="32" spans="1:29" x14ac:dyDescent="0.2">
      <c r="A32" s="85" t="s">
        <v>65</v>
      </c>
      <c r="B32" s="88">
        <v>16.07</v>
      </c>
      <c r="C32" s="89">
        <f t="shared" ref="C32" si="113">+B32/B$35</f>
        <v>1.0936957660974732E-2</v>
      </c>
      <c r="D32" s="137">
        <v>18.43</v>
      </c>
      <c r="E32" s="89">
        <f t="shared" ref="E32" si="114">+D32/D$35</f>
        <v>1.4282946487387141E-2</v>
      </c>
      <c r="F32" s="137">
        <v>14.15</v>
      </c>
      <c r="G32" s="89">
        <f t="shared" ref="G32" si="115">+F32/F$35</f>
        <v>1.0213730429698496E-2</v>
      </c>
      <c r="H32" s="137">
        <v>16.02</v>
      </c>
      <c r="I32" s="89">
        <f t="shared" ref="I32" si="116">+H32/H$35</f>
        <v>1.1580164811334396E-2</v>
      </c>
      <c r="J32" s="137">
        <v>13.53</v>
      </c>
      <c r="K32" s="89">
        <f t="shared" ref="K32" si="117">+J32/J$35</f>
        <v>1.0469624161385426E-2</v>
      </c>
      <c r="L32" s="171">
        <v>9.0399999999999991</v>
      </c>
      <c r="M32" s="89">
        <f t="shared" ref="M32" si="118">+L32/L$35</f>
        <v>7.3065265710244489E-3</v>
      </c>
      <c r="N32" s="171">
        <v>14.97</v>
      </c>
      <c r="O32" s="89">
        <f t="shared" si="70"/>
        <v>1.1668784248310485E-2</v>
      </c>
      <c r="P32" s="171">
        <v>15.05</v>
      </c>
      <c r="Q32" s="89">
        <f t="shared" si="71"/>
        <v>1.0088686593777863E-2</v>
      </c>
      <c r="R32" s="171">
        <v>11.438324999999999</v>
      </c>
      <c r="S32" s="89">
        <f t="shared" si="72"/>
        <v>1.0349808708612572E-2</v>
      </c>
      <c r="T32" s="171">
        <v>14.400932000000001</v>
      </c>
      <c r="U32" s="89">
        <f t="shared" si="73"/>
        <v>1.1079884921052819E-2</v>
      </c>
      <c r="V32" s="171">
        <v>17.170000000000002</v>
      </c>
      <c r="W32" s="89">
        <f t="shared" si="74"/>
        <v>1.0508341799576482E-2</v>
      </c>
      <c r="X32" s="171">
        <v>13.454364</v>
      </c>
      <c r="Y32" s="89">
        <f t="shared" si="75"/>
        <v>1.0300429184549357E-2</v>
      </c>
      <c r="Z32" s="88">
        <f t="shared" si="76"/>
        <v>173.72362100000004</v>
      </c>
      <c r="AA32" s="89">
        <f t="shared" ref="AA32" si="119">+Z32/Z$35</f>
        <v>1.0738426615022221E-2</v>
      </c>
    </row>
    <row r="33" spans="1:27" x14ac:dyDescent="0.2">
      <c r="A33" s="85" t="s">
        <v>66</v>
      </c>
      <c r="B33" s="88">
        <v>10.35</v>
      </c>
      <c r="C33" s="89">
        <f t="shared" ref="C33" si="120">+B33/B$35</f>
        <v>7.0440268693894512E-3</v>
      </c>
      <c r="D33" s="137">
        <v>10.38</v>
      </c>
      <c r="E33" s="89">
        <f t="shared" ref="E33" si="121">+D33/D$35</f>
        <v>8.0443290580075166E-3</v>
      </c>
      <c r="F33" s="137">
        <v>10.74</v>
      </c>
      <c r="G33" s="89">
        <f t="shared" ref="G33" si="122">+F33/F$35</f>
        <v>7.7523296689018971E-3</v>
      </c>
      <c r="H33" s="137">
        <v>10.52</v>
      </c>
      <c r="I33" s="89">
        <f t="shared" ref="I33" si="123">+H33/H$35</f>
        <v>7.6044527974555463E-3</v>
      </c>
      <c r="J33" s="137">
        <v>9.89</v>
      </c>
      <c r="K33" s="89">
        <f t="shared" ref="K33" si="124">+J33/J$35</f>
        <v>7.6529625244716832E-3</v>
      </c>
      <c r="L33" s="171">
        <v>14.01</v>
      </c>
      <c r="M33" s="89">
        <f t="shared" ref="M33" si="125">+L33/L$35</f>
        <v>1.1323499696908466E-2</v>
      </c>
      <c r="N33" s="171">
        <v>9.11</v>
      </c>
      <c r="O33" s="89">
        <f t="shared" si="70"/>
        <v>7.1010437209157321E-3</v>
      </c>
      <c r="P33" s="171">
        <v>9.9700000000000006</v>
      </c>
      <c r="Q33" s="89">
        <f t="shared" si="71"/>
        <v>6.6833359029877274E-3</v>
      </c>
      <c r="R33" s="171">
        <v>7.4940750000000005</v>
      </c>
      <c r="S33" s="89">
        <f t="shared" si="72"/>
        <v>6.7809091539185826E-3</v>
      </c>
      <c r="T33" s="171">
        <v>9.49512</v>
      </c>
      <c r="U33" s="89">
        <f t="shared" si="73"/>
        <v>7.3054186292655946E-3</v>
      </c>
      <c r="V33" s="171">
        <v>12.78</v>
      </c>
      <c r="W33" s="89">
        <f t="shared" si="74"/>
        <v>7.8215846359107419E-3</v>
      </c>
      <c r="X33" s="171">
        <v>9.7704310000000003</v>
      </c>
      <c r="Y33" s="89">
        <f t="shared" si="75"/>
        <v>7.4800735744941756E-3</v>
      </c>
      <c r="Z33" s="88">
        <f t="shared" si="76"/>
        <v>124.509626</v>
      </c>
      <c r="AA33" s="89">
        <f t="shared" ref="AA33" si="126">+Z33/Z$35</f>
        <v>7.6963482223575252E-3</v>
      </c>
    </row>
    <row r="34" spans="1:27" x14ac:dyDescent="0.2">
      <c r="A34" s="85" t="s">
        <v>67</v>
      </c>
      <c r="B34" s="88">
        <v>0</v>
      </c>
      <c r="C34" s="89">
        <f t="shared" ref="C34" si="127">+B34/B$35</f>
        <v>0</v>
      </c>
      <c r="D34" s="137">
        <v>0</v>
      </c>
      <c r="E34" s="89">
        <f t="shared" ref="E34" si="128">+D34/D$35</f>
        <v>0</v>
      </c>
      <c r="F34" s="137">
        <v>0</v>
      </c>
      <c r="G34" s="89">
        <f t="shared" ref="G34" si="129">+F34/F$35</f>
        <v>0</v>
      </c>
      <c r="H34" s="137">
        <v>0</v>
      </c>
      <c r="I34" s="89">
        <f t="shared" ref="I34" si="130">+H34/H$35</f>
        <v>0</v>
      </c>
      <c r="J34" s="137">
        <v>0</v>
      </c>
      <c r="K34" s="89">
        <f t="shared" ref="K34" si="131">+J34/J$35</f>
        <v>0</v>
      </c>
      <c r="L34" s="171">
        <v>0</v>
      </c>
      <c r="M34" s="89">
        <f t="shared" ref="M34" si="132">+L34/L$35</f>
        <v>0</v>
      </c>
      <c r="N34" s="171">
        <v>0</v>
      </c>
      <c r="O34" s="89">
        <f t="shared" si="70"/>
        <v>0</v>
      </c>
      <c r="P34" s="171">
        <v>0</v>
      </c>
      <c r="Q34" s="89">
        <f t="shared" si="71"/>
        <v>0</v>
      </c>
      <c r="R34" s="171">
        <v>0</v>
      </c>
      <c r="S34" s="89">
        <f t="shared" si="72"/>
        <v>0</v>
      </c>
      <c r="T34" s="171">
        <v>0</v>
      </c>
      <c r="U34" s="89">
        <f t="shared" si="73"/>
        <v>0</v>
      </c>
      <c r="V34" s="171">
        <v>0</v>
      </c>
      <c r="W34" s="89">
        <f t="shared" si="74"/>
        <v>0</v>
      </c>
      <c r="X34" s="171">
        <v>0</v>
      </c>
      <c r="Y34" s="89">
        <f t="shared" si="75"/>
        <v>0</v>
      </c>
      <c r="Z34" s="88">
        <f t="shared" si="76"/>
        <v>0</v>
      </c>
      <c r="AA34" s="89">
        <f t="shared" ref="AA34" si="133">+Z34/Z$35</f>
        <v>0</v>
      </c>
    </row>
    <row r="35" spans="1:27" ht="13.5" thickBot="1" x14ac:dyDescent="0.25">
      <c r="A35" s="90"/>
      <c r="B35" s="91">
        <f t="shared" ref="B35:AA35" si="134">SUM(B25:B34)</f>
        <v>1469.3299999999997</v>
      </c>
      <c r="C35" s="102">
        <f t="shared" si="134"/>
        <v>1.0000000000000002</v>
      </c>
      <c r="D35" s="91">
        <f t="shared" si="134"/>
        <v>1290.3500000000001</v>
      </c>
      <c r="E35" s="102">
        <f t="shared" si="134"/>
        <v>1</v>
      </c>
      <c r="F35" s="91">
        <f t="shared" si="134"/>
        <v>1385.39</v>
      </c>
      <c r="G35" s="102">
        <f t="shared" si="134"/>
        <v>1</v>
      </c>
      <c r="H35" s="91">
        <f t="shared" si="134"/>
        <v>1383.3999999999996</v>
      </c>
      <c r="I35" s="102">
        <f t="shared" si="134"/>
        <v>1.0000000000000002</v>
      </c>
      <c r="J35" s="91">
        <f t="shared" si="134"/>
        <v>1292.31</v>
      </c>
      <c r="K35" s="102">
        <f t="shared" si="134"/>
        <v>1.0000000000000002</v>
      </c>
      <c r="L35" s="91">
        <f t="shared" si="134"/>
        <v>1237.25</v>
      </c>
      <c r="M35" s="102">
        <f t="shared" si="134"/>
        <v>1</v>
      </c>
      <c r="N35" s="91">
        <f t="shared" si="134"/>
        <v>1282.9099999999996</v>
      </c>
      <c r="O35" s="102">
        <f t="shared" si="134"/>
        <v>1.0000000000000002</v>
      </c>
      <c r="P35" s="91">
        <f t="shared" si="134"/>
        <v>1491.7699999999998</v>
      </c>
      <c r="Q35" s="102">
        <f t="shared" si="134"/>
        <v>1</v>
      </c>
      <c r="R35" s="91">
        <f t="shared" si="134"/>
        <v>1105.1726000000001</v>
      </c>
      <c r="S35" s="102">
        <f t="shared" si="134"/>
        <v>1</v>
      </c>
      <c r="T35" s="91">
        <f t="shared" si="134"/>
        <v>1299.7366040000002</v>
      </c>
      <c r="U35" s="102">
        <f t="shared" si="134"/>
        <v>1.0000000000000002</v>
      </c>
      <c r="V35" s="91">
        <f t="shared" si="134"/>
        <v>1633.9400000000003</v>
      </c>
      <c r="W35" s="102">
        <f t="shared" si="134"/>
        <v>0.99999999999999978</v>
      </c>
      <c r="X35" s="249">
        <f t="shared" si="134"/>
        <v>1306.1945049999999</v>
      </c>
      <c r="Y35" s="102">
        <f t="shared" si="134"/>
        <v>1</v>
      </c>
      <c r="Z35" s="91">
        <f t="shared" si="134"/>
        <v>16177.753708999999</v>
      </c>
      <c r="AA35" s="102">
        <f t="shared" si="134"/>
        <v>1.0000000000000002</v>
      </c>
    </row>
    <row r="36" spans="1:27" ht="13.5" thickTop="1" x14ac:dyDescent="0.2">
      <c r="X36" s="219"/>
    </row>
    <row r="37" spans="1:27" ht="15" x14ac:dyDescent="0.35">
      <c r="A37" s="85" t="s">
        <v>68</v>
      </c>
      <c r="B37" s="126">
        <f>299.54+12.32+3.93</f>
        <v>315.79000000000002</v>
      </c>
      <c r="C37" s="127"/>
      <c r="D37" s="147">
        <f>246.92+10.22+1.55</f>
        <v>258.69</v>
      </c>
      <c r="E37" s="127"/>
      <c r="F37" s="136">
        <f>228.38+10.9+2.11</f>
        <v>241.39000000000001</v>
      </c>
      <c r="G37" s="127"/>
      <c r="H37" s="136">
        <f>1.46+11+222.5</f>
        <v>234.96</v>
      </c>
      <c r="I37" s="127"/>
      <c r="J37" s="136">
        <f>1.82+10.95+215.49</f>
        <v>228.26000000000002</v>
      </c>
      <c r="K37" s="127"/>
      <c r="L37" s="178">
        <f>1.2+9.34+258.29</f>
        <v>268.83000000000004</v>
      </c>
      <c r="M37" s="127"/>
      <c r="N37" s="218">
        <f>1.3+6.67+336.93</f>
        <v>344.90000000000003</v>
      </c>
      <c r="O37" s="127"/>
      <c r="P37" s="218">
        <f>0.91+9.06+311.08</f>
        <v>321.05</v>
      </c>
      <c r="Q37" s="127"/>
      <c r="R37" s="218">
        <v>203.654775</v>
      </c>
      <c r="S37" s="127"/>
      <c r="T37" s="218">
        <v>274.25071600000001</v>
      </c>
      <c r="U37" s="127"/>
      <c r="V37" s="218">
        <v>362.12</v>
      </c>
      <c r="W37" s="127"/>
      <c r="X37" s="218">
        <f>284.463696+11.05</f>
        <v>295.51369600000004</v>
      </c>
      <c r="Y37" s="127"/>
      <c r="Z37" s="126">
        <f t="shared" ref="Z37" si="135">+B37+D37+F37+H37+J37+L37+N37+P37+R37+T37+V37+X37</f>
        <v>3349.4091870000002</v>
      </c>
      <c r="AA37" s="127"/>
    </row>
    <row r="38" spans="1:27" x14ac:dyDescent="0.2">
      <c r="X38" s="219"/>
    </row>
    <row r="39" spans="1:27" ht="15" x14ac:dyDescent="0.35">
      <c r="A39" s="86" t="s">
        <v>93</v>
      </c>
      <c r="B39" s="125">
        <f t="shared" ref="B39" si="136">+B37+B35</f>
        <v>1785.1199999999997</v>
      </c>
      <c r="C39" s="125"/>
      <c r="D39" s="125">
        <f t="shared" ref="D39" si="137">+D37+D35</f>
        <v>1549.0400000000002</v>
      </c>
      <c r="E39" s="125"/>
      <c r="F39" s="125">
        <f t="shared" ref="F39" si="138">+F37+F35</f>
        <v>1626.7800000000002</v>
      </c>
      <c r="G39" s="125"/>
      <c r="H39" s="125">
        <f t="shared" ref="H39" si="139">+H37+H35</f>
        <v>1618.3599999999997</v>
      </c>
      <c r="I39" s="125"/>
      <c r="J39" s="125">
        <f t="shared" ref="J39" si="140">+J37+J35</f>
        <v>1520.57</v>
      </c>
      <c r="K39" s="125"/>
      <c r="L39" s="125">
        <f t="shared" ref="L39" si="141">+L37+L35</f>
        <v>1506.08</v>
      </c>
      <c r="M39" s="125"/>
      <c r="N39" s="125">
        <f t="shared" ref="N39" si="142">+N37+N35</f>
        <v>1627.8099999999997</v>
      </c>
      <c r="O39" s="125"/>
      <c r="P39" s="125">
        <f t="shared" ref="P39" si="143">+P37+P35</f>
        <v>1812.8199999999997</v>
      </c>
      <c r="Q39" s="125"/>
      <c r="R39" s="125">
        <f t="shared" ref="R39" si="144">+R37+R35</f>
        <v>1308.8273750000001</v>
      </c>
      <c r="S39" s="125"/>
      <c r="T39" s="125">
        <f t="shared" ref="T39" si="145">+T37+T35</f>
        <v>1573.9873200000002</v>
      </c>
      <c r="U39" s="125"/>
      <c r="V39" s="125">
        <f t="shared" ref="V39" si="146">+V37+V35</f>
        <v>1996.0600000000004</v>
      </c>
      <c r="W39" s="125"/>
      <c r="X39" s="125">
        <f t="shared" ref="X39" si="147">+X37+X35</f>
        <v>1601.7082009999999</v>
      </c>
      <c r="Y39" s="125"/>
      <c r="Z39" s="125">
        <f t="shared" ref="Z39" si="148">+Z37+Z35</f>
        <v>19527.162895999998</v>
      </c>
    </row>
    <row r="40" spans="1:27" x14ac:dyDescent="0.2">
      <c r="B40" s="261">
        <f>+B37/B39</f>
        <v>0.17690127274356909</v>
      </c>
      <c r="C40" s="261"/>
      <c r="D40" s="261">
        <f t="shared" ref="D40:Z40" si="149">+D37/D39</f>
        <v>0.16700020657955894</v>
      </c>
      <c r="E40" s="261"/>
      <c r="F40" s="261">
        <f t="shared" si="149"/>
        <v>0.14838515349340414</v>
      </c>
      <c r="G40" s="261"/>
      <c r="H40" s="261">
        <f t="shared" si="149"/>
        <v>0.1451840134457105</v>
      </c>
      <c r="I40" s="261"/>
      <c r="J40" s="261">
        <f t="shared" si="149"/>
        <v>0.15011475959673018</v>
      </c>
      <c r="K40" s="261"/>
      <c r="L40" s="261">
        <f t="shared" si="149"/>
        <v>0.17849649421013494</v>
      </c>
      <c r="M40" s="261"/>
      <c r="N40" s="261">
        <f t="shared" si="149"/>
        <v>0.21187976483741966</v>
      </c>
      <c r="O40" s="261"/>
      <c r="P40" s="261">
        <f t="shared" si="149"/>
        <v>0.17709976721351267</v>
      </c>
      <c r="Q40" s="261"/>
      <c r="R40" s="261">
        <f t="shared" si="149"/>
        <v>0.15560094393655236</v>
      </c>
      <c r="S40" s="261"/>
      <c r="T40" s="261">
        <f t="shared" si="149"/>
        <v>0.17423946973092513</v>
      </c>
      <c r="U40" s="261"/>
      <c r="V40" s="261">
        <f t="shared" si="149"/>
        <v>0.1814173922627576</v>
      </c>
      <c r="W40" s="261"/>
      <c r="X40" s="261">
        <f t="shared" si="149"/>
        <v>0.18449908405007914</v>
      </c>
      <c r="Y40" s="261"/>
      <c r="Z40" s="261">
        <f t="shared" si="149"/>
        <v>0.17152564378341428</v>
      </c>
    </row>
    <row r="42" spans="1:27" x14ac:dyDescent="0.2">
      <c r="A42" s="85"/>
      <c r="B42" s="307">
        <v>45078</v>
      </c>
      <c r="C42" s="307"/>
      <c r="D42" s="307">
        <v>45108</v>
      </c>
      <c r="E42" s="307"/>
      <c r="F42" s="307">
        <v>45139</v>
      </c>
      <c r="G42" s="307"/>
      <c r="H42" s="307">
        <v>45170</v>
      </c>
      <c r="I42" s="307"/>
      <c r="J42" s="307">
        <v>45200</v>
      </c>
      <c r="K42" s="307"/>
      <c r="L42" s="307">
        <v>45231</v>
      </c>
      <c r="M42" s="307"/>
      <c r="N42" s="307">
        <v>45261</v>
      </c>
      <c r="O42" s="307"/>
      <c r="P42" s="307">
        <v>45292</v>
      </c>
      <c r="Q42" s="307"/>
      <c r="R42" s="307">
        <v>45323</v>
      </c>
      <c r="S42" s="307"/>
      <c r="T42" s="307">
        <v>45352</v>
      </c>
      <c r="U42" s="307"/>
      <c r="V42" s="307">
        <v>45383</v>
      </c>
      <c r="W42" s="307"/>
      <c r="X42" s="307">
        <v>45413</v>
      </c>
      <c r="Y42" s="307"/>
      <c r="Z42" s="307" t="s">
        <v>3</v>
      </c>
      <c r="AA42" s="307"/>
    </row>
    <row r="43" spans="1:27" x14ac:dyDescent="0.2">
      <c r="A43" s="85"/>
      <c r="B43" s="87" t="s">
        <v>12</v>
      </c>
      <c r="C43" s="87" t="s">
        <v>4</v>
      </c>
      <c r="D43" s="87" t="s">
        <v>12</v>
      </c>
      <c r="E43" s="87" t="s">
        <v>4</v>
      </c>
      <c r="F43" s="87" t="s">
        <v>12</v>
      </c>
      <c r="G43" s="87" t="s">
        <v>4</v>
      </c>
      <c r="H43" s="87" t="s">
        <v>12</v>
      </c>
      <c r="I43" s="87" t="s">
        <v>4</v>
      </c>
      <c r="J43" s="87" t="s">
        <v>12</v>
      </c>
      <c r="K43" s="87" t="s">
        <v>4</v>
      </c>
      <c r="L43" s="87" t="s">
        <v>12</v>
      </c>
      <c r="M43" s="87" t="s">
        <v>4</v>
      </c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 t="s">
        <v>12</v>
      </c>
      <c r="AA43" s="87" t="s">
        <v>4</v>
      </c>
    </row>
    <row r="44" spans="1:27" x14ac:dyDescent="0.2">
      <c r="A44" s="85" t="s">
        <v>35</v>
      </c>
      <c r="B44" s="292">
        <v>353.52715799999999</v>
      </c>
      <c r="C44" s="89">
        <f>+B44/B$54</f>
        <v>0.20371915603766835</v>
      </c>
      <c r="D44" s="292">
        <v>244.18233600000002</v>
      </c>
      <c r="E44" s="89">
        <f>+D44/D$54</f>
        <v>0.15797049298308743</v>
      </c>
      <c r="F44" s="88">
        <v>299.44314000000003</v>
      </c>
      <c r="G44" s="89">
        <f>+F44/F$54</f>
        <v>0.18052594171997161</v>
      </c>
      <c r="H44" s="88">
        <f>[3]Composition!R6</f>
        <v>245.42851299999998</v>
      </c>
      <c r="I44" s="89">
        <f>+H44/H$54</f>
        <v>0.17800614221592251</v>
      </c>
      <c r="J44" s="88">
        <f>[3]Composition!T6</f>
        <v>250.103307</v>
      </c>
      <c r="K44" s="89">
        <f>+J44/J$54</f>
        <v>0.18763453719205933</v>
      </c>
      <c r="L44" s="88">
        <f>[3]Composition!V6</f>
        <v>256.95650799999999</v>
      </c>
      <c r="M44" s="89">
        <f>+L44/L$54</f>
        <v>0.20160421405483062</v>
      </c>
      <c r="N44" s="88">
        <f>[4]Composition!X6</f>
        <v>284.58733799999999</v>
      </c>
      <c r="O44" s="89">
        <f>+N44/N$54</f>
        <v>0.20517537404954622</v>
      </c>
      <c r="P44" s="88">
        <f>[8]Composition!B6</f>
        <v>0</v>
      </c>
      <c r="Q44" s="89">
        <f>+P44/P$54</f>
        <v>0</v>
      </c>
      <c r="R44" s="88">
        <f>[5]Composition!D6</f>
        <v>296.33</v>
      </c>
      <c r="S44" s="89">
        <f>+R44/R$54</f>
        <v>3.405053412732105E-2</v>
      </c>
      <c r="T44" s="88">
        <f>[5]Composition!F6</f>
        <v>819.9</v>
      </c>
      <c r="U44" s="89">
        <f>+T44/T$54</f>
        <v>0.11018355997854652</v>
      </c>
      <c r="V44" s="171">
        <f>[6]Composition!H6</f>
        <v>1714.72</v>
      </c>
      <c r="W44" s="89">
        <f>+V44/V$54</f>
        <v>0.21201394203841109</v>
      </c>
      <c r="X44" s="171">
        <f>[7]Composition!J6</f>
        <v>1672.05</v>
      </c>
      <c r="Y44" s="89">
        <f>+X44/X$54</f>
        <v>0.20783690759862322</v>
      </c>
      <c r="Z44" s="88">
        <f>+B44+D44+F44+H44+J44+L44+N44+P44+R44+T44+V44+X44</f>
        <v>6437.2283000000007</v>
      </c>
      <c r="AA44" s="89">
        <f>+Z44/Z$35</f>
        <v>0.39790618745906892</v>
      </c>
    </row>
    <row r="45" spans="1:27" x14ac:dyDescent="0.2">
      <c r="A45" s="85" t="s">
        <v>64</v>
      </c>
      <c r="B45" s="292">
        <v>0</v>
      </c>
      <c r="C45" s="89">
        <f t="shared" ref="C45:E53" si="150">+B45/B$54</f>
        <v>0</v>
      </c>
      <c r="D45" s="292">
        <v>0</v>
      </c>
      <c r="E45" s="89">
        <f t="shared" si="150"/>
        <v>0</v>
      </c>
      <c r="F45" s="88">
        <v>0</v>
      </c>
      <c r="G45" s="89">
        <f t="shared" ref="G45" si="151">+F45/F$54</f>
        <v>0</v>
      </c>
      <c r="H45" s="88">
        <f>[3]Composition!R7</f>
        <v>0</v>
      </c>
      <c r="I45" s="89">
        <f t="shared" ref="I45" si="152">+H45/H$54</f>
        <v>0</v>
      </c>
      <c r="J45" s="88">
        <f>[3]Composition!T7</f>
        <v>0</v>
      </c>
      <c r="K45" s="89">
        <f t="shared" ref="K45" si="153">+J45/J$54</f>
        <v>0</v>
      </c>
      <c r="L45" s="88">
        <f>[3]Composition!V7</f>
        <v>0</v>
      </c>
      <c r="M45" s="89">
        <f t="shared" ref="M45" si="154">+L45/L$54</f>
        <v>0</v>
      </c>
      <c r="N45" s="88">
        <f>[4]Composition!X7</f>
        <v>0</v>
      </c>
      <c r="O45" s="89">
        <f t="shared" ref="O45" si="155">+N45/N$54</f>
        <v>0</v>
      </c>
      <c r="P45" s="88">
        <f>[8]Composition!B7</f>
        <v>268.97435000000002</v>
      </c>
      <c r="Q45" s="89">
        <f t="shared" ref="Q45" si="156">+P45/P$54</f>
        <v>0.21871945259042036</v>
      </c>
      <c r="R45" s="88">
        <f>[5]Composition!D7</f>
        <v>3340.49</v>
      </c>
      <c r="S45" s="89">
        <f t="shared" ref="S45" si="157">+R45/R$54</f>
        <v>0.38384729439130255</v>
      </c>
      <c r="T45" s="88">
        <f>[5]Composition!F7</f>
        <v>2319.38</v>
      </c>
      <c r="U45" s="89">
        <f t="shared" ref="U45" si="158">+T45/T$54</f>
        <v>0.31169355451035646</v>
      </c>
      <c r="V45" s="171">
        <f>[6]Composition!H7</f>
        <v>1560.01</v>
      </c>
      <c r="W45" s="89">
        <f t="shared" ref="W45" si="159">+V45/V$54</f>
        <v>0.19288505978780307</v>
      </c>
      <c r="X45" s="171">
        <f>[7]Composition!J7</f>
        <v>1606</v>
      </c>
      <c r="Y45" s="89">
        <f t="shared" ref="Y45" si="160">+X45/X$54</f>
        <v>0.19962684943834749</v>
      </c>
      <c r="Z45" s="88">
        <f t="shared" ref="Z45:Z53" si="161">+B45+D45+F45+H45+J45+L45+N45+P45+R45+T45+V45+X45</f>
        <v>9094.8543499999996</v>
      </c>
      <c r="AA45" s="89">
        <f t="shared" ref="AA45:AA53" si="162">+Z45/Z$35</f>
        <v>0.56218276737272588</v>
      </c>
    </row>
    <row r="46" spans="1:27" x14ac:dyDescent="0.2">
      <c r="A46" s="85" t="s">
        <v>19</v>
      </c>
      <c r="B46" s="292">
        <v>977.62981200000002</v>
      </c>
      <c r="C46" s="89">
        <f t="shared" si="150"/>
        <v>0.56335677673143403</v>
      </c>
      <c r="D46" s="292">
        <v>940.01855999999998</v>
      </c>
      <c r="E46" s="89">
        <f t="shared" si="150"/>
        <v>0.60813242173443671</v>
      </c>
      <c r="F46" s="88">
        <v>961.99055999999996</v>
      </c>
      <c r="G46" s="89">
        <f t="shared" ref="G46" si="163">+F46/F$54</f>
        <v>0.57995735607675913</v>
      </c>
      <c r="H46" s="88">
        <f>[3]Composition!R8</f>
        <v>799.80054899999993</v>
      </c>
      <c r="I46" s="89">
        <f t="shared" ref="I46" si="164">+H46/H$54</f>
        <v>0.58008504606661948</v>
      </c>
      <c r="J46" s="88">
        <f>[3]Composition!T8</f>
        <v>755.25141399999995</v>
      </c>
      <c r="K46" s="89">
        <f t="shared" ref="K46" si="165">+J46/J$54</f>
        <v>0.56661085864625682</v>
      </c>
      <c r="L46" s="88">
        <f>[3]Composition!V8</f>
        <v>705.40970099999993</v>
      </c>
      <c r="M46" s="89">
        <f t="shared" ref="M46" si="166">+L46/L$54</f>
        <v>0.55345384891655691</v>
      </c>
      <c r="N46" s="88">
        <f>[4]Composition!X8</f>
        <v>760.37382000000002</v>
      </c>
      <c r="O46" s="89">
        <f t="shared" ref="O46" si="167">+N46/N$54</f>
        <v>0.54819720382634296</v>
      </c>
      <c r="P46" s="88">
        <f>[8]Composition!B8</f>
        <v>674.23905500000001</v>
      </c>
      <c r="Q46" s="89">
        <f t="shared" ref="Q46" si="168">+P46/P$54</f>
        <v>0.54826490713587495</v>
      </c>
      <c r="R46" s="88">
        <f>[5]Composition!D8</f>
        <v>1999.8300000000002</v>
      </c>
      <c r="S46" s="89">
        <f t="shared" ref="S46" si="169">+R46/R$54</f>
        <v>0.22979542963534055</v>
      </c>
      <c r="T46" s="88">
        <f>[5]Composition!F8</f>
        <v>2050.4450000000002</v>
      </c>
      <c r="U46" s="89">
        <f t="shared" ref="U46" si="170">+T46/T$54</f>
        <v>0.27555229862204028</v>
      </c>
      <c r="V46" s="171">
        <f>[6]Composition!H8</f>
        <v>2346.75</v>
      </c>
      <c r="W46" s="89">
        <f t="shared" ref="W46" si="171">+V46/V$54</f>
        <v>0.29016032849598838</v>
      </c>
      <c r="X46" s="171">
        <f>[7]Composition!J8</f>
        <v>2275.81</v>
      </c>
      <c r="Y46" s="89">
        <f t="shared" ref="Y46" si="172">+X46/X$54</f>
        <v>0.28288467012471086</v>
      </c>
      <c r="Z46" s="88">
        <f t="shared" si="161"/>
        <v>15247.548470999998</v>
      </c>
      <c r="AA46" s="89">
        <f t="shared" si="162"/>
        <v>0.94250096430368391</v>
      </c>
    </row>
    <row r="47" spans="1:27" x14ac:dyDescent="0.2">
      <c r="A47" s="85" t="s">
        <v>17</v>
      </c>
      <c r="B47" s="292">
        <v>38.062607999999997</v>
      </c>
      <c r="C47" s="89">
        <f t="shared" si="150"/>
        <v>2.1933484324710928E-2</v>
      </c>
      <c r="D47" s="292">
        <v>34.30048</v>
      </c>
      <c r="E47" s="89">
        <f t="shared" si="150"/>
        <v>2.2190236296029744E-2</v>
      </c>
      <c r="F47" s="88">
        <v>45.977489999999996</v>
      </c>
      <c r="G47" s="89">
        <f t="shared" ref="G47" si="173">+F47/F$54</f>
        <v>2.7718550106609809E-2</v>
      </c>
      <c r="H47" s="88">
        <f>[3]Composition!R9</f>
        <v>29.151760999999997</v>
      </c>
      <c r="I47" s="89">
        <f t="shared" ref="I47" si="174">+H47/H$54</f>
        <v>2.1143397117883298E-2</v>
      </c>
      <c r="J47" s="88">
        <f>[3]Composition!T9</f>
        <v>31.242987999999997</v>
      </c>
      <c r="K47" s="89">
        <f t="shared" ref="K47" si="175">+J47/J$54</f>
        <v>2.3439368572111933E-2</v>
      </c>
      <c r="L47" s="88">
        <f>[3]Composition!V9</f>
        <v>27.465659999999996</v>
      </c>
      <c r="M47" s="89">
        <f t="shared" ref="M47" si="176">+L47/L$54</f>
        <v>2.1549144020112536E-2</v>
      </c>
      <c r="N47" s="88">
        <f>[4]Composition!X9</f>
        <v>31.979928000000001</v>
      </c>
      <c r="O47" s="89">
        <f t="shared" ref="O47" si="177">+N47/N$54</f>
        <v>2.3056168751532991E-2</v>
      </c>
      <c r="P47" s="88">
        <f>[8]Composition!B9</f>
        <v>27.949289999999998</v>
      </c>
      <c r="Q47" s="89">
        <f t="shared" ref="Q47" si="178">+P47/P$54</f>
        <v>2.2727272727272728E-2</v>
      </c>
      <c r="R47" s="88">
        <f>[5]Composition!D9</f>
        <v>163.2235</v>
      </c>
      <c r="S47" s="89">
        <f t="shared" ref="S47" si="179">+R47/R$54</f>
        <v>1.8755601380659358E-2</v>
      </c>
      <c r="T47" s="88">
        <f>[5]Composition!F9</f>
        <v>164.964</v>
      </c>
      <c r="U47" s="89">
        <f t="shared" ref="U47" si="180">+T47/T$54</f>
        <v>2.2168948394073604E-2</v>
      </c>
      <c r="V47" s="171">
        <f>[6]Composition!H9</f>
        <v>192.3</v>
      </c>
      <c r="W47" s="89">
        <f t="shared" ref="W47" si="181">+V47/V$54</f>
        <v>2.3776640532557184E-2</v>
      </c>
      <c r="X47" s="171">
        <f>[7]Composition!J9</f>
        <v>187.55</v>
      </c>
      <c r="Y47" s="89">
        <f t="shared" ref="Y47" si="182">+X47/X$54</f>
        <v>2.3312587554272773E-2</v>
      </c>
      <c r="Z47" s="88">
        <f t="shared" si="161"/>
        <v>974.16770499999984</v>
      </c>
      <c r="AA47" s="89">
        <f t="shared" si="162"/>
        <v>6.0216499924711515E-2</v>
      </c>
    </row>
    <row r="48" spans="1:27" x14ac:dyDescent="0.2">
      <c r="A48" s="85" t="s">
        <v>11</v>
      </c>
      <c r="B48" s="292">
        <v>261.473568</v>
      </c>
      <c r="C48" s="89">
        <f t="shared" si="150"/>
        <v>0.1506735010132316</v>
      </c>
      <c r="D48" s="292">
        <v>223.23123199999998</v>
      </c>
      <c r="E48" s="89">
        <f t="shared" si="150"/>
        <v>0.14441645675902601</v>
      </c>
      <c r="F48" s="88">
        <v>228.512055</v>
      </c>
      <c r="G48" s="89">
        <f t="shared" ref="G48" si="183">+F48/F$54</f>
        <v>0.13776356313669749</v>
      </c>
      <c r="H48" s="88">
        <f>[3]Composition!R10</f>
        <v>177.842028</v>
      </c>
      <c r="I48" s="89">
        <f t="shared" ref="I48" si="184">+H48/H$54</f>
        <v>0.12898653437278526</v>
      </c>
      <c r="J48" s="88">
        <f>[3]Composition!T10</f>
        <v>181.87882299999998</v>
      </c>
      <c r="K48" s="89">
        <f t="shared" ref="K48" si="185">+J48/J$54</f>
        <v>0.13645060990193733</v>
      </c>
      <c r="L48" s="88">
        <f>[3]Composition!V10</f>
        <v>184.01992199999998</v>
      </c>
      <c r="M48" s="89">
        <f t="shared" ref="M48" si="186">+L48/L$54</f>
        <v>0.144379264934754</v>
      </c>
      <c r="N48" s="88">
        <f>[4]Composition!X10</f>
        <v>195.79200599999999</v>
      </c>
      <c r="O48" s="89">
        <f t="shared" ref="O48" si="187">+N48/N$54</f>
        <v>0.14115771400539612</v>
      </c>
      <c r="P48" s="88">
        <f>[8]Composition!B10</f>
        <v>160.03222500000001</v>
      </c>
      <c r="Q48" s="89">
        <f t="shared" ref="Q48" si="188">+P48/P$54</f>
        <v>0.13013196480938419</v>
      </c>
      <c r="R48" s="88">
        <f>[5]Composition!D10</f>
        <v>2306.9699999999998</v>
      </c>
      <c r="S48" s="89">
        <f t="shared" ref="S48" si="189">+R48/R$54</f>
        <v>0.26508811364258034</v>
      </c>
      <c r="T48" s="88">
        <f>[5]Composition!F10</f>
        <v>1481.9550000000002</v>
      </c>
      <c r="U48" s="89">
        <f t="shared" ref="U48" si="190">+T48/T$54</f>
        <v>0.19915486965240509</v>
      </c>
      <c r="V48" s="171">
        <f>[6]Composition!H10</f>
        <v>1601.49</v>
      </c>
      <c r="W48" s="89">
        <f t="shared" ref="W48" si="191">+V48/V$54</f>
        <v>0.19801379119336976</v>
      </c>
      <c r="X48" s="171">
        <f>[7]Composition!J10</f>
        <v>1544.3</v>
      </c>
      <c r="Y48" s="89">
        <f t="shared" ref="Y48" si="192">+X48/X$54</f>
        <v>0.19195749912057286</v>
      </c>
      <c r="Z48" s="88">
        <f t="shared" si="161"/>
        <v>8547.4968589999989</v>
      </c>
      <c r="AA48" s="89">
        <f t="shared" si="162"/>
        <v>0.52834880619086566</v>
      </c>
    </row>
    <row r="49" spans="1:27" x14ac:dyDescent="0.2">
      <c r="A49" s="85" t="s">
        <v>95</v>
      </c>
      <c r="B49" s="292">
        <v>26.271473999999998</v>
      </c>
      <c r="C49" s="89">
        <f t="shared" si="150"/>
        <v>1.5138872332816782E-2</v>
      </c>
      <c r="D49" s="292">
        <v>22.805184000000001</v>
      </c>
      <c r="E49" s="89">
        <f t="shared" si="150"/>
        <v>1.4753508456279235E-2</v>
      </c>
      <c r="F49" s="88">
        <v>27.900870000000001</v>
      </c>
      <c r="G49" s="89">
        <f t="shared" ref="G49" si="193">+F49/F$54</f>
        <v>1.6820658611703392E-2</v>
      </c>
      <c r="H49" s="88">
        <f>[3]Composition!R17</f>
        <v>45.274801999999994</v>
      </c>
      <c r="I49" s="89">
        <f t="shared" ref="I49" si="194">+H49/H$54</f>
        <v>3.2837231278053387E-2</v>
      </c>
      <c r="J49" s="88">
        <f>[3]Composition!T17</f>
        <v>34.590451000000002</v>
      </c>
      <c r="K49" s="89">
        <f t="shared" ref="K49" si="195">+J49/J$54</f>
        <v>2.59507294905525E-2</v>
      </c>
      <c r="L49" s="88">
        <f>[3]Composition!V17</f>
        <v>29.449290999999999</v>
      </c>
      <c r="M49" s="89">
        <f t="shared" ref="M49" si="196">+L49/L$54</f>
        <v>2.3105471088231775E-2</v>
      </c>
      <c r="N49" s="88">
        <f>[4]Composition!X17</f>
        <v>37.253214</v>
      </c>
      <c r="O49" s="89">
        <f t="shared" ref="O49" si="197">+N49/N$54</f>
        <v>2.6857983811626195E-2</v>
      </c>
      <c r="P49" s="88">
        <f>[8]Composition!B17</f>
        <v>33.058300000000003</v>
      </c>
      <c r="Q49" s="89">
        <f t="shared" ref="Q49" si="198">+P49/P$54</f>
        <v>2.6881720430107531E-2</v>
      </c>
      <c r="R49" s="122">
        <f>[5]Composition!D19</f>
        <v>158.19000000000003</v>
      </c>
      <c r="S49" s="89">
        <f t="shared" ref="S49" si="199">+R49/R$54</f>
        <v>1.8177214570245733E-2</v>
      </c>
      <c r="T49" s="122">
        <f>[5]Composition!F19</f>
        <v>139.94</v>
      </c>
      <c r="U49" s="89">
        <f t="shared" ref="U49" si="200">+T49/T$54</f>
        <v>1.8806058523475791E-2</v>
      </c>
      <c r="V49" s="171">
        <f>[6]Composition!H19</f>
        <v>193.47</v>
      </c>
      <c r="W49" s="89">
        <f t="shared" ref="W49" si="201">+V49/V$54</f>
        <v>2.3921303400071963E-2</v>
      </c>
      <c r="X49" s="171">
        <f>[7]Composition!$J$19</f>
        <v>161.9</v>
      </c>
      <c r="Y49" s="89">
        <f t="shared" ref="Y49" si="202">+X49/X$54</f>
        <v>2.0124275793317846E-2</v>
      </c>
      <c r="Z49" s="88">
        <f t="shared" si="161"/>
        <v>910.10358600000006</v>
      </c>
      <c r="AA49" s="89">
        <f t="shared" si="162"/>
        <v>5.6256486677361876E-2</v>
      </c>
    </row>
    <row r="50" spans="1:27" x14ac:dyDescent="0.2">
      <c r="A50" s="85" t="s">
        <v>1</v>
      </c>
      <c r="B50" s="292">
        <v>52.129224000000001</v>
      </c>
      <c r="C50" s="89">
        <f t="shared" si="150"/>
        <v>3.0039337227321491E-2</v>
      </c>
      <c r="D50" s="292">
        <v>55.622399999999999</v>
      </c>
      <c r="E50" s="89">
        <f t="shared" si="150"/>
        <v>3.5984166966534718E-2</v>
      </c>
      <c r="F50" s="88">
        <v>65.429505000000006</v>
      </c>
      <c r="G50" s="89">
        <f t="shared" ref="G50" si="203">+F50/F$54</f>
        <v>3.9445628997867813E-2</v>
      </c>
      <c r="H50" s="88">
        <f>[3]Composition!R11</f>
        <v>58.629239999999996</v>
      </c>
      <c r="I50" s="89">
        <f t="shared" ref="I50" si="204">+H50/H$54</f>
        <v>4.2523033309709427E-2</v>
      </c>
      <c r="J50" s="88">
        <f>[3]Composition!T11</f>
        <v>52.921796000000001</v>
      </c>
      <c r="K50" s="89">
        <f t="shared" ref="K50" si="205">+J50/J$54</f>
        <v>3.9703420234393688E-2</v>
      </c>
      <c r="L50" s="88">
        <f>[3]Composition!V11</f>
        <v>48.064904999999996</v>
      </c>
      <c r="M50" s="89">
        <f t="shared" ref="M50" si="206">+L50/L$54</f>
        <v>3.7711002035196936E-2</v>
      </c>
      <c r="N50" s="88">
        <f>[4]Composition!X11</f>
        <v>52.222542000000004</v>
      </c>
      <c r="O50" s="89">
        <f t="shared" ref="O50" si="207">+N50/N$54</f>
        <v>3.7650233014471429E-2</v>
      </c>
      <c r="P50" s="88">
        <f>[8]Composition!B11</f>
        <v>44.778970000000001</v>
      </c>
      <c r="Q50" s="89">
        <f t="shared" ref="Q50" si="208">+P50/P$54</f>
        <v>3.6412512218963834E-2</v>
      </c>
      <c r="R50" s="122">
        <f>[5]Composition!D11</f>
        <v>314.61</v>
      </c>
      <c r="S50" s="89">
        <f t="shared" ref="S50" si="209">+R50/R$54</f>
        <v>3.6151042897433525E-2</v>
      </c>
      <c r="T50" s="122">
        <f>[5]Composition!F11</f>
        <v>337.18500000000006</v>
      </c>
      <c r="U50" s="89">
        <f t="shared" ref="U50" si="210">+T50/T$54</f>
        <v>4.5313140226083931E-2</v>
      </c>
      <c r="V50" s="171">
        <f>[6]Composition!H11</f>
        <v>343.04</v>
      </c>
      <c r="W50" s="89">
        <f t="shared" ref="W50" si="211">+V50/V$54</f>
        <v>4.2414658181427027E-2</v>
      </c>
      <c r="X50" s="171">
        <f>[7]Composition!J11</f>
        <v>424.04</v>
      </c>
      <c r="Y50" s="89">
        <f t="shared" ref="Y50" si="212">+X50/X$54</f>
        <v>5.2708449088316858E-2</v>
      </c>
      <c r="Z50" s="88">
        <f t="shared" si="161"/>
        <v>1848.6735819999999</v>
      </c>
      <c r="AA50" s="89">
        <f t="shared" si="162"/>
        <v>0.11427257549183401</v>
      </c>
    </row>
    <row r="51" spans="1:27" x14ac:dyDescent="0.2">
      <c r="A51" s="85" t="s">
        <v>65</v>
      </c>
      <c r="B51" s="292">
        <v>14.687201999999999</v>
      </c>
      <c r="C51" s="89">
        <f t="shared" si="150"/>
        <v>8.4634640600786733E-3</v>
      </c>
      <c r="D51" s="292">
        <v>15.388864</v>
      </c>
      <c r="E51" s="89">
        <f t="shared" si="150"/>
        <v>9.9556195274079391E-3</v>
      </c>
      <c r="F51" s="88">
        <v>17.094194999999999</v>
      </c>
      <c r="G51" s="89">
        <f t="shared" ref="G51" si="213">+F51/F$54</f>
        <v>1.0305614783226724E-2</v>
      </c>
      <c r="H51" s="88">
        <f>[3]Composition!R12</f>
        <v>8.6315270000000002</v>
      </c>
      <c r="I51" s="89">
        <f t="shared" ref="I51" si="214">+H51/H$54</f>
        <v>6.2603354594850001E-3</v>
      </c>
      <c r="J51" s="88">
        <f>[3]Composition!T12</f>
        <v>14.983881999999999</v>
      </c>
      <c r="K51" s="89">
        <f t="shared" ref="K51" si="215">+J51/J$54</f>
        <v>1.1241329825400622E-2</v>
      </c>
      <c r="L51" s="88">
        <f>[3]Composition!V12</f>
        <v>13.275068999999998</v>
      </c>
      <c r="M51" s="89">
        <f t="shared" ref="M51" si="216">+L51/L$54</f>
        <v>1.0415419609721059E-2</v>
      </c>
      <c r="N51" s="88">
        <f>[4]Composition!X12</f>
        <v>15.309539999999998</v>
      </c>
      <c r="O51" s="89">
        <f t="shared" ref="O51" si="217">+N51/N$54</f>
        <v>1.1037527593818984E-2</v>
      </c>
      <c r="P51" s="88">
        <f>[8]Composition!B12</f>
        <v>12.622260000000001</v>
      </c>
      <c r="Q51" s="89">
        <f t="shared" ref="Q51" si="218">+P51/P$54</f>
        <v>1.026392961876833E-2</v>
      </c>
      <c r="R51" s="122">
        <f>[5]Composition!D12</f>
        <v>54.39</v>
      </c>
      <c r="S51" s="89">
        <f t="shared" ref="S51" si="219">+R51/R$54</f>
        <v>6.2498179434582798E-3</v>
      </c>
      <c r="T51" s="122">
        <f>[5]Composition!F12</f>
        <v>48.17</v>
      </c>
      <c r="U51" s="89">
        <f t="shared" ref="U51" si="220">+T51/T$54</f>
        <v>6.4734017370003489E-3</v>
      </c>
      <c r="V51" s="171">
        <f>[6]Composition!H12</f>
        <v>50.92</v>
      </c>
      <c r="W51" s="89">
        <f t="shared" ref="W51" si="221">+V51/V$54</f>
        <v>6.2959258238055741E-3</v>
      </c>
      <c r="X51" s="171">
        <f>[7]Composition!J12</f>
        <v>56.12</v>
      </c>
      <c r="Y51" s="89">
        <f t="shared" ref="Y51" si="222">+X51/X$54</f>
        <v>6.9757526715317937E-3</v>
      </c>
      <c r="Z51" s="88">
        <f t="shared" si="161"/>
        <v>321.59253900000004</v>
      </c>
      <c r="AA51" s="89">
        <f t="shared" si="162"/>
        <v>1.9878689265809001E-2</v>
      </c>
    </row>
    <row r="52" spans="1:27" x14ac:dyDescent="0.2">
      <c r="A52" s="85" t="s">
        <v>66</v>
      </c>
      <c r="B52" s="292">
        <v>11.584271999999999</v>
      </c>
      <c r="C52" s="89">
        <f t="shared" si="150"/>
        <v>6.675408272738108E-3</v>
      </c>
      <c r="D52" s="292">
        <v>10.197439999999999</v>
      </c>
      <c r="E52" s="89">
        <f t="shared" si="150"/>
        <v>6.5970972771980307E-3</v>
      </c>
      <c r="F52" s="88">
        <v>12.378554999999999</v>
      </c>
      <c r="G52" s="89">
        <f t="shared" ref="G52" si="223">+F52/F$54</f>
        <v>7.462686567164179E-3</v>
      </c>
      <c r="H52" s="88">
        <f>[3]Composition!R13</f>
        <v>14.005873999999999</v>
      </c>
      <c r="I52" s="89">
        <f t="shared" ref="I52" si="224">+H52/H$54</f>
        <v>1.0158280179541696E-2</v>
      </c>
      <c r="J52" s="88">
        <f>[3]Composition!T13</f>
        <v>11.955224999999999</v>
      </c>
      <c r="K52" s="89">
        <f t="shared" ref="K52" si="225">+J52/J$54</f>
        <v>8.9691461372877288E-3</v>
      </c>
      <c r="L52" s="88">
        <f>[3]Composition!V13</f>
        <v>9.9181549999999987</v>
      </c>
      <c r="M52" s="89">
        <f t="shared" ref="M52" si="226">+L52/L$54</f>
        <v>7.781635340596193E-3</v>
      </c>
      <c r="N52" s="88">
        <f>[4]Composition!X13</f>
        <v>9.5259359999999997</v>
      </c>
      <c r="O52" s="89">
        <f t="shared" ref="O52" si="227">+N52/N$54</f>
        <v>6.8677949472651456E-3</v>
      </c>
      <c r="P52" s="88">
        <f>[8]Composition!B13</f>
        <v>8.1143100000000015</v>
      </c>
      <c r="Q52" s="89">
        <f t="shared" ref="Q52" si="228">+P52/P$54</f>
        <v>6.5982404692082131E-3</v>
      </c>
      <c r="R52" s="122">
        <f>[5]Composition!D13</f>
        <v>68.62</v>
      </c>
      <c r="S52" s="89">
        <f t="shared" ref="S52" si="229">+R52/R$54</f>
        <v>7.8849514116585244E-3</v>
      </c>
      <c r="T52" s="122">
        <f>[5]Composition!F13</f>
        <v>79.28</v>
      </c>
      <c r="U52" s="89">
        <f t="shared" ref="U52" si="230">+T52/T$54</f>
        <v>1.0654168356018012E-2</v>
      </c>
      <c r="V52" s="171">
        <f>[6]Composition!H13</f>
        <v>85.07</v>
      </c>
      <c r="W52" s="89">
        <f t="shared" ref="W52" si="231">+V52/V$54</f>
        <v>1.0518350546565988E-2</v>
      </c>
      <c r="X52" s="171">
        <f>[7]Composition!J13</f>
        <v>117.24</v>
      </c>
      <c r="Y52" s="89">
        <f t="shared" ref="Y52" si="232">+X52/X$54</f>
        <v>1.4573008610306264E-2</v>
      </c>
      <c r="Z52" s="88">
        <f t="shared" si="161"/>
        <v>437.88976700000001</v>
      </c>
      <c r="AA52" s="89">
        <f t="shared" si="162"/>
        <v>2.7067402241164881E-2</v>
      </c>
    </row>
    <row r="53" spans="1:27" x14ac:dyDescent="0.2">
      <c r="A53" s="85" t="s">
        <v>67</v>
      </c>
      <c r="B53" s="292">
        <v>0</v>
      </c>
      <c r="C53" s="89">
        <f t="shared" si="150"/>
        <v>0</v>
      </c>
      <c r="D53" s="292">
        <v>0</v>
      </c>
      <c r="E53" s="89">
        <f t="shared" si="150"/>
        <v>0</v>
      </c>
      <c r="F53" s="88">
        <v>0</v>
      </c>
      <c r="G53" s="89">
        <f t="shared" ref="G53" si="233">+F53/F$54</f>
        <v>0</v>
      </c>
      <c r="H53" s="88">
        <f>[3]Composition!R14</f>
        <v>0</v>
      </c>
      <c r="I53" s="89">
        <f t="shared" ref="I53" si="234">+H53/H$54</f>
        <v>0</v>
      </c>
      <c r="J53" s="88">
        <f>[3]Composition!T14</f>
        <v>0</v>
      </c>
      <c r="K53" s="89">
        <f t="shared" ref="K53" si="235">+J53/J$54</f>
        <v>0</v>
      </c>
      <c r="L53" s="88">
        <f>[3]Composition!V14</f>
        <v>0</v>
      </c>
      <c r="M53" s="89">
        <f t="shared" ref="M53" si="236">+L53/L$54</f>
        <v>0</v>
      </c>
      <c r="N53" s="88">
        <f>[4]Composition!X14</f>
        <v>0</v>
      </c>
      <c r="O53" s="89">
        <f t="shared" ref="O53" si="237">+N53/N$54</f>
        <v>0</v>
      </c>
      <c r="P53" s="88">
        <f>[8]Composition!B14</f>
        <v>0</v>
      </c>
      <c r="Q53" s="89">
        <f t="shared" ref="Q53" si="238">+P53/P$54</f>
        <v>0</v>
      </c>
      <c r="R53" s="122">
        <f>[5]Composition!D14</f>
        <v>0</v>
      </c>
      <c r="S53" s="89">
        <f t="shared" ref="S53" si="239">+R53/R$54</f>
        <v>0</v>
      </c>
      <c r="T53" s="122">
        <f>[5]Composition!F14</f>
        <v>0</v>
      </c>
      <c r="U53" s="89">
        <f t="shared" ref="U53" si="240">+T53/T$54</f>
        <v>0</v>
      </c>
      <c r="V53" s="171">
        <v>0</v>
      </c>
      <c r="W53" s="89">
        <f t="shared" ref="W53" si="241">+V53/V$54</f>
        <v>0</v>
      </c>
      <c r="X53" s="171">
        <f>[7]Composition!J14</f>
        <v>0</v>
      </c>
      <c r="Y53" s="89">
        <f t="shared" ref="Y53" si="242">+X53/X$54</f>
        <v>0</v>
      </c>
      <c r="Z53" s="88">
        <f t="shared" si="161"/>
        <v>0</v>
      </c>
      <c r="AA53" s="89">
        <f t="shared" si="162"/>
        <v>0</v>
      </c>
    </row>
    <row r="54" spans="1:27" ht="13.5" thickBot="1" x14ac:dyDescent="0.25">
      <c r="A54" s="90"/>
      <c r="B54" s="91">
        <f t="shared" ref="B54:AA54" si="243">SUM(B44:B53)</f>
        <v>1735.3653180000001</v>
      </c>
      <c r="C54" s="102">
        <f t="shared" si="243"/>
        <v>1</v>
      </c>
      <c r="D54" s="91">
        <f t="shared" si="243"/>
        <v>1545.7464960000002</v>
      </c>
      <c r="E54" s="102">
        <f t="shared" si="243"/>
        <v>0.99999999999999989</v>
      </c>
      <c r="F54" s="91">
        <f t="shared" si="243"/>
        <v>1658.7263699999999</v>
      </c>
      <c r="G54" s="102">
        <f t="shared" si="243"/>
        <v>1</v>
      </c>
      <c r="H54" s="91">
        <f t="shared" si="243"/>
        <v>1378.7642939999998</v>
      </c>
      <c r="I54" s="102">
        <f t="shared" si="243"/>
        <v>1</v>
      </c>
      <c r="J54" s="91">
        <f t="shared" si="243"/>
        <v>1332.9278859999999</v>
      </c>
      <c r="K54" s="102">
        <f t="shared" si="243"/>
        <v>1</v>
      </c>
      <c r="L54" s="91">
        <f t="shared" si="243"/>
        <v>1274.5592109999998</v>
      </c>
      <c r="M54" s="102">
        <f t="shared" si="243"/>
        <v>1.0000000000000002</v>
      </c>
      <c r="N54" s="91">
        <f t="shared" si="243"/>
        <v>1387.044324</v>
      </c>
      <c r="O54" s="102">
        <f t="shared" si="243"/>
        <v>1</v>
      </c>
      <c r="P54" s="91">
        <f t="shared" si="243"/>
        <v>1229.7687599999999</v>
      </c>
      <c r="Q54" s="102">
        <f t="shared" si="243"/>
        <v>1</v>
      </c>
      <c r="R54" s="91">
        <f t="shared" si="243"/>
        <v>8702.6535000000003</v>
      </c>
      <c r="S54" s="102">
        <f t="shared" si="243"/>
        <v>0.99999999999999989</v>
      </c>
      <c r="T54" s="91">
        <f t="shared" si="243"/>
        <v>7441.2190000000001</v>
      </c>
      <c r="U54" s="102">
        <f t="shared" si="243"/>
        <v>1.0000000000000002</v>
      </c>
      <c r="V54" s="91">
        <f t="shared" si="243"/>
        <v>8087.7699999999995</v>
      </c>
      <c r="W54" s="102">
        <f t="shared" si="243"/>
        <v>1</v>
      </c>
      <c r="X54" s="249">
        <f t="shared" si="243"/>
        <v>8045.01</v>
      </c>
      <c r="Y54" s="102">
        <f t="shared" si="243"/>
        <v>1</v>
      </c>
      <c r="Z54" s="91">
        <f t="shared" si="243"/>
        <v>43819.555158999996</v>
      </c>
      <c r="AA54" s="102">
        <f t="shared" si="243"/>
        <v>2.7086303789272259</v>
      </c>
    </row>
    <row r="55" spans="1:27" ht="13.5" thickTop="1" x14ac:dyDescent="0.2">
      <c r="X55" s="219"/>
    </row>
    <row r="56" spans="1:27" ht="15" x14ac:dyDescent="0.35">
      <c r="A56" s="85" t="s">
        <v>68</v>
      </c>
      <c r="B56" s="126">
        <v>315.05082599999997</v>
      </c>
      <c r="C56" s="127"/>
      <c r="D56" s="292">
        <v>292.94463999999999</v>
      </c>
      <c r="E56" s="127"/>
      <c r="F56" s="136">
        <v>292.56616500000001</v>
      </c>
      <c r="G56" s="127"/>
      <c r="H56" s="293">
        <f>[3]Composition!R19</f>
        <v>238.91415299999997</v>
      </c>
      <c r="I56" s="127"/>
      <c r="J56" s="293">
        <f>[3]Composition!T19</f>
        <v>249.62509799999998</v>
      </c>
      <c r="K56" s="127"/>
      <c r="L56" s="293">
        <f>[3]Composition!V19</f>
        <v>240.01935099999997</v>
      </c>
      <c r="M56" s="127"/>
      <c r="N56" s="218">
        <f>[4]Composition!$X$19</f>
        <v>302.44846799999999</v>
      </c>
      <c r="O56" s="127"/>
      <c r="P56" s="218">
        <f>[8]Composition!$B$19+[8]Composition!$B$18+[8]Composition!$B$16+[8]Composition!$B$15</f>
        <v>272.28018000000009</v>
      </c>
      <c r="Q56" s="127"/>
      <c r="R56" s="218">
        <f>[5]Composition!D20+[5]Composition!D15+[5]Composition!D16</f>
        <v>1184.4724999999999</v>
      </c>
      <c r="S56" s="127"/>
      <c r="T56" s="218">
        <f>[5]Composition!F20+[5]Composition!F15+[5]Composition!F16</f>
        <v>1809.2375</v>
      </c>
      <c r="U56" s="127"/>
      <c r="V56" s="218">
        <f>[6]Composition!$H$20+[6]Composition!$H$18+[6]Composition!$H$16+[6]Composition!$H$15</f>
        <v>2044.57</v>
      </c>
      <c r="W56" s="127"/>
      <c r="X56" s="248">
        <f>[7]Composition!$J$20+[7]Composition!$J$18+[7]Composition!$J$16+[7]Composition!$J$15</f>
        <v>2202.9100000000003</v>
      </c>
      <c r="Y56" s="127"/>
      <c r="Z56" s="126">
        <f t="shared" ref="Z56" si="244">+B56+D56+F56+H56+J56+L56+N56+P56+R56+T56+V56+X56</f>
        <v>9445.0388810000004</v>
      </c>
      <c r="AA56" s="127"/>
    </row>
    <row r="57" spans="1:27" x14ac:dyDescent="0.2">
      <c r="X57" s="219"/>
    </row>
    <row r="58" spans="1:27" ht="15" x14ac:dyDescent="0.35">
      <c r="A58" s="86" t="s">
        <v>93</v>
      </c>
      <c r="B58" s="125">
        <f t="shared" ref="B58" si="245">+B56+B54</f>
        <v>2050.4161440000003</v>
      </c>
      <c r="C58" s="125"/>
      <c r="D58" s="125">
        <f t="shared" ref="D58" si="246">+D56+D54</f>
        <v>1838.6911360000001</v>
      </c>
      <c r="E58" s="125"/>
      <c r="F58" s="125">
        <f t="shared" ref="F58" si="247">+F56+F54</f>
        <v>1951.2925349999998</v>
      </c>
      <c r="G58" s="125"/>
      <c r="H58" s="125">
        <f t="shared" ref="H58" si="248">+H56+H54</f>
        <v>1617.6784469999998</v>
      </c>
      <c r="I58" s="125"/>
      <c r="J58" s="125">
        <f t="shared" ref="J58" si="249">+J56+J54</f>
        <v>1582.5529839999999</v>
      </c>
      <c r="K58" s="125"/>
      <c r="L58" s="125">
        <f t="shared" ref="L58" si="250">+L56+L54</f>
        <v>1514.5785619999997</v>
      </c>
      <c r="M58" s="125"/>
      <c r="N58" s="125">
        <f t="shared" ref="N58" si="251">+N56+N54</f>
        <v>1689.492792</v>
      </c>
      <c r="O58" s="125"/>
      <c r="P58" s="125">
        <f t="shared" ref="P58" si="252">+P56+P54</f>
        <v>1502.0489400000001</v>
      </c>
      <c r="Q58" s="125"/>
      <c r="R58" s="125">
        <f t="shared" ref="R58" si="253">+R56+R54</f>
        <v>9887.1260000000002</v>
      </c>
      <c r="S58" s="125"/>
      <c r="T58" s="125">
        <f t="shared" ref="T58" si="254">+T56+T54</f>
        <v>9250.4565000000002</v>
      </c>
      <c r="U58" s="125"/>
      <c r="V58" s="125">
        <f t="shared" ref="V58" si="255">+V56+V54</f>
        <v>10132.34</v>
      </c>
      <c r="W58" s="125"/>
      <c r="X58" s="125">
        <f t="shared" ref="X58" si="256">+X56+X54</f>
        <v>10247.92</v>
      </c>
      <c r="Y58" s="125"/>
      <c r="Z58" s="125">
        <f t="shared" ref="Z58" si="257">+Z56+Z54</f>
        <v>53264.594039999996</v>
      </c>
    </row>
  </sheetData>
  <mergeCells count="33">
    <mergeCell ref="V42:W42"/>
    <mergeCell ref="X42:Y42"/>
    <mergeCell ref="B23:C23"/>
    <mergeCell ref="Z42:AA42"/>
    <mergeCell ref="L42:M42"/>
    <mergeCell ref="N42:O42"/>
    <mergeCell ref="P42:Q42"/>
    <mergeCell ref="R42:S42"/>
    <mergeCell ref="T42:U42"/>
    <mergeCell ref="B42:C42"/>
    <mergeCell ref="D42:E42"/>
    <mergeCell ref="F42:G42"/>
    <mergeCell ref="H42:I42"/>
    <mergeCell ref="J42:K42"/>
    <mergeCell ref="Z23:AA23"/>
    <mergeCell ref="D23:E23"/>
    <mergeCell ref="Z4:AA4"/>
    <mergeCell ref="D4:E4"/>
    <mergeCell ref="F4:G4"/>
    <mergeCell ref="H4:I4"/>
    <mergeCell ref="B4:C4"/>
    <mergeCell ref="J4:K4"/>
    <mergeCell ref="L4:M4"/>
    <mergeCell ref="F23:G23"/>
    <mergeCell ref="H23:I23"/>
    <mergeCell ref="J23:K23"/>
    <mergeCell ref="L23:M23"/>
    <mergeCell ref="N23:O23"/>
    <mergeCell ref="P23:Q23"/>
    <mergeCell ref="R23:S23"/>
    <mergeCell ref="T23:U23"/>
    <mergeCell ref="V23:W23"/>
    <mergeCell ref="X23:Y23"/>
  </mergeCells>
  <pageMargins left="0.2" right="0.2" top="0.5" bottom="0.75" header="0.3" footer="0.3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M32"/>
  <sheetViews>
    <sheetView workbookViewId="0">
      <selection activeCell="C31" sqref="C31"/>
    </sheetView>
  </sheetViews>
  <sheetFormatPr defaultRowHeight="12" x14ac:dyDescent="0.2"/>
  <cols>
    <col min="1" max="1" width="9.140625" style="85" customWidth="1"/>
    <col min="2" max="2" width="8.5703125" style="85" bestFit="1" customWidth="1"/>
    <col min="3" max="3" width="11.140625" style="85" bestFit="1" customWidth="1"/>
    <col min="4" max="4" width="8.5703125" style="85" bestFit="1" customWidth="1"/>
    <col min="5" max="5" width="10" style="85" bestFit="1" customWidth="1"/>
    <col min="6" max="6" width="11" style="85" bestFit="1" customWidth="1"/>
    <col min="7" max="7" width="8.140625" style="85" bestFit="1" customWidth="1"/>
    <col min="8" max="8" width="11" style="85" bestFit="1" customWidth="1"/>
    <col min="9" max="9" width="11.7109375" style="85" bestFit="1" customWidth="1"/>
    <col min="10" max="10" width="12.140625" style="85" bestFit="1" customWidth="1"/>
    <col min="11" max="11" width="11" style="85" bestFit="1" customWidth="1"/>
    <col min="12" max="221" width="9.140625" style="85"/>
    <col min="222" max="222" width="12.140625" style="85" customWidth="1"/>
    <col min="223" max="223" width="13.5703125" style="85" customWidth="1"/>
    <col min="224" max="224" width="10.7109375" style="85" customWidth="1"/>
    <col min="225" max="226" width="12.140625" style="85" customWidth="1"/>
    <col min="227" max="227" width="10" style="85" customWidth="1"/>
    <col min="228" max="228" width="10.85546875" style="85" customWidth="1"/>
    <col min="229" max="229" width="9.5703125" style="85" customWidth="1"/>
    <col min="230" max="230" width="10.140625" style="85" customWidth="1"/>
    <col min="231" max="231" width="11.5703125" style="85" customWidth="1"/>
    <col min="232" max="232" width="13.42578125" style="85" customWidth="1"/>
    <col min="233" max="233" width="15.140625" style="85" customWidth="1"/>
    <col min="234" max="234" width="9.140625" style="85"/>
    <col min="235" max="235" width="17.28515625" style="85" customWidth="1"/>
    <col min="236" max="236" width="10.42578125" style="85" bestFit="1" customWidth="1"/>
    <col min="237" max="477" width="9.140625" style="85"/>
    <col min="478" max="478" width="12.140625" style="85" customWidth="1"/>
    <col min="479" max="479" width="13.5703125" style="85" customWidth="1"/>
    <col min="480" max="480" width="10.7109375" style="85" customWidth="1"/>
    <col min="481" max="482" width="12.140625" style="85" customWidth="1"/>
    <col min="483" max="483" width="10" style="85" customWidth="1"/>
    <col min="484" max="484" width="10.85546875" style="85" customWidth="1"/>
    <col min="485" max="485" width="9.5703125" style="85" customWidth="1"/>
    <col min="486" max="486" width="10.140625" style="85" customWidth="1"/>
    <col min="487" max="487" width="11.5703125" style="85" customWidth="1"/>
    <col min="488" max="488" width="13.42578125" style="85" customWidth="1"/>
    <col min="489" max="489" width="15.140625" style="85" customWidth="1"/>
    <col min="490" max="490" width="9.140625" style="85"/>
    <col min="491" max="491" width="17.28515625" style="85" customWidth="1"/>
    <col min="492" max="492" width="10.42578125" style="85" bestFit="1" customWidth="1"/>
    <col min="493" max="733" width="9.140625" style="85"/>
    <col min="734" max="734" width="12.140625" style="85" customWidth="1"/>
    <col min="735" max="735" width="13.5703125" style="85" customWidth="1"/>
    <col min="736" max="736" width="10.7109375" style="85" customWidth="1"/>
    <col min="737" max="738" width="12.140625" style="85" customWidth="1"/>
    <col min="739" max="739" width="10" style="85" customWidth="1"/>
    <col min="740" max="740" width="10.85546875" style="85" customWidth="1"/>
    <col min="741" max="741" width="9.5703125" style="85" customWidth="1"/>
    <col min="742" max="742" width="10.140625" style="85" customWidth="1"/>
    <col min="743" max="743" width="11.5703125" style="85" customWidth="1"/>
    <col min="744" max="744" width="13.42578125" style="85" customWidth="1"/>
    <col min="745" max="745" width="15.140625" style="85" customWidth="1"/>
    <col min="746" max="746" width="9.140625" style="85"/>
    <col min="747" max="747" width="17.28515625" style="85" customWidth="1"/>
    <col min="748" max="748" width="10.42578125" style="85" bestFit="1" customWidth="1"/>
    <col min="749" max="989" width="9.140625" style="85"/>
    <col min="990" max="990" width="12.140625" style="85" customWidth="1"/>
    <col min="991" max="991" width="13.5703125" style="85" customWidth="1"/>
    <col min="992" max="992" width="10.7109375" style="85" customWidth="1"/>
    <col min="993" max="994" width="12.140625" style="85" customWidth="1"/>
    <col min="995" max="995" width="10" style="85" customWidth="1"/>
    <col min="996" max="996" width="10.85546875" style="85" customWidth="1"/>
    <col min="997" max="997" width="9.5703125" style="85" customWidth="1"/>
    <col min="998" max="998" width="10.140625" style="85" customWidth="1"/>
    <col min="999" max="999" width="11.5703125" style="85" customWidth="1"/>
    <col min="1000" max="1000" width="13.42578125" style="85" customWidth="1"/>
    <col min="1001" max="1001" width="15.140625" style="85" customWidth="1"/>
    <col min="1002" max="1002" width="9.140625" style="85"/>
    <col min="1003" max="1003" width="17.28515625" style="85" customWidth="1"/>
    <col min="1004" max="1004" width="10.42578125" style="85" bestFit="1" customWidth="1"/>
    <col min="1005" max="1245" width="9.140625" style="85"/>
    <col min="1246" max="1246" width="12.140625" style="85" customWidth="1"/>
    <col min="1247" max="1247" width="13.5703125" style="85" customWidth="1"/>
    <col min="1248" max="1248" width="10.7109375" style="85" customWidth="1"/>
    <col min="1249" max="1250" width="12.140625" style="85" customWidth="1"/>
    <col min="1251" max="1251" width="10" style="85" customWidth="1"/>
    <col min="1252" max="1252" width="10.85546875" style="85" customWidth="1"/>
    <col min="1253" max="1253" width="9.5703125" style="85" customWidth="1"/>
    <col min="1254" max="1254" width="10.140625" style="85" customWidth="1"/>
    <col min="1255" max="1255" width="11.5703125" style="85" customWidth="1"/>
    <col min="1256" max="1256" width="13.42578125" style="85" customWidth="1"/>
    <col min="1257" max="1257" width="15.140625" style="85" customWidth="1"/>
    <col min="1258" max="1258" width="9.140625" style="85"/>
    <col min="1259" max="1259" width="17.28515625" style="85" customWidth="1"/>
    <col min="1260" max="1260" width="10.42578125" style="85" bestFit="1" customWidth="1"/>
    <col min="1261" max="1501" width="9.140625" style="85"/>
    <col min="1502" max="1502" width="12.140625" style="85" customWidth="1"/>
    <col min="1503" max="1503" width="13.5703125" style="85" customWidth="1"/>
    <col min="1504" max="1504" width="10.7109375" style="85" customWidth="1"/>
    <col min="1505" max="1506" width="12.140625" style="85" customWidth="1"/>
    <col min="1507" max="1507" width="10" style="85" customWidth="1"/>
    <col min="1508" max="1508" width="10.85546875" style="85" customWidth="1"/>
    <col min="1509" max="1509" width="9.5703125" style="85" customWidth="1"/>
    <col min="1510" max="1510" width="10.140625" style="85" customWidth="1"/>
    <col min="1511" max="1511" width="11.5703125" style="85" customWidth="1"/>
    <col min="1512" max="1512" width="13.42578125" style="85" customWidth="1"/>
    <col min="1513" max="1513" width="15.140625" style="85" customWidth="1"/>
    <col min="1514" max="1514" width="9.140625" style="85"/>
    <col min="1515" max="1515" width="17.28515625" style="85" customWidth="1"/>
    <col min="1516" max="1516" width="10.42578125" style="85" bestFit="1" customWidth="1"/>
    <col min="1517" max="1757" width="9.140625" style="85"/>
    <col min="1758" max="1758" width="12.140625" style="85" customWidth="1"/>
    <col min="1759" max="1759" width="13.5703125" style="85" customWidth="1"/>
    <col min="1760" max="1760" width="10.7109375" style="85" customWidth="1"/>
    <col min="1761" max="1762" width="12.140625" style="85" customWidth="1"/>
    <col min="1763" max="1763" width="10" style="85" customWidth="1"/>
    <col min="1764" max="1764" width="10.85546875" style="85" customWidth="1"/>
    <col min="1765" max="1765" width="9.5703125" style="85" customWidth="1"/>
    <col min="1766" max="1766" width="10.140625" style="85" customWidth="1"/>
    <col min="1767" max="1767" width="11.5703125" style="85" customWidth="1"/>
    <col min="1768" max="1768" width="13.42578125" style="85" customWidth="1"/>
    <col min="1769" max="1769" width="15.140625" style="85" customWidth="1"/>
    <col min="1770" max="1770" width="9.140625" style="85"/>
    <col min="1771" max="1771" width="17.28515625" style="85" customWidth="1"/>
    <col min="1772" max="1772" width="10.42578125" style="85" bestFit="1" customWidth="1"/>
    <col min="1773" max="2013" width="9.140625" style="85"/>
    <col min="2014" max="2014" width="12.140625" style="85" customWidth="1"/>
    <col min="2015" max="2015" width="13.5703125" style="85" customWidth="1"/>
    <col min="2016" max="2016" width="10.7109375" style="85" customWidth="1"/>
    <col min="2017" max="2018" width="12.140625" style="85" customWidth="1"/>
    <col min="2019" max="2019" width="10" style="85" customWidth="1"/>
    <col min="2020" max="2020" width="10.85546875" style="85" customWidth="1"/>
    <col min="2021" max="2021" width="9.5703125" style="85" customWidth="1"/>
    <col min="2022" max="2022" width="10.140625" style="85" customWidth="1"/>
    <col min="2023" max="2023" width="11.5703125" style="85" customWidth="1"/>
    <col min="2024" max="2024" width="13.42578125" style="85" customWidth="1"/>
    <col min="2025" max="2025" width="15.140625" style="85" customWidth="1"/>
    <col min="2026" max="2026" width="9.140625" style="85"/>
    <col min="2027" max="2027" width="17.28515625" style="85" customWidth="1"/>
    <col min="2028" max="2028" width="10.42578125" style="85" bestFit="1" customWidth="1"/>
    <col min="2029" max="2269" width="9.140625" style="85"/>
    <col min="2270" max="2270" width="12.140625" style="85" customWidth="1"/>
    <col min="2271" max="2271" width="13.5703125" style="85" customWidth="1"/>
    <col min="2272" max="2272" width="10.7109375" style="85" customWidth="1"/>
    <col min="2273" max="2274" width="12.140625" style="85" customWidth="1"/>
    <col min="2275" max="2275" width="10" style="85" customWidth="1"/>
    <col min="2276" max="2276" width="10.85546875" style="85" customWidth="1"/>
    <col min="2277" max="2277" width="9.5703125" style="85" customWidth="1"/>
    <col min="2278" max="2278" width="10.140625" style="85" customWidth="1"/>
    <col min="2279" max="2279" width="11.5703125" style="85" customWidth="1"/>
    <col min="2280" max="2280" width="13.42578125" style="85" customWidth="1"/>
    <col min="2281" max="2281" width="15.140625" style="85" customWidth="1"/>
    <col min="2282" max="2282" width="9.140625" style="85"/>
    <col min="2283" max="2283" width="17.28515625" style="85" customWidth="1"/>
    <col min="2284" max="2284" width="10.42578125" style="85" bestFit="1" customWidth="1"/>
    <col min="2285" max="2525" width="9.140625" style="85"/>
    <col min="2526" max="2526" width="12.140625" style="85" customWidth="1"/>
    <col min="2527" max="2527" width="13.5703125" style="85" customWidth="1"/>
    <col min="2528" max="2528" width="10.7109375" style="85" customWidth="1"/>
    <col min="2529" max="2530" width="12.140625" style="85" customWidth="1"/>
    <col min="2531" max="2531" width="10" style="85" customWidth="1"/>
    <col min="2532" max="2532" width="10.85546875" style="85" customWidth="1"/>
    <col min="2533" max="2533" width="9.5703125" style="85" customWidth="1"/>
    <col min="2534" max="2534" width="10.140625" style="85" customWidth="1"/>
    <col min="2535" max="2535" width="11.5703125" style="85" customWidth="1"/>
    <col min="2536" max="2536" width="13.42578125" style="85" customWidth="1"/>
    <col min="2537" max="2537" width="15.140625" style="85" customWidth="1"/>
    <col min="2538" max="2538" width="9.140625" style="85"/>
    <col min="2539" max="2539" width="17.28515625" style="85" customWidth="1"/>
    <col min="2540" max="2540" width="10.42578125" style="85" bestFit="1" customWidth="1"/>
    <col min="2541" max="2781" width="9.140625" style="85"/>
    <col min="2782" max="2782" width="12.140625" style="85" customWidth="1"/>
    <col min="2783" max="2783" width="13.5703125" style="85" customWidth="1"/>
    <col min="2784" max="2784" width="10.7109375" style="85" customWidth="1"/>
    <col min="2785" max="2786" width="12.140625" style="85" customWidth="1"/>
    <col min="2787" max="2787" width="10" style="85" customWidth="1"/>
    <col min="2788" max="2788" width="10.85546875" style="85" customWidth="1"/>
    <col min="2789" max="2789" width="9.5703125" style="85" customWidth="1"/>
    <col min="2790" max="2790" width="10.140625" style="85" customWidth="1"/>
    <col min="2791" max="2791" width="11.5703125" style="85" customWidth="1"/>
    <col min="2792" max="2792" width="13.42578125" style="85" customWidth="1"/>
    <col min="2793" max="2793" width="15.140625" style="85" customWidth="1"/>
    <col min="2794" max="2794" width="9.140625" style="85"/>
    <col min="2795" max="2795" width="17.28515625" style="85" customWidth="1"/>
    <col min="2796" max="2796" width="10.42578125" style="85" bestFit="1" customWidth="1"/>
    <col min="2797" max="3037" width="9.140625" style="85"/>
    <col min="3038" max="3038" width="12.140625" style="85" customWidth="1"/>
    <col min="3039" max="3039" width="13.5703125" style="85" customWidth="1"/>
    <col min="3040" max="3040" width="10.7109375" style="85" customWidth="1"/>
    <col min="3041" max="3042" width="12.140625" style="85" customWidth="1"/>
    <col min="3043" max="3043" width="10" style="85" customWidth="1"/>
    <col min="3044" max="3044" width="10.85546875" style="85" customWidth="1"/>
    <col min="3045" max="3045" width="9.5703125" style="85" customWidth="1"/>
    <col min="3046" max="3046" width="10.140625" style="85" customWidth="1"/>
    <col min="3047" max="3047" width="11.5703125" style="85" customWidth="1"/>
    <col min="3048" max="3048" width="13.42578125" style="85" customWidth="1"/>
    <col min="3049" max="3049" width="15.140625" style="85" customWidth="1"/>
    <col min="3050" max="3050" width="9.140625" style="85"/>
    <col min="3051" max="3051" width="17.28515625" style="85" customWidth="1"/>
    <col min="3052" max="3052" width="10.42578125" style="85" bestFit="1" customWidth="1"/>
    <col min="3053" max="3293" width="9.140625" style="85"/>
    <col min="3294" max="3294" width="12.140625" style="85" customWidth="1"/>
    <col min="3295" max="3295" width="13.5703125" style="85" customWidth="1"/>
    <col min="3296" max="3296" width="10.7109375" style="85" customWidth="1"/>
    <col min="3297" max="3298" width="12.140625" style="85" customWidth="1"/>
    <col min="3299" max="3299" width="10" style="85" customWidth="1"/>
    <col min="3300" max="3300" width="10.85546875" style="85" customWidth="1"/>
    <col min="3301" max="3301" width="9.5703125" style="85" customWidth="1"/>
    <col min="3302" max="3302" width="10.140625" style="85" customWidth="1"/>
    <col min="3303" max="3303" width="11.5703125" style="85" customWidth="1"/>
    <col min="3304" max="3304" width="13.42578125" style="85" customWidth="1"/>
    <col min="3305" max="3305" width="15.140625" style="85" customWidth="1"/>
    <col min="3306" max="3306" width="9.140625" style="85"/>
    <col min="3307" max="3307" width="17.28515625" style="85" customWidth="1"/>
    <col min="3308" max="3308" width="10.42578125" style="85" bestFit="1" customWidth="1"/>
    <col min="3309" max="3549" width="9.140625" style="85"/>
    <col min="3550" max="3550" width="12.140625" style="85" customWidth="1"/>
    <col min="3551" max="3551" width="13.5703125" style="85" customWidth="1"/>
    <col min="3552" max="3552" width="10.7109375" style="85" customWidth="1"/>
    <col min="3553" max="3554" width="12.140625" style="85" customWidth="1"/>
    <col min="3555" max="3555" width="10" style="85" customWidth="1"/>
    <col min="3556" max="3556" width="10.85546875" style="85" customWidth="1"/>
    <col min="3557" max="3557" width="9.5703125" style="85" customWidth="1"/>
    <col min="3558" max="3558" width="10.140625" style="85" customWidth="1"/>
    <col min="3559" max="3559" width="11.5703125" style="85" customWidth="1"/>
    <col min="3560" max="3560" width="13.42578125" style="85" customWidth="1"/>
    <col min="3561" max="3561" width="15.140625" style="85" customWidth="1"/>
    <col min="3562" max="3562" width="9.140625" style="85"/>
    <col min="3563" max="3563" width="17.28515625" style="85" customWidth="1"/>
    <col min="3564" max="3564" width="10.42578125" style="85" bestFit="1" customWidth="1"/>
    <col min="3565" max="3805" width="9.140625" style="85"/>
    <col min="3806" max="3806" width="12.140625" style="85" customWidth="1"/>
    <col min="3807" max="3807" width="13.5703125" style="85" customWidth="1"/>
    <col min="3808" max="3808" width="10.7109375" style="85" customWidth="1"/>
    <col min="3809" max="3810" width="12.140625" style="85" customWidth="1"/>
    <col min="3811" max="3811" width="10" style="85" customWidth="1"/>
    <col min="3812" max="3812" width="10.85546875" style="85" customWidth="1"/>
    <col min="3813" max="3813" width="9.5703125" style="85" customWidth="1"/>
    <col min="3814" max="3814" width="10.140625" style="85" customWidth="1"/>
    <col min="3815" max="3815" width="11.5703125" style="85" customWidth="1"/>
    <col min="3816" max="3816" width="13.42578125" style="85" customWidth="1"/>
    <col min="3817" max="3817" width="15.140625" style="85" customWidth="1"/>
    <col min="3818" max="3818" width="9.140625" style="85"/>
    <col min="3819" max="3819" width="17.28515625" style="85" customWidth="1"/>
    <col min="3820" max="3820" width="10.42578125" style="85" bestFit="1" customWidth="1"/>
    <col min="3821" max="4061" width="9.140625" style="85"/>
    <col min="4062" max="4062" width="12.140625" style="85" customWidth="1"/>
    <col min="4063" max="4063" width="13.5703125" style="85" customWidth="1"/>
    <col min="4064" max="4064" width="10.7109375" style="85" customWidth="1"/>
    <col min="4065" max="4066" width="12.140625" style="85" customWidth="1"/>
    <col min="4067" max="4067" width="10" style="85" customWidth="1"/>
    <col min="4068" max="4068" width="10.85546875" style="85" customWidth="1"/>
    <col min="4069" max="4069" width="9.5703125" style="85" customWidth="1"/>
    <col min="4070" max="4070" width="10.140625" style="85" customWidth="1"/>
    <col min="4071" max="4071" width="11.5703125" style="85" customWidth="1"/>
    <col min="4072" max="4072" width="13.42578125" style="85" customWidth="1"/>
    <col min="4073" max="4073" width="15.140625" style="85" customWidth="1"/>
    <col min="4074" max="4074" width="9.140625" style="85"/>
    <col min="4075" max="4075" width="17.28515625" style="85" customWidth="1"/>
    <col min="4076" max="4076" width="10.42578125" style="85" bestFit="1" customWidth="1"/>
    <col min="4077" max="4317" width="9.140625" style="85"/>
    <col min="4318" max="4318" width="12.140625" style="85" customWidth="1"/>
    <col min="4319" max="4319" width="13.5703125" style="85" customWidth="1"/>
    <col min="4320" max="4320" width="10.7109375" style="85" customWidth="1"/>
    <col min="4321" max="4322" width="12.140625" style="85" customWidth="1"/>
    <col min="4323" max="4323" width="10" style="85" customWidth="1"/>
    <col min="4324" max="4324" width="10.85546875" style="85" customWidth="1"/>
    <col min="4325" max="4325" width="9.5703125" style="85" customWidth="1"/>
    <col min="4326" max="4326" width="10.140625" style="85" customWidth="1"/>
    <col min="4327" max="4327" width="11.5703125" style="85" customWidth="1"/>
    <col min="4328" max="4328" width="13.42578125" style="85" customWidth="1"/>
    <col min="4329" max="4329" width="15.140625" style="85" customWidth="1"/>
    <col min="4330" max="4330" width="9.140625" style="85"/>
    <col min="4331" max="4331" width="17.28515625" style="85" customWidth="1"/>
    <col min="4332" max="4332" width="10.42578125" style="85" bestFit="1" customWidth="1"/>
    <col min="4333" max="4573" width="9.140625" style="85"/>
    <col min="4574" max="4574" width="12.140625" style="85" customWidth="1"/>
    <col min="4575" max="4575" width="13.5703125" style="85" customWidth="1"/>
    <col min="4576" max="4576" width="10.7109375" style="85" customWidth="1"/>
    <col min="4577" max="4578" width="12.140625" style="85" customWidth="1"/>
    <col min="4579" max="4579" width="10" style="85" customWidth="1"/>
    <col min="4580" max="4580" width="10.85546875" style="85" customWidth="1"/>
    <col min="4581" max="4581" width="9.5703125" style="85" customWidth="1"/>
    <col min="4582" max="4582" width="10.140625" style="85" customWidth="1"/>
    <col min="4583" max="4583" width="11.5703125" style="85" customWidth="1"/>
    <col min="4584" max="4584" width="13.42578125" style="85" customWidth="1"/>
    <col min="4585" max="4585" width="15.140625" style="85" customWidth="1"/>
    <col min="4586" max="4586" width="9.140625" style="85"/>
    <col min="4587" max="4587" width="17.28515625" style="85" customWidth="1"/>
    <col min="4588" max="4588" width="10.42578125" style="85" bestFit="1" customWidth="1"/>
    <col min="4589" max="4829" width="9.140625" style="85"/>
    <col min="4830" max="4830" width="12.140625" style="85" customWidth="1"/>
    <col min="4831" max="4831" width="13.5703125" style="85" customWidth="1"/>
    <col min="4832" max="4832" width="10.7109375" style="85" customWidth="1"/>
    <col min="4833" max="4834" width="12.140625" style="85" customWidth="1"/>
    <col min="4835" max="4835" width="10" style="85" customWidth="1"/>
    <col min="4836" max="4836" width="10.85546875" style="85" customWidth="1"/>
    <col min="4837" max="4837" width="9.5703125" style="85" customWidth="1"/>
    <col min="4838" max="4838" width="10.140625" style="85" customWidth="1"/>
    <col min="4839" max="4839" width="11.5703125" style="85" customWidth="1"/>
    <col min="4840" max="4840" width="13.42578125" style="85" customWidth="1"/>
    <col min="4841" max="4841" width="15.140625" style="85" customWidth="1"/>
    <col min="4842" max="4842" width="9.140625" style="85"/>
    <col min="4843" max="4843" width="17.28515625" style="85" customWidth="1"/>
    <col min="4844" max="4844" width="10.42578125" style="85" bestFit="1" customWidth="1"/>
    <col min="4845" max="5085" width="9.140625" style="85"/>
    <col min="5086" max="5086" width="12.140625" style="85" customWidth="1"/>
    <col min="5087" max="5087" width="13.5703125" style="85" customWidth="1"/>
    <col min="5088" max="5088" width="10.7109375" style="85" customWidth="1"/>
    <col min="5089" max="5090" width="12.140625" style="85" customWidth="1"/>
    <col min="5091" max="5091" width="10" style="85" customWidth="1"/>
    <col min="5092" max="5092" width="10.85546875" style="85" customWidth="1"/>
    <col min="5093" max="5093" width="9.5703125" style="85" customWidth="1"/>
    <col min="5094" max="5094" width="10.140625" style="85" customWidth="1"/>
    <col min="5095" max="5095" width="11.5703125" style="85" customWidth="1"/>
    <col min="5096" max="5096" width="13.42578125" style="85" customWidth="1"/>
    <col min="5097" max="5097" width="15.140625" style="85" customWidth="1"/>
    <col min="5098" max="5098" width="9.140625" style="85"/>
    <col min="5099" max="5099" width="17.28515625" style="85" customWidth="1"/>
    <col min="5100" max="5100" width="10.42578125" style="85" bestFit="1" customWidth="1"/>
    <col min="5101" max="5341" width="9.140625" style="85"/>
    <col min="5342" max="5342" width="12.140625" style="85" customWidth="1"/>
    <col min="5343" max="5343" width="13.5703125" style="85" customWidth="1"/>
    <col min="5344" max="5344" width="10.7109375" style="85" customWidth="1"/>
    <col min="5345" max="5346" width="12.140625" style="85" customWidth="1"/>
    <col min="5347" max="5347" width="10" style="85" customWidth="1"/>
    <col min="5348" max="5348" width="10.85546875" style="85" customWidth="1"/>
    <col min="5349" max="5349" width="9.5703125" style="85" customWidth="1"/>
    <col min="5350" max="5350" width="10.140625" style="85" customWidth="1"/>
    <col min="5351" max="5351" width="11.5703125" style="85" customWidth="1"/>
    <col min="5352" max="5352" width="13.42578125" style="85" customWidth="1"/>
    <col min="5353" max="5353" width="15.140625" style="85" customWidth="1"/>
    <col min="5354" max="5354" width="9.140625" style="85"/>
    <col min="5355" max="5355" width="17.28515625" style="85" customWidth="1"/>
    <col min="5356" max="5356" width="10.42578125" style="85" bestFit="1" customWidth="1"/>
    <col min="5357" max="5597" width="9.140625" style="85"/>
    <col min="5598" max="5598" width="12.140625" style="85" customWidth="1"/>
    <col min="5599" max="5599" width="13.5703125" style="85" customWidth="1"/>
    <col min="5600" max="5600" width="10.7109375" style="85" customWidth="1"/>
    <col min="5601" max="5602" width="12.140625" style="85" customWidth="1"/>
    <col min="5603" max="5603" width="10" style="85" customWidth="1"/>
    <col min="5604" max="5604" width="10.85546875" style="85" customWidth="1"/>
    <col min="5605" max="5605" width="9.5703125" style="85" customWidth="1"/>
    <col min="5606" max="5606" width="10.140625" style="85" customWidth="1"/>
    <col min="5607" max="5607" width="11.5703125" style="85" customWidth="1"/>
    <col min="5608" max="5608" width="13.42578125" style="85" customWidth="1"/>
    <col min="5609" max="5609" width="15.140625" style="85" customWidth="1"/>
    <col min="5610" max="5610" width="9.140625" style="85"/>
    <col min="5611" max="5611" width="17.28515625" style="85" customWidth="1"/>
    <col min="5612" max="5612" width="10.42578125" style="85" bestFit="1" customWidth="1"/>
    <col min="5613" max="5853" width="9.140625" style="85"/>
    <col min="5854" max="5854" width="12.140625" style="85" customWidth="1"/>
    <col min="5855" max="5855" width="13.5703125" style="85" customWidth="1"/>
    <col min="5856" max="5856" width="10.7109375" style="85" customWidth="1"/>
    <col min="5857" max="5858" width="12.140625" style="85" customWidth="1"/>
    <col min="5859" max="5859" width="10" style="85" customWidth="1"/>
    <col min="5860" max="5860" width="10.85546875" style="85" customWidth="1"/>
    <col min="5861" max="5861" width="9.5703125" style="85" customWidth="1"/>
    <col min="5862" max="5862" width="10.140625" style="85" customWidth="1"/>
    <col min="5863" max="5863" width="11.5703125" style="85" customWidth="1"/>
    <col min="5864" max="5864" width="13.42578125" style="85" customWidth="1"/>
    <col min="5865" max="5865" width="15.140625" style="85" customWidth="1"/>
    <col min="5866" max="5866" width="9.140625" style="85"/>
    <col min="5867" max="5867" width="17.28515625" style="85" customWidth="1"/>
    <col min="5868" max="5868" width="10.42578125" style="85" bestFit="1" customWidth="1"/>
    <col min="5869" max="6109" width="9.140625" style="85"/>
    <col min="6110" max="6110" width="12.140625" style="85" customWidth="1"/>
    <col min="6111" max="6111" width="13.5703125" style="85" customWidth="1"/>
    <col min="6112" max="6112" width="10.7109375" style="85" customWidth="1"/>
    <col min="6113" max="6114" width="12.140625" style="85" customWidth="1"/>
    <col min="6115" max="6115" width="10" style="85" customWidth="1"/>
    <col min="6116" max="6116" width="10.85546875" style="85" customWidth="1"/>
    <col min="6117" max="6117" width="9.5703125" style="85" customWidth="1"/>
    <col min="6118" max="6118" width="10.140625" style="85" customWidth="1"/>
    <col min="6119" max="6119" width="11.5703125" style="85" customWidth="1"/>
    <col min="6120" max="6120" width="13.42578125" style="85" customWidth="1"/>
    <col min="6121" max="6121" width="15.140625" style="85" customWidth="1"/>
    <col min="6122" max="6122" width="9.140625" style="85"/>
    <col min="6123" max="6123" width="17.28515625" style="85" customWidth="1"/>
    <col min="6124" max="6124" width="10.42578125" style="85" bestFit="1" customWidth="1"/>
    <col min="6125" max="6365" width="9.140625" style="85"/>
    <col min="6366" max="6366" width="12.140625" style="85" customWidth="1"/>
    <col min="6367" max="6367" width="13.5703125" style="85" customWidth="1"/>
    <col min="6368" max="6368" width="10.7109375" style="85" customWidth="1"/>
    <col min="6369" max="6370" width="12.140625" style="85" customWidth="1"/>
    <col min="6371" max="6371" width="10" style="85" customWidth="1"/>
    <col min="6372" max="6372" width="10.85546875" style="85" customWidth="1"/>
    <col min="6373" max="6373" width="9.5703125" style="85" customWidth="1"/>
    <col min="6374" max="6374" width="10.140625" style="85" customWidth="1"/>
    <col min="6375" max="6375" width="11.5703125" style="85" customWidth="1"/>
    <col min="6376" max="6376" width="13.42578125" style="85" customWidth="1"/>
    <col min="6377" max="6377" width="15.140625" style="85" customWidth="1"/>
    <col min="6378" max="6378" width="9.140625" style="85"/>
    <col min="6379" max="6379" width="17.28515625" style="85" customWidth="1"/>
    <col min="6380" max="6380" width="10.42578125" style="85" bestFit="1" customWidth="1"/>
    <col min="6381" max="6621" width="9.140625" style="85"/>
    <col min="6622" max="6622" width="12.140625" style="85" customWidth="1"/>
    <col min="6623" max="6623" width="13.5703125" style="85" customWidth="1"/>
    <col min="6624" max="6624" width="10.7109375" style="85" customWidth="1"/>
    <col min="6625" max="6626" width="12.140625" style="85" customWidth="1"/>
    <col min="6627" max="6627" width="10" style="85" customWidth="1"/>
    <col min="6628" max="6628" width="10.85546875" style="85" customWidth="1"/>
    <col min="6629" max="6629" width="9.5703125" style="85" customWidth="1"/>
    <col min="6630" max="6630" width="10.140625" style="85" customWidth="1"/>
    <col min="6631" max="6631" width="11.5703125" style="85" customWidth="1"/>
    <col min="6632" max="6632" width="13.42578125" style="85" customWidth="1"/>
    <col min="6633" max="6633" width="15.140625" style="85" customWidth="1"/>
    <col min="6634" max="6634" width="9.140625" style="85"/>
    <col min="6635" max="6635" width="17.28515625" style="85" customWidth="1"/>
    <col min="6636" max="6636" width="10.42578125" style="85" bestFit="1" customWidth="1"/>
    <col min="6637" max="6877" width="9.140625" style="85"/>
    <col min="6878" max="6878" width="12.140625" style="85" customWidth="1"/>
    <col min="6879" max="6879" width="13.5703125" style="85" customWidth="1"/>
    <col min="6880" max="6880" width="10.7109375" style="85" customWidth="1"/>
    <col min="6881" max="6882" width="12.140625" style="85" customWidth="1"/>
    <col min="6883" max="6883" width="10" style="85" customWidth="1"/>
    <col min="6884" max="6884" width="10.85546875" style="85" customWidth="1"/>
    <col min="6885" max="6885" width="9.5703125" style="85" customWidth="1"/>
    <col min="6886" max="6886" width="10.140625" style="85" customWidth="1"/>
    <col min="6887" max="6887" width="11.5703125" style="85" customWidth="1"/>
    <col min="6888" max="6888" width="13.42578125" style="85" customWidth="1"/>
    <col min="6889" max="6889" width="15.140625" style="85" customWidth="1"/>
    <col min="6890" max="6890" width="9.140625" style="85"/>
    <col min="6891" max="6891" width="17.28515625" style="85" customWidth="1"/>
    <col min="6892" max="6892" width="10.42578125" style="85" bestFit="1" customWidth="1"/>
    <col min="6893" max="7133" width="9.140625" style="85"/>
    <col min="7134" max="7134" width="12.140625" style="85" customWidth="1"/>
    <col min="7135" max="7135" width="13.5703125" style="85" customWidth="1"/>
    <col min="7136" max="7136" width="10.7109375" style="85" customWidth="1"/>
    <col min="7137" max="7138" width="12.140625" style="85" customWidth="1"/>
    <col min="7139" max="7139" width="10" style="85" customWidth="1"/>
    <col min="7140" max="7140" width="10.85546875" style="85" customWidth="1"/>
    <col min="7141" max="7141" width="9.5703125" style="85" customWidth="1"/>
    <col min="7142" max="7142" width="10.140625" style="85" customWidth="1"/>
    <col min="7143" max="7143" width="11.5703125" style="85" customWidth="1"/>
    <col min="7144" max="7144" width="13.42578125" style="85" customWidth="1"/>
    <col min="7145" max="7145" width="15.140625" style="85" customWidth="1"/>
    <col min="7146" max="7146" width="9.140625" style="85"/>
    <col min="7147" max="7147" width="17.28515625" style="85" customWidth="1"/>
    <col min="7148" max="7148" width="10.42578125" style="85" bestFit="1" customWidth="1"/>
    <col min="7149" max="7389" width="9.140625" style="85"/>
    <col min="7390" max="7390" width="12.140625" style="85" customWidth="1"/>
    <col min="7391" max="7391" width="13.5703125" style="85" customWidth="1"/>
    <col min="7392" max="7392" width="10.7109375" style="85" customWidth="1"/>
    <col min="7393" max="7394" width="12.140625" style="85" customWidth="1"/>
    <col min="7395" max="7395" width="10" style="85" customWidth="1"/>
    <col min="7396" max="7396" width="10.85546875" style="85" customWidth="1"/>
    <col min="7397" max="7397" width="9.5703125" style="85" customWidth="1"/>
    <col min="7398" max="7398" width="10.140625" style="85" customWidth="1"/>
    <col min="7399" max="7399" width="11.5703125" style="85" customWidth="1"/>
    <col min="7400" max="7400" width="13.42578125" style="85" customWidth="1"/>
    <col min="7401" max="7401" width="15.140625" style="85" customWidth="1"/>
    <col min="7402" max="7402" width="9.140625" style="85"/>
    <col min="7403" max="7403" width="17.28515625" style="85" customWidth="1"/>
    <col min="7404" max="7404" width="10.42578125" style="85" bestFit="1" customWidth="1"/>
    <col min="7405" max="7645" width="9.140625" style="85"/>
    <col min="7646" max="7646" width="12.140625" style="85" customWidth="1"/>
    <col min="7647" max="7647" width="13.5703125" style="85" customWidth="1"/>
    <col min="7648" max="7648" width="10.7109375" style="85" customWidth="1"/>
    <col min="7649" max="7650" width="12.140625" style="85" customWidth="1"/>
    <col min="7651" max="7651" width="10" style="85" customWidth="1"/>
    <col min="7652" max="7652" width="10.85546875" style="85" customWidth="1"/>
    <col min="7653" max="7653" width="9.5703125" style="85" customWidth="1"/>
    <col min="7654" max="7654" width="10.140625" style="85" customWidth="1"/>
    <col min="7655" max="7655" width="11.5703125" style="85" customWidth="1"/>
    <col min="7656" max="7656" width="13.42578125" style="85" customWidth="1"/>
    <col min="7657" max="7657" width="15.140625" style="85" customWidth="1"/>
    <col min="7658" max="7658" width="9.140625" style="85"/>
    <col min="7659" max="7659" width="17.28515625" style="85" customWidth="1"/>
    <col min="7660" max="7660" width="10.42578125" style="85" bestFit="1" customWidth="1"/>
    <col min="7661" max="7901" width="9.140625" style="85"/>
    <col min="7902" max="7902" width="12.140625" style="85" customWidth="1"/>
    <col min="7903" max="7903" width="13.5703125" style="85" customWidth="1"/>
    <col min="7904" max="7904" width="10.7109375" style="85" customWidth="1"/>
    <col min="7905" max="7906" width="12.140625" style="85" customWidth="1"/>
    <col min="7907" max="7907" width="10" style="85" customWidth="1"/>
    <col min="7908" max="7908" width="10.85546875" style="85" customWidth="1"/>
    <col min="7909" max="7909" width="9.5703125" style="85" customWidth="1"/>
    <col min="7910" max="7910" width="10.140625" style="85" customWidth="1"/>
    <col min="7911" max="7911" width="11.5703125" style="85" customWidth="1"/>
    <col min="7912" max="7912" width="13.42578125" style="85" customWidth="1"/>
    <col min="7913" max="7913" width="15.140625" style="85" customWidth="1"/>
    <col min="7914" max="7914" width="9.140625" style="85"/>
    <col min="7915" max="7915" width="17.28515625" style="85" customWidth="1"/>
    <col min="7916" max="7916" width="10.42578125" style="85" bestFit="1" customWidth="1"/>
    <col min="7917" max="8157" width="9.140625" style="85"/>
    <col min="8158" max="8158" width="12.140625" style="85" customWidth="1"/>
    <col min="8159" max="8159" width="13.5703125" style="85" customWidth="1"/>
    <col min="8160" max="8160" width="10.7109375" style="85" customWidth="1"/>
    <col min="8161" max="8162" width="12.140625" style="85" customWidth="1"/>
    <col min="8163" max="8163" width="10" style="85" customWidth="1"/>
    <col min="8164" max="8164" width="10.85546875" style="85" customWidth="1"/>
    <col min="8165" max="8165" width="9.5703125" style="85" customWidth="1"/>
    <col min="8166" max="8166" width="10.140625" style="85" customWidth="1"/>
    <col min="8167" max="8167" width="11.5703125" style="85" customWidth="1"/>
    <col min="8168" max="8168" width="13.42578125" style="85" customWidth="1"/>
    <col min="8169" max="8169" width="15.140625" style="85" customWidth="1"/>
    <col min="8170" max="8170" width="9.140625" style="85"/>
    <col min="8171" max="8171" width="17.28515625" style="85" customWidth="1"/>
    <col min="8172" max="8172" width="10.42578125" style="85" bestFit="1" customWidth="1"/>
    <col min="8173" max="8413" width="9.140625" style="85"/>
    <col min="8414" max="8414" width="12.140625" style="85" customWidth="1"/>
    <col min="8415" max="8415" width="13.5703125" style="85" customWidth="1"/>
    <col min="8416" max="8416" width="10.7109375" style="85" customWidth="1"/>
    <col min="8417" max="8418" width="12.140625" style="85" customWidth="1"/>
    <col min="8419" max="8419" width="10" style="85" customWidth="1"/>
    <col min="8420" max="8420" width="10.85546875" style="85" customWidth="1"/>
    <col min="8421" max="8421" width="9.5703125" style="85" customWidth="1"/>
    <col min="8422" max="8422" width="10.140625" style="85" customWidth="1"/>
    <col min="8423" max="8423" width="11.5703125" style="85" customWidth="1"/>
    <col min="8424" max="8424" width="13.42578125" style="85" customWidth="1"/>
    <col min="8425" max="8425" width="15.140625" style="85" customWidth="1"/>
    <col min="8426" max="8426" width="9.140625" style="85"/>
    <col min="8427" max="8427" width="17.28515625" style="85" customWidth="1"/>
    <col min="8428" max="8428" width="10.42578125" style="85" bestFit="1" customWidth="1"/>
    <col min="8429" max="8669" width="9.140625" style="85"/>
    <col min="8670" max="8670" width="12.140625" style="85" customWidth="1"/>
    <col min="8671" max="8671" width="13.5703125" style="85" customWidth="1"/>
    <col min="8672" max="8672" width="10.7109375" style="85" customWidth="1"/>
    <col min="8673" max="8674" width="12.140625" style="85" customWidth="1"/>
    <col min="8675" max="8675" width="10" style="85" customWidth="1"/>
    <col min="8676" max="8676" width="10.85546875" style="85" customWidth="1"/>
    <col min="8677" max="8677" width="9.5703125" style="85" customWidth="1"/>
    <col min="8678" max="8678" width="10.140625" style="85" customWidth="1"/>
    <col min="8679" max="8679" width="11.5703125" style="85" customWidth="1"/>
    <col min="8680" max="8680" width="13.42578125" style="85" customWidth="1"/>
    <col min="8681" max="8681" width="15.140625" style="85" customWidth="1"/>
    <col min="8682" max="8682" width="9.140625" style="85"/>
    <col min="8683" max="8683" width="17.28515625" style="85" customWidth="1"/>
    <col min="8684" max="8684" width="10.42578125" style="85" bestFit="1" customWidth="1"/>
    <col min="8685" max="8925" width="9.140625" style="85"/>
    <col min="8926" max="8926" width="12.140625" style="85" customWidth="1"/>
    <col min="8927" max="8927" width="13.5703125" style="85" customWidth="1"/>
    <col min="8928" max="8928" width="10.7109375" style="85" customWidth="1"/>
    <col min="8929" max="8930" width="12.140625" style="85" customWidth="1"/>
    <col min="8931" max="8931" width="10" style="85" customWidth="1"/>
    <col min="8932" max="8932" width="10.85546875" style="85" customWidth="1"/>
    <col min="8933" max="8933" width="9.5703125" style="85" customWidth="1"/>
    <col min="8934" max="8934" width="10.140625" style="85" customWidth="1"/>
    <col min="8935" max="8935" width="11.5703125" style="85" customWidth="1"/>
    <col min="8936" max="8936" width="13.42578125" style="85" customWidth="1"/>
    <col min="8937" max="8937" width="15.140625" style="85" customWidth="1"/>
    <col min="8938" max="8938" width="9.140625" style="85"/>
    <col min="8939" max="8939" width="17.28515625" style="85" customWidth="1"/>
    <col min="8940" max="8940" width="10.42578125" style="85" bestFit="1" customWidth="1"/>
    <col min="8941" max="9181" width="9.140625" style="85"/>
    <col min="9182" max="9182" width="12.140625" style="85" customWidth="1"/>
    <col min="9183" max="9183" width="13.5703125" style="85" customWidth="1"/>
    <col min="9184" max="9184" width="10.7109375" style="85" customWidth="1"/>
    <col min="9185" max="9186" width="12.140625" style="85" customWidth="1"/>
    <col min="9187" max="9187" width="10" style="85" customWidth="1"/>
    <col min="9188" max="9188" width="10.85546875" style="85" customWidth="1"/>
    <col min="9189" max="9189" width="9.5703125" style="85" customWidth="1"/>
    <col min="9190" max="9190" width="10.140625" style="85" customWidth="1"/>
    <col min="9191" max="9191" width="11.5703125" style="85" customWidth="1"/>
    <col min="9192" max="9192" width="13.42578125" style="85" customWidth="1"/>
    <col min="9193" max="9193" width="15.140625" style="85" customWidth="1"/>
    <col min="9194" max="9194" width="9.140625" style="85"/>
    <col min="9195" max="9195" width="17.28515625" style="85" customWidth="1"/>
    <col min="9196" max="9196" width="10.42578125" style="85" bestFit="1" customWidth="1"/>
    <col min="9197" max="9437" width="9.140625" style="85"/>
    <col min="9438" max="9438" width="12.140625" style="85" customWidth="1"/>
    <col min="9439" max="9439" width="13.5703125" style="85" customWidth="1"/>
    <col min="9440" max="9440" width="10.7109375" style="85" customWidth="1"/>
    <col min="9441" max="9442" width="12.140625" style="85" customWidth="1"/>
    <col min="9443" max="9443" width="10" style="85" customWidth="1"/>
    <col min="9444" max="9444" width="10.85546875" style="85" customWidth="1"/>
    <col min="9445" max="9445" width="9.5703125" style="85" customWidth="1"/>
    <col min="9446" max="9446" width="10.140625" style="85" customWidth="1"/>
    <col min="9447" max="9447" width="11.5703125" style="85" customWidth="1"/>
    <col min="9448" max="9448" width="13.42578125" style="85" customWidth="1"/>
    <col min="9449" max="9449" width="15.140625" style="85" customWidth="1"/>
    <col min="9450" max="9450" width="9.140625" style="85"/>
    <col min="9451" max="9451" width="17.28515625" style="85" customWidth="1"/>
    <col min="9452" max="9452" width="10.42578125" style="85" bestFit="1" customWidth="1"/>
    <col min="9453" max="9693" width="9.140625" style="85"/>
    <col min="9694" max="9694" width="12.140625" style="85" customWidth="1"/>
    <col min="9695" max="9695" width="13.5703125" style="85" customWidth="1"/>
    <col min="9696" max="9696" width="10.7109375" style="85" customWidth="1"/>
    <col min="9697" max="9698" width="12.140625" style="85" customWidth="1"/>
    <col min="9699" max="9699" width="10" style="85" customWidth="1"/>
    <col min="9700" max="9700" width="10.85546875" style="85" customWidth="1"/>
    <col min="9701" max="9701" width="9.5703125" style="85" customWidth="1"/>
    <col min="9702" max="9702" width="10.140625" style="85" customWidth="1"/>
    <col min="9703" max="9703" width="11.5703125" style="85" customWidth="1"/>
    <col min="9704" max="9704" width="13.42578125" style="85" customWidth="1"/>
    <col min="9705" max="9705" width="15.140625" style="85" customWidth="1"/>
    <col min="9706" max="9706" width="9.140625" style="85"/>
    <col min="9707" max="9707" width="17.28515625" style="85" customWidth="1"/>
    <col min="9708" max="9708" width="10.42578125" style="85" bestFit="1" customWidth="1"/>
    <col min="9709" max="9949" width="9.140625" style="85"/>
    <col min="9950" max="9950" width="12.140625" style="85" customWidth="1"/>
    <col min="9951" max="9951" width="13.5703125" style="85" customWidth="1"/>
    <col min="9952" max="9952" width="10.7109375" style="85" customWidth="1"/>
    <col min="9953" max="9954" width="12.140625" style="85" customWidth="1"/>
    <col min="9955" max="9955" width="10" style="85" customWidth="1"/>
    <col min="9956" max="9956" width="10.85546875" style="85" customWidth="1"/>
    <col min="9957" max="9957" width="9.5703125" style="85" customWidth="1"/>
    <col min="9958" max="9958" width="10.140625" style="85" customWidth="1"/>
    <col min="9959" max="9959" width="11.5703125" style="85" customWidth="1"/>
    <col min="9960" max="9960" width="13.42578125" style="85" customWidth="1"/>
    <col min="9961" max="9961" width="15.140625" style="85" customWidth="1"/>
    <col min="9962" max="9962" width="9.140625" style="85"/>
    <col min="9963" max="9963" width="17.28515625" style="85" customWidth="1"/>
    <col min="9964" max="9964" width="10.42578125" style="85" bestFit="1" customWidth="1"/>
    <col min="9965" max="10205" width="9.140625" style="85"/>
    <col min="10206" max="10206" width="12.140625" style="85" customWidth="1"/>
    <col min="10207" max="10207" width="13.5703125" style="85" customWidth="1"/>
    <col min="10208" max="10208" width="10.7109375" style="85" customWidth="1"/>
    <col min="10209" max="10210" width="12.140625" style="85" customWidth="1"/>
    <col min="10211" max="10211" width="10" style="85" customWidth="1"/>
    <col min="10212" max="10212" width="10.85546875" style="85" customWidth="1"/>
    <col min="10213" max="10213" width="9.5703125" style="85" customWidth="1"/>
    <col min="10214" max="10214" width="10.140625" style="85" customWidth="1"/>
    <col min="10215" max="10215" width="11.5703125" style="85" customWidth="1"/>
    <col min="10216" max="10216" width="13.42578125" style="85" customWidth="1"/>
    <col min="10217" max="10217" width="15.140625" style="85" customWidth="1"/>
    <col min="10218" max="10218" width="9.140625" style="85"/>
    <col min="10219" max="10219" width="17.28515625" style="85" customWidth="1"/>
    <col min="10220" max="10220" width="10.42578125" style="85" bestFit="1" customWidth="1"/>
    <col min="10221" max="10461" width="9.140625" style="85"/>
    <col min="10462" max="10462" width="12.140625" style="85" customWidth="1"/>
    <col min="10463" max="10463" width="13.5703125" style="85" customWidth="1"/>
    <col min="10464" max="10464" width="10.7109375" style="85" customWidth="1"/>
    <col min="10465" max="10466" width="12.140625" style="85" customWidth="1"/>
    <col min="10467" max="10467" width="10" style="85" customWidth="1"/>
    <col min="10468" max="10468" width="10.85546875" style="85" customWidth="1"/>
    <col min="10469" max="10469" width="9.5703125" style="85" customWidth="1"/>
    <col min="10470" max="10470" width="10.140625" style="85" customWidth="1"/>
    <col min="10471" max="10471" width="11.5703125" style="85" customWidth="1"/>
    <col min="10472" max="10472" width="13.42578125" style="85" customWidth="1"/>
    <col min="10473" max="10473" width="15.140625" style="85" customWidth="1"/>
    <col min="10474" max="10474" width="9.140625" style="85"/>
    <col min="10475" max="10475" width="17.28515625" style="85" customWidth="1"/>
    <col min="10476" max="10476" width="10.42578125" style="85" bestFit="1" customWidth="1"/>
    <col min="10477" max="10717" width="9.140625" style="85"/>
    <col min="10718" max="10718" width="12.140625" style="85" customWidth="1"/>
    <col min="10719" max="10719" width="13.5703125" style="85" customWidth="1"/>
    <col min="10720" max="10720" width="10.7109375" style="85" customWidth="1"/>
    <col min="10721" max="10722" width="12.140625" style="85" customWidth="1"/>
    <col min="10723" max="10723" width="10" style="85" customWidth="1"/>
    <col min="10724" max="10724" width="10.85546875" style="85" customWidth="1"/>
    <col min="10725" max="10725" width="9.5703125" style="85" customWidth="1"/>
    <col min="10726" max="10726" width="10.140625" style="85" customWidth="1"/>
    <col min="10727" max="10727" width="11.5703125" style="85" customWidth="1"/>
    <col min="10728" max="10728" width="13.42578125" style="85" customWidth="1"/>
    <col min="10729" max="10729" width="15.140625" style="85" customWidth="1"/>
    <col min="10730" max="10730" width="9.140625" style="85"/>
    <col min="10731" max="10731" width="17.28515625" style="85" customWidth="1"/>
    <col min="10732" max="10732" width="10.42578125" style="85" bestFit="1" customWidth="1"/>
    <col min="10733" max="10973" width="9.140625" style="85"/>
    <col min="10974" max="10974" width="12.140625" style="85" customWidth="1"/>
    <col min="10975" max="10975" width="13.5703125" style="85" customWidth="1"/>
    <col min="10976" max="10976" width="10.7109375" style="85" customWidth="1"/>
    <col min="10977" max="10978" width="12.140625" style="85" customWidth="1"/>
    <col min="10979" max="10979" width="10" style="85" customWidth="1"/>
    <col min="10980" max="10980" width="10.85546875" style="85" customWidth="1"/>
    <col min="10981" max="10981" width="9.5703125" style="85" customWidth="1"/>
    <col min="10982" max="10982" width="10.140625" style="85" customWidth="1"/>
    <col min="10983" max="10983" width="11.5703125" style="85" customWidth="1"/>
    <col min="10984" max="10984" width="13.42578125" style="85" customWidth="1"/>
    <col min="10985" max="10985" width="15.140625" style="85" customWidth="1"/>
    <col min="10986" max="10986" width="9.140625" style="85"/>
    <col min="10987" max="10987" width="17.28515625" style="85" customWidth="1"/>
    <col min="10988" max="10988" width="10.42578125" style="85" bestFit="1" customWidth="1"/>
    <col min="10989" max="11229" width="9.140625" style="85"/>
    <col min="11230" max="11230" width="12.140625" style="85" customWidth="1"/>
    <col min="11231" max="11231" width="13.5703125" style="85" customWidth="1"/>
    <col min="11232" max="11232" width="10.7109375" style="85" customWidth="1"/>
    <col min="11233" max="11234" width="12.140625" style="85" customWidth="1"/>
    <col min="11235" max="11235" width="10" style="85" customWidth="1"/>
    <col min="11236" max="11236" width="10.85546875" style="85" customWidth="1"/>
    <col min="11237" max="11237" width="9.5703125" style="85" customWidth="1"/>
    <col min="11238" max="11238" width="10.140625" style="85" customWidth="1"/>
    <col min="11239" max="11239" width="11.5703125" style="85" customWidth="1"/>
    <col min="11240" max="11240" width="13.42578125" style="85" customWidth="1"/>
    <col min="11241" max="11241" width="15.140625" style="85" customWidth="1"/>
    <col min="11242" max="11242" width="9.140625" style="85"/>
    <col min="11243" max="11243" width="17.28515625" style="85" customWidth="1"/>
    <col min="11244" max="11244" width="10.42578125" style="85" bestFit="1" customWidth="1"/>
    <col min="11245" max="11485" width="9.140625" style="85"/>
    <col min="11486" max="11486" width="12.140625" style="85" customWidth="1"/>
    <col min="11487" max="11487" width="13.5703125" style="85" customWidth="1"/>
    <col min="11488" max="11488" width="10.7109375" style="85" customWidth="1"/>
    <col min="11489" max="11490" width="12.140625" style="85" customWidth="1"/>
    <col min="11491" max="11491" width="10" style="85" customWidth="1"/>
    <col min="11492" max="11492" width="10.85546875" style="85" customWidth="1"/>
    <col min="11493" max="11493" width="9.5703125" style="85" customWidth="1"/>
    <col min="11494" max="11494" width="10.140625" style="85" customWidth="1"/>
    <col min="11495" max="11495" width="11.5703125" style="85" customWidth="1"/>
    <col min="11496" max="11496" width="13.42578125" style="85" customWidth="1"/>
    <col min="11497" max="11497" width="15.140625" style="85" customWidth="1"/>
    <col min="11498" max="11498" width="9.140625" style="85"/>
    <col min="11499" max="11499" width="17.28515625" style="85" customWidth="1"/>
    <col min="11500" max="11500" width="10.42578125" style="85" bestFit="1" customWidth="1"/>
    <col min="11501" max="11741" width="9.140625" style="85"/>
    <col min="11742" max="11742" width="12.140625" style="85" customWidth="1"/>
    <col min="11743" max="11743" width="13.5703125" style="85" customWidth="1"/>
    <col min="11744" max="11744" width="10.7109375" style="85" customWidth="1"/>
    <col min="11745" max="11746" width="12.140625" style="85" customWidth="1"/>
    <col min="11747" max="11747" width="10" style="85" customWidth="1"/>
    <col min="11748" max="11748" width="10.85546875" style="85" customWidth="1"/>
    <col min="11749" max="11749" width="9.5703125" style="85" customWidth="1"/>
    <col min="11750" max="11750" width="10.140625" style="85" customWidth="1"/>
    <col min="11751" max="11751" width="11.5703125" style="85" customWidth="1"/>
    <col min="11752" max="11752" width="13.42578125" style="85" customWidth="1"/>
    <col min="11753" max="11753" width="15.140625" style="85" customWidth="1"/>
    <col min="11754" max="11754" width="9.140625" style="85"/>
    <col min="11755" max="11755" width="17.28515625" style="85" customWidth="1"/>
    <col min="11756" max="11756" width="10.42578125" style="85" bestFit="1" customWidth="1"/>
    <col min="11757" max="11997" width="9.140625" style="85"/>
    <col min="11998" max="11998" width="12.140625" style="85" customWidth="1"/>
    <col min="11999" max="11999" width="13.5703125" style="85" customWidth="1"/>
    <col min="12000" max="12000" width="10.7109375" style="85" customWidth="1"/>
    <col min="12001" max="12002" width="12.140625" style="85" customWidth="1"/>
    <col min="12003" max="12003" width="10" style="85" customWidth="1"/>
    <col min="12004" max="12004" width="10.85546875" style="85" customWidth="1"/>
    <col min="12005" max="12005" width="9.5703125" style="85" customWidth="1"/>
    <col min="12006" max="12006" width="10.140625" style="85" customWidth="1"/>
    <col min="12007" max="12007" width="11.5703125" style="85" customWidth="1"/>
    <col min="12008" max="12008" width="13.42578125" style="85" customWidth="1"/>
    <col min="12009" max="12009" width="15.140625" style="85" customWidth="1"/>
    <col min="12010" max="12010" width="9.140625" style="85"/>
    <col min="12011" max="12011" width="17.28515625" style="85" customWidth="1"/>
    <col min="12012" max="12012" width="10.42578125" style="85" bestFit="1" customWidth="1"/>
    <col min="12013" max="12253" width="9.140625" style="85"/>
    <col min="12254" max="12254" width="12.140625" style="85" customWidth="1"/>
    <col min="12255" max="12255" width="13.5703125" style="85" customWidth="1"/>
    <col min="12256" max="12256" width="10.7109375" style="85" customWidth="1"/>
    <col min="12257" max="12258" width="12.140625" style="85" customWidth="1"/>
    <col min="12259" max="12259" width="10" style="85" customWidth="1"/>
    <col min="12260" max="12260" width="10.85546875" style="85" customWidth="1"/>
    <col min="12261" max="12261" width="9.5703125" style="85" customWidth="1"/>
    <col min="12262" max="12262" width="10.140625" style="85" customWidth="1"/>
    <col min="12263" max="12263" width="11.5703125" style="85" customWidth="1"/>
    <col min="12264" max="12264" width="13.42578125" style="85" customWidth="1"/>
    <col min="12265" max="12265" width="15.140625" style="85" customWidth="1"/>
    <col min="12266" max="12266" width="9.140625" style="85"/>
    <col min="12267" max="12267" width="17.28515625" style="85" customWidth="1"/>
    <col min="12268" max="12268" width="10.42578125" style="85" bestFit="1" customWidth="1"/>
    <col min="12269" max="12509" width="9.140625" style="85"/>
    <col min="12510" max="12510" width="12.140625" style="85" customWidth="1"/>
    <col min="12511" max="12511" width="13.5703125" style="85" customWidth="1"/>
    <col min="12512" max="12512" width="10.7109375" style="85" customWidth="1"/>
    <col min="12513" max="12514" width="12.140625" style="85" customWidth="1"/>
    <col min="12515" max="12515" width="10" style="85" customWidth="1"/>
    <col min="12516" max="12516" width="10.85546875" style="85" customWidth="1"/>
    <col min="12517" max="12517" width="9.5703125" style="85" customWidth="1"/>
    <col min="12518" max="12518" width="10.140625" style="85" customWidth="1"/>
    <col min="12519" max="12519" width="11.5703125" style="85" customWidth="1"/>
    <col min="12520" max="12520" width="13.42578125" style="85" customWidth="1"/>
    <col min="12521" max="12521" width="15.140625" style="85" customWidth="1"/>
    <col min="12522" max="12522" width="9.140625" style="85"/>
    <col min="12523" max="12523" width="17.28515625" style="85" customWidth="1"/>
    <col min="12524" max="12524" width="10.42578125" style="85" bestFit="1" customWidth="1"/>
    <col min="12525" max="12765" width="9.140625" style="85"/>
    <col min="12766" max="12766" width="12.140625" style="85" customWidth="1"/>
    <col min="12767" max="12767" width="13.5703125" style="85" customWidth="1"/>
    <col min="12768" max="12768" width="10.7109375" style="85" customWidth="1"/>
    <col min="12769" max="12770" width="12.140625" style="85" customWidth="1"/>
    <col min="12771" max="12771" width="10" style="85" customWidth="1"/>
    <col min="12772" max="12772" width="10.85546875" style="85" customWidth="1"/>
    <col min="12773" max="12773" width="9.5703125" style="85" customWidth="1"/>
    <col min="12774" max="12774" width="10.140625" style="85" customWidth="1"/>
    <col min="12775" max="12775" width="11.5703125" style="85" customWidth="1"/>
    <col min="12776" max="12776" width="13.42578125" style="85" customWidth="1"/>
    <col min="12777" max="12777" width="15.140625" style="85" customWidth="1"/>
    <col min="12778" max="12778" width="9.140625" style="85"/>
    <col min="12779" max="12779" width="17.28515625" style="85" customWidth="1"/>
    <col min="12780" max="12780" width="10.42578125" style="85" bestFit="1" customWidth="1"/>
    <col min="12781" max="13021" width="9.140625" style="85"/>
    <col min="13022" max="13022" width="12.140625" style="85" customWidth="1"/>
    <col min="13023" max="13023" width="13.5703125" style="85" customWidth="1"/>
    <col min="13024" max="13024" width="10.7109375" style="85" customWidth="1"/>
    <col min="13025" max="13026" width="12.140625" style="85" customWidth="1"/>
    <col min="13027" max="13027" width="10" style="85" customWidth="1"/>
    <col min="13028" max="13028" width="10.85546875" style="85" customWidth="1"/>
    <col min="13029" max="13029" width="9.5703125" style="85" customWidth="1"/>
    <col min="13030" max="13030" width="10.140625" style="85" customWidth="1"/>
    <col min="13031" max="13031" width="11.5703125" style="85" customWidth="1"/>
    <col min="13032" max="13032" width="13.42578125" style="85" customWidth="1"/>
    <col min="13033" max="13033" width="15.140625" style="85" customWidth="1"/>
    <col min="13034" max="13034" width="9.140625" style="85"/>
    <col min="13035" max="13035" width="17.28515625" style="85" customWidth="1"/>
    <col min="13036" max="13036" width="10.42578125" style="85" bestFit="1" customWidth="1"/>
    <col min="13037" max="13277" width="9.140625" style="85"/>
    <col min="13278" max="13278" width="12.140625" style="85" customWidth="1"/>
    <col min="13279" max="13279" width="13.5703125" style="85" customWidth="1"/>
    <col min="13280" max="13280" width="10.7109375" style="85" customWidth="1"/>
    <col min="13281" max="13282" width="12.140625" style="85" customWidth="1"/>
    <col min="13283" max="13283" width="10" style="85" customWidth="1"/>
    <col min="13284" max="13284" width="10.85546875" style="85" customWidth="1"/>
    <col min="13285" max="13285" width="9.5703125" style="85" customWidth="1"/>
    <col min="13286" max="13286" width="10.140625" style="85" customWidth="1"/>
    <col min="13287" max="13287" width="11.5703125" style="85" customWidth="1"/>
    <col min="13288" max="13288" width="13.42578125" style="85" customWidth="1"/>
    <col min="13289" max="13289" width="15.140625" style="85" customWidth="1"/>
    <col min="13290" max="13290" width="9.140625" style="85"/>
    <col min="13291" max="13291" width="17.28515625" style="85" customWidth="1"/>
    <col min="13292" max="13292" width="10.42578125" style="85" bestFit="1" customWidth="1"/>
    <col min="13293" max="13533" width="9.140625" style="85"/>
    <col min="13534" max="13534" width="12.140625" style="85" customWidth="1"/>
    <col min="13535" max="13535" width="13.5703125" style="85" customWidth="1"/>
    <col min="13536" max="13536" width="10.7109375" style="85" customWidth="1"/>
    <col min="13537" max="13538" width="12.140625" style="85" customWidth="1"/>
    <col min="13539" max="13539" width="10" style="85" customWidth="1"/>
    <col min="13540" max="13540" width="10.85546875" style="85" customWidth="1"/>
    <col min="13541" max="13541" width="9.5703125" style="85" customWidth="1"/>
    <col min="13542" max="13542" width="10.140625" style="85" customWidth="1"/>
    <col min="13543" max="13543" width="11.5703125" style="85" customWidth="1"/>
    <col min="13544" max="13544" width="13.42578125" style="85" customWidth="1"/>
    <col min="13545" max="13545" width="15.140625" style="85" customWidth="1"/>
    <col min="13546" max="13546" width="9.140625" style="85"/>
    <col min="13547" max="13547" width="17.28515625" style="85" customWidth="1"/>
    <col min="13548" max="13548" width="10.42578125" style="85" bestFit="1" customWidth="1"/>
    <col min="13549" max="13789" width="9.140625" style="85"/>
    <col min="13790" max="13790" width="12.140625" style="85" customWidth="1"/>
    <col min="13791" max="13791" width="13.5703125" style="85" customWidth="1"/>
    <col min="13792" max="13792" width="10.7109375" style="85" customWidth="1"/>
    <col min="13793" max="13794" width="12.140625" style="85" customWidth="1"/>
    <col min="13795" max="13795" width="10" style="85" customWidth="1"/>
    <col min="13796" max="13796" width="10.85546875" style="85" customWidth="1"/>
    <col min="13797" max="13797" width="9.5703125" style="85" customWidth="1"/>
    <col min="13798" max="13798" width="10.140625" style="85" customWidth="1"/>
    <col min="13799" max="13799" width="11.5703125" style="85" customWidth="1"/>
    <col min="13800" max="13800" width="13.42578125" style="85" customWidth="1"/>
    <col min="13801" max="13801" width="15.140625" style="85" customWidth="1"/>
    <col min="13802" max="13802" width="9.140625" style="85"/>
    <col min="13803" max="13803" width="17.28515625" style="85" customWidth="1"/>
    <col min="13804" max="13804" width="10.42578125" style="85" bestFit="1" customWidth="1"/>
    <col min="13805" max="14045" width="9.140625" style="85"/>
    <col min="14046" max="14046" width="12.140625" style="85" customWidth="1"/>
    <col min="14047" max="14047" width="13.5703125" style="85" customWidth="1"/>
    <col min="14048" max="14048" width="10.7109375" style="85" customWidth="1"/>
    <col min="14049" max="14050" width="12.140625" style="85" customWidth="1"/>
    <col min="14051" max="14051" width="10" style="85" customWidth="1"/>
    <col min="14052" max="14052" width="10.85546875" style="85" customWidth="1"/>
    <col min="14053" max="14053" width="9.5703125" style="85" customWidth="1"/>
    <col min="14054" max="14054" width="10.140625" style="85" customWidth="1"/>
    <col min="14055" max="14055" width="11.5703125" style="85" customWidth="1"/>
    <col min="14056" max="14056" width="13.42578125" style="85" customWidth="1"/>
    <col min="14057" max="14057" width="15.140625" style="85" customWidth="1"/>
    <col min="14058" max="14058" width="9.140625" style="85"/>
    <col min="14059" max="14059" width="17.28515625" style="85" customWidth="1"/>
    <col min="14060" max="14060" width="10.42578125" style="85" bestFit="1" customWidth="1"/>
    <col min="14061" max="14301" width="9.140625" style="85"/>
    <col min="14302" max="14302" width="12.140625" style="85" customWidth="1"/>
    <col min="14303" max="14303" width="13.5703125" style="85" customWidth="1"/>
    <col min="14304" max="14304" width="10.7109375" style="85" customWidth="1"/>
    <col min="14305" max="14306" width="12.140625" style="85" customWidth="1"/>
    <col min="14307" max="14307" width="10" style="85" customWidth="1"/>
    <col min="14308" max="14308" width="10.85546875" style="85" customWidth="1"/>
    <col min="14309" max="14309" width="9.5703125" style="85" customWidth="1"/>
    <col min="14310" max="14310" width="10.140625" style="85" customWidth="1"/>
    <col min="14311" max="14311" width="11.5703125" style="85" customWidth="1"/>
    <col min="14312" max="14312" width="13.42578125" style="85" customWidth="1"/>
    <col min="14313" max="14313" width="15.140625" style="85" customWidth="1"/>
    <col min="14314" max="14314" width="9.140625" style="85"/>
    <col min="14315" max="14315" width="17.28515625" style="85" customWidth="1"/>
    <col min="14316" max="14316" width="10.42578125" style="85" bestFit="1" customWidth="1"/>
    <col min="14317" max="14557" width="9.140625" style="85"/>
    <col min="14558" max="14558" width="12.140625" style="85" customWidth="1"/>
    <col min="14559" max="14559" width="13.5703125" style="85" customWidth="1"/>
    <col min="14560" max="14560" width="10.7109375" style="85" customWidth="1"/>
    <col min="14561" max="14562" width="12.140625" style="85" customWidth="1"/>
    <col min="14563" max="14563" width="10" style="85" customWidth="1"/>
    <col min="14564" max="14564" width="10.85546875" style="85" customWidth="1"/>
    <col min="14565" max="14565" width="9.5703125" style="85" customWidth="1"/>
    <col min="14566" max="14566" width="10.140625" style="85" customWidth="1"/>
    <col min="14567" max="14567" width="11.5703125" style="85" customWidth="1"/>
    <col min="14568" max="14568" width="13.42578125" style="85" customWidth="1"/>
    <col min="14569" max="14569" width="15.140625" style="85" customWidth="1"/>
    <col min="14570" max="14570" width="9.140625" style="85"/>
    <col min="14571" max="14571" width="17.28515625" style="85" customWidth="1"/>
    <col min="14572" max="14572" width="10.42578125" style="85" bestFit="1" customWidth="1"/>
    <col min="14573" max="14813" width="9.140625" style="85"/>
    <col min="14814" max="14814" width="12.140625" style="85" customWidth="1"/>
    <col min="14815" max="14815" width="13.5703125" style="85" customWidth="1"/>
    <col min="14816" max="14816" width="10.7109375" style="85" customWidth="1"/>
    <col min="14817" max="14818" width="12.140625" style="85" customWidth="1"/>
    <col min="14819" max="14819" width="10" style="85" customWidth="1"/>
    <col min="14820" max="14820" width="10.85546875" style="85" customWidth="1"/>
    <col min="14821" max="14821" width="9.5703125" style="85" customWidth="1"/>
    <col min="14822" max="14822" width="10.140625" style="85" customWidth="1"/>
    <col min="14823" max="14823" width="11.5703125" style="85" customWidth="1"/>
    <col min="14824" max="14824" width="13.42578125" style="85" customWidth="1"/>
    <col min="14825" max="14825" width="15.140625" style="85" customWidth="1"/>
    <col min="14826" max="14826" width="9.140625" style="85"/>
    <col min="14827" max="14827" width="17.28515625" style="85" customWidth="1"/>
    <col min="14828" max="14828" width="10.42578125" style="85" bestFit="1" customWidth="1"/>
    <col min="14829" max="15069" width="9.140625" style="85"/>
    <col min="15070" max="15070" width="12.140625" style="85" customWidth="1"/>
    <col min="15071" max="15071" width="13.5703125" style="85" customWidth="1"/>
    <col min="15072" max="15072" width="10.7109375" style="85" customWidth="1"/>
    <col min="15073" max="15074" width="12.140625" style="85" customWidth="1"/>
    <col min="15075" max="15075" width="10" style="85" customWidth="1"/>
    <col min="15076" max="15076" width="10.85546875" style="85" customWidth="1"/>
    <col min="15077" max="15077" width="9.5703125" style="85" customWidth="1"/>
    <col min="15078" max="15078" width="10.140625" style="85" customWidth="1"/>
    <col min="15079" max="15079" width="11.5703125" style="85" customWidth="1"/>
    <col min="15080" max="15080" width="13.42578125" style="85" customWidth="1"/>
    <col min="15081" max="15081" width="15.140625" style="85" customWidth="1"/>
    <col min="15082" max="15082" width="9.140625" style="85"/>
    <col min="15083" max="15083" width="17.28515625" style="85" customWidth="1"/>
    <col min="15084" max="15084" width="10.42578125" style="85" bestFit="1" customWidth="1"/>
    <col min="15085" max="15325" width="9.140625" style="85"/>
    <col min="15326" max="15326" width="12.140625" style="85" customWidth="1"/>
    <col min="15327" max="15327" width="13.5703125" style="85" customWidth="1"/>
    <col min="15328" max="15328" width="10.7109375" style="85" customWidth="1"/>
    <col min="15329" max="15330" width="12.140625" style="85" customWidth="1"/>
    <col min="15331" max="15331" width="10" style="85" customWidth="1"/>
    <col min="15332" max="15332" width="10.85546875" style="85" customWidth="1"/>
    <col min="15333" max="15333" width="9.5703125" style="85" customWidth="1"/>
    <col min="15334" max="15334" width="10.140625" style="85" customWidth="1"/>
    <col min="15335" max="15335" width="11.5703125" style="85" customWidth="1"/>
    <col min="15336" max="15336" width="13.42578125" style="85" customWidth="1"/>
    <col min="15337" max="15337" width="15.140625" style="85" customWidth="1"/>
    <col min="15338" max="15338" width="9.140625" style="85"/>
    <col min="15339" max="15339" width="17.28515625" style="85" customWidth="1"/>
    <col min="15340" max="15340" width="10.42578125" style="85" bestFit="1" customWidth="1"/>
    <col min="15341" max="15581" width="9.140625" style="85"/>
    <col min="15582" max="15582" width="12.140625" style="85" customWidth="1"/>
    <col min="15583" max="15583" width="13.5703125" style="85" customWidth="1"/>
    <col min="15584" max="15584" width="10.7109375" style="85" customWidth="1"/>
    <col min="15585" max="15586" width="12.140625" style="85" customWidth="1"/>
    <col min="15587" max="15587" width="10" style="85" customWidth="1"/>
    <col min="15588" max="15588" width="10.85546875" style="85" customWidth="1"/>
    <col min="15589" max="15589" width="9.5703125" style="85" customWidth="1"/>
    <col min="15590" max="15590" width="10.140625" style="85" customWidth="1"/>
    <col min="15591" max="15591" width="11.5703125" style="85" customWidth="1"/>
    <col min="15592" max="15592" width="13.42578125" style="85" customWidth="1"/>
    <col min="15593" max="15593" width="15.140625" style="85" customWidth="1"/>
    <col min="15594" max="15594" width="9.140625" style="85"/>
    <col min="15595" max="15595" width="17.28515625" style="85" customWidth="1"/>
    <col min="15596" max="15596" width="10.42578125" style="85" bestFit="1" customWidth="1"/>
    <col min="15597" max="15837" width="9.140625" style="85"/>
    <col min="15838" max="15838" width="12.140625" style="85" customWidth="1"/>
    <col min="15839" max="15839" width="13.5703125" style="85" customWidth="1"/>
    <col min="15840" max="15840" width="10.7109375" style="85" customWidth="1"/>
    <col min="15841" max="15842" width="12.140625" style="85" customWidth="1"/>
    <col min="15843" max="15843" width="10" style="85" customWidth="1"/>
    <col min="15844" max="15844" width="10.85546875" style="85" customWidth="1"/>
    <col min="15845" max="15845" width="9.5703125" style="85" customWidth="1"/>
    <col min="15846" max="15846" width="10.140625" style="85" customWidth="1"/>
    <col min="15847" max="15847" width="11.5703125" style="85" customWidth="1"/>
    <col min="15848" max="15848" width="13.42578125" style="85" customWidth="1"/>
    <col min="15849" max="15849" width="15.140625" style="85" customWidth="1"/>
    <col min="15850" max="15850" width="9.140625" style="85"/>
    <col min="15851" max="15851" width="17.28515625" style="85" customWidth="1"/>
    <col min="15852" max="15852" width="10.42578125" style="85" bestFit="1" customWidth="1"/>
    <col min="15853" max="16093" width="9.140625" style="85"/>
    <col min="16094" max="16094" width="12.140625" style="85" customWidth="1"/>
    <col min="16095" max="16095" width="13.5703125" style="85" customWidth="1"/>
    <col min="16096" max="16096" width="10.7109375" style="85" customWidth="1"/>
    <col min="16097" max="16098" width="12.140625" style="85" customWidth="1"/>
    <col min="16099" max="16099" width="10" style="85" customWidth="1"/>
    <col min="16100" max="16100" width="10.85546875" style="85" customWidth="1"/>
    <col min="16101" max="16101" width="9.5703125" style="85" customWidth="1"/>
    <col min="16102" max="16102" width="10.140625" style="85" customWidth="1"/>
    <col min="16103" max="16103" width="11.5703125" style="85" customWidth="1"/>
    <col min="16104" max="16104" width="13.42578125" style="85" customWidth="1"/>
    <col min="16105" max="16105" width="15.140625" style="85" customWidth="1"/>
    <col min="16106" max="16106" width="9.140625" style="85"/>
    <col min="16107" max="16107" width="17.28515625" style="85" customWidth="1"/>
    <col min="16108" max="16108" width="10.42578125" style="85" bestFit="1" customWidth="1"/>
    <col min="16109" max="16384" width="9.140625" style="85"/>
  </cols>
  <sheetData>
    <row r="2" spans="1:11" x14ac:dyDescent="0.2">
      <c r="A2" s="92" t="s">
        <v>69</v>
      </c>
      <c r="C2" s="93"/>
      <c r="D2" s="93"/>
      <c r="E2" s="94"/>
      <c r="F2" s="93"/>
      <c r="G2" s="93"/>
      <c r="H2" s="93"/>
      <c r="J2" s="94"/>
      <c r="K2" s="94"/>
    </row>
    <row r="3" spans="1:11" x14ac:dyDescent="0.2">
      <c r="A3" s="86"/>
      <c r="C3" s="93"/>
      <c r="D3" s="93"/>
      <c r="E3" s="93"/>
      <c r="F3" s="93"/>
      <c r="G3" s="93"/>
      <c r="H3" s="93"/>
      <c r="J3" s="93"/>
      <c r="K3" s="93"/>
    </row>
    <row r="4" spans="1:11" x14ac:dyDescent="0.2">
      <c r="A4" s="93"/>
      <c r="B4" s="95" t="s">
        <v>70</v>
      </c>
      <c r="C4" s="95" t="s">
        <v>71</v>
      </c>
      <c r="D4" s="95" t="s">
        <v>19</v>
      </c>
      <c r="E4" s="95" t="s">
        <v>72</v>
      </c>
      <c r="F4" s="95" t="s">
        <v>18</v>
      </c>
      <c r="G4" s="95" t="s">
        <v>11</v>
      </c>
      <c r="H4" s="95" t="s">
        <v>1</v>
      </c>
      <c r="I4" s="95" t="s">
        <v>73</v>
      </c>
      <c r="J4" s="95" t="s">
        <v>74</v>
      </c>
      <c r="K4" s="96" t="s">
        <v>75</v>
      </c>
    </row>
    <row r="5" spans="1:11" x14ac:dyDescent="0.2">
      <c r="A5" s="97">
        <v>44713</v>
      </c>
      <c r="B5" s="98">
        <v>99.38</v>
      </c>
      <c r="C5" s="98">
        <v>0</v>
      </c>
      <c r="D5" s="98">
        <v>132.5</v>
      </c>
      <c r="E5" s="98">
        <v>1615.88</v>
      </c>
      <c r="F5" s="98">
        <v>214.93</v>
      </c>
      <c r="G5" s="98">
        <v>-58.5</v>
      </c>
      <c r="H5" s="98">
        <v>600</v>
      </c>
      <c r="I5" s="98">
        <v>1145</v>
      </c>
      <c r="J5" s="98">
        <v>480</v>
      </c>
      <c r="K5" s="98">
        <v>-205</v>
      </c>
    </row>
    <row r="6" spans="1:11" x14ac:dyDescent="0.2">
      <c r="A6" s="97">
        <v>44743</v>
      </c>
      <c r="B6" s="98">
        <v>101.68</v>
      </c>
      <c r="C6" s="98">
        <v>0</v>
      </c>
      <c r="D6" s="98">
        <v>142.5</v>
      </c>
      <c r="E6" s="98">
        <v>1488.14</v>
      </c>
      <c r="F6" s="98">
        <v>170.77</v>
      </c>
      <c r="G6" s="98">
        <v>-58.5</v>
      </c>
      <c r="H6" s="98">
        <v>310.97000000000003</v>
      </c>
      <c r="I6" s="98">
        <v>860</v>
      </c>
      <c r="J6" s="98">
        <v>340</v>
      </c>
      <c r="K6" s="98">
        <v>-205</v>
      </c>
    </row>
    <row r="7" spans="1:11" x14ac:dyDescent="0.2">
      <c r="A7" s="97">
        <v>44774</v>
      </c>
      <c r="B7" s="98">
        <v>103.84</v>
      </c>
      <c r="C7" s="98">
        <v>0</v>
      </c>
      <c r="D7" s="98">
        <v>132.5</v>
      </c>
      <c r="E7" s="98">
        <v>1477.2</v>
      </c>
      <c r="F7" s="98">
        <v>161.69</v>
      </c>
      <c r="G7" s="98">
        <v>-58.5</v>
      </c>
      <c r="H7" s="98">
        <v>102.25</v>
      </c>
      <c r="I7" s="98">
        <v>780</v>
      </c>
      <c r="J7" s="98">
        <v>200</v>
      </c>
      <c r="K7" s="98">
        <v>-205</v>
      </c>
    </row>
    <row r="8" spans="1:11" x14ac:dyDescent="0.2">
      <c r="A8" s="97">
        <v>44805</v>
      </c>
      <c r="B8" s="98">
        <v>84.29</v>
      </c>
      <c r="C8" s="98">
        <v>0</v>
      </c>
      <c r="D8" s="98">
        <v>95.11</v>
      </c>
      <c r="E8" s="98">
        <v>1285.56</v>
      </c>
      <c r="F8" s="98">
        <v>160.51</v>
      </c>
      <c r="G8" s="98">
        <v>-58.5</v>
      </c>
      <c r="H8" s="98">
        <v>60</v>
      </c>
      <c r="I8" s="98">
        <v>680</v>
      </c>
      <c r="J8" s="98">
        <v>110</v>
      </c>
      <c r="K8" s="98">
        <v>-205</v>
      </c>
    </row>
    <row r="9" spans="1:11" x14ac:dyDescent="0.2">
      <c r="A9" s="97">
        <v>44835</v>
      </c>
      <c r="B9" s="98">
        <v>-15.51</v>
      </c>
      <c r="C9" s="98">
        <v>0</v>
      </c>
      <c r="D9" s="98">
        <v>62.5</v>
      </c>
      <c r="E9" s="98">
        <v>1199.49</v>
      </c>
      <c r="F9" s="98">
        <v>150.80000000000001</v>
      </c>
      <c r="G9" s="98">
        <v>-58.5</v>
      </c>
      <c r="H9" s="98">
        <v>60</v>
      </c>
      <c r="I9" s="98">
        <v>780</v>
      </c>
      <c r="J9" s="98">
        <v>130</v>
      </c>
      <c r="K9" s="98">
        <v>-205</v>
      </c>
    </row>
    <row r="10" spans="1:11" x14ac:dyDescent="0.2">
      <c r="A10" s="97">
        <v>44866</v>
      </c>
      <c r="B10" s="98">
        <v>-7.32</v>
      </c>
      <c r="C10" s="98">
        <v>0</v>
      </c>
      <c r="D10" s="98">
        <v>47.5</v>
      </c>
      <c r="E10" s="98">
        <v>1268.21</v>
      </c>
      <c r="F10" s="98">
        <v>140.88999999999999</v>
      </c>
      <c r="G10" s="98">
        <v>-58.5</v>
      </c>
      <c r="H10" s="98">
        <v>86.94</v>
      </c>
      <c r="I10" s="98">
        <v>1090</v>
      </c>
      <c r="J10" s="98">
        <v>160</v>
      </c>
      <c r="K10" s="98">
        <v>-205</v>
      </c>
    </row>
    <row r="11" spans="1:11" ht="11.25" customHeight="1" x14ac:dyDescent="0.2">
      <c r="A11" s="97">
        <v>44896</v>
      </c>
      <c r="B11" s="98">
        <v>32.31</v>
      </c>
      <c r="C11" s="98">
        <v>0</v>
      </c>
      <c r="D11" s="98">
        <v>47.5</v>
      </c>
      <c r="E11" s="98">
        <v>1278.6400000000001</v>
      </c>
      <c r="F11" s="98">
        <v>151.63</v>
      </c>
      <c r="G11" s="98">
        <v>-58.5</v>
      </c>
      <c r="H11" s="98">
        <v>80</v>
      </c>
      <c r="I11" s="98">
        <v>1090</v>
      </c>
      <c r="J11" s="98">
        <v>160</v>
      </c>
      <c r="K11" s="98">
        <v>-205</v>
      </c>
    </row>
    <row r="12" spans="1:11" ht="11.25" customHeight="1" x14ac:dyDescent="0.2">
      <c r="A12" s="97">
        <v>44927</v>
      </c>
      <c r="B12" s="98">
        <v>27.51</v>
      </c>
      <c r="C12" s="98">
        <v>0</v>
      </c>
      <c r="D12" s="98">
        <v>47.5</v>
      </c>
      <c r="E12" s="98">
        <v>1565.92</v>
      </c>
      <c r="F12" s="98">
        <v>181.51</v>
      </c>
      <c r="G12" s="98">
        <v>-60.55</v>
      </c>
      <c r="H12" s="98">
        <v>120</v>
      </c>
      <c r="I12" s="98">
        <v>1120</v>
      </c>
      <c r="J12" s="98">
        <v>100</v>
      </c>
      <c r="K12" s="98">
        <v>-205</v>
      </c>
    </row>
    <row r="13" spans="1:11" ht="11.25" customHeight="1" x14ac:dyDescent="0.2">
      <c r="A13" s="97">
        <v>44958</v>
      </c>
      <c r="B13" s="98">
        <v>41.35</v>
      </c>
      <c r="C13" s="98">
        <v>0</v>
      </c>
      <c r="D13" s="98">
        <v>69.7</v>
      </c>
      <c r="E13" s="98">
        <v>1422</v>
      </c>
      <c r="F13" s="98">
        <v>206.05</v>
      </c>
      <c r="G13" s="98">
        <v>-60.55</v>
      </c>
      <c r="H13" s="98">
        <v>120</v>
      </c>
      <c r="I13" s="98">
        <v>1200</v>
      </c>
      <c r="J13" s="98">
        <v>150</v>
      </c>
      <c r="K13" s="98">
        <v>-205</v>
      </c>
    </row>
    <row r="14" spans="1:11" ht="11.25" customHeight="1" x14ac:dyDescent="0.2">
      <c r="A14" s="97">
        <v>44986</v>
      </c>
      <c r="B14" s="98">
        <v>35.39</v>
      </c>
      <c r="C14" s="98">
        <v>0</v>
      </c>
      <c r="D14" s="98">
        <v>75.489999999999995</v>
      </c>
      <c r="E14" s="98">
        <v>1374.53</v>
      </c>
      <c r="F14" s="98">
        <v>235.39</v>
      </c>
      <c r="G14" s="98">
        <v>-60.55</v>
      </c>
      <c r="H14" s="98">
        <v>180</v>
      </c>
      <c r="I14" s="98">
        <v>1270</v>
      </c>
      <c r="J14" s="98">
        <v>140</v>
      </c>
      <c r="K14" s="98">
        <v>-205</v>
      </c>
    </row>
    <row r="15" spans="1:11" ht="11.25" customHeight="1" x14ac:dyDescent="0.2">
      <c r="A15" s="97">
        <v>45017</v>
      </c>
      <c r="B15" s="98">
        <v>30.68</v>
      </c>
      <c r="C15" s="98">
        <v>0</v>
      </c>
      <c r="D15" s="98">
        <v>77.650000000000006</v>
      </c>
      <c r="E15" s="98">
        <v>1411.06</v>
      </c>
      <c r="F15" s="98">
        <v>225.38</v>
      </c>
      <c r="G15" s="98">
        <v>-60.55</v>
      </c>
      <c r="H15" s="98">
        <v>200</v>
      </c>
      <c r="I15" s="98">
        <v>1313.68</v>
      </c>
      <c r="J15" s="98">
        <v>140</v>
      </c>
      <c r="K15" s="98">
        <v>-205</v>
      </c>
    </row>
    <row r="16" spans="1:11" ht="14.25" x14ac:dyDescent="0.35">
      <c r="A16" s="97">
        <v>45047</v>
      </c>
      <c r="B16" s="247">
        <v>17.61</v>
      </c>
      <c r="C16" s="247">
        <v>0</v>
      </c>
      <c r="D16" s="247">
        <v>78.36</v>
      </c>
      <c r="E16" s="247">
        <v>1389.4</v>
      </c>
      <c r="F16" s="247">
        <v>196.81</v>
      </c>
      <c r="G16" s="266">
        <v>-60.55</v>
      </c>
      <c r="H16" s="247">
        <v>200</v>
      </c>
      <c r="I16" s="247">
        <v>1400.35</v>
      </c>
      <c r="J16" s="247">
        <v>220</v>
      </c>
      <c r="K16" s="247">
        <v>-205</v>
      </c>
    </row>
    <row r="17" spans="1:13" x14ac:dyDescent="0.2">
      <c r="A17" s="90" t="s">
        <v>114</v>
      </c>
      <c r="B17" s="153">
        <f t="shared" ref="B17:K17" si="0">AVERAGE(B5:B15)</f>
        <v>48.509090909090908</v>
      </c>
      <c r="C17" s="153">
        <f t="shared" si="0"/>
        <v>0</v>
      </c>
      <c r="D17" s="153">
        <f t="shared" si="0"/>
        <v>84.586363636363643</v>
      </c>
      <c r="E17" s="153">
        <f t="shared" si="0"/>
        <v>1398.7845454545454</v>
      </c>
      <c r="F17" s="153">
        <f t="shared" si="0"/>
        <v>181.77727272727273</v>
      </c>
      <c r="G17" s="153">
        <f t="shared" si="0"/>
        <v>-59.245454545454542</v>
      </c>
      <c r="H17" s="153">
        <f t="shared" si="0"/>
        <v>174.56</v>
      </c>
      <c r="I17" s="153">
        <f t="shared" si="0"/>
        <v>1029.8800000000001</v>
      </c>
      <c r="J17" s="153">
        <f t="shared" si="0"/>
        <v>191.81818181818181</v>
      </c>
      <c r="K17" s="153">
        <f t="shared" si="0"/>
        <v>-205</v>
      </c>
    </row>
    <row r="19" spans="1:13" x14ac:dyDescent="0.2">
      <c r="A19" s="97"/>
      <c r="B19" s="216"/>
      <c r="C19" s="98"/>
      <c r="D19" s="216"/>
      <c r="E19" s="216"/>
      <c r="F19" s="216"/>
      <c r="G19" s="98"/>
      <c r="H19" s="216"/>
      <c r="I19" s="216"/>
      <c r="J19" s="216"/>
      <c r="K19" s="216"/>
      <c r="L19" s="216"/>
      <c r="M19" s="216"/>
    </row>
    <row r="20" spans="1:13" ht="12.75" customHeight="1" x14ac:dyDescent="0.2">
      <c r="A20" s="97">
        <v>45078</v>
      </c>
      <c r="B20" s="98">
        <v>9.33</v>
      </c>
      <c r="C20" s="98">
        <v>0</v>
      </c>
      <c r="D20" s="98">
        <v>61.64</v>
      </c>
      <c r="E20" s="98">
        <v>1333.92</v>
      </c>
      <c r="F20" s="98">
        <v>170.44</v>
      </c>
      <c r="G20" s="98">
        <v>-60.55</v>
      </c>
      <c r="H20" s="98">
        <v>128.18</v>
      </c>
      <c r="I20" s="98">
        <v>840</v>
      </c>
      <c r="J20" s="98">
        <v>220</v>
      </c>
      <c r="K20" s="98">
        <v>-205</v>
      </c>
      <c r="L20" s="98"/>
    </row>
    <row r="21" spans="1:13" ht="12.75" customHeight="1" x14ac:dyDescent="0.2">
      <c r="A21" s="97">
        <v>45108</v>
      </c>
      <c r="B21" s="98">
        <v>13.67</v>
      </c>
      <c r="C21" s="98">
        <v>0</v>
      </c>
      <c r="D21" s="98">
        <v>69.7</v>
      </c>
      <c r="E21" s="98">
        <v>1266.28</v>
      </c>
      <c r="F21" s="98">
        <v>171.57</v>
      </c>
      <c r="G21" s="98">
        <v>-60.55</v>
      </c>
      <c r="H21" s="98">
        <v>40</v>
      </c>
      <c r="I21" s="98">
        <v>540</v>
      </c>
      <c r="J21" s="98">
        <v>130</v>
      </c>
      <c r="K21" s="98">
        <v>-205</v>
      </c>
      <c r="L21" s="98"/>
    </row>
    <row r="22" spans="1:13" x14ac:dyDescent="0.2">
      <c r="A22" s="97">
        <v>45139</v>
      </c>
      <c r="B22" s="98">
        <v>22.49</v>
      </c>
      <c r="C22" s="98">
        <v>0</v>
      </c>
      <c r="D22" s="98">
        <v>65.98</v>
      </c>
      <c r="E22" s="98">
        <v>1209.6400000000001</v>
      </c>
      <c r="F22" s="98">
        <v>171.87</v>
      </c>
      <c r="G22" s="98">
        <v>-60.55</v>
      </c>
      <c r="H22" s="98">
        <v>47.7</v>
      </c>
      <c r="I22" s="98">
        <v>260</v>
      </c>
      <c r="J22" s="98">
        <v>170</v>
      </c>
      <c r="K22" s="98">
        <v>-205</v>
      </c>
      <c r="L22" s="98"/>
    </row>
    <row r="23" spans="1:13" x14ac:dyDescent="0.2">
      <c r="A23" s="97">
        <v>45170</v>
      </c>
      <c r="B23" s="98">
        <v>40</v>
      </c>
      <c r="C23" s="98">
        <v>0</v>
      </c>
      <c r="D23" s="98">
        <v>82.24</v>
      </c>
      <c r="E23" s="98">
        <v>1223.71</v>
      </c>
      <c r="F23" s="98">
        <v>190.89</v>
      </c>
      <c r="G23" s="98">
        <v>-60.55</v>
      </c>
      <c r="H23" s="98">
        <v>-272.5</v>
      </c>
      <c r="I23" s="98">
        <v>460</v>
      </c>
      <c r="J23" s="98">
        <v>240</v>
      </c>
      <c r="K23" s="98">
        <v>-205</v>
      </c>
      <c r="L23" s="98"/>
    </row>
    <row r="24" spans="1:13" x14ac:dyDescent="0.2">
      <c r="A24" s="97">
        <v>45200</v>
      </c>
      <c r="B24" s="98">
        <v>50</v>
      </c>
      <c r="C24" s="98">
        <v>0</v>
      </c>
      <c r="D24" s="98">
        <v>92.61</v>
      </c>
      <c r="E24" s="98">
        <v>1219.05</v>
      </c>
      <c r="F24" s="98">
        <v>186.24</v>
      </c>
      <c r="G24" s="98">
        <v>-60.55</v>
      </c>
      <c r="H24" s="98">
        <v>-272.5</v>
      </c>
      <c r="I24" s="98">
        <v>460.92</v>
      </c>
      <c r="J24" s="98">
        <v>110</v>
      </c>
      <c r="K24" s="98">
        <v>-205</v>
      </c>
      <c r="L24" s="98"/>
    </row>
    <row r="25" spans="1:13" x14ac:dyDescent="0.2">
      <c r="A25" s="97">
        <v>45231</v>
      </c>
      <c r="B25" s="98">
        <v>50</v>
      </c>
      <c r="C25" s="98">
        <v>0</v>
      </c>
      <c r="D25" s="98">
        <v>88.06</v>
      </c>
      <c r="E25" s="98">
        <v>1201.7</v>
      </c>
      <c r="F25" s="98">
        <v>197.02</v>
      </c>
      <c r="G25" s="98">
        <v>-60.5</v>
      </c>
      <c r="H25" s="98">
        <v>-272.5</v>
      </c>
      <c r="I25" s="98">
        <v>540</v>
      </c>
      <c r="J25" s="98">
        <v>300</v>
      </c>
      <c r="K25" s="98">
        <v>-205</v>
      </c>
      <c r="L25" s="98"/>
    </row>
    <row r="26" spans="1:13" x14ac:dyDescent="0.2">
      <c r="A26" s="97">
        <v>45261</v>
      </c>
      <c r="B26" s="98">
        <f>[4]Prices!$B$15</f>
        <v>60.63</v>
      </c>
      <c r="C26" s="98">
        <f>[4]Prices!$C$15</f>
        <v>0</v>
      </c>
      <c r="D26" s="98">
        <f>[4]Prices!$D$15</f>
        <v>101.53</v>
      </c>
      <c r="E26" s="98">
        <f>[4]Prices!$E$15</f>
        <v>1422.93</v>
      </c>
      <c r="F26" s="98">
        <f>[4]Prices!$F$15</f>
        <v>243.57</v>
      </c>
      <c r="G26" s="98">
        <f>[4]Prices!$G$15</f>
        <v>-60.5</v>
      </c>
      <c r="H26" s="98">
        <f>[4]Prices!$H$15</f>
        <v>143.30000000000001</v>
      </c>
      <c r="I26" s="98">
        <f>[4]Prices!$J$15</f>
        <v>617.16</v>
      </c>
      <c r="J26" s="98">
        <f>[4]Prices!$K$15</f>
        <v>352.74</v>
      </c>
      <c r="K26" s="98">
        <f>[4]Prices!$L$15</f>
        <v>-205</v>
      </c>
    </row>
    <row r="27" spans="1:13" x14ac:dyDescent="0.2">
      <c r="A27" s="97">
        <v>45292</v>
      </c>
      <c r="B27" s="98">
        <f>[8]Prices!B4</f>
        <v>0</v>
      </c>
      <c r="C27" s="98">
        <f>[8]Prices!C4</f>
        <v>46.61</v>
      </c>
      <c r="D27" s="98">
        <f>[8]Prices!D4</f>
        <v>104.12</v>
      </c>
      <c r="E27" s="98">
        <f>[8]Prices!E4</f>
        <v>1198.5899999999999</v>
      </c>
      <c r="F27" s="98">
        <f>[8]Prices!F4</f>
        <v>208.69</v>
      </c>
      <c r="G27" s="98">
        <f>[8]Prices!G4</f>
        <v>-60.55</v>
      </c>
      <c r="H27" s="98">
        <f>[8]Prices!H4</f>
        <v>150</v>
      </c>
      <c r="I27" s="98">
        <f>[8]Prices!J4</f>
        <v>590.4</v>
      </c>
      <c r="J27" s="98">
        <f>[8]Prices!K4</f>
        <v>279.89</v>
      </c>
      <c r="K27" s="98">
        <f>[8]Prices!L4</f>
        <v>-205</v>
      </c>
    </row>
    <row r="28" spans="1:13" x14ac:dyDescent="0.2">
      <c r="A28" s="97">
        <v>45323</v>
      </c>
      <c r="B28" s="98">
        <f>[9]Prices!B5</f>
        <v>0</v>
      </c>
      <c r="C28" s="98">
        <f>[9]Prices!C5</f>
        <v>66.48</v>
      </c>
      <c r="D28" s="98">
        <f>[9]Prices!D5</f>
        <v>157.72999999999999</v>
      </c>
      <c r="E28" s="98">
        <f>[9]Prices!E5</f>
        <v>1319.47</v>
      </c>
      <c r="F28" s="98">
        <f>[9]Prices!F5</f>
        <v>220.58</v>
      </c>
      <c r="G28" s="98">
        <f>[9]Prices!G5</f>
        <v>-28.95</v>
      </c>
      <c r="H28" s="98">
        <f>[9]Prices!H5</f>
        <v>150</v>
      </c>
      <c r="I28" s="98">
        <f>[9]Prices!J5</f>
        <v>543.30999999999995</v>
      </c>
      <c r="J28" s="98">
        <f>[9]Prices!K5</f>
        <v>340</v>
      </c>
      <c r="K28" s="98">
        <f>[9]Prices!L5</f>
        <v>-187.5</v>
      </c>
    </row>
    <row r="29" spans="1:13" x14ac:dyDescent="0.2">
      <c r="A29" s="97">
        <v>45352</v>
      </c>
      <c r="B29" s="98">
        <f>[10]Prices!B6</f>
        <v>0</v>
      </c>
      <c r="C29" s="98">
        <f>[10]Prices!C6</f>
        <v>67.63</v>
      </c>
      <c r="D29" s="98">
        <f>[10]Prices!D6</f>
        <v>175.48</v>
      </c>
      <c r="E29" s="98">
        <f>[10]Prices!E6</f>
        <v>1325.07</v>
      </c>
      <c r="F29" s="98">
        <f>[10]Prices!F6</f>
        <v>194.68</v>
      </c>
      <c r="G29" s="98">
        <f>[10]Prices!G6</f>
        <v>-28.49</v>
      </c>
      <c r="H29" s="98">
        <f>[10]Prices!H6</f>
        <v>150</v>
      </c>
      <c r="I29" s="98">
        <f>[10]Prices!J6</f>
        <v>560</v>
      </c>
      <c r="J29" s="98">
        <f>[10]Prices!K6</f>
        <v>340</v>
      </c>
      <c r="K29" s="98">
        <f>[10]Prices!L6</f>
        <v>-187.5</v>
      </c>
    </row>
    <row r="30" spans="1:13" x14ac:dyDescent="0.2">
      <c r="A30" s="97">
        <v>45383</v>
      </c>
      <c r="B30" s="98">
        <f>[11]Prices!B7</f>
        <v>0</v>
      </c>
      <c r="C30" s="98">
        <f>[11]Prices!C7</f>
        <v>81.92</v>
      </c>
      <c r="D30" s="98">
        <f>[11]Prices!D7</f>
        <v>150.25</v>
      </c>
      <c r="E30" s="98">
        <f>[11]Prices!E7</f>
        <v>1538.59</v>
      </c>
      <c r="F30" s="98">
        <f>[11]Prices!F7</f>
        <v>193.42</v>
      </c>
      <c r="G30" s="98">
        <f>[11]Prices!G7</f>
        <v>-27.25</v>
      </c>
      <c r="H30" s="98">
        <f>[11]Prices!H7</f>
        <v>171.08</v>
      </c>
      <c r="I30" s="98">
        <f>[11]Prices!J7</f>
        <v>560</v>
      </c>
      <c r="J30" s="98">
        <f>[11]Prices!K7</f>
        <v>340</v>
      </c>
      <c r="K30" s="98">
        <f>[11]Prices!L7</f>
        <v>-187.5</v>
      </c>
    </row>
    <row r="31" spans="1:13" ht="14.25" x14ac:dyDescent="0.35">
      <c r="A31" s="97">
        <v>45413</v>
      </c>
      <c r="B31" s="247">
        <f>[12]Prices!B8</f>
        <v>0</v>
      </c>
      <c r="C31" s="247">
        <f>[12]Prices!C8</f>
        <v>91.75</v>
      </c>
      <c r="D31" s="247">
        <f>[12]Prices!D8</f>
        <v>180.01</v>
      </c>
      <c r="E31" s="247">
        <f>[12]Prices!E8</f>
        <v>1579.12</v>
      </c>
      <c r="F31" s="247">
        <f>[12]Prices!F8</f>
        <v>198</v>
      </c>
      <c r="G31" s="247">
        <f>[12]Prices!G8</f>
        <v>-26.1</v>
      </c>
      <c r="H31" s="247">
        <f>[12]Prices!H8</f>
        <v>210</v>
      </c>
      <c r="I31" s="247">
        <f>[12]Prices!J8</f>
        <v>600</v>
      </c>
      <c r="J31" s="247">
        <f>[12]Prices!K8</f>
        <v>346.65</v>
      </c>
      <c r="K31" s="247">
        <f>[12]Prices!L8</f>
        <v>-187.5</v>
      </c>
    </row>
    <row r="32" spans="1:13" x14ac:dyDescent="0.2">
      <c r="A32" s="90" t="s">
        <v>114</v>
      </c>
      <c r="B32" s="153">
        <f t="shared" ref="B32:K32" si="1">AVERAGE(B20:B30)</f>
        <v>22.374545454545455</v>
      </c>
      <c r="C32" s="153">
        <f t="shared" si="1"/>
        <v>23.876363636363635</v>
      </c>
      <c r="D32" s="153">
        <f t="shared" si="1"/>
        <v>104.48545454545456</v>
      </c>
      <c r="E32" s="153">
        <f t="shared" si="1"/>
        <v>1296.2681818181818</v>
      </c>
      <c r="F32" s="153">
        <f t="shared" si="1"/>
        <v>195.36090909090908</v>
      </c>
      <c r="G32" s="153">
        <f t="shared" si="1"/>
        <v>-51.726363636363637</v>
      </c>
      <c r="H32" s="153">
        <f t="shared" si="1"/>
        <v>14.796363636363639</v>
      </c>
      <c r="I32" s="153">
        <f>AVERAGE(I20:I30)</f>
        <v>542.88999999999987</v>
      </c>
      <c r="J32" s="153">
        <f t="shared" si="1"/>
        <v>256.60272727272729</v>
      </c>
      <c r="K32" s="153">
        <f t="shared" si="1"/>
        <v>-200.22727272727272</v>
      </c>
    </row>
  </sheetData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64"/>
  <sheetViews>
    <sheetView topLeftCell="A26" workbookViewId="0">
      <selection activeCell="E54" sqref="E54:N54"/>
    </sheetView>
  </sheetViews>
  <sheetFormatPr defaultRowHeight="12.75" x14ac:dyDescent="0.2"/>
  <cols>
    <col min="1" max="1" width="38.85546875" bestFit="1" customWidth="1"/>
    <col min="2" max="2" width="4.7109375" customWidth="1"/>
    <col min="3" max="6" width="10.28515625" bestFit="1" customWidth="1"/>
    <col min="7" max="12" width="10.28515625" customWidth="1"/>
    <col min="13" max="14" width="10.28515625" bestFit="1" customWidth="1"/>
    <col min="15" max="15" width="3.7109375" customWidth="1"/>
    <col min="16" max="16" width="11.28515625" bestFit="1" customWidth="1"/>
  </cols>
  <sheetData>
    <row r="1" spans="1:19" ht="23.25" x14ac:dyDescent="0.35">
      <c r="A1" s="22" t="s">
        <v>31</v>
      </c>
    </row>
    <row r="2" spans="1:19" x14ac:dyDescent="0.2">
      <c r="A2" s="1" t="s">
        <v>92</v>
      </c>
    </row>
    <row r="4" spans="1:19" x14ac:dyDescent="0.2">
      <c r="A4" s="3"/>
      <c r="B4" s="3"/>
      <c r="C4" s="106">
        <v>44713</v>
      </c>
      <c r="D4" s="106">
        <v>44743</v>
      </c>
      <c r="E4" s="106">
        <v>44774</v>
      </c>
      <c r="F4" s="106">
        <v>44805</v>
      </c>
      <c r="G4" s="106">
        <v>44835</v>
      </c>
      <c r="H4" s="106">
        <v>44866</v>
      </c>
      <c r="I4" s="106">
        <v>44896</v>
      </c>
      <c r="J4" s="106">
        <v>44927</v>
      </c>
      <c r="K4" s="106">
        <v>44958</v>
      </c>
      <c r="L4" s="106">
        <v>44986</v>
      </c>
      <c r="M4" s="106">
        <v>45017</v>
      </c>
      <c r="N4" s="106">
        <v>45047</v>
      </c>
      <c r="O4" s="107"/>
      <c r="P4" s="101" t="s">
        <v>114</v>
      </c>
    </row>
    <row r="5" spans="1:19" x14ac:dyDescent="0.2">
      <c r="A5" s="3" t="s">
        <v>86</v>
      </c>
      <c r="B5" s="1"/>
      <c r="N5" s="63"/>
    </row>
    <row r="6" spans="1:19" x14ac:dyDescent="0.2">
      <c r="A6" s="105" t="s">
        <v>79</v>
      </c>
      <c r="B6" s="104"/>
      <c r="C6" s="75">
        <f>'[13]SPO CC June 22'!$C$3</f>
        <v>917</v>
      </c>
      <c r="D6" s="146">
        <f>'[14]SPO CC July 22'!$C$3</f>
        <v>917</v>
      </c>
      <c r="E6" s="146">
        <f>'[15]SPO CC August 22'!$C$3</f>
        <v>907</v>
      </c>
      <c r="F6" s="146">
        <f>'[16]SPO CC September 22'!$C$3</f>
        <v>907</v>
      </c>
      <c r="G6" s="146">
        <f>'[17]SPO CC October 22'!$C$3</f>
        <v>908</v>
      </c>
      <c r="H6" s="146">
        <f>'[18]SPO CC November 22'!$C$3</f>
        <v>913</v>
      </c>
      <c r="I6" s="146">
        <f>'[19]SPO CC December 22'!$C$3</f>
        <v>907</v>
      </c>
      <c r="J6" s="146">
        <f>'[20]SPO CC January 23'!$C$3</f>
        <v>914</v>
      </c>
      <c r="K6" s="146">
        <f>'[21]SPO CC February 23'!$C$3</f>
        <v>916</v>
      </c>
      <c r="L6" s="146">
        <f>'[22]SPO CC March 23'!$C$3</f>
        <v>924</v>
      </c>
      <c r="M6" s="146">
        <f>'[23]SPO CC April 23'!$C$3</f>
        <v>910</v>
      </c>
      <c r="N6" s="146">
        <f>'[24]SPO CC May 23'!$C$3</f>
        <v>909</v>
      </c>
      <c r="O6" s="103"/>
      <c r="P6" s="103"/>
    </row>
    <row r="7" spans="1:19" x14ac:dyDescent="0.2">
      <c r="A7" s="105" t="s">
        <v>78</v>
      </c>
      <c r="B7" s="104"/>
      <c r="C7" s="75">
        <f>'[13]SPO CC June 22'!$D$3</f>
        <v>1512</v>
      </c>
      <c r="D7" s="146">
        <f>'[14]SPO CC July 22'!$D$3</f>
        <v>1512</v>
      </c>
      <c r="E7" s="146">
        <f>'[15]SPO CC August 22'!$D$3</f>
        <v>1515</v>
      </c>
      <c r="F7" s="146">
        <f>'[16]SPO CC September 22'!$D$3</f>
        <v>1523</v>
      </c>
      <c r="G7" s="146">
        <f>'[17]SPO CC October 22'!$D$3</f>
        <v>1517</v>
      </c>
      <c r="H7" s="146">
        <f>'[18]SPO CC November 22'!$D$3</f>
        <v>1515</v>
      </c>
      <c r="I7" s="146">
        <f>'[19]SPO CC December 22'!$D$3</f>
        <v>1514</v>
      </c>
      <c r="J7" s="146">
        <f>'[20]SPO CC January 23'!$E$3</f>
        <v>1515</v>
      </c>
      <c r="K7" s="146">
        <f>'[21]SPO CC February 23'!$D$3</f>
        <v>1511</v>
      </c>
      <c r="L7" s="146">
        <f>'[22]SPO CC March 23'!$D$3</f>
        <v>1509</v>
      </c>
      <c r="M7" s="146">
        <f>'[23]SPO CC April 23'!$D$3</f>
        <v>1528</v>
      </c>
      <c r="N7" s="146">
        <f>'[24]SPO CC May 23'!$D$3</f>
        <v>1632</v>
      </c>
      <c r="O7" s="103"/>
      <c r="P7" s="103"/>
    </row>
    <row r="8" spans="1:19" x14ac:dyDescent="0.2">
      <c r="A8" s="105" t="s">
        <v>80</v>
      </c>
      <c r="B8" s="104"/>
      <c r="C8" s="75">
        <f>'[13]SPO CC June 22'!$E$3</f>
        <v>3989</v>
      </c>
      <c r="D8" s="146">
        <f>'[14]SPO CC July 22'!$E$3</f>
        <v>4011</v>
      </c>
      <c r="E8" s="146">
        <f>'[15]SPO CC August 22'!$E$3</f>
        <v>4032</v>
      </c>
      <c r="F8" s="146">
        <f>'[16]SPO CC September 22'!$E$3</f>
        <v>4025</v>
      </c>
      <c r="G8" s="146">
        <f>'[17]SPO CC October 22'!$E$3</f>
        <v>4012</v>
      </c>
      <c r="H8" s="146">
        <f>'[18]SPO CC November 22'!$E$3</f>
        <v>4006</v>
      </c>
      <c r="I8" s="146">
        <f>'[19]SPO CC December 22'!$E$3</f>
        <v>4000</v>
      </c>
      <c r="J8" s="146">
        <f>'[20]SPO CC January 23'!$F$3</f>
        <v>3970</v>
      </c>
      <c r="K8" s="146">
        <f>'[21]SPO CC February 23'!$E$3</f>
        <v>4010</v>
      </c>
      <c r="L8" s="146">
        <f>'[22]SPO CC March 23'!$E$3</f>
        <v>4056</v>
      </c>
      <c r="M8" s="146">
        <f>'[23]SPO CC April 23'!$E$3</f>
        <v>4081</v>
      </c>
      <c r="N8" s="146">
        <f>'[24]SPO CC May 23'!$E$3</f>
        <v>4124</v>
      </c>
      <c r="O8" s="103"/>
      <c r="P8" s="103"/>
    </row>
    <row r="9" spans="1:19" ht="15" x14ac:dyDescent="0.35">
      <c r="A9" s="105" t="s">
        <v>81</v>
      </c>
      <c r="B9" s="104"/>
      <c r="C9" s="108">
        <f>'[13]SPO CC June 22'!$H$3</f>
        <v>26175</v>
      </c>
      <c r="D9" s="108">
        <f>'[14]SPO CC July 22'!$H$3</f>
        <v>26174</v>
      </c>
      <c r="E9" s="108">
        <f>'[15]SPO CC August 22'!$H$3</f>
        <v>26253</v>
      </c>
      <c r="F9" s="108">
        <f>'[16]SPO CC September 22'!$H$3</f>
        <v>26268</v>
      </c>
      <c r="G9" s="108">
        <f>'[17]SPO CC October 22'!$H$3</f>
        <v>26198</v>
      </c>
      <c r="H9" s="108">
        <f>'[18]SPO CC November 22'!$H$3</f>
        <v>26179</v>
      </c>
      <c r="I9" s="108">
        <f>'[19]SPO CC December 22'!$H$3</f>
        <v>26137</v>
      </c>
      <c r="J9" s="108">
        <f>'[20]SPO CC January 23'!$I$3</f>
        <v>26112</v>
      </c>
      <c r="K9" s="108">
        <f>'[21]SPO CC February 23'!$H$3</f>
        <v>26243</v>
      </c>
      <c r="L9" s="108">
        <f>'[22]SPO CC March 23'!$H$3</f>
        <v>26430</v>
      </c>
      <c r="M9" s="108">
        <f>'[23]SPO CC April 23'!$H$3</f>
        <v>26326</v>
      </c>
      <c r="N9" s="108">
        <f>'[24]SPO CC May 23'!$H$3</f>
        <v>26415</v>
      </c>
      <c r="O9" s="103"/>
      <c r="P9" s="103"/>
    </row>
    <row r="10" spans="1:19" ht="15" x14ac:dyDescent="0.35">
      <c r="A10" s="104" t="s">
        <v>85</v>
      </c>
      <c r="B10" s="104"/>
      <c r="C10" s="112">
        <f t="shared" ref="C10:N10" si="0">SUM(C6:C9)</f>
        <v>32593</v>
      </c>
      <c r="D10" s="112">
        <f t="shared" si="0"/>
        <v>32614</v>
      </c>
      <c r="E10" s="112">
        <f t="shared" si="0"/>
        <v>32707</v>
      </c>
      <c r="F10" s="112">
        <f t="shared" si="0"/>
        <v>32723</v>
      </c>
      <c r="G10" s="112">
        <f t="shared" si="0"/>
        <v>32635</v>
      </c>
      <c r="H10" s="112">
        <f t="shared" si="0"/>
        <v>32613</v>
      </c>
      <c r="I10" s="112">
        <f t="shared" si="0"/>
        <v>32558</v>
      </c>
      <c r="J10" s="112">
        <f t="shared" si="0"/>
        <v>32511</v>
      </c>
      <c r="K10" s="112">
        <f t="shared" si="0"/>
        <v>32680</v>
      </c>
      <c r="L10" s="112">
        <f t="shared" si="0"/>
        <v>32919</v>
      </c>
      <c r="M10" s="112">
        <f t="shared" si="0"/>
        <v>32845</v>
      </c>
      <c r="N10" s="112">
        <f t="shared" si="0"/>
        <v>33080</v>
      </c>
      <c r="O10" s="103"/>
      <c r="P10" s="103"/>
    </row>
    <row r="11" spans="1:19" x14ac:dyDescent="0.2">
      <c r="A11" s="104"/>
      <c r="B11" s="104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3"/>
      <c r="P11" s="103"/>
    </row>
    <row r="12" spans="1:19" x14ac:dyDescent="0.2">
      <c r="A12" s="104" t="s">
        <v>84</v>
      </c>
      <c r="B12" s="110"/>
      <c r="C12" s="111">
        <f>'[13]SPO CC June 22'!$G$3</f>
        <v>26964</v>
      </c>
      <c r="D12" s="111">
        <f>'[14]SPO CC July 22'!$G$3</f>
        <v>27016</v>
      </c>
      <c r="E12" s="111">
        <f>'[15]SPO CC August 22'!$G$3</f>
        <v>27005</v>
      </c>
      <c r="F12" s="111">
        <f>'[16]SPO CC September 22'!$G$3</f>
        <v>27031</v>
      </c>
      <c r="G12" s="111">
        <f>'[17]SPO CC October 22'!$G$3</f>
        <v>26983</v>
      </c>
      <c r="H12" s="111">
        <f>'[18]SPO CC November 22'!$G$3</f>
        <v>26970</v>
      </c>
      <c r="I12" s="111">
        <f>'[19]SPO CC December 22'!$G$3</f>
        <v>26907</v>
      </c>
      <c r="J12" s="111">
        <f>'[20]SPO CC January 23'!$H$3</f>
        <v>26901</v>
      </c>
      <c r="K12" s="111">
        <f>'[21]SPO CC February 23'!$G$3</f>
        <v>26856</v>
      </c>
      <c r="L12" s="111">
        <f>'[22]SPO CC March 23'!$G$3</f>
        <v>27037</v>
      </c>
      <c r="M12" s="111">
        <f>'[23]SPO CC April 23'!$G$3</f>
        <v>27108</v>
      </c>
      <c r="N12" s="111">
        <f>'[24]SPO CC May 23'!$G$3</f>
        <v>27209</v>
      </c>
      <c r="O12" s="110"/>
      <c r="P12" s="111">
        <f>AVERAGE(C12:N12)</f>
        <v>26998.916666666668</v>
      </c>
      <c r="Q12" s="6"/>
    </row>
    <row r="13" spans="1:19" x14ac:dyDescent="0.2">
      <c r="N13" s="63"/>
      <c r="R13" s="13"/>
      <c r="S13" s="6"/>
    </row>
    <row r="14" spans="1:19" ht="15" x14ac:dyDescent="0.35">
      <c r="C14" s="14">
        <f t="shared" ref="C14:N14" si="1">+C12+C10</f>
        <v>59557</v>
      </c>
      <c r="D14" s="14">
        <f t="shared" si="1"/>
        <v>59630</v>
      </c>
      <c r="E14" s="14">
        <f t="shared" si="1"/>
        <v>59712</v>
      </c>
      <c r="F14" s="14">
        <f t="shared" si="1"/>
        <v>59754</v>
      </c>
      <c r="G14" s="14">
        <f t="shared" si="1"/>
        <v>59618</v>
      </c>
      <c r="H14" s="14">
        <f t="shared" si="1"/>
        <v>59583</v>
      </c>
      <c r="I14" s="14">
        <f t="shared" si="1"/>
        <v>59465</v>
      </c>
      <c r="J14" s="14">
        <f t="shared" si="1"/>
        <v>59412</v>
      </c>
      <c r="K14" s="14">
        <f t="shared" si="1"/>
        <v>59536</v>
      </c>
      <c r="L14" s="14">
        <f t="shared" si="1"/>
        <v>59956</v>
      </c>
      <c r="M14" s="14">
        <f t="shared" si="1"/>
        <v>59953</v>
      </c>
      <c r="N14" s="14">
        <f t="shared" si="1"/>
        <v>60289</v>
      </c>
    </row>
    <row r="16" spans="1:19" x14ac:dyDescent="0.2">
      <c r="A16" s="1" t="s">
        <v>87</v>
      </c>
      <c r="C16" s="100">
        <f t="shared" ref="C16:F16" si="2">+C12/C14</f>
        <v>0.4527427506422419</v>
      </c>
      <c r="D16" s="100">
        <f t="shared" si="2"/>
        <v>0.45306053999664597</v>
      </c>
      <c r="E16" s="100">
        <f t="shared" si="2"/>
        <v>0.45225415326902463</v>
      </c>
      <c r="F16" s="100">
        <f t="shared" si="2"/>
        <v>0.45237138936305521</v>
      </c>
      <c r="G16" s="100">
        <f t="shared" ref="G16:N16" si="3">+G12/G14</f>
        <v>0.45259820859471972</v>
      </c>
      <c r="H16" s="100">
        <f t="shared" si="3"/>
        <v>0.45264588892804997</v>
      </c>
      <c r="I16" s="100">
        <f t="shared" si="3"/>
        <v>0.45248465483898093</v>
      </c>
      <c r="J16" s="100">
        <f t="shared" si="3"/>
        <v>0.45278731569379921</v>
      </c>
      <c r="K16" s="100">
        <f t="shared" si="3"/>
        <v>0.45108841709217951</v>
      </c>
      <c r="L16" s="100">
        <f t="shared" si="3"/>
        <v>0.45094736139835878</v>
      </c>
      <c r="M16" s="100">
        <f t="shared" si="3"/>
        <v>0.45215418744683333</v>
      </c>
      <c r="N16" s="100">
        <f t="shared" si="3"/>
        <v>0.45130952578413974</v>
      </c>
    </row>
    <row r="18" spans="1:29" x14ac:dyDescent="0.2">
      <c r="A18" s="1" t="s">
        <v>88</v>
      </c>
      <c r="C18" s="114">
        <f t="shared" ref="C18:F18" si="4">1-C16</f>
        <v>0.5472572493577581</v>
      </c>
      <c r="D18" s="114">
        <f t="shared" si="4"/>
        <v>0.54693946000335403</v>
      </c>
      <c r="E18" s="114">
        <f t="shared" si="4"/>
        <v>0.54774584673097537</v>
      </c>
      <c r="F18" s="114">
        <f t="shared" si="4"/>
        <v>0.54762861063694479</v>
      </c>
      <c r="G18" s="114">
        <f t="shared" ref="G18:N18" si="5">1-G16</f>
        <v>0.54740179140528022</v>
      </c>
      <c r="H18" s="114">
        <f t="shared" si="5"/>
        <v>0.54735411107194998</v>
      </c>
      <c r="I18" s="114">
        <f t="shared" si="5"/>
        <v>0.54751534516101907</v>
      </c>
      <c r="J18" s="114">
        <f t="shared" si="5"/>
        <v>0.54721268430620085</v>
      </c>
      <c r="K18" s="114">
        <f t="shared" si="5"/>
        <v>0.54891158290782049</v>
      </c>
      <c r="L18" s="114">
        <f t="shared" si="5"/>
        <v>0.54905263860164122</v>
      </c>
      <c r="M18" s="114">
        <f t="shared" si="5"/>
        <v>0.54784581255316667</v>
      </c>
      <c r="N18" s="114">
        <f t="shared" si="5"/>
        <v>0.54869047421586026</v>
      </c>
    </row>
    <row r="20" spans="1:29" x14ac:dyDescent="0.2"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</row>
    <row r="21" spans="1:29" x14ac:dyDescent="0.2">
      <c r="A21" s="1" t="s">
        <v>91</v>
      </c>
      <c r="B21" s="1"/>
      <c r="C21" s="120">
        <f>SUM(C28:C32)</f>
        <v>-331.69</v>
      </c>
      <c r="D21" s="120">
        <f t="shared" ref="D21:N21" si="6">SUM(D28:D32)</f>
        <v>-352.71</v>
      </c>
      <c r="E21" s="120">
        <f t="shared" si="6"/>
        <v>-910.35</v>
      </c>
      <c r="F21" s="120">
        <f t="shared" si="6"/>
        <v>-908.46</v>
      </c>
      <c r="G21" s="120">
        <f t="shared" si="6"/>
        <v>-908.33</v>
      </c>
      <c r="H21" s="120">
        <f t="shared" si="6"/>
        <v>-936.82</v>
      </c>
      <c r="I21" s="120">
        <f t="shared" si="6"/>
        <v>-899.78000000000009</v>
      </c>
      <c r="J21" s="120">
        <f t="shared" si="6"/>
        <v>-912.36</v>
      </c>
      <c r="K21" s="120">
        <f t="shared" si="6"/>
        <v>-870.43999999999994</v>
      </c>
      <c r="L21" s="120">
        <f t="shared" si="6"/>
        <v>-874.33999999999992</v>
      </c>
      <c r="M21" s="120">
        <f t="shared" si="6"/>
        <v>-843.14</v>
      </c>
      <c r="N21" s="120">
        <f t="shared" si="6"/>
        <v>-936.82</v>
      </c>
      <c r="O21" s="120"/>
      <c r="P21" s="120">
        <f>SUM(C21:N21)</f>
        <v>-9685.239999999998</v>
      </c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</row>
    <row r="22" spans="1:29" x14ac:dyDescent="0.2">
      <c r="A22" s="63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P22" s="13"/>
    </row>
    <row r="23" spans="1:29" ht="15" x14ac:dyDescent="0.35">
      <c r="A23" s="1" t="s">
        <v>89</v>
      </c>
      <c r="C23" s="115">
        <v>0.15</v>
      </c>
      <c r="D23" s="115">
        <v>0.15</v>
      </c>
      <c r="E23" s="115">
        <v>0.45</v>
      </c>
      <c r="F23" s="115">
        <v>0.45</v>
      </c>
      <c r="G23" s="115">
        <v>0.45</v>
      </c>
      <c r="H23" s="115">
        <v>0.45</v>
      </c>
      <c r="I23" s="115">
        <v>0.45</v>
      </c>
      <c r="J23" s="115">
        <v>0.45</v>
      </c>
      <c r="K23" s="115">
        <v>0.45</v>
      </c>
      <c r="L23" s="115">
        <v>0.45</v>
      </c>
      <c r="M23" s="115">
        <v>0.45</v>
      </c>
      <c r="N23" s="115">
        <v>0.45</v>
      </c>
      <c r="O23" s="115"/>
      <c r="P23" s="115"/>
    </row>
    <row r="25" spans="1:29" ht="15" x14ac:dyDescent="0.35">
      <c r="A25" s="1" t="s">
        <v>90</v>
      </c>
      <c r="B25" s="116"/>
      <c r="C25" s="117">
        <f t="shared" ref="C25:N25" si="7">-(C21)/C23</f>
        <v>2211.2666666666669</v>
      </c>
      <c r="D25" s="117">
        <f t="shared" si="7"/>
        <v>2351.4</v>
      </c>
      <c r="E25" s="117">
        <f t="shared" si="7"/>
        <v>2023</v>
      </c>
      <c r="F25" s="117">
        <f t="shared" si="7"/>
        <v>2018.8</v>
      </c>
      <c r="G25" s="117">
        <f t="shared" si="7"/>
        <v>2018.5111111111112</v>
      </c>
      <c r="H25" s="117">
        <f t="shared" si="7"/>
        <v>2081.8222222222221</v>
      </c>
      <c r="I25" s="117">
        <f t="shared" si="7"/>
        <v>1999.5111111111112</v>
      </c>
      <c r="J25" s="117">
        <f t="shared" si="7"/>
        <v>2027.4666666666667</v>
      </c>
      <c r="K25" s="117">
        <f t="shared" si="7"/>
        <v>1934.3111111111109</v>
      </c>
      <c r="L25" s="117">
        <f t="shared" si="7"/>
        <v>1942.9777777777776</v>
      </c>
      <c r="M25" s="117">
        <f t="shared" si="7"/>
        <v>1873.6444444444444</v>
      </c>
      <c r="N25" s="117">
        <f t="shared" si="7"/>
        <v>2081.8222222222221</v>
      </c>
      <c r="O25" s="118"/>
      <c r="P25" s="14">
        <f>SUM(C25:O25)</f>
        <v>24564.533333333333</v>
      </c>
    </row>
    <row r="28" spans="1:29" x14ac:dyDescent="0.2">
      <c r="A28" s="17" t="s">
        <v>154</v>
      </c>
      <c r="B28" t="s">
        <v>153</v>
      </c>
      <c r="C28" s="76">
        <v>-11.7</v>
      </c>
      <c r="D28" s="76">
        <v>-11.7</v>
      </c>
      <c r="E28" s="76">
        <v>-11.7</v>
      </c>
      <c r="F28" s="76">
        <v>-11.7</v>
      </c>
      <c r="G28" s="76">
        <v>-11.7</v>
      </c>
      <c r="H28" s="76">
        <v>-11.7</v>
      </c>
      <c r="I28" s="265">
        <v>-3.02</v>
      </c>
      <c r="J28" s="265"/>
      <c r="K28" s="265"/>
      <c r="L28" s="265"/>
      <c r="M28" s="265"/>
      <c r="N28" s="265">
        <v>-11.7</v>
      </c>
      <c r="O28" s="76"/>
      <c r="P28" s="76"/>
      <c r="Q28" s="76"/>
    </row>
    <row r="29" spans="1:29" x14ac:dyDescent="0.2">
      <c r="A29" s="17" t="s">
        <v>162</v>
      </c>
      <c r="B29" t="s">
        <v>153</v>
      </c>
      <c r="C29" s="76">
        <v>-10.4</v>
      </c>
      <c r="D29" s="76">
        <v>-10.4</v>
      </c>
      <c r="E29" s="76">
        <v>-31.2</v>
      </c>
      <c r="F29" s="76">
        <v>-31.2</v>
      </c>
      <c r="G29" s="76">
        <v>-31.2</v>
      </c>
      <c r="H29" s="76">
        <v>-31.2</v>
      </c>
      <c r="I29" s="265">
        <v>-31.2</v>
      </c>
      <c r="J29" s="265">
        <v>-46.8</v>
      </c>
      <c r="K29" s="265">
        <v>-46.8</v>
      </c>
      <c r="L29" s="265">
        <v>-46.8</v>
      </c>
      <c r="M29" s="265">
        <v>-78</v>
      </c>
      <c r="N29" s="265">
        <v>-31.2</v>
      </c>
      <c r="O29" s="76"/>
      <c r="P29" s="76"/>
      <c r="Q29" s="76"/>
    </row>
    <row r="30" spans="1:29" x14ac:dyDescent="0.2">
      <c r="A30" s="17" t="s">
        <v>155</v>
      </c>
      <c r="B30" t="s">
        <v>153</v>
      </c>
      <c r="C30" s="76"/>
      <c r="D30" s="76"/>
      <c r="E30" s="76"/>
      <c r="F30" s="76"/>
      <c r="G30" s="76"/>
      <c r="H30" s="76"/>
      <c r="I30" s="265"/>
      <c r="J30" s="265"/>
      <c r="K30" s="265"/>
      <c r="L30" s="265"/>
      <c r="M30" s="265"/>
      <c r="N30" s="265"/>
      <c r="O30" s="76"/>
      <c r="P30" s="76"/>
      <c r="Q30" s="76"/>
    </row>
    <row r="31" spans="1:29" x14ac:dyDescent="0.2">
      <c r="A31" s="17" t="s">
        <v>156</v>
      </c>
      <c r="B31" t="s">
        <v>153</v>
      </c>
      <c r="C31" s="76">
        <v>-15.6</v>
      </c>
      <c r="D31" s="76">
        <v>-15.6</v>
      </c>
      <c r="E31" s="76">
        <v>-15.6</v>
      </c>
      <c r="F31" s="76">
        <v>-15.6</v>
      </c>
      <c r="G31" s="76">
        <v>-15.6</v>
      </c>
      <c r="H31" s="76">
        <v>-15.6</v>
      </c>
      <c r="I31" s="265">
        <v>-15.6</v>
      </c>
      <c r="J31" s="265">
        <v>-15.6</v>
      </c>
      <c r="K31" s="265"/>
      <c r="L31" s="265"/>
      <c r="M31" s="265"/>
      <c r="N31" s="265">
        <v>-15.6</v>
      </c>
      <c r="O31" s="76"/>
      <c r="P31" s="76"/>
      <c r="Q31" s="76"/>
    </row>
    <row r="32" spans="1:29" x14ac:dyDescent="0.2">
      <c r="A32" s="17" t="s">
        <v>157</v>
      </c>
      <c r="B32" t="s">
        <v>153</v>
      </c>
      <c r="C32" s="76">
        <v>-293.99</v>
      </c>
      <c r="D32" s="76">
        <v>-315.01</v>
      </c>
      <c r="E32" s="76">
        <v>-851.85</v>
      </c>
      <c r="F32" s="76">
        <v>-849.96</v>
      </c>
      <c r="G32" s="76">
        <v>-849.83</v>
      </c>
      <c r="H32" s="76">
        <v>-878.32</v>
      </c>
      <c r="I32" s="265">
        <v>-849.96</v>
      </c>
      <c r="J32" s="265">
        <v>-849.96</v>
      </c>
      <c r="K32" s="265">
        <v>-823.64</v>
      </c>
      <c r="L32" s="265">
        <v>-827.54</v>
      </c>
      <c r="M32" s="265">
        <v>-765.14</v>
      </c>
      <c r="N32" s="265">
        <v>-878.32</v>
      </c>
      <c r="O32" s="76"/>
      <c r="P32" s="76"/>
      <c r="Q32" s="76"/>
    </row>
    <row r="33" spans="1:18" x14ac:dyDescent="0.2"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</row>
    <row r="35" spans="1:18" x14ac:dyDescent="0.2">
      <c r="A35" s="3"/>
      <c r="B35" s="3"/>
      <c r="C35" s="106">
        <v>45078</v>
      </c>
      <c r="D35" s="106">
        <v>45108</v>
      </c>
      <c r="E35" s="106">
        <v>45139</v>
      </c>
      <c r="F35" s="106">
        <v>45170</v>
      </c>
      <c r="G35" s="106">
        <v>45200</v>
      </c>
      <c r="H35" s="106">
        <v>45231</v>
      </c>
      <c r="I35" s="106">
        <v>45261</v>
      </c>
      <c r="J35" s="106">
        <v>45292</v>
      </c>
      <c r="K35" s="106">
        <v>45323</v>
      </c>
      <c r="L35" s="106">
        <v>45352</v>
      </c>
      <c r="M35" s="106">
        <v>45383</v>
      </c>
      <c r="N35" s="106">
        <v>45413</v>
      </c>
      <c r="O35" s="106"/>
      <c r="P35" s="101" t="s">
        <v>114</v>
      </c>
    </row>
    <row r="36" spans="1:18" x14ac:dyDescent="0.2">
      <c r="A36" s="3" t="s">
        <v>86</v>
      </c>
      <c r="B36" s="1"/>
      <c r="N36" s="63"/>
    </row>
    <row r="37" spans="1:18" x14ac:dyDescent="0.2">
      <c r="A37" s="105" t="s">
        <v>79</v>
      </c>
      <c r="B37" s="104"/>
      <c r="C37" s="75">
        <f>'[25]SPO CC June 23'!$C$3</f>
        <v>907</v>
      </c>
      <c r="D37" s="146">
        <f>'[26]SPO CC July 23'!$C$3</f>
        <v>911</v>
      </c>
      <c r="E37" s="146">
        <f>'[27]SPO CC August 23'!$C$3</f>
        <v>922</v>
      </c>
      <c r="F37" s="146">
        <f>'[28]SPO CC September 23'!$C$3</f>
        <v>913</v>
      </c>
      <c r="G37" s="146">
        <f>'[29]SPO CC October 23'!$C$3</f>
        <v>905</v>
      </c>
      <c r="H37" s="146">
        <f>'[30]SPO CC November 23'!$C$3</f>
        <v>897</v>
      </c>
      <c r="I37" s="146">
        <f>'[31]SPO CC December 23'!$C$3</f>
        <v>910</v>
      </c>
      <c r="J37" s="146">
        <f>'[32]PricingDashboard - QUANTITY per'!$C$3</f>
        <v>912</v>
      </c>
      <c r="K37" s="146">
        <f>'[33]PricingDashboard - QUANTITY per'!$C$3</f>
        <v>925</v>
      </c>
      <c r="L37" s="146">
        <f>'[34]SPO CC March 24'!$C$4</f>
        <v>928</v>
      </c>
      <c r="M37" s="146">
        <f>'[35]SPO CC April 24'!$C$3</f>
        <v>934</v>
      </c>
      <c r="N37" s="146">
        <v>949</v>
      </c>
      <c r="O37" s="103"/>
      <c r="P37" s="103"/>
    </row>
    <row r="38" spans="1:18" x14ac:dyDescent="0.2">
      <c r="A38" s="105" t="s">
        <v>78</v>
      </c>
      <c r="B38" s="104"/>
      <c r="C38" s="75">
        <f>'[25]SPO CC June 23'!$D$3</f>
        <v>1649</v>
      </c>
      <c r="D38" s="146">
        <f>'[26]SPO CC July 23'!$D$3</f>
        <v>1646</v>
      </c>
      <c r="E38" s="146">
        <f>'[27]SPO CC August 23'!$D$3</f>
        <v>1655</v>
      </c>
      <c r="F38" s="146">
        <f>'[28]SPO CC September 23'!$D$3</f>
        <v>1665</v>
      </c>
      <c r="G38" s="146">
        <f>'[29]SPO CC October 23'!$D$3</f>
        <v>1668</v>
      </c>
      <c r="H38" s="146">
        <f>'[30]SPO CC November 23'!$E$3</f>
        <v>1669</v>
      </c>
      <c r="I38" s="146">
        <f>'[31]SPO CC December 23'!$D$3</f>
        <v>1663</v>
      </c>
      <c r="J38" s="146">
        <f>'[32]PricingDashboard - QUANTITY per'!$D$3</f>
        <v>1664</v>
      </c>
      <c r="K38" s="146">
        <f>'[33]PricingDashboard - QUANTITY per'!$D$3</f>
        <v>1657</v>
      </c>
      <c r="L38" s="146">
        <f>'[34]SPO CC March 24'!$D$4</f>
        <v>1634</v>
      </c>
      <c r="M38" s="146">
        <f>'[35]SPO CC April 24'!$D$3</f>
        <v>1630</v>
      </c>
      <c r="N38" s="146">
        <v>1630</v>
      </c>
      <c r="O38" s="103"/>
      <c r="P38" s="103"/>
    </row>
    <row r="39" spans="1:18" x14ac:dyDescent="0.2">
      <c r="A39" s="105" t="s">
        <v>80</v>
      </c>
      <c r="B39" s="104"/>
      <c r="C39" s="75">
        <f>'[25]SPO CC June 23'!$E$3</f>
        <v>4126</v>
      </c>
      <c r="D39" s="146">
        <f>'[26]SPO CC July 23'!$E$3</f>
        <v>4127</v>
      </c>
      <c r="E39" s="146">
        <f>'[27]SPO CC August 23'!$E$3</f>
        <v>4135</v>
      </c>
      <c r="F39" s="146">
        <f>'[28]SPO CC September 23'!$E$3</f>
        <v>4166</v>
      </c>
      <c r="G39" s="146">
        <f>'[29]SPO CC October 23'!$F$3</f>
        <v>4143</v>
      </c>
      <c r="H39" s="146">
        <f>'[30]SPO CC November 23'!$G$3</f>
        <v>4140</v>
      </c>
      <c r="I39" s="146">
        <f>'[31]SPO CC December 23'!$E$3</f>
        <v>4165</v>
      </c>
      <c r="J39" s="146">
        <f>'[32]PricingDashboard - QUANTITY per'!$E$3</f>
        <v>4164</v>
      </c>
      <c r="K39" s="146">
        <f>'[33]PricingDashboard - QUANTITY per'!$E$3</f>
        <v>4171</v>
      </c>
      <c r="L39" s="146">
        <f>'[34]SPO CC March 24'!$E$4</f>
        <v>4217</v>
      </c>
      <c r="M39" s="146">
        <f>'[35]SPO CC April 24'!$E$3</f>
        <v>4290</v>
      </c>
      <c r="N39" s="146">
        <v>4322</v>
      </c>
      <c r="O39" s="103"/>
      <c r="P39" s="103"/>
    </row>
    <row r="40" spans="1:18" ht="15" x14ac:dyDescent="0.35">
      <c r="A40" s="105" t="s">
        <v>81</v>
      </c>
      <c r="B40" s="104"/>
      <c r="C40" s="108">
        <f>'[25]SPO CC June 23'!$H$3</f>
        <v>26448</v>
      </c>
      <c r="D40" s="108">
        <f>'[26]SPO CC July 23'!$H$3</f>
        <v>26373</v>
      </c>
      <c r="E40" s="108">
        <f>'[27]SPO CC August 23'!$H$3</f>
        <v>26502</v>
      </c>
      <c r="F40" s="108">
        <f>'[28]SPO CC September 23'!$H$3</f>
        <v>26536</v>
      </c>
      <c r="G40" s="108">
        <f>'[29]SPO CC October 23'!$I$3</f>
        <v>26481</v>
      </c>
      <c r="H40" s="108">
        <f>'[30]SPO CC November 23'!$J$3</f>
        <v>26440</v>
      </c>
      <c r="I40" s="108">
        <f>'[31]SPO CC December 23'!$H$3</f>
        <v>26499</v>
      </c>
      <c r="J40" s="108">
        <f>'[32]PricingDashboard - QUANTITY per'!$H$3</f>
        <v>26415</v>
      </c>
      <c r="K40" s="108">
        <f>'[33]PricingDashboard - QUANTITY per'!$H$3</f>
        <v>26489</v>
      </c>
      <c r="L40" s="108">
        <f>'[34]SPO CC March 24'!$H$4</f>
        <v>26564</v>
      </c>
      <c r="M40" s="108">
        <f>'[35]SPO CC April 24'!$H$3</f>
        <v>26580</v>
      </c>
      <c r="N40" s="108">
        <v>26669</v>
      </c>
      <c r="O40" s="103"/>
      <c r="P40" s="103"/>
    </row>
    <row r="41" spans="1:18" ht="15" x14ac:dyDescent="0.35">
      <c r="A41" s="104" t="s">
        <v>85</v>
      </c>
      <c r="B41" s="104"/>
      <c r="C41" s="112">
        <f t="shared" ref="C41:N41" si="8">SUM(C37:C40)</f>
        <v>33130</v>
      </c>
      <c r="D41" s="112">
        <f t="shared" si="8"/>
        <v>33057</v>
      </c>
      <c r="E41" s="112">
        <f t="shared" si="8"/>
        <v>33214</v>
      </c>
      <c r="F41" s="112">
        <f t="shared" si="8"/>
        <v>33280</v>
      </c>
      <c r="G41" s="112">
        <f t="shared" si="8"/>
        <v>33197</v>
      </c>
      <c r="H41" s="112">
        <f t="shared" si="8"/>
        <v>33146</v>
      </c>
      <c r="I41" s="112">
        <f t="shared" si="8"/>
        <v>33237</v>
      </c>
      <c r="J41" s="112">
        <f t="shared" si="8"/>
        <v>33155</v>
      </c>
      <c r="K41" s="112">
        <f t="shared" si="8"/>
        <v>33242</v>
      </c>
      <c r="L41" s="112">
        <f t="shared" si="8"/>
        <v>33343</v>
      </c>
      <c r="M41" s="112">
        <f t="shared" si="8"/>
        <v>33434</v>
      </c>
      <c r="N41" s="112">
        <f t="shared" si="8"/>
        <v>33570</v>
      </c>
      <c r="O41" s="103"/>
      <c r="P41" s="103"/>
    </row>
    <row r="42" spans="1:18" x14ac:dyDescent="0.2">
      <c r="A42" s="104"/>
      <c r="B42" s="104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3"/>
      <c r="P42" s="103"/>
    </row>
    <row r="43" spans="1:18" ht="15" x14ac:dyDescent="0.35">
      <c r="A43" s="104" t="s">
        <v>84</v>
      </c>
      <c r="B43" s="110"/>
      <c r="C43" s="111">
        <f>'[25]SPO CC June 23'!$G$3</f>
        <v>27210</v>
      </c>
      <c r="D43" s="111">
        <f>'[26]SPO CC July 23'!$G$3</f>
        <v>27192</v>
      </c>
      <c r="E43" s="111">
        <f>'[27]SPO CC August 23'!$G$3</f>
        <v>27250</v>
      </c>
      <c r="F43" s="111">
        <f>'[28]SPO CC September 23'!$G$3</f>
        <v>27273</v>
      </c>
      <c r="G43" s="111">
        <f>'[29]SPO CC October 23'!$H$3</f>
        <v>27165</v>
      </c>
      <c r="H43" s="111">
        <f>'[30]SPO CC November 23'!$I$3</f>
        <v>27134</v>
      </c>
      <c r="I43" s="111">
        <f>'[31]SPO CC December 23'!$G$3</f>
        <v>27079</v>
      </c>
      <c r="J43" s="296">
        <f>'[32]PricingDashboard - QUANTITY per'!$G$3</f>
        <v>27030</v>
      </c>
      <c r="K43" s="111">
        <f>'[33]PricingDashboard - QUANTITY per'!$G$3</f>
        <v>27052</v>
      </c>
      <c r="L43" s="111">
        <f>'[34]SPO CC March 24'!$G$4</f>
        <v>27187</v>
      </c>
      <c r="M43" s="111">
        <f>L43</f>
        <v>27187</v>
      </c>
      <c r="N43" s="111">
        <v>27395</v>
      </c>
      <c r="O43" s="110"/>
      <c r="P43" s="111">
        <f>AVERAGE(C43:N43)</f>
        <v>27179.5</v>
      </c>
      <c r="R43" s="13">
        <f>AVERAGE(C12:N12,C43:N43)</f>
        <v>27089.208333333332</v>
      </c>
    </row>
    <row r="44" spans="1:18" x14ac:dyDescent="0.2">
      <c r="N44" s="63"/>
    </row>
    <row r="45" spans="1:18" ht="15" x14ac:dyDescent="0.35">
      <c r="C45" s="14">
        <f t="shared" ref="C45:N45" si="9">+C43+C41</f>
        <v>60340</v>
      </c>
      <c r="D45" s="14">
        <f t="shared" si="9"/>
        <v>60249</v>
      </c>
      <c r="E45" s="14">
        <f t="shared" si="9"/>
        <v>60464</v>
      </c>
      <c r="F45" s="14">
        <f t="shared" si="9"/>
        <v>60553</v>
      </c>
      <c r="G45" s="14">
        <f t="shared" si="9"/>
        <v>60362</v>
      </c>
      <c r="H45" s="14">
        <f t="shared" si="9"/>
        <v>60280</v>
      </c>
      <c r="I45" s="14">
        <f t="shared" si="9"/>
        <v>60316</v>
      </c>
      <c r="J45" s="14">
        <f t="shared" si="9"/>
        <v>60185</v>
      </c>
      <c r="K45" s="14">
        <f t="shared" si="9"/>
        <v>60294</v>
      </c>
      <c r="L45" s="14">
        <f t="shared" si="9"/>
        <v>60530</v>
      </c>
      <c r="M45" s="14">
        <f t="shared" si="9"/>
        <v>60621</v>
      </c>
      <c r="N45" s="14">
        <f t="shared" si="9"/>
        <v>60965</v>
      </c>
    </row>
    <row r="47" spans="1:18" x14ac:dyDescent="0.2">
      <c r="A47" s="1" t="s">
        <v>87</v>
      </c>
      <c r="C47" s="100">
        <f t="shared" ref="C47:N47" si="10">+C43/C45</f>
        <v>0.45094464700033143</v>
      </c>
      <c r="D47" s="100">
        <f t="shared" si="10"/>
        <v>0.45132699297913659</v>
      </c>
      <c r="E47" s="100">
        <f t="shared" si="10"/>
        <v>0.45068139719502515</v>
      </c>
      <c r="F47" s="100">
        <f t="shared" si="10"/>
        <v>0.45039882417056132</v>
      </c>
      <c r="G47" s="100">
        <f t="shared" si="10"/>
        <v>0.45003479009973163</v>
      </c>
      <c r="H47" s="100">
        <f t="shared" si="10"/>
        <v>0.45013271400132715</v>
      </c>
      <c r="I47" s="100">
        <f t="shared" si="10"/>
        <v>0.44895218515816698</v>
      </c>
      <c r="J47" s="100">
        <f t="shared" si="10"/>
        <v>0.44911522804685555</v>
      </c>
      <c r="K47" s="100">
        <f t="shared" si="10"/>
        <v>0.44866819252330248</v>
      </c>
      <c r="L47" s="100">
        <f t="shared" si="10"/>
        <v>0.44914918222369071</v>
      </c>
      <c r="M47" s="100">
        <f t="shared" si="10"/>
        <v>0.4484749509245971</v>
      </c>
      <c r="N47" s="100">
        <f t="shared" si="10"/>
        <v>0.44935618797670795</v>
      </c>
    </row>
    <row r="49" spans="1:16" x14ac:dyDescent="0.2">
      <c r="A49" s="1" t="s">
        <v>88</v>
      </c>
      <c r="C49" s="114">
        <f t="shared" ref="C49:N49" si="11">1-C47</f>
        <v>0.54905535299966857</v>
      </c>
      <c r="D49" s="114">
        <f t="shared" si="11"/>
        <v>0.54867300702086341</v>
      </c>
      <c r="E49" s="114">
        <f t="shared" si="11"/>
        <v>0.5493186028049748</v>
      </c>
      <c r="F49" s="114">
        <f t="shared" si="11"/>
        <v>0.54960117582943868</v>
      </c>
      <c r="G49" s="114">
        <f t="shared" si="11"/>
        <v>0.54996520990026831</v>
      </c>
      <c r="H49" s="114">
        <f t="shared" si="11"/>
        <v>0.54986728599867285</v>
      </c>
      <c r="I49" s="114">
        <f t="shared" si="11"/>
        <v>0.55104781484183296</v>
      </c>
      <c r="J49" s="114">
        <f t="shared" si="11"/>
        <v>0.55088477195314445</v>
      </c>
      <c r="K49" s="114">
        <f t="shared" si="11"/>
        <v>0.55133180747669752</v>
      </c>
      <c r="L49" s="114">
        <f t="shared" si="11"/>
        <v>0.55085081777630929</v>
      </c>
      <c r="M49" s="114">
        <f t="shared" si="11"/>
        <v>0.5515250490754029</v>
      </c>
      <c r="N49" s="114">
        <f t="shared" si="11"/>
        <v>0.55064381202329205</v>
      </c>
    </row>
    <row r="52" spans="1:16" x14ac:dyDescent="0.2">
      <c r="A52" s="1" t="s">
        <v>91</v>
      </c>
      <c r="B52" s="1"/>
      <c r="C52" s="120">
        <f>SUM(C59:C63)</f>
        <v>-957.23</v>
      </c>
      <c r="D52" s="120">
        <f t="shared" ref="D52:N52" si="12">SUM(D59:D63)</f>
        <v>-953.33</v>
      </c>
      <c r="E52" s="120">
        <f t="shared" si="12"/>
        <v>671.79000000000008</v>
      </c>
      <c r="F52" s="120">
        <f t="shared" si="12"/>
        <v>984.5999999999998</v>
      </c>
      <c r="G52" s="120">
        <f t="shared" si="12"/>
        <v>1689.4099999999999</v>
      </c>
      <c r="H52" s="120">
        <f t="shared" si="12"/>
        <v>1051.2499999999998</v>
      </c>
      <c r="I52" s="120">
        <f t="shared" si="12"/>
        <v>1005.2699999999999</v>
      </c>
      <c r="J52" s="120">
        <f t="shared" si="12"/>
        <v>1005.2699999999999</v>
      </c>
      <c r="K52" s="120">
        <f t="shared" si="12"/>
        <v>1005.2699999999999</v>
      </c>
      <c r="L52" s="120">
        <f t="shared" si="12"/>
        <v>1005.2699999999999</v>
      </c>
      <c r="M52" s="120">
        <f t="shared" si="12"/>
        <v>1006.7799999999997</v>
      </c>
      <c r="N52" s="120">
        <f t="shared" si="12"/>
        <v>836.26999999999975</v>
      </c>
      <c r="O52" s="120"/>
      <c r="P52" s="120">
        <f>SUM(C52:N52)</f>
        <v>8350.619999999999</v>
      </c>
    </row>
    <row r="53" spans="1:16" x14ac:dyDescent="0.2">
      <c r="A53" s="63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P53" s="13"/>
    </row>
    <row r="54" spans="1:16" ht="15" x14ac:dyDescent="0.35">
      <c r="A54" s="1" t="s">
        <v>89</v>
      </c>
      <c r="C54" s="115">
        <v>0.45</v>
      </c>
      <c r="D54" s="115">
        <v>0.45</v>
      </c>
      <c r="E54" s="115">
        <v>-0.39</v>
      </c>
      <c r="F54" s="115">
        <v>-0.39</v>
      </c>
      <c r="G54" s="115">
        <v>-0.39</v>
      </c>
      <c r="H54" s="115">
        <v>-0.39</v>
      </c>
      <c r="I54" s="115">
        <v>-0.39</v>
      </c>
      <c r="J54" s="115">
        <v>-0.39</v>
      </c>
      <c r="K54" s="115">
        <v>-0.39</v>
      </c>
      <c r="L54" s="115">
        <v>-0.39</v>
      </c>
      <c r="M54" s="115">
        <v>-0.39</v>
      </c>
      <c r="N54" s="115">
        <v>-0.39</v>
      </c>
      <c r="O54" s="115"/>
      <c r="P54" s="115"/>
    </row>
    <row r="56" spans="1:16" ht="15" x14ac:dyDescent="0.35">
      <c r="A56" s="1" t="s">
        <v>90</v>
      </c>
      <c r="B56" s="116"/>
      <c r="C56" s="117">
        <f t="shared" ref="C56:N56" si="13">-(C52)/C54</f>
        <v>2127.1777777777779</v>
      </c>
      <c r="D56" s="117">
        <f t="shared" si="13"/>
        <v>2118.5111111111109</v>
      </c>
      <c r="E56" s="117">
        <f t="shared" si="13"/>
        <v>1722.5384615384617</v>
      </c>
      <c r="F56" s="117">
        <f t="shared" si="13"/>
        <v>2524.6153846153838</v>
      </c>
      <c r="G56" s="117">
        <f t="shared" si="13"/>
        <v>4331.8205128205127</v>
      </c>
      <c r="H56" s="117">
        <f t="shared" si="13"/>
        <v>2695.5128205128199</v>
      </c>
      <c r="I56" s="117">
        <f t="shared" si="13"/>
        <v>2577.6153846153843</v>
      </c>
      <c r="J56" s="117">
        <f t="shared" si="13"/>
        <v>2577.6153846153843</v>
      </c>
      <c r="K56" s="117">
        <f t="shared" si="13"/>
        <v>2577.6153846153843</v>
      </c>
      <c r="L56" s="117">
        <f t="shared" si="13"/>
        <v>2577.6153846153843</v>
      </c>
      <c r="M56" s="117">
        <f t="shared" si="13"/>
        <v>2581.4871794871788</v>
      </c>
      <c r="N56" s="117">
        <f t="shared" si="13"/>
        <v>2144.2820512820504</v>
      </c>
      <c r="O56" s="118"/>
      <c r="P56" s="14">
        <f>SUM(C56:O56)</f>
        <v>30556.406837606828</v>
      </c>
    </row>
    <row r="59" spans="1:16" x14ac:dyDescent="0.2">
      <c r="A59" s="17" t="s">
        <v>154</v>
      </c>
      <c r="B59" t="s">
        <v>153</v>
      </c>
      <c r="J59" s="63"/>
      <c r="K59" s="63"/>
      <c r="L59" s="63"/>
      <c r="M59" s="63"/>
      <c r="N59" s="63"/>
    </row>
    <row r="60" spans="1:16" x14ac:dyDescent="0.2">
      <c r="A60" s="17" t="s">
        <v>162</v>
      </c>
      <c r="B60" t="s">
        <v>153</v>
      </c>
      <c r="C60" s="251">
        <v>-78</v>
      </c>
      <c r="D60" s="251">
        <v>-78</v>
      </c>
      <c r="E60" s="251">
        <v>67.599999999999994</v>
      </c>
      <c r="J60" s="63"/>
      <c r="K60" s="63"/>
      <c r="L60" s="63"/>
      <c r="M60" s="63"/>
      <c r="N60" s="63"/>
    </row>
    <row r="61" spans="1:16" x14ac:dyDescent="0.2">
      <c r="A61" s="17" t="s">
        <v>155</v>
      </c>
      <c r="B61" t="s">
        <v>153</v>
      </c>
      <c r="C61" s="251"/>
      <c r="D61" s="251"/>
      <c r="E61" s="251"/>
      <c r="J61" s="251"/>
      <c r="K61" s="251"/>
      <c r="L61" s="251"/>
      <c r="M61" s="63"/>
      <c r="N61" s="63"/>
    </row>
    <row r="62" spans="1:16" x14ac:dyDescent="0.2">
      <c r="A62" s="17" t="s">
        <v>156</v>
      </c>
      <c r="B62" t="s">
        <v>153</v>
      </c>
      <c r="C62" s="251"/>
      <c r="D62" s="251"/>
      <c r="E62" s="251"/>
      <c r="J62" s="63"/>
      <c r="K62" s="63"/>
      <c r="L62" s="63"/>
      <c r="M62" s="63"/>
      <c r="N62" s="63"/>
    </row>
    <row r="63" spans="1:16" x14ac:dyDescent="0.2">
      <c r="A63" s="17" t="s">
        <v>157</v>
      </c>
      <c r="B63" t="s">
        <v>153</v>
      </c>
      <c r="C63" s="251">
        <v>-879.23</v>
      </c>
      <c r="D63" s="251">
        <v>-875.33</v>
      </c>
      <c r="E63" s="251">
        <v>604.19000000000005</v>
      </c>
      <c r="F63">
        <v>984.5999999999998</v>
      </c>
      <c r="G63">
        <v>1689.4099999999999</v>
      </c>
      <c r="H63">
        <v>1051.2499999999998</v>
      </c>
      <c r="I63">
        <v>1005.2699999999999</v>
      </c>
      <c r="J63" s="63">
        <v>1005.2699999999999</v>
      </c>
      <c r="K63" s="63">
        <v>1005.2699999999999</v>
      </c>
      <c r="L63" s="63">
        <v>1005.2699999999999</v>
      </c>
      <c r="M63" s="63">
        <v>1006.7799999999997</v>
      </c>
      <c r="N63" s="63">
        <v>836.26999999999975</v>
      </c>
    </row>
    <row r="64" spans="1:16" x14ac:dyDescent="0.2">
      <c r="M64" s="63"/>
    </row>
  </sheetData>
  <pageMargins left="0.7" right="0.7" top="0.75" bottom="0.75" header="0.3" footer="0.3"/>
  <pageSetup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346EB-9BCB-4B5F-BD97-5660D3CDE00A}">
  <sheetPr>
    <tabColor rgb="FF0070C0"/>
  </sheetPr>
  <dimension ref="A1:K29"/>
  <sheetViews>
    <sheetView workbookViewId="0">
      <selection activeCell="K25" sqref="K25:K26"/>
    </sheetView>
  </sheetViews>
  <sheetFormatPr defaultRowHeight="12.75" x14ac:dyDescent="0.2"/>
  <cols>
    <col min="1" max="1" width="61.42578125" bestFit="1" customWidth="1"/>
    <col min="4" max="5" width="11.28515625" bestFit="1" customWidth="1"/>
  </cols>
  <sheetData>
    <row r="1" spans="1:5" ht="23.25" x14ac:dyDescent="0.35">
      <c r="A1" s="140" t="s">
        <v>120</v>
      </c>
      <c r="B1" s="140"/>
      <c r="C1" s="141"/>
      <c r="D1" s="141"/>
    </row>
    <row r="2" spans="1:5" ht="15.75" x14ac:dyDescent="0.25">
      <c r="A2" s="142" t="s">
        <v>200</v>
      </c>
      <c r="B2" s="142"/>
      <c r="C2" s="143"/>
      <c r="D2" s="144"/>
    </row>
    <row r="3" spans="1:5" x14ac:dyDescent="0.2">
      <c r="A3" s="185"/>
      <c r="B3" s="185"/>
      <c r="C3" s="186"/>
      <c r="D3" s="187"/>
    </row>
    <row r="4" spans="1:5" ht="15" x14ac:dyDescent="0.35">
      <c r="A4" s="180"/>
      <c r="B4" s="180"/>
      <c r="C4" s="186"/>
      <c r="D4" s="188" t="s">
        <v>104</v>
      </c>
      <c r="E4" s="188"/>
    </row>
    <row r="5" spans="1:5" x14ac:dyDescent="0.2">
      <c r="A5" s="189" t="s">
        <v>105</v>
      </c>
      <c r="B5" s="189"/>
      <c r="C5" s="186"/>
      <c r="D5" s="190"/>
      <c r="E5" s="190"/>
    </row>
    <row r="6" spans="1:5" ht="15" x14ac:dyDescent="0.35">
      <c r="A6" s="298" t="s">
        <v>21</v>
      </c>
      <c r="B6" s="180"/>
      <c r="C6" s="186"/>
      <c r="D6" s="191">
        <f>'Budget vs Actual'!F6</f>
        <v>27179.5</v>
      </c>
      <c r="E6" s="191"/>
    </row>
    <row r="7" spans="1:5" x14ac:dyDescent="0.2">
      <c r="A7" s="180"/>
      <c r="B7" s="180"/>
      <c r="C7" s="186"/>
      <c r="D7" s="192"/>
      <c r="E7" s="192"/>
    </row>
    <row r="8" spans="1:5" x14ac:dyDescent="0.2">
      <c r="A8" s="189" t="s">
        <v>106</v>
      </c>
      <c r="B8" s="189"/>
      <c r="C8" s="186"/>
      <c r="D8" s="192"/>
      <c r="E8" s="192"/>
    </row>
    <row r="9" spans="1:5" ht="15" x14ac:dyDescent="0.35">
      <c r="A9" s="193" t="s">
        <v>118</v>
      </c>
      <c r="B9" s="193"/>
      <c r="C9" s="186"/>
      <c r="D9" s="194">
        <f>'Budget vs Actual'!F9</f>
        <v>11842.583801023564</v>
      </c>
      <c r="E9" s="194"/>
    </row>
    <row r="10" spans="1:5" x14ac:dyDescent="0.2">
      <c r="A10" s="181"/>
      <c r="B10" s="181"/>
      <c r="C10" s="186"/>
      <c r="D10" s="192"/>
      <c r="E10" s="192"/>
    </row>
    <row r="11" spans="1:5" x14ac:dyDescent="0.2">
      <c r="A11" s="189" t="s">
        <v>107</v>
      </c>
      <c r="B11" s="189"/>
      <c r="C11" s="186"/>
      <c r="D11" s="190"/>
      <c r="E11" s="190"/>
    </row>
    <row r="12" spans="1:5" ht="34.5" customHeight="1" x14ac:dyDescent="0.35">
      <c r="A12" s="195" t="s">
        <v>160</v>
      </c>
      <c r="B12" s="195"/>
      <c r="C12" s="183"/>
      <c r="D12" s="196">
        <f>'Tons &amp; Revenue'!P261*2</f>
        <v>1617776.0453422402</v>
      </c>
      <c r="E12" s="196"/>
    </row>
    <row r="13" spans="1:5" x14ac:dyDescent="0.2">
      <c r="A13" s="195"/>
      <c r="B13" s="195"/>
      <c r="C13" s="183"/>
      <c r="D13" s="197"/>
      <c r="E13" s="197"/>
    </row>
    <row r="14" spans="1:5" x14ac:dyDescent="0.2">
      <c r="A14" s="189" t="s">
        <v>108</v>
      </c>
      <c r="B14" s="195"/>
      <c r="C14" s="183"/>
      <c r="D14" s="197"/>
      <c r="E14" s="197"/>
    </row>
    <row r="15" spans="1:5" x14ac:dyDescent="0.2">
      <c r="A15" s="195" t="s">
        <v>109</v>
      </c>
      <c r="B15" s="195"/>
      <c r="C15" s="198">
        <v>0.5</v>
      </c>
      <c r="D15" s="199">
        <f>ROUND(+D12*C15,-2)</f>
        <v>808900</v>
      </c>
      <c r="E15" s="199"/>
    </row>
    <row r="16" spans="1:5" x14ac:dyDescent="0.2">
      <c r="A16" s="195" t="s">
        <v>199</v>
      </c>
      <c r="B16" s="195"/>
      <c r="C16" s="198"/>
      <c r="D16" s="199">
        <f>'Budget vs Actual'!F17-'Budget vs Actual'!F26</f>
        <v>76455</v>
      </c>
      <c r="E16" s="199"/>
    </row>
    <row r="17" spans="1:11" x14ac:dyDescent="0.2">
      <c r="A17" s="200" t="s">
        <v>119</v>
      </c>
      <c r="B17" s="180"/>
      <c r="C17" s="201">
        <v>0.05</v>
      </c>
      <c r="D17" s="202">
        <f>-ROUND(+D26*C17,-1)</f>
        <v>0</v>
      </c>
      <c r="E17" s="202"/>
    </row>
    <row r="18" spans="1:11" ht="15" x14ac:dyDescent="0.35">
      <c r="A18" s="200"/>
      <c r="B18" s="180"/>
      <c r="C18" s="186"/>
      <c r="D18" s="203">
        <f>SUM(D15:D17)</f>
        <v>885355</v>
      </c>
      <c r="E18" s="203"/>
    </row>
    <row r="19" spans="1:11" ht="15" x14ac:dyDescent="0.35">
      <c r="A19" s="204"/>
      <c r="B19" s="204"/>
      <c r="C19" s="206"/>
      <c r="D19" s="207"/>
      <c r="E19" s="207"/>
    </row>
    <row r="20" spans="1:11" ht="15" x14ac:dyDescent="0.35">
      <c r="A20" s="208" t="s">
        <v>111</v>
      </c>
      <c r="B20" s="208"/>
      <c r="C20" s="182"/>
      <c r="D20" s="207"/>
      <c r="E20" s="207"/>
    </row>
    <row r="21" spans="1:11" ht="15" x14ac:dyDescent="0.25">
      <c r="A21" s="240" t="s">
        <v>161</v>
      </c>
      <c r="B21" s="184"/>
      <c r="C21" s="209"/>
      <c r="D21" s="210"/>
      <c r="E21" s="210"/>
    </row>
    <row r="22" spans="1:11" ht="15" x14ac:dyDescent="0.25">
      <c r="A22" s="240" t="s">
        <v>174</v>
      </c>
      <c r="B22" s="184"/>
      <c r="C22" s="209"/>
      <c r="D22" s="210"/>
      <c r="E22" s="210"/>
    </row>
    <row r="23" spans="1:11" ht="15" x14ac:dyDescent="0.25">
      <c r="A23" s="240" t="s">
        <v>175</v>
      </c>
      <c r="B23" s="184"/>
      <c r="C23" s="183"/>
      <c r="D23" s="210"/>
      <c r="E23" s="210"/>
    </row>
    <row r="24" spans="1:11" ht="15" x14ac:dyDescent="0.25">
      <c r="A24" s="240" t="s">
        <v>176</v>
      </c>
      <c r="B24" s="184"/>
      <c r="C24" s="211"/>
      <c r="D24" s="210"/>
      <c r="E24" s="210"/>
    </row>
    <row r="25" spans="1:11" ht="16.5" x14ac:dyDescent="0.35">
      <c r="A25" s="240" t="s">
        <v>177</v>
      </c>
      <c r="B25" s="184"/>
      <c r="C25" s="211"/>
      <c r="D25" s="212"/>
      <c r="E25" s="212"/>
      <c r="K25" s="308"/>
    </row>
    <row r="26" spans="1:11" ht="19.5" customHeight="1" x14ac:dyDescent="0.35">
      <c r="A26" s="204" t="s">
        <v>178</v>
      </c>
      <c r="B26" s="204"/>
      <c r="C26" s="183"/>
      <c r="D26" s="215">
        <f>SUM(D21:D25)</f>
        <v>0</v>
      </c>
      <c r="E26" s="215"/>
      <c r="K26" s="308"/>
    </row>
    <row r="27" spans="1:11" x14ac:dyDescent="0.2">
      <c r="A27" s="204"/>
      <c r="B27" s="204"/>
      <c r="C27" s="213"/>
      <c r="D27" s="214"/>
    </row>
    <row r="28" spans="1:11" ht="15" x14ac:dyDescent="0.35">
      <c r="A28" s="204"/>
      <c r="B28" s="204"/>
      <c r="C28" s="213"/>
      <c r="D28" s="215"/>
    </row>
    <row r="29" spans="1:11" ht="15" x14ac:dyDescent="0.35">
      <c r="A29" s="204"/>
      <c r="B29" s="204"/>
      <c r="C29" s="213"/>
      <c r="D29" s="215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86132-82EB-4B6F-AB1B-6EB1AF7A12AE}">
  <dimension ref="A1:I29"/>
  <sheetViews>
    <sheetView zoomScale="130" zoomScaleNormal="130" workbookViewId="0">
      <selection activeCell="F21" sqref="F21:F25"/>
    </sheetView>
  </sheetViews>
  <sheetFormatPr defaultRowHeight="12.75" x14ac:dyDescent="0.2"/>
  <cols>
    <col min="1" max="1" width="72.5703125" bestFit="1" customWidth="1"/>
    <col min="4" max="4" width="12.28515625" bestFit="1" customWidth="1"/>
    <col min="5" max="5" width="5.28515625" customWidth="1"/>
    <col min="6" max="6" width="13.28515625" style="63" bestFit="1" customWidth="1"/>
    <col min="7" max="7" width="4.140625" customWidth="1"/>
    <col min="8" max="8" width="12.85546875" bestFit="1" customWidth="1"/>
    <col min="9" max="9" width="9.7109375" bestFit="1" customWidth="1"/>
    <col min="10" max="10" width="9.85546875" customWidth="1"/>
    <col min="11" max="11" width="9" bestFit="1" customWidth="1"/>
    <col min="12" max="12" width="12.42578125" bestFit="1" customWidth="1"/>
  </cols>
  <sheetData>
    <row r="1" spans="1:9" ht="23.25" x14ac:dyDescent="0.35">
      <c r="A1" s="252" t="s">
        <v>120</v>
      </c>
      <c r="B1" s="252"/>
    </row>
    <row r="2" spans="1:9" ht="15.75" x14ac:dyDescent="0.25">
      <c r="A2" s="142" t="s">
        <v>173</v>
      </c>
      <c r="B2" s="142"/>
      <c r="C2" s="143"/>
      <c r="D2" s="144"/>
    </row>
    <row r="3" spans="1:9" x14ac:dyDescent="0.2">
      <c r="A3" s="185"/>
      <c r="B3" s="185"/>
      <c r="C3" s="186"/>
      <c r="D3" s="187"/>
      <c r="E3" s="63"/>
      <c r="F3" s="4" t="s">
        <v>124</v>
      </c>
      <c r="H3" s="4"/>
      <c r="I3" s="4"/>
    </row>
    <row r="4" spans="1:9" ht="30" x14ac:dyDescent="0.35">
      <c r="A4" s="63"/>
      <c r="B4" s="63"/>
      <c r="C4" s="186"/>
      <c r="D4" s="297" t="s">
        <v>198</v>
      </c>
      <c r="E4" s="63"/>
      <c r="F4" s="101" t="s">
        <v>184</v>
      </c>
      <c r="H4" s="101" t="s">
        <v>171</v>
      </c>
      <c r="I4" s="101"/>
    </row>
    <row r="5" spans="1:9" x14ac:dyDescent="0.2">
      <c r="A5" s="254" t="s">
        <v>105</v>
      </c>
      <c r="B5" s="254"/>
      <c r="C5" s="186"/>
      <c r="D5" s="253"/>
      <c r="E5" s="63"/>
      <c r="H5" s="63"/>
      <c r="I5" s="63"/>
    </row>
    <row r="6" spans="1:9" ht="15" x14ac:dyDescent="0.35">
      <c r="A6" s="63" t="s">
        <v>21</v>
      </c>
      <c r="B6" s="63"/>
      <c r="C6" s="186"/>
      <c r="D6" s="256">
        <f>+'2022-2024 Budget'!D6</f>
        <v>26635</v>
      </c>
      <c r="E6" s="63"/>
      <c r="F6" s="156">
        <f>'Res''l &amp; MF Customers'!P43</f>
        <v>27179.5</v>
      </c>
      <c r="H6" s="14">
        <f>+F6-D6</f>
        <v>544.5</v>
      </c>
      <c r="I6" s="63"/>
    </row>
    <row r="7" spans="1:9" x14ac:dyDescent="0.2">
      <c r="A7" s="63"/>
      <c r="B7" s="63"/>
      <c r="C7" s="186"/>
      <c r="D7" s="192"/>
      <c r="E7" s="63"/>
      <c r="H7" s="63"/>
      <c r="I7" s="63"/>
    </row>
    <row r="8" spans="1:9" x14ac:dyDescent="0.2">
      <c r="A8" s="254" t="s">
        <v>106</v>
      </c>
      <c r="B8" s="254"/>
      <c r="C8" s="186"/>
      <c r="D8" s="192"/>
      <c r="E8" s="63"/>
      <c r="H8" s="63"/>
      <c r="I8" s="63"/>
    </row>
    <row r="9" spans="1:9" ht="15" x14ac:dyDescent="0.35">
      <c r="A9" s="255" t="s">
        <v>118</v>
      </c>
      <c r="B9" s="255"/>
      <c r="C9" s="186"/>
      <c r="D9" s="257">
        <f>+'2022-2024 Budget'!D9</f>
        <v>10409</v>
      </c>
      <c r="E9" s="63"/>
      <c r="F9" s="14">
        <f>'Tons &amp; Revenue'!K21+'Tons &amp; Revenue'!K35</f>
        <v>11842.583801023564</v>
      </c>
      <c r="H9" s="14">
        <f>+F9-D9</f>
        <v>1433.5838010235639</v>
      </c>
      <c r="I9" s="63"/>
    </row>
    <row r="10" spans="1:9" x14ac:dyDescent="0.2">
      <c r="A10" s="63"/>
      <c r="B10" s="63"/>
      <c r="C10" s="186"/>
      <c r="D10" s="192"/>
      <c r="E10" s="63"/>
      <c r="H10" s="63"/>
      <c r="I10" s="63"/>
    </row>
    <row r="11" spans="1:9" x14ac:dyDescent="0.2">
      <c r="A11" s="254" t="s">
        <v>107</v>
      </c>
      <c r="B11" s="254"/>
      <c r="C11" s="186"/>
      <c r="D11" s="253"/>
      <c r="E11" s="63"/>
      <c r="H11" s="63"/>
      <c r="I11" s="63"/>
    </row>
    <row r="12" spans="1:9" ht="20.25" customHeight="1" x14ac:dyDescent="0.35">
      <c r="A12" s="195" t="s">
        <v>172</v>
      </c>
      <c r="B12" s="195"/>
      <c r="C12" s="183"/>
      <c r="D12" s="196">
        <f>+'2022-2024 Budget'!D12</f>
        <v>1736530</v>
      </c>
      <c r="E12" s="63"/>
      <c r="F12" s="11">
        <f>'Tons &amp; Revenue'!Q260</f>
        <v>1307020.400499257</v>
      </c>
      <c r="H12" s="11">
        <f>+F12-D12</f>
        <v>-429509.59950074297</v>
      </c>
      <c r="I12" s="258"/>
    </row>
    <row r="13" spans="1:9" x14ac:dyDescent="0.2">
      <c r="A13" s="195"/>
      <c r="B13" s="195"/>
      <c r="C13" s="183"/>
      <c r="D13" s="197"/>
      <c r="E13" s="63"/>
      <c r="H13" s="63"/>
      <c r="I13" s="63"/>
    </row>
    <row r="14" spans="1:9" x14ac:dyDescent="0.2">
      <c r="A14" s="254" t="s">
        <v>108</v>
      </c>
      <c r="B14" s="195"/>
      <c r="C14" s="183"/>
      <c r="D14" s="197"/>
      <c r="E14" s="63"/>
      <c r="H14" s="63"/>
      <c r="I14" s="63"/>
    </row>
    <row r="15" spans="1:9" x14ac:dyDescent="0.2">
      <c r="A15" s="195" t="s">
        <v>109</v>
      </c>
      <c r="B15" s="195"/>
      <c r="C15" s="198">
        <v>0.5</v>
      </c>
      <c r="D15" s="199">
        <f>ROUND(+D12*C15,-2)</f>
        <v>868300</v>
      </c>
      <c r="E15" s="63"/>
      <c r="F15" s="199">
        <f>ROUND(+F12*C15,-2)</f>
        <v>653500</v>
      </c>
      <c r="H15" s="259">
        <f>+F15-D15</f>
        <v>-214800</v>
      </c>
      <c r="I15" s="259"/>
    </row>
    <row r="16" spans="1:9" ht="15" x14ac:dyDescent="0.35">
      <c r="A16" s="195" t="s">
        <v>119</v>
      </c>
      <c r="B16" s="63"/>
      <c r="C16" s="201">
        <v>0.05</v>
      </c>
      <c r="D16" s="202">
        <f>-ROUND(+D26*C16,-1)</f>
        <v>-41350</v>
      </c>
      <c r="E16" s="63"/>
      <c r="F16" s="202">
        <f>-ROUND(+F26*C16,-1)</f>
        <v>-27480</v>
      </c>
      <c r="H16" s="10">
        <f>+F16-D16</f>
        <v>13870</v>
      </c>
      <c r="I16" s="10"/>
    </row>
    <row r="17" spans="1:9" ht="15" x14ac:dyDescent="0.35">
      <c r="A17" s="195"/>
      <c r="B17" s="63"/>
      <c r="C17" s="186"/>
      <c r="D17" s="203">
        <f>+D15+D16</f>
        <v>826950</v>
      </c>
      <c r="E17" s="63"/>
      <c r="F17" s="203">
        <f>+F15+F16</f>
        <v>626020</v>
      </c>
      <c r="H17" s="203">
        <f>+H15+H16</f>
        <v>-200930</v>
      </c>
      <c r="I17" s="203"/>
    </row>
    <row r="18" spans="1:9" x14ac:dyDescent="0.2">
      <c r="A18" s="254" t="s">
        <v>110</v>
      </c>
      <c r="B18" s="254"/>
      <c r="C18" s="186"/>
      <c r="D18" s="253"/>
      <c r="E18" s="63"/>
      <c r="H18" s="63"/>
      <c r="I18" s="63"/>
    </row>
    <row r="19" spans="1:9" ht="15" x14ac:dyDescent="0.35">
      <c r="A19" s="204"/>
      <c r="B19" s="204"/>
      <c r="C19" s="206"/>
      <c r="D19" s="207"/>
      <c r="E19" s="63"/>
      <c r="F19" s="207"/>
      <c r="H19" s="63"/>
      <c r="I19" s="63"/>
    </row>
    <row r="20" spans="1:9" ht="15" x14ac:dyDescent="0.35">
      <c r="A20" s="254" t="s">
        <v>111</v>
      </c>
      <c r="B20" s="254"/>
      <c r="C20" s="63"/>
      <c r="D20" s="207"/>
      <c r="E20" s="63"/>
      <c r="F20" s="207"/>
      <c r="H20" s="63"/>
      <c r="I20" s="63"/>
    </row>
    <row r="21" spans="1:9" x14ac:dyDescent="0.2">
      <c r="A21" s="184" t="str">
        <f>+'2022-2024 Budget'!A20</f>
        <v>Task 1 - Knowledge Sharing</v>
      </c>
      <c r="B21" s="184"/>
      <c r="C21" s="209"/>
      <c r="D21" s="210">
        <f>+'2022-2024 Budget'!D20</f>
        <v>411950</v>
      </c>
      <c r="E21" s="63"/>
      <c r="F21" s="210">
        <v>224421</v>
      </c>
      <c r="H21" s="259">
        <f>+F21-D21</f>
        <v>-187529</v>
      </c>
      <c r="I21" s="259"/>
    </row>
    <row r="22" spans="1:9" x14ac:dyDescent="0.2">
      <c r="A22" s="184" t="str">
        <f>+'2022-2024 Budget'!A21</f>
        <v>Task 2 - Equitable Outreach</v>
      </c>
      <c r="B22" s="184"/>
      <c r="C22" s="183"/>
      <c r="D22" s="210">
        <f>+'2022-2024 Budget'!D21</f>
        <v>50000</v>
      </c>
      <c r="E22" s="63"/>
      <c r="F22" s="210">
        <v>12000</v>
      </c>
      <c r="H22" s="259">
        <f t="shared" ref="H22:H25" si="0">+F22-D22</f>
        <v>-38000</v>
      </c>
      <c r="I22" s="259"/>
    </row>
    <row r="23" spans="1:9" x14ac:dyDescent="0.2">
      <c r="A23" s="184" t="str">
        <f>+'2022-2024 Budget'!A22</f>
        <v>Task 3 - Community Events - Reducing Contamination and Waste</v>
      </c>
      <c r="B23" s="184"/>
      <c r="C23" s="186"/>
      <c r="D23" s="210">
        <f>+'2022-2024 Budget'!D22</f>
        <v>20000</v>
      </c>
      <c r="E23" s="63"/>
      <c r="F23" s="210">
        <v>11558</v>
      </c>
      <c r="H23" s="259">
        <f t="shared" si="0"/>
        <v>-8442</v>
      </c>
      <c r="I23" s="259"/>
    </row>
    <row r="24" spans="1:9" x14ac:dyDescent="0.2">
      <c r="A24" s="184" t="str">
        <f>+'2022-2024 Budget'!A23</f>
        <v>Task 4 - Focused Education for Younger Minds</v>
      </c>
      <c r="B24" s="184"/>
      <c r="C24" s="186"/>
      <c r="D24" s="210">
        <f>+'2022-2024 Budget'!D23</f>
        <v>290000</v>
      </c>
      <c r="E24" s="63"/>
      <c r="F24" s="210">
        <v>244345</v>
      </c>
      <c r="H24" s="259">
        <f t="shared" si="0"/>
        <v>-45655</v>
      </c>
      <c r="I24" s="259"/>
    </row>
    <row r="25" spans="1:9" ht="15" x14ac:dyDescent="0.35">
      <c r="A25" s="184" t="str">
        <f>+'2022-2024 Budget'!A24</f>
        <v>Task 5 - Multifamily recycling and Reduction of Contamination</v>
      </c>
      <c r="B25" s="184"/>
      <c r="C25" s="186"/>
      <c r="D25" s="212">
        <f>+'2022-2024 Budget'!D24</f>
        <v>55000</v>
      </c>
      <c r="E25" s="63"/>
      <c r="F25" s="212">
        <v>57241</v>
      </c>
      <c r="H25" s="10">
        <f t="shared" si="0"/>
        <v>2241</v>
      </c>
      <c r="I25" s="10"/>
    </row>
    <row r="26" spans="1:9" ht="15" x14ac:dyDescent="0.35">
      <c r="A26" s="204" t="s">
        <v>112</v>
      </c>
      <c r="B26" s="204"/>
      <c r="C26" s="183"/>
      <c r="D26" s="205">
        <f>SUM(D21:D25)</f>
        <v>826950</v>
      </c>
      <c r="E26" s="260"/>
      <c r="F26" s="205">
        <f>SUM(F21:F25)</f>
        <v>549565</v>
      </c>
      <c r="H26" s="205">
        <f>SUM(H21:H25)</f>
        <v>-277385</v>
      </c>
      <c r="I26" s="205"/>
    </row>
    <row r="27" spans="1:9" x14ac:dyDescent="0.2">
      <c r="A27" s="63"/>
      <c r="B27" s="63"/>
      <c r="C27" s="63"/>
      <c r="D27" s="63"/>
      <c r="E27" s="63"/>
      <c r="F27" s="295"/>
      <c r="G27" s="63"/>
      <c r="H27" s="63"/>
      <c r="I27" s="63"/>
    </row>
    <row r="28" spans="1:9" x14ac:dyDescent="0.2">
      <c r="A28" s="63"/>
      <c r="B28" s="63"/>
      <c r="C28" s="63"/>
      <c r="D28" s="63"/>
      <c r="E28" s="63"/>
      <c r="G28" s="63"/>
      <c r="H28" s="63"/>
      <c r="I28" s="63"/>
    </row>
    <row r="29" spans="1:9" x14ac:dyDescent="0.2">
      <c r="A29" s="63"/>
      <c r="B29" s="63"/>
      <c r="C29" s="63"/>
      <c r="D29" s="63"/>
      <c r="E29" s="63"/>
      <c r="G29" s="63"/>
      <c r="H29" s="63"/>
      <c r="I29" s="6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76496-9BDC-4D7C-9550-B5563DBC7232}">
  <sheetPr>
    <tabColor rgb="FF0070C0"/>
  </sheetPr>
  <dimension ref="A1:E28"/>
  <sheetViews>
    <sheetView workbookViewId="0">
      <selection activeCell="E1" sqref="E1:E1048576"/>
    </sheetView>
  </sheetViews>
  <sheetFormatPr defaultRowHeight="12.75" x14ac:dyDescent="0.2"/>
  <cols>
    <col min="1" max="1" width="61.42578125" bestFit="1" customWidth="1"/>
    <col min="4" max="5" width="11.28515625" bestFit="1" customWidth="1"/>
  </cols>
  <sheetData>
    <row r="1" spans="1:5" ht="23.25" x14ac:dyDescent="0.35">
      <c r="A1" s="140" t="s">
        <v>120</v>
      </c>
      <c r="B1" s="140"/>
      <c r="C1" s="141"/>
      <c r="D1" s="141"/>
    </row>
    <row r="2" spans="1:5" ht="15.75" x14ac:dyDescent="0.25">
      <c r="A2" s="142" t="s">
        <v>173</v>
      </c>
      <c r="B2" s="142"/>
      <c r="C2" s="143"/>
      <c r="D2" s="144"/>
    </row>
    <row r="3" spans="1:5" x14ac:dyDescent="0.2">
      <c r="A3" s="185"/>
      <c r="B3" s="185"/>
      <c r="C3" s="186"/>
      <c r="D3" s="187"/>
    </row>
    <row r="4" spans="1:5" ht="15" x14ac:dyDescent="0.35">
      <c r="A4" s="180"/>
      <c r="B4" s="180"/>
      <c r="C4" s="186"/>
      <c r="D4" s="188" t="s">
        <v>104</v>
      </c>
      <c r="E4" s="188"/>
    </row>
    <row r="5" spans="1:5" x14ac:dyDescent="0.2">
      <c r="A5" s="189" t="s">
        <v>105</v>
      </c>
      <c r="B5" s="189"/>
      <c r="C5" s="186"/>
      <c r="D5" s="190"/>
      <c r="E5" s="190"/>
    </row>
    <row r="6" spans="1:5" ht="15" x14ac:dyDescent="0.35">
      <c r="A6" s="180" t="s">
        <v>21</v>
      </c>
      <c r="B6" s="180"/>
      <c r="C6" s="186"/>
      <c r="D6" s="191">
        <v>26635</v>
      </c>
      <c r="E6" s="191"/>
    </row>
    <row r="7" spans="1:5" x14ac:dyDescent="0.2">
      <c r="A7" s="180"/>
      <c r="B7" s="180"/>
      <c r="C7" s="186"/>
      <c r="D7" s="192"/>
      <c r="E7" s="192"/>
    </row>
    <row r="8" spans="1:5" x14ac:dyDescent="0.2">
      <c r="A8" s="189" t="s">
        <v>106</v>
      </c>
      <c r="B8" s="189"/>
      <c r="C8" s="186"/>
      <c r="D8" s="192"/>
      <c r="E8" s="192"/>
    </row>
    <row r="9" spans="1:5" ht="15" x14ac:dyDescent="0.35">
      <c r="A9" s="193" t="s">
        <v>118</v>
      </c>
      <c r="B9" s="193"/>
      <c r="C9" s="186"/>
      <c r="D9" s="194">
        <v>10409</v>
      </c>
      <c r="E9" s="194"/>
    </row>
    <row r="10" spans="1:5" x14ac:dyDescent="0.2">
      <c r="A10" s="181"/>
      <c r="B10" s="181"/>
      <c r="C10" s="186"/>
      <c r="D10" s="192"/>
      <c r="E10" s="192"/>
    </row>
    <row r="11" spans="1:5" x14ac:dyDescent="0.2">
      <c r="A11" s="189" t="s">
        <v>107</v>
      </c>
      <c r="B11" s="189"/>
      <c r="C11" s="186"/>
      <c r="D11" s="190"/>
      <c r="E11" s="190"/>
    </row>
    <row r="12" spans="1:5" ht="34.5" customHeight="1" x14ac:dyDescent="0.35">
      <c r="A12" s="195" t="s">
        <v>160</v>
      </c>
      <c r="B12" s="195"/>
      <c r="C12" s="183"/>
      <c r="D12" s="196">
        <v>1736530</v>
      </c>
      <c r="E12" s="196"/>
    </row>
    <row r="13" spans="1:5" x14ac:dyDescent="0.2">
      <c r="A13" s="195"/>
      <c r="B13" s="195"/>
      <c r="C13" s="183"/>
      <c r="D13" s="197"/>
      <c r="E13" s="197"/>
    </row>
    <row r="14" spans="1:5" x14ac:dyDescent="0.2">
      <c r="A14" s="189" t="s">
        <v>108</v>
      </c>
      <c r="B14" s="195"/>
      <c r="C14" s="183"/>
      <c r="D14" s="197"/>
      <c r="E14" s="197"/>
    </row>
    <row r="15" spans="1:5" x14ac:dyDescent="0.2">
      <c r="A15" s="195" t="s">
        <v>109</v>
      </c>
      <c r="B15" s="195"/>
      <c r="C15" s="198">
        <v>0.5</v>
      </c>
      <c r="D15" s="199">
        <f>ROUND(+D12*C15,-2)</f>
        <v>868300</v>
      </c>
      <c r="E15" s="199"/>
    </row>
    <row r="16" spans="1:5" x14ac:dyDescent="0.2">
      <c r="A16" s="200" t="s">
        <v>119</v>
      </c>
      <c r="B16" s="180"/>
      <c r="C16" s="201">
        <v>0.05</v>
      </c>
      <c r="D16" s="202">
        <f>-ROUND(+D25*C16,-1)</f>
        <v>-41350</v>
      </c>
      <c r="E16" s="202"/>
    </row>
    <row r="17" spans="1:5" ht="15" x14ac:dyDescent="0.35">
      <c r="A17" s="200"/>
      <c r="B17" s="180"/>
      <c r="C17" s="186"/>
      <c r="D17" s="203">
        <f>+D15+D16</f>
        <v>826950</v>
      </c>
      <c r="E17" s="203"/>
    </row>
    <row r="18" spans="1:5" ht="15" x14ac:dyDescent="0.35">
      <c r="A18" s="204"/>
      <c r="B18" s="204"/>
      <c r="C18" s="206"/>
      <c r="D18" s="207"/>
      <c r="E18" s="207"/>
    </row>
    <row r="19" spans="1:5" ht="15" x14ac:dyDescent="0.35">
      <c r="A19" s="208" t="s">
        <v>111</v>
      </c>
      <c r="B19" s="208"/>
      <c r="C19" s="182"/>
      <c r="D19" s="207"/>
      <c r="E19" s="207"/>
    </row>
    <row r="20" spans="1:5" ht="15" x14ac:dyDescent="0.25">
      <c r="A20" s="240" t="s">
        <v>161</v>
      </c>
      <c r="B20" s="184"/>
      <c r="C20" s="209"/>
      <c r="D20" s="210">
        <v>411950</v>
      </c>
      <c r="E20" s="210"/>
    </row>
    <row r="21" spans="1:5" ht="15" x14ac:dyDescent="0.25">
      <c r="A21" s="240" t="s">
        <v>174</v>
      </c>
      <c r="B21" s="184"/>
      <c r="C21" s="209"/>
      <c r="D21" s="210">
        <v>50000</v>
      </c>
      <c r="E21" s="210"/>
    </row>
    <row r="22" spans="1:5" ht="15" x14ac:dyDescent="0.25">
      <c r="A22" s="240" t="s">
        <v>175</v>
      </c>
      <c r="B22" s="184"/>
      <c r="C22" s="183"/>
      <c r="D22" s="210">
        <v>20000</v>
      </c>
      <c r="E22" s="210"/>
    </row>
    <row r="23" spans="1:5" ht="15" x14ac:dyDescent="0.25">
      <c r="A23" s="240" t="s">
        <v>176</v>
      </c>
      <c r="B23" s="184"/>
      <c r="C23" s="211"/>
      <c r="D23" s="210">
        <v>290000</v>
      </c>
      <c r="E23" s="210"/>
    </row>
    <row r="24" spans="1:5" ht="16.5" x14ac:dyDescent="0.35">
      <c r="A24" s="240" t="s">
        <v>177</v>
      </c>
      <c r="B24" s="184"/>
      <c r="C24" s="211"/>
      <c r="D24" s="212">
        <v>55000</v>
      </c>
      <c r="E24" s="212"/>
    </row>
    <row r="25" spans="1:5" ht="19.5" customHeight="1" x14ac:dyDescent="0.35">
      <c r="A25" s="204" t="s">
        <v>178</v>
      </c>
      <c r="B25" s="204"/>
      <c r="C25" s="183"/>
      <c r="D25" s="215">
        <f>SUM(D20:D24)</f>
        <v>826950</v>
      </c>
      <c r="E25" s="215"/>
    </row>
    <row r="26" spans="1:5" x14ac:dyDescent="0.2">
      <c r="A26" s="204"/>
      <c r="B26" s="204"/>
      <c r="C26" s="213"/>
      <c r="D26" s="214"/>
    </row>
    <row r="27" spans="1:5" ht="15" x14ac:dyDescent="0.35">
      <c r="A27" s="204"/>
      <c r="B27" s="204"/>
      <c r="C27" s="213"/>
      <c r="D27" s="215"/>
    </row>
    <row r="28" spans="1:5" ht="15" x14ac:dyDescent="0.35">
      <c r="A28" s="204"/>
      <c r="B28" s="204"/>
      <c r="C28" s="213"/>
      <c r="D28" s="215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39E520C1DF10243B751F668F77D321D" ma:contentTypeVersion="16" ma:contentTypeDescription="" ma:contentTypeScope="" ma:versionID="3d0d191638ff46c646c50641caa57be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2024-07-03T07:00:00+00:00</OpenedDate>
    <SignificantOrder xmlns="dc463f71-b30c-4ab2-9473-d307f9d35888">false</SignificantOrder>
    <Date1 xmlns="dc463f71-b30c-4ab2-9473-d307f9d35888">2024-07-03T07:00:00+00:00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Waste Management of Washington, Inc.  </CaseCompanyNames>
    <Nickname xmlns="http://schemas.microsoft.com/sharepoint/v3" xsi:nil="true"/>
    <DocketNumber xmlns="dc463f71-b30c-4ab2-9473-d307f9d35888">240543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8B387214-65AC-47A8-A937-7367AC011A7A}"/>
</file>

<file path=customXml/itemProps2.xml><?xml version="1.0" encoding="utf-8"?>
<ds:datastoreItem xmlns:ds="http://schemas.openxmlformats.org/officeDocument/2006/customXml" ds:itemID="{E0CD76EC-DDB2-42CB-AF9B-46F240AA15BA}">
  <ds:schemaRefs>
    <ds:schemaRef ds:uri="dd505c63-389f-4c50-b250-8880f70a2ae8"/>
    <ds:schemaRef ds:uri="http://purl.org/dc/elements/1.1/"/>
    <ds:schemaRef ds:uri="http://schemas.microsoft.com/office/2006/metadata/properties"/>
    <ds:schemaRef ds:uri="cbb60f30-5457-4fe2-8643-83400c4de494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6a7bd91e-004b-490a-8704-e368d63d59a0"/>
    <ds:schemaRef ds:uri="dc463f71-b30c-4ab2-9473-d307f9d35888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BBA80EE1-310B-4E43-8EAD-C47CAB5BC19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876FAF9-3B78-459A-B410-777C58D268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Rebate Calculation</vt:lpstr>
      <vt:lpstr>24 Month Rev &amp; Ton summary</vt:lpstr>
      <vt:lpstr>Tons &amp; Revenue</vt:lpstr>
      <vt:lpstr>Composition</vt:lpstr>
      <vt:lpstr>Prices</vt:lpstr>
      <vt:lpstr>Res'l &amp; MF Customers</vt:lpstr>
      <vt:lpstr>2024-2026 Budget</vt:lpstr>
      <vt:lpstr>Budget vs Actual</vt:lpstr>
      <vt:lpstr>2022-2024 Budget</vt:lpstr>
      <vt:lpstr>Composition!Print_Area</vt:lpstr>
      <vt:lpstr>'Rebate Calculation'!Print_Area</vt:lpstr>
      <vt:lpstr>'Res''l &amp; MF Customers'!Print_Area</vt:lpstr>
      <vt:lpstr>'Tons &amp; Revenue'!Print_Area</vt:lpstr>
      <vt:lpstr>'Tons &amp; Revenue'!Print_Titles</vt:lpstr>
    </vt:vector>
  </TitlesOfParts>
  <Company>Waste Management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180531</dc:title>
  <dc:subject>Commodity Credit</dc:subject>
  <dc:creator>Mike Weinstein</dc:creator>
  <cp:lastModifiedBy>Burmester, Evan</cp:lastModifiedBy>
  <cp:lastPrinted>2018-06-12T15:36:38Z</cp:lastPrinted>
  <dcterms:created xsi:type="dcterms:W3CDTF">2004-02-20T19:40:08Z</dcterms:created>
  <dcterms:modified xsi:type="dcterms:W3CDTF">2024-07-03T21:34:18Z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0x0101006E56B4D1795A2E4DB2F0B01679ED314A00139E520C1DF10243B751F668F77D321D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Industry">
    <vt:lpwstr>8;#227 - Solid Waste|e5216a35-883e-4320-8450-4a52f3c8956b</vt:lpwstr>
  </property>
  <property fmtid="{D5CDD505-2E9C-101B-9397-08002B2CF9AE}" pid="5" name="SV_HIDDEN_GRID_QUERY_LIST_4F35BF76-6C0D-4D9B-82B2-816C12CF3733">
    <vt:lpwstr>empty_477D106A-C0D6-4607-AEBD-E2C9D60EA279</vt:lpwstr>
  </property>
  <property fmtid="{D5CDD505-2E9C-101B-9397-08002B2CF9AE}" pid="6" name="_docset_NoMedatataSyncRequired">
    <vt:lpwstr>False</vt:lpwstr>
  </property>
</Properties>
</file>