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X:\Division\Accounting II\WUTC Filings\Commodity Credits\Filing June 2024\SeaTac\"/>
    </mc:Choice>
  </mc:AlternateContent>
  <xr:revisionPtr revIDLastSave="0" documentId="13_ncr:1_{0EC23422-2F5B-45C0-A5C5-37BCB9CAD0AC}" xr6:coauthVersionLast="47" xr6:coauthVersionMax="47" xr10:uidLastSave="{00000000-0000-0000-0000-000000000000}"/>
  <bookViews>
    <workbookView xWindow="2730" yWindow="2805" windowWidth="21600" windowHeight="11235" firstSheet="1" activeTab="6" xr2:uid="{00000000-000D-0000-FFFF-FFFF00000000}"/>
  </bookViews>
  <sheets>
    <sheet name="WUTC_LYNNWOOD_SF" sheetId="5" state="hidden" r:id="rId1"/>
    <sheet name="WUTC_AW of Kent (SeaTac)_SF" sheetId="11" r:id="rId2"/>
    <sheet name="Value" sheetId="4" r:id="rId3"/>
    <sheet name="Commodity Tonnages" sheetId="2" r:id="rId4"/>
    <sheet name="Pricing" sheetId="3" r:id="rId5"/>
    <sheet name="Single Family" sheetId="6" r:id="rId6"/>
    <sheet name="RSA" sheetId="12" r:id="rId7"/>
    <sheet name="Recap" sheetId="13" r:id="rId8"/>
  </sheets>
  <externalReferences>
    <externalReference r:id="rId9"/>
  </externalReferences>
  <definedNames>
    <definedName name="color" localSheetId="7">#REF!</definedName>
    <definedName name="color">#REF!</definedName>
    <definedName name="_xlnm.Print_Area" localSheetId="4">Pricing!$A$1:$L$19</definedName>
    <definedName name="_xlnm.Print_Area" localSheetId="5">'Single Family'!$A$7:$N$102</definedName>
    <definedName name="_xlnm.Print_Area" localSheetId="1">'WUTC_AW of Kent (SeaTac)_SF'!$A$1:$I$65</definedName>
    <definedName name="_xlnm.Print_Area" localSheetId="0">WUTC_LYNNWOOD_SF!$A$1:$K$82</definedName>
    <definedName name="_xlnm.Print_Titles" localSheetId="5">'Single Family'!$A:$B,'Single Family'!$1:$6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9" i="13" l="1"/>
  <c r="L25" i="13"/>
  <c r="L26" i="13"/>
  <c r="L23" i="13"/>
  <c r="L22" i="13"/>
  <c r="L20" i="13"/>
  <c r="I30" i="13"/>
  <c r="I16" i="13"/>
  <c r="D16" i="13"/>
  <c r="I2" i="13"/>
  <c r="C4" i="12"/>
  <c r="Q42" i="13" l="1"/>
  <c r="L42" i="13"/>
  <c r="S41" i="13"/>
  <c r="S40" i="13"/>
  <c r="N40" i="13"/>
  <c r="J40" i="13"/>
  <c r="S39" i="13"/>
  <c r="N39" i="13"/>
  <c r="J39" i="13"/>
  <c r="S38" i="13"/>
  <c r="S37" i="13"/>
  <c r="N37" i="13"/>
  <c r="J37" i="13"/>
  <c r="S36" i="13"/>
  <c r="N36" i="13"/>
  <c r="J36" i="13"/>
  <c r="S35" i="13"/>
  <c r="S34" i="13"/>
  <c r="N34" i="13"/>
  <c r="J34" i="13"/>
  <c r="S33" i="13"/>
  <c r="N33" i="13"/>
  <c r="J33" i="13"/>
  <c r="J42" i="13" s="1"/>
  <c r="Q28" i="13"/>
  <c r="L28" i="13"/>
  <c r="N28" i="13" s="1"/>
  <c r="S27" i="13"/>
  <c r="S26" i="13"/>
  <c r="N26" i="13"/>
  <c r="J26" i="13"/>
  <c r="S25" i="13"/>
  <c r="N25" i="13"/>
  <c r="J25" i="13"/>
  <c r="S24" i="13"/>
  <c r="S23" i="13"/>
  <c r="N23" i="13"/>
  <c r="J23" i="13"/>
  <c r="S22" i="13"/>
  <c r="N22" i="13"/>
  <c r="J22" i="13"/>
  <c r="S21" i="13"/>
  <c r="S20" i="13"/>
  <c r="N20" i="13"/>
  <c r="J20" i="13"/>
  <c r="S19" i="13"/>
  <c r="N19" i="13"/>
  <c r="J19" i="13"/>
  <c r="J28" i="13" s="1"/>
  <c r="S13" i="13"/>
  <c r="Q12" i="13"/>
  <c r="L12" i="13"/>
  <c r="N12" i="13" s="1"/>
  <c r="J12" i="13"/>
  <c r="Q11" i="13"/>
  <c r="B14" i="12" s="1"/>
  <c r="L11" i="13"/>
  <c r="S10" i="13"/>
  <c r="Q9" i="13"/>
  <c r="C13" i="12" s="1"/>
  <c r="L9" i="13"/>
  <c r="N9" i="13" s="1"/>
  <c r="Q8" i="13"/>
  <c r="B13" i="12" s="1"/>
  <c r="D13" i="12" s="1"/>
  <c r="L8" i="13"/>
  <c r="J8" i="13" s="1"/>
  <c r="S7" i="13"/>
  <c r="Q6" i="13"/>
  <c r="C12" i="12" s="1"/>
  <c r="L6" i="13"/>
  <c r="N6" i="13" s="1"/>
  <c r="J6" i="13"/>
  <c r="Q5" i="13"/>
  <c r="L5" i="13"/>
  <c r="J5" i="13" s="1"/>
  <c r="B24" i="11"/>
  <c r="F39" i="11" s="1"/>
  <c r="B12" i="11"/>
  <c r="F35" i="11" s="1"/>
  <c r="F13" i="12" l="1"/>
  <c r="S28" i="13"/>
  <c r="Q14" i="13"/>
  <c r="B12" i="12"/>
  <c r="E13" i="12"/>
  <c r="S12" i="13"/>
  <c r="C14" i="12"/>
  <c r="S6" i="13"/>
  <c r="S5" i="13"/>
  <c r="S42" i="13"/>
  <c r="S11" i="13"/>
  <c r="S8" i="13"/>
  <c r="J9" i="13"/>
  <c r="N8" i="13"/>
  <c r="S9" i="13"/>
  <c r="L14" i="13"/>
  <c r="N14" i="13" s="1"/>
  <c r="N11" i="13"/>
  <c r="N42" i="13"/>
  <c r="N5" i="13"/>
  <c r="J11" i="13"/>
  <c r="J14" i="13" s="1"/>
  <c r="B26" i="11"/>
  <c r="E22" i="12" s="1"/>
  <c r="S14" i="13" l="1"/>
  <c r="D12" i="12"/>
  <c r="E12" i="12" s="1"/>
  <c r="D14" i="12"/>
  <c r="O79" i="6"/>
  <c r="E14" i="12" l="1"/>
  <c r="D15" i="12"/>
  <c r="F12" i="12"/>
  <c r="F14" i="12"/>
  <c r="C7" i="12" l="1"/>
  <c r="C8" i="12"/>
  <c r="C9" i="12"/>
  <c r="G65" i="11"/>
  <c r="E9" i="12" l="1"/>
  <c r="E20" i="12" s="1"/>
  <c r="I62" i="11" s="1"/>
  <c r="F9" i="12"/>
  <c r="F8" i="12"/>
  <c r="E8" i="12"/>
  <c r="E7" i="12"/>
  <c r="F7" i="12"/>
  <c r="G17" i="3"/>
  <c r="G16" i="3"/>
  <c r="G15" i="3"/>
  <c r="G14" i="3"/>
  <c r="G13" i="3"/>
  <c r="G12" i="3"/>
  <c r="G11" i="3"/>
  <c r="G10" i="3"/>
  <c r="G9" i="3"/>
  <c r="G8" i="3"/>
  <c r="G7" i="3"/>
  <c r="G6" i="3"/>
  <c r="F40" i="11" l="1"/>
  <c r="E9" i="6"/>
  <c r="E10" i="6" s="1"/>
  <c r="E34" i="6" s="1"/>
  <c r="N56" i="11"/>
  <c r="F36" i="11"/>
  <c r="O7" i="11"/>
  <c r="O6" i="11"/>
  <c r="O5" i="11"/>
  <c r="H14" i="3"/>
  <c r="H12" i="3"/>
  <c r="H11" i="3"/>
  <c r="H6" i="3"/>
  <c r="D14" i="3"/>
  <c r="D12" i="3"/>
  <c r="D11" i="3"/>
  <c r="D6" i="3"/>
  <c r="C14" i="3"/>
  <c r="C12" i="3"/>
  <c r="C10" i="3"/>
  <c r="C9" i="3"/>
  <c r="C8" i="3"/>
  <c r="I10" i="3"/>
  <c r="J8" i="3"/>
  <c r="J7" i="3"/>
  <c r="F12" i="3"/>
  <c r="K14" i="3"/>
  <c r="K13" i="3"/>
  <c r="K10" i="3"/>
  <c r="K9" i="3"/>
  <c r="K7" i="3"/>
  <c r="K6" i="3"/>
  <c r="C9" i="6"/>
  <c r="C10" i="6" s="1"/>
  <c r="A8" i="11"/>
  <c r="A6" i="3"/>
  <c r="A6" i="4" s="1"/>
  <c r="A6" i="2"/>
  <c r="A7" i="2" s="1"/>
  <c r="C7" i="3"/>
  <c r="F7" i="3"/>
  <c r="I8" i="3"/>
  <c r="D9" i="3"/>
  <c r="F9" i="3"/>
  <c r="H9" i="3"/>
  <c r="C11" i="3"/>
  <c r="K11" i="3"/>
  <c r="I12" i="3"/>
  <c r="J12" i="3"/>
  <c r="H13" i="3"/>
  <c r="D9" i="6"/>
  <c r="D10" i="6" s="1"/>
  <c r="F9" i="6"/>
  <c r="F10" i="6" s="1"/>
  <c r="G9" i="6"/>
  <c r="G10" i="6" s="1"/>
  <c r="G28" i="6" s="1"/>
  <c r="H9" i="6"/>
  <c r="H10" i="6" s="1"/>
  <c r="H27" i="6" s="1"/>
  <c r="I9" i="6"/>
  <c r="I10" i="6" s="1"/>
  <c r="I30" i="6" s="1"/>
  <c r="J9" i="6"/>
  <c r="J10" i="6" s="1"/>
  <c r="J33" i="6" s="1"/>
  <c r="K9" i="6"/>
  <c r="K10" i="6" s="1"/>
  <c r="K30" i="6" s="1"/>
  <c r="L9" i="6"/>
  <c r="L10" i="6" s="1"/>
  <c r="L32" i="6" s="1"/>
  <c r="M9" i="6"/>
  <c r="M10" i="6" s="1"/>
  <c r="N9" i="6"/>
  <c r="N10" i="6" s="1"/>
  <c r="A2" i="2"/>
  <c r="A2" i="4"/>
  <c r="A2" i="3" s="1"/>
  <c r="D6" i="6"/>
  <c r="E6" i="6" s="1"/>
  <c r="F6" i="6" s="1"/>
  <c r="G6" i="6" s="1"/>
  <c r="H6" i="6" s="1"/>
  <c r="I6" i="6" s="1"/>
  <c r="J6" i="6" s="1"/>
  <c r="K6" i="6" s="1"/>
  <c r="L6" i="6" s="1"/>
  <c r="M6" i="6" s="1"/>
  <c r="N6" i="6" s="1"/>
  <c r="B105" i="6"/>
  <c r="J8" i="11"/>
  <c r="J9" i="11"/>
  <c r="J10" i="11"/>
  <c r="J22" i="11"/>
  <c r="O27" i="11" s="1"/>
  <c r="J14" i="11"/>
  <c r="J15" i="11"/>
  <c r="J16" i="11"/>
  <c r="J17" i="11"/>
  <c r="J18" i="11"/>
  <c r="J19" i="11"/>
  <c r="J20" i="11"/>
  <c r="J21" i="11"/>
  <c r="B11" i="5"/>
  <c r="F34" i="5" s="1"/>
  <c r="F35" i="5" s="1"/>
  <c r="B24" i="5"/>
  <c r="F38" i="5" s="1"/>
  <c r="F39" i="5" s="1"/>
  <c r="D11" i="5"/>
  <c r="D24" i="5"/>
  <c r="J14" i="5"/>
  <c r="F14" i="5"/>
  <c r="J8" i="5"/>
  <c r="J9" i="5"/>
  <c r="J22" i="5"/>
  <c r="J13" i="5"/>
  <c r="J15" i="5"/>
  <c r="J16" i="5"/>
  <c r="J17" i="5"/>
  <c r="J18" i="5"/>
  <c r="J19" i="5"/>
  <c r="J20" i="5"/>
  <c r="J21" i="5"/>
  <c r="F22" i="5"/>
  <c r="F19" i="5"/>
  <c r="F20" i="5"/>
  <c r="F21" i="5"/>
  <c r="F8" i="5"/>
  <c r="F9" i="5"/>
  <c r="F13" i="5"/>
  <c r="F15" i="5"/>
  <c r="F16" i="5"/>
  <c r="F17" i="5"/>
  <c r="F18" i="5"/>
  <c r="I7" i="3"/>
  <c r="F11" i="3"/>
  <c r="H8" i="3"/>
  <c r="I15" i="3"/>
  <c r="J10" i="3"/>
  <c r="D10" i="3"/>
  <c r="J6" i="3"/>
  <c r="I6" i="3"/>
  <c r="K16" i="3"/>
  <c r="F16" i="3"/>
  <c r="K15" i="3"/>
  <c r="J15" i="3"/>
  <c r="H17" i="3"/>
  <c r="H16" i="3"/>
  <c r="C17" i="3"/>
  <c r="C16" i="3"/>
  <c r="K17" i="3"/>
  <c r="J14" i="3"/>
  <c r="C15" i="3"/>
  <c r="F6" i="3"/>
  <c r="K8" i="3"/>
  <c r="J9" i="3"/>
  <c r="I9" i="3"/>
  <c r="I11" i="3"/>
  <c r="K12" i="3"/>
  <c r="I13" i="3"/>
  <c r="D8" i="3"/>
  <c r="F17" i="3"/>
  <c r="F8" i="3"/>
  <c r="C13" i="3"/>
  <c r="E6" i="3"/>
  <c r="H10" i="3"/>
  <c r="L6" i="3"/>
  <c r="D16" i="3"/>
  <c r="D15" i="3"/>
  <c r="J13" i="3"/>
  <c r="D13" i="3"/>
  <c r="H7" i="3"/>
  <c r="H15" i="3"/>
  <c r="F10" i="3"/>
  <c r="F13" i="3"/>
  <c r="I14" i="3"/>
  <c r="D7" i="3"/>
  <c r="J17" i="3"/>
  <c r="I17" i="3"/>
  <c r="D17" i="3"/>
  <c r="I16" i="3"/>
  <c r="J16" i="3"/>
  <c r="F15" i="3"/>
  <c r="F14" i="3"/>
  <c r="J11" i="3"/>
  <c r="C6" i="3"/>
  <c r="L17" i="3"/>
  <c r="E17" i="3"/>
  <c r="K8" i="11" l="1"/>
  <c r="F41" i="5"/>
  <c r="G41" i="5" s="1"/>
  <c r="D26" i="5"/>
  <c r="G31" i="5" s="1"/>
  <c r="G44" i="5" s="1"/>
  <c r="G51" i="5" s="1"/>
  <c r="J61" i="6"/>
  <c r="J88" i="6" s="1"/>
  <c r="G13" i="2"/>
  <c r="A9" i="11"/>
  <c r="A10" i="11" s="1"/>
  <c r="C35" i="11" s="1"/>
  <c r="F42" i="11"/>
  <c r="G42" i="11" s="1"/>
  <c r="E27" i="6"/>
  <c r="E55" i="6" s="1"/>
  <c r="E82" i="6" s="1"/>
  <c r="H33" i="6"/>
  <c r="I36" i="6"/>
  <c r="I64" i="6" s="1"/>
  <c r="G33" i="6"/>
  <c r="A7" i="3"/>
  <c r="A7" i="4" s="1"/>
  <c r="A8" i="2"/>
  <c r="G56" i="6"/>
  <c r="G83" i="6" s="1"/>
  <c r="K10" i="2"/>
  <c r="K10" i="4" s="1"/>
  <c r="F14" i="2"/>
  <c r="F14" i="4" s="1"/>
  <c r="K58" i="6"/>
  <c r="K85" i="6" s="1"/>
  <c r="C37" i="6"/>
  <c r="H6" i="2" s="1"/>
  <c r="H6" i="4" s="1"/>
  <c r="C34" i="6"/>
  <c r="C27" i="6"/>
  <c r="C35" i="6"/>
  <c r="C33" i="6"/>
  <c r="C36" i="6"/>
  <c r="C64" i="6" s="1"/>
  <c r="C91" i="6" s="1"/>
  <c r="L30" i="6"/>
  <c r="L58" i="6" s="1"/>
  <c r="L85" i="6" s="1"/>
  <c r="K27" i="6"/>
  <c r="J30" i="6"/>
  <c r="F13" i="2" s="1"/>
  <c r="F13" i="4" s="1"/>
  <c r="F12" i="2"/>
  <c r="F12" i="4" s="1"/>
  <c r="I58" i="6"/>
  <c r="I85" i="6" s="1"/>
  <c r="M30" i="6"/>
  <c r="M27" i="6"/>
  <c r="M32" i="6"/>
  <c r="C15" i="2"/>
  <c r="C15" i="4" s="1"/>
  <c r="L60" i="6"/>
  <c r="L87" i="6" s="1"/>
  <c r="N32" i="6"/>
  <c r="N27" i="6"/>
  <c r="N30" i="6"/>
  <c r="K32" i="6"/>
  <c r="F32" i="6"/>
  <c r="F33" i="6"/>
  <c r="F37" i="6"/>
  <c r="H9" i="2" s="1"/>
  <c r="H9" i="4" s="1"/>
  <c r="E35" i="6"/>
  <c r="E8" i="2" s="1"/>
  <c r="D8" i="2"/>
  <c r="D8" i="4" s="1"/>
  <c r="E62" i="6"/>
  <c r="E89" i="6" s="1"/>
  <c r="D35" i="6"/>
  <c r="D34" i="6"/>
  <c r="D7" i="2" s="1"/>
  <c r="D30" i="6"/>
  <c r="F7" i="2" s="1"/>
  <c r="D37" i="6"/>
  <c r="H7" i="2" s="1"/>
  <c r="H7" i="4" s="1"/>
  <c r="D32" i="6"/>
  <c r="D36" i="6"/>
  <c r="D27" i="6"/>
  <c r="D28" i="6"/>
  <c r="D56" i="6" s="1"/>
  <c r="D83" i="6" s="1"/>
  <c r="D33" i="6"/>
  <c r="E36" i="6"/>
  <c r="C30" i="6"/>
  <c r="C28" i="6"/>
  <c r="C31" i="6"/>
  <c r="I6" i="2" s="1"/>
  <c r="C32" i="6"/>
  <c r="C29" i="6"/>
  <c r="C57" i="6" s="1"/>
  <c r="C84" i="6" s="1"/>
  <c r="F35" i="6"/>
  <c r="H55" i="6"/>
  <c r="H28" i="6"/>
  <c r="K36" i="6"/>
  <c r="J32" i="6"/>
  <c r="J36" i="6"/>
  <c r="J27" i="6"/>
  <c r="F36" i="6"/>
  <c r="F28" i="6"/>
  <c r="F34" i="6"/>
  <c r="F27" i="6"/>
  <c r="F30" i="6"/>
  <c r="K33" i="6"/>
  <c r="J26" i="11"/>
  <c r="G51" i="11" s="1"/>
  <c r="L27" i="6"/>
  <c r="L36" i="6"/>
  <c r="I27" i="6"/>
  <c r="I32" i="6"/>
  <c r="I33" i="6"/>
  <c r="D31" i="6"/>
  <c r="G34" i="6"/>
  <c r="G37" i="6"/>
  <c r="H10" i="2" s="1"/>
  <c r="H10" i="4" s="1"/>
  <c r="J26" i="5"/>
  <c r="G50" i="5" s="1"/>
  <c r="G53" i="5" s="1"/>
  <c r="I53" i="5" s="1"/>
  <c r="E7" i="3"/>
  <c r="G27" i="6"/>
  <c r="H32" i="6"/>
  <c r="H30" i="6"/>
  <c r="H36" i="6"/>
  <c r="D29" i="6"/>
  <c r="L7" i="3"/>
  <c r="G30" i="6"/>
  <c r="G32" i="6"/>
  <c r="G36" i="6"/>
  <c r="E30" i="6"/>
  <c r="E28" i="6"/>
  <c r="E37" i="6"/>
  <c r="H8" i="2" s="1"/>
  <c r="E33" i="6"/>
  <c r="E32" i="6"/>
  <c r="B26" i="5"/>
  <c r="F26" i="5" s="1"/>
  <c r="G56" i="5" s="1"/>
  <c r="I56" i="5" s="1"/>
  <c r="C61" i="6" l="1"/>
  <c r="C88" i="6" s="1"/>
  <c r="G6" i="2"/>
  <c r="G6" i="4" s="1"/>
  <c r="H61" i="6"/>
  <c r="H88" i="6" s="1"/>
  <c r="G11" i="2"/>
  <c r="G11" i="4" s="1"/>
  <c r="I61" i="6"/>
  <c r="I88" i="6" s="1"/>
  <c r="G12" i="2"/>
  <c r="G12" i="4" s="1"/>
  <c r="K61" i="6"/>
  <c r="K88" i="6" s="1"/>
  <c r="G14" i="2"/>
  <c r="G14" i="4" s="1"/>
  <c r="D61" i="6"/>
  <c r="D88" i="6" s="1"/>
  <c r="G7" i="2"/>
  <c r="E61" i="6"/>
  <c r="E88" i="6" s="1"/>
  <c r="G8" i="2"/>
  <c r="G8" i="4" s="1"/>
  <c r="F61" i="6"/>
  <c r="F88" i="6" s="1"/>
  <c r="G9" i="2"/>
  <c r="G61" i="6"/>
  <c r="G88" i="6" s="1"/>
  <c r="G10" i="2"/>
  <c r="G10" i="4" s="1"/>
  <c r="A14" i="11"/>
  <c r="K10" i="11"/>
  <c r="K9" i="11"/>
  <c r="K55" i="6"/>
  <c r="K82" i="6" s="1"/>
  <c r="L12" i="2"/>
  <c r="J58" i="6"/>
  <c r="J85" i="6" s="1"/>
  <c r="A8" i="3"/>
  <c r="A8" i="4" s="1"/>
  <c r="A9" i="2"/>
  <c r="D58" i="6"/>
  <c r="D85" i="6" s="1"/>
  <c r="L6" i="2"/>
  <c r="L6" i="4" s="1"/>
  <c r="J6" i="2"/>
  <c r="C38" i="6"/>
  <c r="C55" i="6"/>
  <c r="C82" i="6" s="1"/>
  <c r="D62" i="6"/>
  <c r="D89" i="6" s="1"/>
  <c r="C59" i="6"/>
  <c r="C86" i="6" s="1"/>
  <c r="D6" i="2"/>
  <c r="D6" i="4" s="1"/>
  <c r="C62" i="6"/>
  <c r="C89" i="6" s="1"/>
  <c r="C63" i="6"/>
  <c r="C90" i="6" s="1"/>
  <c r="E6" i="2"/>
  <c r="E6" i="4" s="1"/>
  <c r="F15" i="2"/>
  <c r="F15" i="4" s="1"/>
  <c r="N60" i="6"/>
  <c r="N87" i="6" s="1"/>
  <c r="C17" i="2"/>
  <c r="C17" i="4" s="1"/>
  <c r="M55" i="6"/>
  <c r="M82" i="6" s="1"/>
  <c r="C14" i="2"/>
  <c r="C14" i="4" s="1"/>
  <c r="K60" i="6"/>
  <c r="K87" i="6" s="1"/>
  <c r="F16" i="2"/>
  <c r="F16" i="4" s="1"/>
  <c r="M58" i="6"/>
  <c r="M85" i="6" s="1"/>
  <c r="N58" i="6"/>
  <c r="N85" i="6" s="1"/>
  <c r="F17" i="2"/>
  <c r="F17" i="4" s="1"/>
  <c r="N55" i="6"/>
  <c r="N82" i="6" s="1"/>
  <c r="M60" i="6"/>
  <c r="M87" i="6" s="1"/>
  <c r="C16" i="2"/>
  <c r="C16" i="4" s="1"/>
  <c r="C9" i="2"/>
  <c r="C9" i="4" s="1"/>
  <c r="F60" i="6"/>
  <c r="F87" i="6" s="1"/>
  <c r="E63" i="6"/>
  <c r="E90" i="6" s="1"/>
  <c r="G7" i="4"/>
  <c r="D55" i="6"/>
  <c r="D82" i="6" s="1"/>
  <c r="E64" i="6"/>
  <c r="E91" i="6" s="1"/>
  <c r="L8" i="2"/>
  <c r="D64" i="6"/>
  <c r="D91" i="6" s="1"/>
  <c r="L7" i="2"/>
  <c r="L7" i="4" s="1"/>
  <c r="K7" i="2"/>
  <c r="K7" i="4" s="1"/>
  <c r="D60" i="6"/>
  <c r="D87" i="6" s="1"/>
  <c r="C7" i="2"/>
  <c r="C7" i="4" s="1"/>
  <c r="E7" i="2"/>
  <c r="E7" i="4" s="1"/>
  <c r="D63" i="6"/>
  <c r="D90" i="6" s="1"/>
  <c r="F6" i="2"/>
  <c r="F6" i="4" s="1"/>
  <c r="C58" i="6"/>
  <c r="C85" i="6" s="1"/>
  <c r="C6" i="2"/>
  <c r="C6" i="4" s="1"/>
  <c r="C60" i="6"/>
  <c r="C87" i="6" s="1"/>
  <c r="C56" i="6"/>
  <c r="K6" i="2"/>
  <c r="K6" i="4" s="1"/>
  <c r="I58" i="5"/>
  <c r="F64" i="6"/>
  <c r="L9" i="2"/>
  <c r="C13" i="2"/>
  <c r="J60" i="6"/>
  <c r="J87" i="6" s="1"/>
  <c r="I6" i="4"/>
  <c r="K28" i="6"/>
  <c r="H8" i="4"/>
  <c r="L10" i="2"/>
  <c r="G64" i="6"/>
  <c r="L8" i="3"/>
  <c r="H37" i="6"/>
  <c r="H11" i="2" s="1"/>
  <c r="H11" i="4" s="1"/>
  <c r="G62" i="6"/>
  <c r="G89" i="6" s="1"/>
  <c r="D10" i="2"/>
  <c r="D10" i="4" s="1"/>
  <c r="I28" i="6"/>
  <c r="L33" i="6"/>
  <c r="F62" i="6"/>
  <c r="F89" i="6" s="1"/>
  <c r="D9" i="2"/>
  <c r="J28" i="6"/>
  <c r="L14" i="2"/>
  <c r="K64" i="6"/>
  <c r="H82" i="6"/>
  <c r="E9" i="2"/>
  <c r="F63" i="6"/>
  <c r="F8" i="2"/>
  <c r="F8" i="4" s="1"/>
  <c r="E58" i="6"/>
  <c r="E85" i="6" s="1"/>
  <c r="F10" i="2"/>
  <c r="F10" i="4" s="1"/>
  <c r="G58" i="6"/>
  <c r="G85" i="6" s="1"/>
  <c r="F31" i="6"/>
  <c r="L64" i="6"/>
  <c r="L15" i="2"/>
  <c r="K8" i="2"/>
  <c r="K8" i="4" s="1"/>
  <c r="E56" i="6"/>
  <c r="G60" i="6"/>
  <c r="G87" i="6" s="1"/>
  <c r="C10" i="2"/>
  <c r="E29" i="6"/>
  <c r="E57" i="6" s="1"/>
  <c r="E84" i="6" s="1"/>
  <c r="H60" i="6"/>
  <c r="H87" i="6" s="1"/>
  <c r="C11" i="2"/>
  <c r="E8" i="3"/>
  <c r="H34" i="6"/>
  <c r="C12" i="2"/>
  <c r="I60" i="6"/>
  <c r="I87" i="6" s="1"/>
  <c r="J55" i="6"/>
  <c r="G13" i="4"/>
  <c r="N36" i="6"/>
  <c r="M36" i="6"/>
  <c r="J6" i="4"/>
  <c r="G35" i="6"/>
  <c r="H58" i="6"/>
  <c r="H85" i="6" s="1"/>
  <c r="F11" i="2"/>
  <c r="F11" i="4" s="1"/>
  <c r="J37" i="6"/>
  <c r="H13" i="2" s="1"/>
  <c r="H13" i="4" s="1"/>
  <c r="F55" i="6"/>
  <c r="F82" i="6" s="1"/>
  <c r="F7" i="4"/>
  <c r="C8" i="2"/>
  <c r="E60" i="6"/>
  <c r="E87" i="6" s="1"/>
  <c r="E31" i="6"/>
  <c r="D7" i="4"/>
  <c r="D57" i="6"/>
  <c r="D38" i="6"/>
  <c r="H64" i="6"/>
  <c r="L11" i="2"/>
  <c r="G55" i="6"/>
  <c r="J7" i="2"/>
  <c r="J7" i="4" s="1"/>
  <c r="I7" i="2"/>
  <c r="I7" i="4" s="1"/>
  <c r="D59" i="6"/>
  <c r="D86" i="6" s="1"/>
  <c r="I37" i="6"/>
  <c r="H12" i="2" s="1"/>
  <c r="H12" i="4" s="1"/>
  <c r="I55" i="6"/>
  <c r="L55" i="6"/>
  <c r="F58" i="6"/>
  <c r="F85" i="6" s="1"/>
  <c r="F9" i="2"/>
  <c r="F9" i="4" s="1"/>
  <c r="F56" i="6"/>
  <c r="F83" i="6" s="1"/>
  <c r="K9" i="2"/>
  <c r="K9" i="4" s="1"/>
  <c r="L13" i="2"/>
  <c r="J64" i="6"/>
  <c r="K11" i="2"/>
  <c r="K11" i="4" s="1"/>
  <c r="H56" i="6"/>
  <c r="H83" i="6" s="1"/>
  <c r="K14" i="11" l="1"/>
  <c r="L61" i="6"/>
  <c r="L88" i="6" s="1"/>
  <c r="G15" i="2"/>
  <c r="G15" i="4" s="1"/>
  <c r="A15" i="11"/>
  <c r="K15" i="11" s="1"/>
  <c r="E8" i="4"/>
  <c r="A10" i="2"/>
  <c r="A9" i="3"/>
  <c r="A9" i="4" s="1"/>
  <c r="L8" i="4"/>
  <c r="N6" i="2"/>
  <c r="C83" i="6"/>
  <c r="C65" i="6"/>
  <c r="F18" i="4"/>
  <c r="D84" i="6"/>
  <c r="D65" i="6"/>
  <c r="D92" i="6" s="1"/>
  <c r="G31" i="6"/>
  <c r="K12" i="2"/>
  <c r="K12" i="4" s="1"/>
  <c r="I56" i="6"/>
  <c r="I83" i="6" s="1"/>
  <c r="M6" i="4"/>
  <c r="M7" i="4"/>
  <c r="O7" i="4" s="1"/>
  <c r="F18" i="2"/>
  <c r="H35" i="6"/>
  <c r="L17" i="2"/>
  <c r="L17" i="4" s="1"/>
  <c r="N64" i="6"/>
  <c r="N91" i="6" s="1"/>
  <c r="I34" i="6"/>
  <c r="E9" i="3"/>
  <c r="F90" i="6"/>
  <c r="F29" i="6"/>
  <c r="I9" i="2"/>
  <c r="I9" i="4" s="1"/>
  <c r="F59" i="6"/>
  <c r="F86" i="6" s="1"/>
  <c r="J9" i="2"/>
  <c r="J9" i="4" s="1"/>
  <c r="I82" i="6"/>
  <c r="K37" i="6"/>
  <c r="H14" i="2" s="1"/>
  <c r="H14" i="4" s="1"/>
  <c r="C12" i="4"/>
  <c r="K13" i="2"/>
  <c r="K13" i="4" s="1"/>
  <c r="J56" i="6"/>
  <c r="J83" i="6" s="1"/>
  <c r="N33" i="6"/>
  <c r="M33" i="6"/>
  <c r="K56" i="6"/>
  <c r="K14" i="2"/>
  <c r="K14" i="4" s="1"/>
  <c r="G82" i="6"/>
  <c r="I8" i="2"/>
  <c r="I8" i="4" s="1"/>
  <c r="E59" i="6"/>
  <c r="E86" i="6" s="1"/>
  <c r="J8" i="2"/>
  <c r="C11" i="4"/>
  <c r="C10" i="4"/>
  <c r="E38" i="6"/>
  <c r="L9" i="3"/>
  <c r="L9" i="4" s="1"/>
  <c r="F91" i="6"/>
  <c r="L82" i="6"/>
  <c r="N7" i="2"/>
  <c r="C8" i="4"/>
  <c r="C18" i="2"/>
  <c r="G9" i="4"/>
  <c r="E10" i="2"/>
  <c r="G63" i="6"/>
  <c r="L16" i="2"/>
  <c r="M64" i="6"/>
  <c r="J82" i="6"/>
  <c r="H62" i="6"/>
  <c r="H89" i="6" s="1"/>
  <c r="D11" i="2"/>
  <c r="E83" i="6"/>
  <c r="D9" i="4"/>
  <c r="L28" i="6"/>
  <c r="C13" i="4"/>
  <c r="M61" i="6" l="1"/>
  <c r="M88" i="6" s="1"/>
  <c r="G16" i="2"/>
  <c r="N61" i="6"/>
  <c r="N88" i="6" s="1"/>
  <c r="G17" i="2"/>
  <c r="G17" i="4" s="1"/>
  <c r="A16" i="11"/>
  <c r="K16" i="11" s="1"/>
  <c r="E9" i="4"/>
  <c r="M9" i="4" s="1"/>
  <c r="O9" i="4" s="1"/>
  <c r="L18" i="2"/>
  <c r="A11" i="2"/>
  <c r="A10" i="3"/>
  <c r="A10" i="4" s="1"/>
  <c r="E65" i="6"/>
  <c r="E92" i="6" s="1"/>
  <c r="E93" i="6" s="1"/>
  <c r="N9" i="2"/>
  <c r="C92" i="6"/>
  <c r="C93" i="6" s="1"/>
  <c r="C52" i="6"/>
  <c r="C66" i="6"/>
  <c r="N28" i="6"/>
  <c r="M28" i="6"/>
  <c r="J8" i="4"/>
  <c r="M8" i="4" s="1"/>
  <c r="O8" i="4" s="1"/>
  <c r="K83" i="6"/>
  <c r="J34" i="6"/>
  <c r="H63" i="6"/>
  <c r="E11" i="2"/>
  <c r="O9" i="11"/>
  <c r="O8" i="11"/>
  <c r="E10" i="3"/>
  <c r="E10" i="4" s="1"/>
  <c r="G90" i="6"/>
  <c r="I35" i="6"/>
  <c r="G59" i="6"/>
  <c r="G86" i="6" s="1"/>
  <c r="J10" i="2"/>
  <c r="J10" i="4" s="1"/>
  <c r="I10" i="2"/>
  <c r="D93" i="6"/>
  <c r="C18" i="4"/>
  <c r="L10" i="3"/>
  <c r="L10" i="4" s="1"/>
  <c r="G91" i="6"/>
  <c r="K15" i="2"/>
  <c r="K15" i="4" s="1"/>
  <c r="L56" i="6"/>
  <c r="D11" i="4"/>
  <c r="N8" i="2"/>
  <c r="L37" i="6"/>
  <c r="H15" i="2" s="1"/>
  <c r="F57" i="6"/>
  <c r="F38" i="6"/>
  <c r="H31" i="6"/>
  <c r="G29" i="6"/>
  <c r="D12" i="2"/>
  <c r="I62" i="6"/>
  <c r="I89" i="6" s="1"/>
  <c r="D66" i="6"/>
  <c r="G16" i="4" l="1"/>
  <c r="G18" i="4" s="1"/>
  <c r="G18" i="2"/>
  <c r="A17" i="11"/>
  <c r="A18" i="11" s="1"/>
  <c r="A19" i="11" s="1"/>
  <c r="D9" i="11"/>
  <c r="F9" i="11" s="1"/>
  <c r="C94" i="6"/>
  <c r="C97" i="6" s="1"/>
  <c r="A12" i="2"/>
  <c r="A11" i="3"/>
  <c r="A11" i="4" s="1"/>
  <c r="E66" i="6"/>
  <c r="E94" i="6" s="1"/>
  <c r="E97" i="6" s="1"/>
  <c r="J11" i="2"/>
  <c r="J11" i="4" s="1"/>
  <c r="H59" i="6"/>
  <c r="H86" i="6" s="1"/>
  <c r="I11" i="2"/>
  <c r="H15" i="4"/>
  <c r="J62" i="6"/>
  <c r="J89" i="6" s="1"/>
  <c r="D13" i="2"/>
  <c r="M56" i="6"/>
  <c r="K16" i="2"/>
  <c r="K16" i="4" s="1"/>
  <c r="D12" i="4"/>
  <c r="I31" i="6"/>
  <c r="N37" i="6"/>
  <c r="H17" i="2" s="1"/>
  <c r="H17" i="4" s="1"/>
  <c r="M37" i="6"/>
  <c r="H16" i="2" s="1"/>
  <c r="H16" i="4" s="1"/>
  <c r="O10" i="11"/>
  <c r="K34" i="6"/>
  <c r="K17" i="2"/>
  <c r="K17" i="4" s="1"/>
  <c r="N56" i="6"/>
  <c r="G57" i="6"/>
  <c r="G38" i="6"/>
  <c r="O14" i="11"/>
  <c r="D94" i="6"/>
  <c r="D97" i="6" s="1"/>
  <c r="E12" i="2"/>
  <c r="I63" i="6"/>
  <c r="E11" i="3"/>
  <c r="H90" i="6"/>
  <c r="H29" i="6"/>
  <c r="F84" i="6"/>
  <c r="F65" i="6"/>
  <c r="F92" i="6" s="1"/>
  <c r="L83" i="6"/>
  <c r="L11" i="3"/>
  <c r="L11" i="4" s="1"/>
  <c r="H91" i="6"/>
  <c r="I10" i="4"/>
  <c r="M10" i="4" s="1"/>
  <c r="O10" i="4" s="1"/>
  <c r="N10" i="2"/>
  <c r="J35" i="6"/>
  <c r="K18" i="11" l="1"/>
  <c r="K17" i="11"/>
  <c r="D14" i="11"/>
  <c r="D10" i="11"/>
  <c r="F10" i="11" s="1"/>
  <c r="E11" i="4"/>
  <c r="A12" i="3"/>
  <c r="A12" i="4" s="1"/>
  <c r="A13" i="2"/>
  <c r="F93" i="6"/>
  <c r="F66" i="6"/>
  <c r="K18" i="4"/>
  <c r="K18" i="2"/>
  <c r="E13" i="2"/>
  <c r="J63" i="6"/>
  <c r="K62" i="6"/>
  <c r="K89" i="6" s="1"/>
  <c r="D14" i="2"/>
  <c r="I59" i="6"/>
  <c r="I86" i="6" s="1"/>
  <c r="J12" i="2"/>
  <c r="I12" i="2"/>
  <c r="I12" i="4" s="1"/>
  <c r="D13" i="4"/>
  <c r="K35" i="6"/>
  <c r="L12" i="3"/>
  <c r="L12" i="4" s="1"/>
  <c r="I91" i="6"/>
  <c r="K19" i="11"/>
  <c r="A20" i="11"/>
  <c r="J31" i="6"/>
  <c r="I11" i="4"/>
  <c r="H57" i="6"/>
  <c r="H38" i="6"/>
  <c r="M83" i="6"/>
  <c r="N83" i="6"/>
  <c r="L34" i="6"/>
  <c r="O15" i="11"/>
  <c r="I29" i="6"/>
  <c r="N11" i="2"/>
  <c r="E12" i="3"/>
  <c r="I90" i="6"/>
  <c r="G84" i="6"/>
  <c r="G65" i="6"/>
  <c r="G92" i="6" s="1"/>
  <c r="H18" i="4"/>
  <c r="H18" i="2"/>
  <c r="D15" i="11" l="1"/>
  <c r="F15" i="11" s="1"/>
  <c r="M11" i="4"/>
  <c r="O11" i="4" s="1"/>
  <c r="E12" i="4"/>
  <c r="F94" i="6"/>
  <c r="F97" i="6" s="1"/>
  <c r="A13" i="3"/>
  <c r="A13" i="4" s="1"/>
  <c r="A14" i="2"/>
  <c r="G93" i="6"/>
  <c r="G66" i="6"/>
  <c r="I57" i="6"/>
  <c r="I38" i="6"/>
  <c r="A21" i="11"/>
  <c r="K20" i="11"/>
  <c r="E14" i="2"/>
  <c r="K63" i="6"/>
  <c r="J12" i="4"/>
  <c r="J29" i="6"/>
  <c r="L62" i="6"/>
  <c r="L89" i="6" s="1"/>
  <c r="D15" i="2"/>
  <c r="I13" i="2"/>
  <c r="J13" i="2"/>
  <c r="J13" i="4" s="1"/>
  <c r="J59" i="6"/>
  <c r="J86" i="6" s="1"/>
  <c r="L35" i="6"/>
  <c r="E13" i="3"/>
  <c r="J90" i="6"/>
  <c r="N34" i="6"/>
  <c r="M34" i="6"/>
  <c r="F14" i="11"/>
  <c r="H84" i="6"/>
  <c r="H65" i="6"/>
  <c r="H92" i="6" s="1"/>
  <c r="K31" i="6"/>
  <c r="L13" i="3"/>
  <c r="L13" i="4" s="1"/>
  <c r="J91" i="6"/>
  <c r="D14" i="4"/>
  <c r="N12" i="2"/>
  <c r="D16" i="11" l="1"/>
  <c r="O16" i="11"/>
  <c r="E13" i="4"/>
  <c r="G94" i="6"/>
  <c r="G97" i="6" s="1"/>
  <c r="A14" i="3"/>
  <c r="A14" i="4" s="1"/>
  <c r="A15" i="2"/>
  <c r="H66" i="6"/>
  <c r="L31" i="6"/>
  <c r="E14" i="3"/>
  <c r="E14" i="4" s="1"/>
  <c r="K90" i="6"/>
  <c r="K29" i="6"/>
  <c r="D15" i="4"/>
  <c r="N62" i="6"/>
  <c r="N89" i="6" s="1"/>
  <c r="D17" i="2"/>
  <c r="M35" i="6"/>
  <c r="N35" i="6"/>
  <c r="A22" i="11"/>
  <c r="C39" i="11" s="1"/>
  <c r="K21" i="11"/>
  <c r="K91" i="6"/>
  <c r="L14" i="3"/>
  <c r="L14" i="4" s="1"/>
  <c r="M12" i="4"/>
  <c r="O12" i="4" s="1"/>
  <c r="I65" i="6"/>
  <c r="I92" i="6" s="1"/>
  <c r="I14" i="2"/>
  <c r="K59" i="6"/>
  <c r="K86" i="6" s="1"/>
  <c r="J14" i="2"/>
  <c r="J14" i="4" s="1"/>
  <c r="H93" i="6"/>
  <c r="D16" i="2"/>
  <c r="M62" i="6"/>
  <c r="M89" i="6" s="1"/>
  <c r="E15" i="2"/>
  <c r="L63" i="6"/>
  <c r="I13" i="4"/>
  <c r="J57" i="6"/>
  <c r="J38" i="6"/>
  <c r="N13" i="2"/>
  <c r="M13" i="4" l="1"/>
  <c r="O13" i="4" s="1"/>
  <c r="A15" i="3"/>
  <c r="A15" i="4" s="1"/>
  <c r="A16" i="2"/>
  <c r="H94" i="6"/>
  <c r="H97" i="6" s="1"/>
  <c r="K22" i="11"/>
  <c r="A3" i="11"/>
  <c r="K57" i="6"/>
  <c r="K38" i="6"/>
  <c r="L90" i="6"/>
  <c r="E15" i="3"/>
  <c r="I93" i="6"/>
  <c r="N63" i="6"/>
  <c r="N90" i="6" s="1"/>
  <c r="E17" i="2"/>
  <c r="F16" i="11"/>
  <c r="L29" i="6"/>
  <c r="J15" i="2"/>
  <c r="J15" i="4" s="1"/>
  <c r="I15" i="2"/>
  <c r="I15" i="4" s="1"/>
  <c r="L59" i="6"/>
  <c r="L86" i="6" s="1"/>
  <c r="D17" i="4"/>
  <c r="D18" i="2"/>
  <c r="J84" i="6"/>
  <c r="J65" i="6"/>
  <c r="J92" i="6" s="1"/>
  <c r="I66" i="6"/>
  <c r="D16" i="4"/>
  <c r="I14" i="4"/>
  <c r="M14" i="4" s="1"/>
  <c r="O14" i="4" s="1"/>
  <c r="N14" i="2"/>
  <c r="O17" i="11"/>
  <c r="L91" i="6"/>
  <c r="L15" i="3"/>
  <c r="L15" i="4" s="1"/>
  <c r="M63" i="6"/>
  <c r="E16" i="2"/>
  <c r="M31" i="6"/>
  <c r="N31" i="6"/>
  <c r="D17" i="11" l="1"/>
  <c r="D18" i="11"/>
  <c r="F18" i="11" s="1"/>
  <c r="O18" i="11"/>
  <c r="E15" i="4"/>
  <c r="M15" i="4" s="1"/>
  <c r="O15" i="4" s="1"/>
  <c r="A17" i="2"/>
  <c r="A16" i="3"/>
  <c r="A16" i="4" s="1"/>
  <c r="O19" i="11"/>
  <c r="B48" i="11"/>
  <c r="J17" i="2"/>
  <c r="I17" i="2"/>
  <c r="N59" i="6"/>
  <c r="N86" i="6" s="1"/>
  <c r="M90" i="6"/>
  <c r="E16" i="3"/>
  <c r="N15" i="2"/>
  <c r="M91" i="6"/>
  <c r="L16" i="3"/>
  <c r="L16" i="4" s="1"/>
  <c r="L18" i="4" s="1"/>
  <c r="D18" i="4"/>
  <c r="L57" i="6"/>
  <c r="L38" i="6"/>
  <c r="K84" i="6"/>
  <c r="K65" i="6"/>
  <c r="K92" i="6" s="1"/>
  <c r="J93" i="6"/>
  <c r="N29" i="6"/>
  <c r="M29" i="6"/>
  <c r="E17" i="4"/>
  <c r="E18" i="2"/>
  <c r="J16" i="2"/>
  <c r="J16" i="4" s="1"/>
  <c r="M59" i="6"/>
  <c r="M86" i="6" s="1"/>
  <c r="I16" i="2"/>
  <c r="I16" i="4" s="1"/>
  <c r="J66" i="6"/>
  <c r="I94" i="6"/>
  <c r="I97" i="6" s="1"/>
  <c r="F17" i="11" l="1"/>
  <c r="D19" i="11"/>
  <c r="F19" i="11" s="1"/>
  <c r="D20" i="11"/>
  <c r="F20" i="11" s="1"/>
  <c r="E16" i="4"/>
  <c r="M16" i="4" s="1"/>
  <c r="O16" i="4" s="1"/>
  <c r="O20" i="11"/>
  <c r="A17" i="3"/>
  <c r="A1" i="2"/>
  <c r="N17" i="2"/>
  <c r="M57" i="6"/>
  <c r="M38" i="6"/>
  <c r="L84" i="6"/>
  <c r="L65" i="6"/>
  <c r="L92" i="6" s="1"/>
  <c r="J94" i="6"/>
  <c r="J97" i="6" s="1"/>
  <c r="K93" i="6"/>
  <c r="J17" i="4"/>
  <c r="J18" i="4" s="1"/>
  <c r="J18" i="2"/>
  <c r="N57" i="6"/>
  <c r="N38" i="6"/>
  <c r="K66" i="6"/>
  <c r="I17" i="4"/>
  <c r="I18" i="4" s="1"/>
  <c r="I18" i="2"/>
  <c r="N16" i="2"/>
  <c r="D21" i="11" l="1"/>
  <c r="F21" i="11" s="1"/>
  <c r="E18" i="4"/>
  <c r="M18" i="4" s="1"/>
  <c r="N18" i="2"/>
  <c r="L66" i="6"/>
  <c r="A1" i="3"/>
  <c r="A17" i="4"/>
  <c r="O21" i="11"/>
  <c r="M84" i="6"/>
  <c r="M65" i="6"/>
  <c r="M92" i="6" s="1"/>
  <c r="N84" i="6"/>
  <c r="N65" i="6"/>
  <c r="N92" i="6" s="1"/>
  <c r="L93" i="6"/>
  <c r="K94" i="6"/>
  <c r="K97" i="6" s="1"/>
  <c r="M17" i="4"/>
  <c r="O17" i="4" s="1"/>
  <c r="L94" i="6" l="1"/>
  <c r="L97" i="6" s="1"/>
  <c r="N66" i="6"/>
  <c r="N93" i="6"/>
  <c r="M66" i="6"/>
  <c r="O22" i="11"/>
  <c r="O25" i="11" s="1"/>
  <c r="O26" i="11" s="1"/>
  <c r="O33" i="11" s="1"/>
  <c r="M93" i="6"/>
  <c r="N94" i="6" l="1"/>
  <c r="N97" i="6" s="1"/>
  <c r="D22" i="11"/>
  <c r="D24" i="11" s="1"/>
  <c r="O93" i="6"/>
  <c r="P93" i="6" s="1"/>
  <c r="M94" i="6"/>
  <c r="M97" i="6" s="1"/>
  <c r="F22" i="11" l="1"/>
  <c r="O6" i="4"/>
  <c r="D8" i="11" s="1"/>
  <c r="D12" i="11" s="1"/>
  <c r="D26" i="11" s="1"/>
  <c r="O18" i="4" l="1"/>
  <c r="P18" i="4" s="1"/>
  <c r="O4" i="4" s="1"/>
  <c r="F8" i="11"/>
  <c r="G32" i="11"/>
  <c r="F26" i="11" l="1"/>
  <c r="G57" i="11" s="1"/>
  <c r="I57" i="11" s="1"/>
  <c r="G45" i="11"/>
  <c r="G52" i="11" l="1"/>
  <c r="G54" i="11" s="1"/>
  <c r="I54" i="11" s="1"/>
  <c r="I59" i="11" s="1"/>
  <c r="I65" i="11" s="1"/>
  <c r="F45" i="11"/>
  <c r="F52" i="11" s="1"/>
  <c r="O34" i="11"/>
  <c r="O3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MG00005</author>
  </authors>
  <commentList>
    <comment ref="F33" authorId="0" shapeId="0" xr:uid="{00000000-0006-0000-0000-000001000000}">
      <text>
        <r>
          <rPr>
            <b/>
            <sz val="8"/>
            <color indexed="81"/>
            <rFont val="Tahoma"/>
            <family val="2"/>
          </rPr>
          <t>MG00005:</t>
        </r>
        <r>
          <rPr>
            <sz val="8"/>
            <color indexed="81"/>
            <rFont val="Tahoma"/>
            <family val="2"/>
          </rPr>
          <t xml:space="preserve">
blended rate - Lynnwood was $1.89 credit per cust per mo, Maltby was $0.44 debit per cust per mo.</t>
        </r>
      </text>
    </comment>
    <comment ref="F37" authorId="0" shapeId="0" xr:uid="{00000000-0006-0000-0000-000002000000}">
      <text>
        <r>
          <rPr>
            <b/>
            <sz val="8"/>
            <color indexed="81"/>
            <rFont val="Tahoma"/>
            <family val="2"/>
          </rPr>
          <t>MG00005:</t>
        </r>
        <r>
          <rPr>
            <sz val="8"/>
            <color indexed="81"/>
            <rFont val="Tahoma"/>
            <family val="2"/>
          </rPr>
          <t xml:space="preserve">
Base rate ("c") from prior year annual commodity credit calculation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Christensen, Abby Rose</author>
    <author>Johnson, Carla</author>
    <author>Alex Brenner</author>
  </authors>
  <commentList>
    <comment ref="B8" authorId="0" shapeId="0" xr:uid="{00000000-0006-0000-0100-000001000000}">
      <text>
        <r>
          <rPr>
            <b/>
            <sz val="9"/>
            <color indexed="81"/>
            <rFont val="Tahoma"/>
            <family val="2"/>
          </rPr>
          <t>Vander Zalm, Connor:</t>
        </r>
        <r>
          <rPr>
            <sz val="9"/>
            <color indexed="81"/>
            <rFont val="Tahoma"/>
            <family val="2"/>
          </rPr>
          <t xml:space="preserve">
We will continue to include Auburn-SeaTac and Renton-SeaTac (although they have annexed) until they have independent city contracts and are no longer to WUTC rates and commodity credits.
This timeline varies between the 2 areas and there is no actual hard date on which they convert. Will have to monitor this.</t>
        </r>
      </text>
    </comment>
    <comment ref="B9" authorId="1" shapeId="0" xr:uid="{00000000-0006-0000-0100-000002000000}">
      <text>
        <r>
          <rPr>
            <b/>
            <sz val="9"/>
            <color indexed="81"/>
            <rFont val="Tahoma"/>
            <family val="2"/>
          </rPr>
          <t>Johnson, Carla:</t>
        </r>
        <r>
          <rPr>
            <sz val="9"/>
            <color indexed="81"/>
            <rFont val="Tahoma"/>
            <family val="2"/>
          </rPr>
          <t xml:space="preserve">
RSA Workbook/Single Family/183 # of customers column R</t>
        </r>
      </text>
    </comment>
    <comment ref="F34" authorId="2" shapeId="0" xr:uid="{00000000-0006-0000-0100-000003000000}">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38" authorId="2" shapeId="0" xr:uid="{00000000-0006-0000-0100-00000400000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Brenner</author>
    <author>Johnson, Carla</author>
  </authors>
  <commentList>
    <comment ref="A7" authorId="0" shapeId="0" xr:uid="{00000000-0006-0000-0500-000001000000}">
      <text>
        <r>
          <rPr>
            <b/>
            <sz val="8"/>
            <color indexed="81"/>
            <rFont val="Tahoma"/>
            <family val="2"/>
          </rPr>
          <t>Alex Brenner:</t>
        </r>
        <r>
          <rPr>
            <sz val="8"/>
            <color indexed="81"/>
            <rFont val="Tahoma"/>
            <family val="2"/>
          </rPr>
          <t xml:space="preserve">
From 'ESMMYYTONS' spreadsheet, 'ESMMYYTONS' tab (where MM=month, YY=Year)</t>
        </r>
      </text>
    </comment>
    <comment ref="C7" authorId="1" shapeId="0" xr:uid="{00000000-0006-0000-0500-000002000000}">
      <text>
        <r>
          <rPr>
            <b/>
            <sz val="9"/>
            <color indexed="81"/>
            <rFont val="Tahoma"/>
            <family val="2"/>
          </rPr>
          <t>Johnson, Carla:</t>
        </r>
        <r>
          <rPr>
            <sz val="9"/>
            <color indexed="81"/>
            <rFont val="Tahoma"/>
            <family val="2"/>
          </rPr>
          <t xml:space="preserve">
RSA Workbook/Single Family/183 Tons column S</t>
        </r>
      </text>
    </comment>
    <comment ref="A12" authorId="0" shapeId="0" xr:uid="{00000000-0006-0000-0500-000003000000}">
      <text>
        <r>
          <rPr>
            <b/>
            <sz val="8"/>
            <color indexed="81"/>
            <rFont val="Tahoma"/>
            <family val="2"/>
          </rPr>
          <t>Alex Brenner:</t>
        </r>
        <r>
          <rPr>
            <sz val="8"/>
            <color indexed="81"/>
            <rFont val="Tahoma"/>
            <family val="2"/>
          </rPr>
          <t xml:space="preserve">
From 'ESMMYYTONS' Spreadsheet, 'Prices' tab (where MM=month, YY=Year)</t>
        </r>
      </text>
    </comment>
    <comment ref="A68" authorId="0" shapeId="0" xr:uid="{00000000-0006-0000-0500-00000400000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Jody Reid</author>
    <author>Johnson, Carla</author>
    <author>Cramer, Diane</author>
  </authors>
  <commentList>
    <comment ref="J4" authorId="0" shapeId="0" xr:uid="{D36888EB-E7B3-473E-A743-934A4EE7F3E9}">
      <text>
        <r>
          <rPr>
            <sz val="8"/>
            <color indexed="81"/>
            <rFont val="Tahoma"/>
            <family val="2"/>
          </rPr>
          <t>TTM Commodity value per customer x # of Customers x 12 months</t>
        </r>
      </text>
    </comment>
    <comment ref="L4" authorId="0" shapeId="0" xr:uid="{A0BFD5D0-6E38-465B-AB8A-72A4C0AB510A}">
      <text>
        <r>
          <rPr>
            <sz val="8"/>
            <color indexed="81"/>
            <rFont val="Tahoma"/>
            <family val="2"/>
          </rPr>
          <t xml:space="preserve">Customer Count Today x 12 months x Base Pass Back Rate
</t>
        </r>
      </text>
    </comment>
    <comment ref="D13" authorId="1" shapeId="0" xr:uid="{77FECF41-6FDE-451C-9400-C83989D8E45C}">
      <text>
        <r>
          <rPr>
            <b/>
            <sz val="9"/>
            <color indexed="81"/>
            <rFont val="Tahoma"/>
            <family val="2"/>
          </rPr>
          <t>Johnson, Carla:</t>
        </r>
        <r>
          <rPr>
            <sz val="9"/>
            <color indexed="81"/>
            <rFont val="Tahoma"/>
            <family val="2"/>
          </rPr>
          <t xml:space="preserve">
Total 2 yr Plan based on 50% of revenue from customers and tons</t>
        </r>
      </text>
    </comment>
    <comment ref="D16" authorId="1" shapeId="0" xr:uid="{78D3D4E3-0F0F-41D2-A8D1-BA6AF4FB87D2}">
      <text>
        <r>
          <rPr>
            <b/>
            <sz val="9"/>
            <color indexed="81"/>
            <rFont val="Tahoma"/>
            <family val="2"/>
          </rPr>
          <t>Johnson, Carla:</t>
        </r>
        <r>
          <rPr>
            <sz val="9"/>
            <color indexed="81"/>
            <rFont val="Tahoma"/>
            <family val="2"/>
          </rPr>
          <t xml:space="preserve">
= Plan Spend subtracted from Plan Value.</t>
        </r>
      </text>
    </comment>
    <comment ref="J18" authorId="0" shapeId="0" xr:uid="{04B1D440-770E-420A-92B8-1FBB0633C9B5}">
      <text>
        <r>
          <rPr>
            <sz val="8"/>
            <color indexed="81"/>
            <rFont val="Tahoma"/>
            <family val="2"/>
          </rPr>
          <t>TTM Commodity value per customer x # of Customers x 12 months</t>
        </r>
      </text>
    </comment>
    <comment ref="L18" authorId="0" shapeId="0" xr:uid="{560CABDE-DEA7-4161-97C5-906DB88A9908}">
      <text>
        <r>
          <rPr>
            <sz val="8"/>
            <color indexed="81"/>
            <rFont val="Tahoma"/>
            <family val="2"/>
          </rPr>
          <t xml:space="preserve">Customer Count Today x 12 months x Base Pass Back Rate
</t>
        </r>
      </text>
    </comment>
    <comment ref="B28" authorId="1" shapeId="0" xr:uid="{8C36923A-A2DD-454F-8894-28202EB99180}">
      <text>
        <r>
          <rPr>
            <b/>
            <sz val="9"/>
            <color indexed="81"/>
            <rFont val="Tahoma"/>
            <family val="2"/>
          </rPr>
          <t>Johnson, Carla:</t>
        </r>
        <r>
          <rPr>
            <sz val="9"/>
            <color indexed="81"/>
            <rFont val="Tahoma"/>
            <family val="2"/>
          </rPr>
          <t xml:space="preserve">
50% value of 172, 176, 183 averge</t>
        </r>
      </text>
    </comment>
    <comment ref="B29" authorId="2" shapeId="0" xr:uid="{75A13D84-FAF8-425E-BD58-FB56B27F74D7}">
      <text>
        <r>
          <rPr>
            <b/>
            <sz val="9"/>
            <color indexed="81"/>
            <rFont val="Tahoma"/>
            <family val="2"/>
          </rPr>
          <t>Cramer, Diane:</t>
        </r>
        <r>
          <rPr>
            <sz val="9"/>
            <color indexed="81"/>
            <rFont val="Tahoma"/>
            <family val="2"/>
          </rPr>
          <t xml:space="preserve">
Change formula to calculate # of actual months to get avg tons</t>
        </r>
      </text>
    </comment>
    <comment ref="E29" authorId="2" shapeId="0" xr:uid="{D93A59A7-3E58-4CF0-8714-68128F86B29C}">
      <text>
        <r>
          <rPr>
            <b/>
            <sz val="9"/>
            <color indexed="81"/>
            <rFont val="Tahoma"/>
            <family val="2"/>
          </rPr>
          <t>Cramer, Diane:</t>
        </r>
        <r>
          <rPr>
            <sz val="9"/>
            <color indexed="81"/>
            <rFont val="Tahoma"/>
            <family val="2"/>
          </rPr>
          <t xml:space="preserve">
Change formula to calculate # of actual months to get avg tons</t>
        </r>
      </text>
    </comment>
    <comment ref="B30" authorId="1" shapeId="0" xr:uid="{B85E67E8-28E1-493C-8D9D-5B6F88E067A1}">
      <text>
        <r>
          <rPr>
            <b/>
            <sz val="9"/>
            <color indexed="81"/>
            <rFont val="Tahoma"/>
            <family val="2"/>
          </rPr>
          <t>Johnson, Carla:</t>
        </r>
        <r>
          <rPr>
            <sz val="9"/>
            <color indexed="81"/>
            <rFont val="Tahoma"/>
            <family val="2"/>
          </rPr>
          <t xml:space="preserve">
# of months left in yr</t>
        </r>
      </text>
    </comment>
    <comment ref="E30" authorId="1" shapeId="0" xr:uid="{813A3CDF-28B9-4C41-8F06-18500EE3BFB2}">
      <text>
        <r>
          <rPr>
            <b/>
            <sz val="9"/>
            <color indexed="81"/>
            <rFont val="Tahoma"/>
            <family val="2"/>
          </rPr>
          <t>Johnson, Carla:</t>
        </r>
        <r>
          <rPr>
            <sz val="9"/>
            <color indexed="81"/>
            <rFont val="Tahoma"/>
            <family val="2"/>
          </rPr>
          <t xml:space="preserve">
# of months left in yr</t>
        </r>
      </text>
    </comment>
    <comment ref="E31" authorId="1" shapeId="0" xr:uid="{8F8A3BB1-DC43-4122-9E73-2A5CA51ED335}">
      <text>
        <r>
          <rPr>
            <b/>
            <sz val="9"/>
            <color indexed="81"/>
            <rFont val="Tahoma"/>
            <family val="2"/>
          </rPr>
          <t>Johnson, Carla:</t>
        </r>
        <r>
          <rPr>
            <sz val="9"/>
            <color indexed="81"/>
            <rFont val="Tahoma"/>
            <family val="2"/>
          </rPr>
          <t xml:space="preserve">
Forecast of expected total budget at end of  for 2 yr plan less expenses already entered.</t>
        </r>
      </text>
    </comment>
    <comment ref="J32" authorId="0" shapeId="0" xr:uid="{B4D1242D-1BAB-4AF8-ABD2-25668425B9BF}">
      <text>
        <r>
          <rPr>
            <sz val="8"/>
            <color indexed="81"/>
            <rFont val="Tahoma"/>
            <family val="2"/>
          </rPr>
          <t>TTM Commodity value per customer x # of Customers x 12 months</t>
        </r>
      </text>
    </comment>
    <comment ref="L32" authorId="0" shapeId="0" xr:uid="{B368E382-0AFC-4B57-B7DA-0DA01E6A6E14}">
      <text>
        <r>
          <rPr>
            <sz val="8"/>
            <color indexed="81"/>
            <rFont val="Tahoma"/>
            <family val="2"/>
          </rPr>
          <t xml:space="preserve">Customer Count Today x 12 months x Base Pass Back Rate
</t>
        </r>
      </text>
    </comment>
  </commentList>
</comments>
</file>

<file path=xl/sharedStrings.xml><?xml version="1.0" encoding="utf-8"?>
<sst xmlns="http://schemas.openxmlformats.org/spreadsheetml/2006/main" count="329" uniqueCount="159">
  <si>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</si>
  <si>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</si>
  <si>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</si>
  <si>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</si>
  <si>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</si>
  <si>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</si>
  <si>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</si>
  <si>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</si>
  <si>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</si>
  <si>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</si>
  <si>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</si>
  <si>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</si>
  <si>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</si>
  <si>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</si>
  <si>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</si>
  <si>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</si>
  <si>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</si>
  <si>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</si>
  <si>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Excess Commodity Credits</t>
  </si>
  <si>
    <t>2007 True-up Computation</t>
  </si>
  <si>
    <t>Total Annual Customers</t>
  </si>
  <si>
    <t>Alum</t>
  </si>
  <si>
    <t>Glass</t>
  </si>
  <si>
    <t>ONP</t>
  </si>
  <si>
    <t>MWP</t>
  </si>
  <si>
    <t>Pet</t>
  </si>
  <si>
    <t>HDPE</t>
  </si>
  <si>
    <t>OCC</t>
  </si>
  <si>
    <t>Other</t>
  </si>
  <si>
    <t>Total</t>
  </si>
  <si>
    <t xml:space="preserve">Total </t>
  </si>
  <si>
    <t>Lynnwood Disposal</t>
  </si>
  <si>
    <t>TG-06______</t>
  </si>
  <si>
    <t>For the Year Ended August 31, 2006</t>
  </si>
  <si>
    <t>July-Aug 07</t>
  </si>
  <si>
    <t>Sept 05 - June 06</t>
  </si>
  <si>
    <t>Customers from 7/05 - 8/05</t>
  </si>
  <si>
    <t>Customers from 9/05 - 6/06</t>
  </si>
  <si>
    <t>Sept 1, 2006 Recycle Adjustment Calculation</t>
  </si>
  <si>
    <t>2006 Monthly True-up Charge</t>
  </si>
  <si>
    <t>12 month running average "BASE CREDIT" adjusted for 2 mos of 2005</t>
  </si>
  <si>
    <t>2007-2008 Projected Credit</t>
  </si>
  <si>
    <t>2007 Adjusted Credit</t>
  </si>
  <si>
    <t>Commodity Value Timeframe:  October - September</t>
  </si>
  <si>
    <t>Total Tons</t>
  </si>
  <si>
    <t>Sorted Glass Percentage</t>
  </si>
  <si>
    <t>Sorted Glass</t>
  </si>
  <si>
    <t>Sampled Tons</t>
  </si>
  <si>
    <t>Sampling Percentages</t>
  </si>
  <si>
    <t>Magazines</t>
  </si>
  <si>
    <t>Tin</t>
  </si>
  <si>
    <t>Plastic</t>
  </si>
  <si>
    <t>Aluminum</t>
  </si>
  <si>
    <t>Ferris Metal</t>
  </si>
  <si>
    <t>Trash</t>
  </si>
  <si>
    <t>Mixed Paper</t>
  </si>
  <si>
    <t>Sampled Tonnage</t>
  </si>
  <si>
    <t>Recovery Percentages</t>
  </si>
  <si>
    <t>Recovered Tonnages</t>
  </si>
  <si>
    <t xml:space="preserve">Product Sales Rates </t>
  </si>
  <si>
    <t>Product Value</t>
  </si>
  <si>
    <t>Total Value</t>
  </si>
  <si>
    <t>Value per Ton</t>
  </si>
  <si>
    <t>C</t>
  </si>
  <si>
    <t>D</t>
  </si>
  <si>
    <t>E</t>
  </si>
  <si>
    <t>F</t>
  </si>
  <si>
    <t>G</t>
  </si>
  <si>
    <t>H</t>
  </si>
  <si>
    <t>I</t>
  </si>
  <si>
    <t>J</t>
  </si>
  <si>
    <t>K</t>
  </si>
  <si>
    <t>L</t>
  </si>
  <si>
    <t>M</t>
  </si>
  <si>
    <t>N</t>
  </si>
  <si>
    <t>East Side</t>
  </si>
  <si>
    <t>TG-12______</t>
  </si>
  <si>
    <t>For use in Budget Calculation</t>
  </si>
  <si>
    <t>Total Trailing 12 Mo. Commodity Value / Customer</t>
  </si>
  <si>
    <t>Most recent Total # of Customers</t>
  </si>
  <si>
    <t>Budget total Revenue</t>
  </si>
  <si>
    <t>Budget Revenue Passed Back</t>
  </si>
  <si>
    <t>Current Plan Part A Total</t>
  </si>
  <si>
    <t>% of Revenue Passed Back</t>
  </si>
  <si>
    <t>% Passed Back</t>
  </si>
  <si>
    <t xml:space="preserve"> True-up Computation</t>
  </si>
  <si>
    <t xml:space="preserve"> Projected Debit</t>
  </si>
  <si>
    <t>Material Shrinkage</t>
  </si>
  <si>
    <t>Shrinkage</t>
  </si>
  <si>
    <t>Metal</t>
  </si>
  <si>
    <t>Underspent RSA per King County report</t>
  </si>
  <si>
    <t>Allocation to Divisions:</t>
  </si>
  <si>
    <t>SF portion</t>
  </si>
  <si>
    <t>MF portion</t>
  </si>
  <si>
    <t>Bellevue</t>
  </si>
  <si>
    <t>Kent</t>
  </si>
  <si>
    <t>SeaTac</t>
  </si>
  <si>
    <t>RSA Rev breakdown:</t>
  </si>
  <si>
    <t>SF $</t>
  </si>
  <si>
    <t>MF $</t>
  </si>
  <si>
    <t>SF %</t>
  </si>
  <si>
    <t>MF %</t>
  </si>
  <si>
    <t>Credit per customer</t>
  </si>
  <si>
    <t>Rabanco Ltd (dba Allied Waste of Seatac)</t>
  </si>
  <si>
    <t>Commodity Value versus Credits</t>
  </si>
  <si>
    <t>Unspent RSA dollars</t>
  </si>
  <si>
    <t xml:space="preserve">12 month running average "BASE CREDIT" </t>
  </si>
  <si>
    <t>2020/2021 Monthly True-up Amount</t>
  </si>
  <si>
    <t>Prior three months</t>
  </si>
  <si>
    <t>Total Passback at end of 2 year plan year 2023</t>
  </si>
  <si>
    <t>Per RSA File</t>
  </si>
  <si>
    <t>Per UTC Filing</t>
  </si>
  <si>
    <t>Variance</t>
  </si>
  <si>
    <t>Current Month</t>
  </si>
  <si>
    <t>Plan Spend</t>
  </si>
  <si>
    <t>50% RSA Retained</t>
  </si>
  <si>
    <t>50% Passed to Customers</t>
  </si>
  <si>
    <t>Commodity Revenue</t>
  </si>
  <si>
    <t xml:space="preserve">172 Eastside Single-Family Value </t>
  </si>
  <si>
    <t>Invoices</t>
  </si>
  <si>
    <t xml:space="preserve">Eastside Multi-Family Value </t>
  </si>
  <si>
    <t>Monthly Reporting</t>
  </si>
  <si>
    <t>Labor</t>
  </si>
  <si>
    <t xml:space="preserve">176 Kent-Meridian Single-Family Value </t>
  </si>
  <si>
    <t xml:space="preserve">Kent-Meridian Multi-Family Value </t>
  </si>
  <si>
    <t>5% Incentive</t>
  </si>
  <si>
    <t>Plan Value</t>
  </si>
  <si>
    <t xml:space="preserve">183 SeaTac Single-Family Value </t>
  </si>
  <si>
    <t xml:space="preserve">SeaTac Multi-Family Value </t>
  </si>
  <si>
    <t>Total Revenue Retained</t>
  </si>
  <si>
    <t>Actual Available Spend</t>
  </si>
  <si>
    <t>Year 1</t>
  </si>
  <si>
    <t>Division Spend</t>
  </si>
  <si>
    <t>Forecasted Yr 1</t>
  </si>
  <si>
    <t>Commodity Value</t>
  </si>
  <si>
    <t>Avg Tons / month</t>
  </si>
  <si>
    <t># months forecast</t>
  </si>
  <si>
    <t>Year 2</t>
  </si>
  <si>
    <t>Forecasted Yr 1 Value</t>
  </si>
  <si>
    <t>Forecasted Yr2 Value</t>
  </si>
  <si>
    <t>Forecasted Yr 1 Spend</t>
  </si>
  <si>
    <t>Rollover Amount from Yr 1</t>
  </si>
  <si>
    <t>8/1/22 - 7/31/23 Adjusted Credit</t>
  </si>
  <si>
    <t>Forecast Yr 2 Total</t>
  </si>
  <si>
    <t>To Date Yr2 Spend</t>
  </si>
  <si>
    <t>Forecasted Rollover Amount to Yr 2</t>
  </si>
  <si>
    <t>Actual Yr 1 Spend</t>
  </si>
  <si>
    <t>Rollover Amount to Yr 2</t>
  </si>
  <si>
    <t>Forecasted Available</t>
  </si>
  <si>
    <t>SeaTac SF RSA Unspent</t>
  </si>
  <si>
    <t>See RSA Tab</t>
  </si>
  <si>
    <t>King County RSA Plan 2023 - 2025</t>
  </si>
  <si>
    <t>2023 - 2025</t>
  </si>
  <si>
    <t>2023-2024</t>
  </si>
  <si>
    <t>2024-2025</t>
  </si>
  <si>
    <t>2023 - 2024</t>
  </si>
  <si>
    <t>2024 - 2025</t>
  </si>
  <si>
    <t>Rollover into plan year 2</t>
  </si>
  <si>
    <t>Calculate credit/debit per customer at the end of plan year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</si>
</sst>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_(* #,##0.000_);_(* \(#,##0.000\);_(* &quot;-&quot;_);_(@_)"/>
    <numFmt numFmtId="169" formatCode="mmmm"/>
    <numFmt numFmtId="170" formatCode="#,##0.000"/>
    <numFmt numFmtId="171" formatCode="#,##0.0000"/>
    <numFmt numFmtId="172" formatCode="mmmm\-yy"/>
    <numFmt numFmtId="173" formatCode="&quot;$&quot;#,##0.00"/>
    <numFmt numFmtId="174" formatCode="0.000"/>
    <numFmt numFmtId="175" formatCode="_(&quot;$&quot;* #,##0_);_(&quot;$&quot;* \(#,##0\);_(&quot;$&quot;* &quot;-&quot;??_);_(@_)"/>
    <numFmt numFmtId="176" formatCode="[$-409]mmm\-yy;@"/>
  </numFmts>
  <fonts count="29" x14ac:knownFonts="1">
    <font>
      <sz val="10"/>
      <name val="Arial"/>
    </font>
    <font>
      <sz val="11"/>
      <color theme="1"/>
      <name val="Calibri"/>
      <family val="2"/>
      <scheme val="minor"/>
    </font>
    <font>
      <sz val="11"/>
      <color theme="1"/>
      <name val="Calibri"/>
      <family val="2"/>
      <scheme val="minor"/>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i/>
      <sz val="14"/>
      <name val="Arial"/>
      <family val="2"/>
    </font>
    <font>
      <b/>
      <sz val="8"/>
      <color indexed="81"/>
      <name val="Tahoma"/>
      <family val="2"/>
    </font>
    <font>
      <sz val="8"/>
      <color indexed="81"/>
      <name val="Tahoma"/>
      <family val="2"/>
    </font>
    <font>
      <b/>
      <sz val="8"/>
      <name val="Arial"/>
      <family val="2"/>
    </font>
    <font>
      <b/>
      <i/>
      <sz val="8"/>
      <name val="Arial"/>
      <family val="2"/>
    </font>
    <font>
      <i/>
      <sz val="8"/>
      <color indexed="12"/>
      <name val="Arial"/>
      <family val="2"/>
    </font>
    <font>
      <sz val="9"/>
      <color indexed="81"/>
      <name val="Tahoma"/>
      <family val="2"/>
    </font>
    <font>
      <b/>
      <sz val="9"/>
      <color indexed="81"/>
      <name val="Tahoma"/>
      <family val="2"/>
    </font>
    <font>
      <sz val="10"/>
      <color indexed="10"/>
      <name val="Arial"/>
      <family val="2"/>
    </font>
    <font>
      <sz val="11"/>
      <color theme="1"/>
      <name val="Calibri"/>
      <family val="2"/>
      <scheme val="minor"/>
    </font>
    <font>
      <sz val="8"/>
      <color rgb="FFFF0000"/>
      <name val="Arial"/>
      <family val="2"/>
    </font>
    <font>
      <sz val="10"/>
      <color rgb="FF0000FF"/>
      <name val="Arial"/>
      <family val="2"/>
    </font>
    <font>
      <sz val="11"/>
      <color rgb="FF0000FF"/>
      <name val="Calibri"/>
      <family val="2"/>
      <scheme val="minor"/>
    </font>
    <font>
      <b/>
      <sz val="12"/>
      <name val="Arial"/>
      <family val="2"/>
    </font>
    <font>
      <sz val="11"/>
      <color theme="1" tint="0.34998626667073579"/>
      <name val="Calibri"/>
      <family val="2"/>
      <scheme val="minor"/>
    </font>
    <font>
      <sz val="10"/>
      <color theme="1" tint="0.34998626667073579"/>
      <name val="Arial"/>
      <family val="2"/>
    </font>
  </fonts>
  <fills count="13">
    <fill>
      <patternFill patternType="none"/>
    </fill>
    <fill>
      <patternFill patternType="gray125"/>
    </fill>
    <fill>
      <patternFill patternType="solid">
        <fgColor indexed="43"/>
        <bgColor indexed="43"/>
      </patternFill>
    </fill>
    <fill>
      <patternFill patternType="solid">
        <fgColor indexed="43"/>
        <bgColor indexed="64"/>
      </patternFill>
    </fill>
    <fill>
      <patternFill patternType="solid">
        <fgColor rgb="FFFFFFCC"/>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79998168889431442"/>
        <bgColor indexed="64"/>
      </patternFill>
    </fill>
  </fills>
  <borders count="32">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right style="hair">
        <color indexed="64"/>
      </right>
      <top style="thin">
        <color indexed="64"/>
      </top>
      <bottom style="hair">
        <color indexed="64"/>
      </bottom>
      <diagonal/>
    </border>
    <border>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15">
    <xf numFmtId="0" fontId="0" fillId="0" borderId="0"/>
    <xf numFmtId="43" fontId="3" fillId="0" borderId="0" applyFont="0" applyFill="0" applyBorder="0" applyAlignment="0" applyProtection="0"/>
    <xf numFmtId="43" fontId="22" fillId="0" borderId="0" applyFont="0" applyFill="0" applyBorder="0" applyAlignment="0" applyProtection="0"/>
    <xf numFmtId="44" fontId="3" fillId="0" borderId="0" applyFont="0" applyFill="0" applyBorder="0" applyAlignment="0" applyProtection="0"/>
    <xf numFmtId="0" fontId="22" fillId="0" borderId="0"/>
    <xf numFmtId="0" fontId="4" fillId="0" borderId="0"/>
    <xf numFmtId="0" fontId="3" fillId="4" borderId="11" applyNumberFormat="0" applyFont="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44" fontId="2" fillId="0" borderId="0" applyFont="0" applyFill="0" applyBorder="0" applyAlignment="0" applyProtection="0"/>
    <xf numFmtId="0" fontId="3" fillId="0" borderId="0"/>
    <xf numFmtId="0" fontId="1" fillId="0" borderId="0"/>
  </cellStyleXfs>
  <cellXfs count="213">
    <xf numFmtId="0" fontId="0" fillId="0" borderId="0" xfId="0"/>
    <xf numFmtId="0" fontId="5" fillId="0" borderId="0" xfId="5" applyFont="1"/>
    <xf numFmtId="0" fontId="6" fillId="0" borderId="0" xfId="5" applyFont="1"/>
    <xf numFmtId="0" fontId="6" fillId="0" borderId="0" xfId="5" applyFont="1" applyAlignment="1">
      <alignment horizontal="center"/>
    </xf>
    <xf numFmtId="0" fontId="7" fillId="0" borderId="0" xfId="5" applyFont="1" applyAlignment="1">
      <alignment horizontal="center"/>
    </xf>
    <xf numFmtId="0" fontId="4" fillId="0" borderId="0" xfId="5"/>
    <xf numFmtId="0" fontId="8" fillId="0" borderId="0" xfId="5" applyFont="1"/>
    <xf numFmtId="14" fontId="6" fillId="0" borderId="0" xfId="5" applyNumberFormat="1" applyFont="1" applyAlignment="1">
      <alignment horizontal="center"/>
    </xf>
    <xf numFmtId="0" fontId="9" fillId="0" borderId="0" xfId="5" applyFont="1"/>
    <xf numFmtId="0" fontId="10" fillId="0" borderId="0" xfId="5" applyFont="1"/>
    <xf numFmtId="0" fontId="10" fillId="0" borderId="0" xfId="5" applyFont="1" applyAlignment="1">
      <alignment horizontal="center"/>
    </xf>
    <xf numFmtId="0" fontId="8" fillId="0" borderId="0" xfId="5" applyFont="1" applyAlignment="1">
      <alignment horizontal="center"/>
    </xf>
    <xf numFmtId="167" fontId="8" fillId="0" borderId="0" xfId="5" applyNumberFormat="1" applyFont="1" applyAlignment="1">
      <alignment horizontal="center"/>
    </xf>
    <xf numFmtId="1" fontId="6" fillId="0" borderId="0" xfId="5" applyNumberFormat="1" applyFont="1"/>
    <xf numFmtId="41" fontId="6" fillId="0" borderId="0" xfId="5" applyNumberFormat="1" applyFont="1"/>
    <xf numFmtId="167" fontId="8" fillId="0" borderId="0" xfId="5" applyNumberFormat="1" applyFont="1"/>
    <xf numFmtId="167" fontId="6" fillId="0" borderId="0" xfId="5" applyNumberFormat="1" applyFont="1"/>
    <xf numFmtId="169" fontId="6" fillId="0" borderId="0" xfId="5" applyNumberFormat="1" applyFont="1" applyAlignment="1">
      <alignment horizontal="right"/>
    </xf>
    <xf numFmtId="167" fontId="6" fillId="0" borderId="0" xfId="5" applyNumberFormat="1" applyFont="1" applyAlignment="1">
      <alignment horizontal="center"/>
    </xf>
    <xf numFmtId="41" fontId="11" fillId="0" borderId="0" xfId="5" applyNumberFormat="1" applyFont="1"/>
    <xf numFmtId="41" fontId="12" fillId="0" borderId="0" xfId="5" applyNumberFormat="1" applyFont="1" applyAlignment="1">
      <alignment horizontal="left"/>
    </xf>
    <xf numFmtId="41" fontId="6" fillId="0" borderId="1" xfId="5" applyNumberFormat="1" applyFont="1" applyBorder="1"/>
    <xf numFmtId="167" fontId="6" fillId="0" borderId="1" xfId="5" applyNumberFormat="1" applyFont="1" applyBorder="1"/>
    <xf numFmtId="168" fontId="6" fillId="0" borderId="0" xfId="5" applyNumberFormat="1" applyFont="1"/>
    <xf numFmtId="17" fontId="6" fillId="0" borderId="0" xfId="5" applyNumberFormat="1" applyFont="1" applyAlignment="1">
      <alignment horizontal="right"/>
    </xf>
    <xf numFmtId="167" fontId="4" fillId="0" borderId="0" xfId="5" applyNumberFormat="1"/>
    <xf numFmtId="169" fontId="6" fillId="0" borderId="0" xfId="5" applyNumberFormat="1" applyFont="1"/>
    <xf numFmtId="41" fontId="6" fillId="0" borderId="2" xfId="5" applyNumberFormat="1" applyFont="1" applyBorder="1"/>
    <xf numFmtId="167" fontId="6" fillId="0" borderId="2" xfId="5" applyNumberFormat="1" applyFont="1" applyBorder="1"/>
    <xf numFmtId="41" fontId="8" fillId="0" borderId="3" xfId="5" applyNumberFormat="1" applyFont="1" applyBorder="1"/>
    <xf numFmtId="41" fontId="6" fillId="0" borderId="3" xfId="5" applyNumberFormat="1" applyFont="1" applyBorder="1"/>
    <xf numFmtId="41" fontId="9" fillId="0" borderId="0" xfId="5" applyNumberFormat="1" applyFont="1"/>
    <xf numFmtId="41" fontId="6" fillId="0" borderId="0" xfId="5" applyNumberFormat="1" applyFont="1" applyAlignment="1">
      <alignment horizontal="right"/>
    </xf>
    <xf numFmtId="1" fontId="9" fillId="0" borderId="0" xfId="5" applyNumberFormat="1" applyFont="1"/>
    <xf numFmtId="168" fontId="11" fillId="0" borderId="0" xfId="5" applyNumberFormat="1" applyFont="1"/>
    <xf numFmtId="41" fontId="6" fillId="0" borderId="4" xfId="5" applyNumberFormat="1" applyFont="1" applyBorder="1"/>
    <xf numFmtId="41" fontId="6" fillId="0" borderId="5" xfId="5" applyNumberFormat="1" applyFont="1" applyBorder="1"/>
    <xf numFmtId="41" fontId="6" fillId="0" borderId="6" xfId="5" applyNumberFormat="1" applyFont="1" applyBorder="1"/>
    <xf numFmtId="168" fontId="6" fillId="0" borderId="2" xfId="5" applyNumberFormat="1" applyFont="1" applyBorder="1"/>
    <xf numFmtId="168" fontId="6" fillId="0" borderId="6" xfId="5" applyNumberFormat="1" applyFont="1" applyBorder="1"/>
    <xf numFmtId="167" fontId="13" fillId="0" borderId="0" xfId="5" applyNumberFormat="1" applyFont="1" applyAlignment="1">
      <alignment horizontal="centerContinuous"/>
    </xf>
    <xf numFmtId="167" fontId="6" fillId="0" borderId="0" xfId="5" applyNumberFormat="1" applyFont="1" applyAlignment="1">
      <alignment horizontal="centerContinuous"/>
    </xf>
    <xf numFmtId="41" fontId="11" fillId="0" borderId="0" xfId="5" applyNumberFormat="1" applyFont="1" applyAlignment="1">
      <alignment horizontal="center"/>
    </xf>
    <xf numFmtId="167" fontId="6" fillId="0" borderId="4" xfId="5" applyNumberFormat="1" applyFont="1" applyBorder="1"/>
    <xf numFmtId="167" fontId="6" fillId="0" borderId="6" xfId="5" applyNumberFormat="1" applyFont="1" applyBorder="1"/>
    <xf numFmtId="2" fontId="4" fillId="0" borderId="0" xfId="5" applyNumberFormat="1"/>
    <xf numFmtId="0" fontId="5" fillId="0" borderId="0" xfId="0" applyFont="1"/>
    <xf numFmtId="17" fontId="0" fillId="0" borderId="0" xfId="0" applyNumberFormat="1"/>
    <xf numFmtId="17" fontId="5" fillId="0" borderId="0" xfId="0" applyNumberFormat="1" applyFont="1" applyAlignment="1">
      <alignment horizontal="center"/>
    </xf>
    <xf numFmtId="170" fontId="0" fillId="0" borderId="0" xfId="0" applyNumberFormat="1"/>
    <xf numFmtId="17" fontId="6" fillId="0" borderId="0" xfId="0" applyNumberFormat="1" applyFont="1"/>
    <xf numFmtId="0" fontId="6" fillId="0" borderId="0" xfId="0" applyFont="1"/>
    <xf numFmtId="2" fontId="6" fillId="0" borderId="0" xfId="0" applyNumberFormat="1" applyFont="1"/>
    <xf numFmtId="2" fontId="0" fillId="0" borderId="0" xfId="0" applyNumberFormat="1"/>
    <xf numFmtId="0" fontId="6" fillId="0" borderId="0" xfId="0" applyFont="1" applyAlignment="1">
      <alignment horizontal="center"/>
    </xf>
    <xf numFmtId="4" fontId="6" fillId="0" borderId="0" xfId="0" applyNumberFormat="1" applyFont="1"/>
    <xf numFmtId="4" fontId="0" fillId="0" borderId="0" xfId="0" applyNumberFormat="1"/>
    <xf numFmtId="4" fontId="5" fillId="0" borderId="0" xfId="0" applyNumberFormat="1" applyFont="1" applyAlignment="1">
      <alignment horizontal="center"/>
    </xf>
    <xf numFmtId="40" fontId="6" fillId="0" borderId="0" xfId="0" applyNumberFormat="1" applyFont="1"/>
    <xf numFmtId="43" fontId="6" fillId="0" borderId="0" xfId="1" applyFont="1"/>
    <xf numFmtId="172" fontId="6" fillId="0" borderId="0" xfId="5" applyNumberFormat="1" applyFont="1" applyAlignment="1">
      <alignment horizontal="right"/>
    </xf>
    <xf numFmtId="169" fontId="6" fillId="0" borderId="0" xfId="5" applyNumberFormat="1" applyFont="1" applyAlignment="1">
      <alignment horizontal="right" wrapText="1"/>
    </xf>
    <xf numFmtId="164" fontId="0" fillId="0" borderId="0" xfId="1" applyNumberFormat="1" applyFont="1"/>
    <xf numFmtId="171" fontId="0" fillId="0" borderId="0" xfId="0" applyNumberFormat="1"/>
    <xf numFmtId="166" fontId="0" fillId="0" borderId="0" xfId="7" applyNumberFormat="1" applyFont="1"/>
    <xf numFmtId="0" fontId="16" fillId="0" borderId="0" xfId="0" applyFont="1"/>
    <xf numFmtId="0" fontId="16" fillId="0" borderId="0" xfId="0" applyFont="1" applyAlignment="1">
      <alignment horizontal="center"/>
    </xf>
    <xf numFmtId="0" fontId="16" fillId="0" borderId="0" xfId="0" applyFont="1" applyAlignment="1">
      <alignment horizontal="centerContinuous"/>
    </xf>
    <xf numFmtId="17" fontId="6" fillId="0" borderId="0" xfId="0" applyNumberFormat="1" applyFont="1" applyAlignment="1">
      <alignment horizontal="center"/>
    </xf>
    <xf numFmtId="2" fontId="16" fillId="0" borderId="0" xfId="0" applyNumberFormat="1" applyFont="1"/>
    <xf numFmtId="9" fontId="6" fillId="0" borderId="0" xfId="7" applyFont="1" applyFill="1"/>
    <xf numFmtId="43" fontId="6" fillId="0" borderId="5" xfId="1" applyFont="1" applyBorder="1"/>
    <xf numFmtId="43" fontId="6" fillId="0" borderId="0" xfId="0" applyNumberFormat="1" applyFont="1"/>
    <xf numFmtId="10" fontId="6" fillId="0" borderId="0" xfId="7" applyNumberFormat="1" applyFont="1"/>
    <xf numFmtId="10" fontId="16" fillId="2" borderId="0" xfId="7" applyNumberFormat="1" applyFont="1" applyFill="1"/>
    <xf numFmtId="9" fontId="6" fillId="0" borderId="0" xfId="7" applyFont="1"/>
    <xf numFmtId="0" fontId="16" fillId="0" borderId="0" xfId="0" quotePrefix="1" applyFont="1" applyAlignment="1">
      <alignment horizontal="left"/>
    </xf>
    <xf numFmtId="44" fontId="6" fillId="0" borderId="0" xfId="3" applyFont="1"/>
    <xf numFmtId="44" fontId="6" fillId="0" borderId="5" xfId="3" applyFont="1" applyBorder="1"/>
    <xf numFmtId="44" fontId="16" fillId="0" borderId="0" xfId="3" applyFont="1" applyBorder="1"/>
    <xf numFmtId="43" fontId="16" fillId="0" borderId="0" xfId="1" applyFont="1" applyBorder="1"/>
    <xf numFmtId="44" fontId="6" fillId="0" borderId="0" xfId="3" applyFont="1" applyBorder="1"/>
    <xf numFmtId="44" fontId="16" fillId="0" borderId="0" xfId="0" applyNumberFormat="1" applyFont="1"/>
    <xf numFmtId="4" fontId="6" fillId="0" borderId="0" xfId="0" quotePrefix="1" applyNumberFormat="1" applyFont="1"/>
    <xf numFmtId="40" fontId="6" fillId="0" borderId="0" xfId="0" quotePrefix="1" applyNumberFormat="1" applyFont="1"/>
    <xf numFmtId="43" fontId="6" fillId="0" borderId="0" xfId="1" quotePrefix="1" applyFont="1"/>
    <xf numFmtId="43" fontId="16" fillId="0" borderId="4" xfId="1" applyFont="1" applyBorder="1"/>
    <xf numFmtId="44" fontId="6" fillId="0" borderId="0" xfId="0" applyNumberFormat="1" applyFont="1"/>
    <xf numFmtId="167" fontId="11" fillId="0" borderId="0" xfId="5" applyNumberFormat="1" applyFont="1" applyAlignment="1">
      <alignment horizontal="center"/>
    </xf>
    <xf numFmtId="10" fontId="6" fillId="3" borderId="0" xfId="0" applyNumberFormat="1" applyFont="1" applyFill="1"/>
    <xf numFmtId="17" fontId="6" fillId="3" borderId="0" xfId="0" applyNumberFormat="1" applyFont="1" applyFill="1" applyAlignment="1">
      <alignment horizontal="center"/>
    </xf>
    <xf numFmtId="2" fontId="16" fillId="3" borderId="0" xfId="0" applyNumberFormat="1" applyFont="1" applyFill="1"/>
    <xf numFmtId="40" fontId="16" fillId="0" borderId="0" xfId="0" applyNumberFormat="1" applyFont="1"/>
    <xf numFmtId="9" fontId="3" fillId="0" borderId="0" xfId="7"/>
    <xf numFmtId="4" fontId="6" fillId="0" borderId="1" xfId="0" applyNumberFormat="1" applyFont="1" applyBorder="1"/>
    <xf numFmtId="40" fontId="6" fillId="0" borderId="1" xfId="0" applyNumberFormat="1" applyFont="1" applyBorder="1"/>
    <xf numFmtId="4" fontId="16" fillId="0" borderId="1" xfId="0" applyNumberFormat="1" applyFont="1" applyBorder="1"/>
    <xf numFmtId="43" fontId="16" fillId="0" borderId="0" xfId="1" applyFont="1"/>
    <xf numFmtId="43" fontId="6" fillId="0" borderId="1" xfId="1" applyFont="1" applyBorder="1"/>
    <xf numFmtId="43" fontId="16" fillId="0" borderId="1" xfId="1" applyFont="1" applyBorder="1"/>
    <xf numFmtId="165" fontId="5" fillId="0" borderId="0" xfId="7" applyNumberFormat="1" applyFont="1"/>
    <xf numFmtId="0" fontId="17" fillId="0" borderId="8" xfId="5" applyFont="1" applyBorder="1" applyAlignment="1">
      <alignment horizontal="center"/>
    </xf>
    <xf numFmtId="167" fontId="17" fillId="0" borderId="9" xfId="5" applyNumberFormat="1" applyFont="1" applyBorder="1" applyAlignment="1">
      <alignment horizontal="center"/>
    </xf>
    <xf numFmtId="167" fontId="18" fillId="0" borderId="9" xfId="5" applyNumberFormat="1" applyFont="1" applyBorder="1" applyAlignment="1">
      <alignment horizontal="center"/>
    </xf>
    <xf numFmtId="41" fontId="12" fillId="0" borderId="9" xfId="5" applyNumberFormat="1" applyFont="1" applyBorder="1"/>
    <xf numFmtId="168" fontId="8" fillId="0" borderId="9" xfId="5" applyNumberFormat="1" applyFont="1" applyBorder="1"/>
    <xf numFmtId="41" fontId="6" fillId="0" borderId="10" xfId="5" applyNumberFormat="1" applyFont="1" applyBorder="1"/>
    <xf numFmtId="165" fontId="6" fillId="0" borderId="0" xfId="7" applyNumberFormat="1" applyFont="1"/>
    <xf numFmtId="0" fontId="22" fillId="0" borderId="0" xfId="4"/>
    <xf numFmtId="43" fontId="22" fillId="0" borderId="0" xfId="2" applyFont="1"/>
    <xf numFmtId="7" fontId="21" fillId="0" borderId="0" xfId="0" applyNumberFormat="1" applyFont="1"/>
    <xf numFmtId="7" fontId="3" fillId="0" borderId="0" xfId="3" applyNumberFormat="1" applyBorder="1"/>
    <xf numFmtId="4" fontId="6" fillId="0" borderId="0" xfId="6" applyNumberFormat="1" applyFont="1" applyFill="1" applyBorder="1"/>
    <xf numFmtId="43" fontId="0" fillId="0" borderId="0" xfId="1" applyFont="1"/>
    <xf numFmtId="168" fontId="11" fillId="6" borderId="0" xfId="5" applyNumberFormat="1" applyFont="1" applyFill="1"/>
    <xf numFmtId="41" fontId="11" fillId="5" borderId="0" xfId="5" applyNumberFormat="1" applyFont="1" applyFill="1" applyAlignment="1">
      <alignment horizontal="center"/>
    </xf>
    <xf numFmtId="41" fontId="11" fillId="5" borderId="0" xfId="5" applyNumberFormat="1" applyFont="1" applyFill="1"/>
    <xf numFmtId="167" fontId="6" fillId="7" borderId="0" xfId="5" applyNumberFormat="1" applyFont="1" applyFill="1"/>
    <xf numFmtId="9" fontId="6" fillId="7" borderId="7" xfId="7" applyFont="1" applyFill="1" applyBorder="1"/>
    <xf numFmtId="165" fontId="24" fillId="8" borderId="12" xfId="7" applyNumberFormat="1" applyFont="1" applyFill="1" applyBorder="1"/>
    <xf numFmtId="39" fontId="6" fillId="5" borderId="2" xfId="5" applyNumberFormat="1" applyFont="1" applyFill="1" applyBorder="1"/>
    <xf numFmtId="37" fontId="6" fillId="0" borderId="0" xfId="5" applyNumberFormat="1" applyFont="1" applyAlignment="1">
      <alignment horizontal="center"/>
    </xf>
    <xf numFmtId="0" fontId="5" fillId="0" borderId="13" xfId="0" applyFont="1" applyBorder="1"/>
    <xf numFmtId="0" fontId="5" fillId="0" borderId="14" xfId="0" applyFont="1" applyBorder="1"/>
    <xf numFmtId="173" fontId="5" fillId="0" borderId="15" xfId="0" applyNumberFormat="1" applyFont="1" applyBorder="1"/>
    <xf numFmtId="173" fontId="0" fillId="0" borderId="0" xfId="0" applyNumberFormat="1"/>
    <xf numFmtId="173" fontId="0" fillId="9" borderId="7" xfId="0" applyNumberFormat="1" applyFill="1" applyBorder="1"/>
    <xf numFmtId="173" fontId="0" fillId="0" borderId="7" xfId="0" applyNumberFormat="1" applyBorder="1"/>
    <xf numFmtId="0" fontId="3" fillId="0" borderId="0" xfId="0" applyFont="1"/>
    <xf numFmtId="10" fontId="0" fillId="0" borderId="0" xfId="0" applyNumberFormat="1"/>
    <xf numFmtId="41" fontId="0" fillId="0" borderId="0" xfId="0" applyNumberFormat="1"/>
    <xf numFmtId="44" fontId="6" fillId="3" borderId="7" xfId="3" applyFont="1" applyFill="1" applyBorder="1"/>
    <xf numFmtId="44" fontId="23" fillId="3" borderId="7" xfId="3" applyFont="1" applyFill="1" applyBorder="1"/>
    <xf numFmtId="44" fontId="23" fillId="3" borderId="7" xfId="3" applyFont="1" applyFill="1" applyBorder="1" applyAlignment="1">
      <alignment horizontal="center"/>
    </xf>
    <xf numFmtId="167" fontId="6" fillId="0" borderId="0" xfId="5" applyNumberFormat="1" applyFont="1" applyAlignment="1">
      <alignment horizontal="right"/>
    </xf>
    <xf numFmtId="173" fontId="5" fillId="0" borderId="0" xfId="0" applyNumberFormat="1" applyFont="1"/>
    <xf numFmtId="44" fontId="0" fillId="0" borderId="7" xfId="3" applyFont="1" applyBorder="1"/>
    <xf numFmtId="10" fontId="0" fillId="0" borderId="7" xfId="0" applyNumberFormat="1" applyBorder="1"/>
    <xf numFmtId="44" fontId="0" fillId="0" borderId="7" xfId="0" applyNumberFormat="1" applyBorder="1"/>
    <xf numFmtId="44" fontId="0" fillId="0" borderId="0" xfId="0" applyNumberFormat="1"/>
    <xf numFmtId="174" fontId="0" fillId="0" borderId="0" xfId="0" applyNumberFormat="1"/>
    <xf numFmtId="175" fontId="24" fillId="0" borderId="0" xfId="9" applyNumberFormat="1" applyFont="1" applyFill="1" applyBorder="1"/>
    <xf numFmtId="0" fontId="0" fillId="0" borderId="0" xfId="0" applyAlignment="1">
      <alignment wrapText="1"/>
    </xf>
    <xf numFmtId="44" fontId="0" fillId="0" borderId="0" xfId="3" applyFont="1"/>
    <xf numFmtId="176" fontId="25" fillId="8" borderId="12" xfId="0" applyNumberFormat="1" applyFont="1" applyFill="1" applyBorder="1"/>
    <xf numFmtId="175" fontId="3" fillId="10" borderId="1" xfId="11" applyNumberFormat="1" applyFont="1" applyFill="1" applyBorder="1"/>
    <xf numFmtId="0" fontId="3" fillId="10" borderId="1" xfId="11" applyFont="1" applyFill="1" applyBorder="1"/>
    <xf numFmtId="175" fontId="3" fillId="10" borderId="17" xfId="12" applyNumberFormat="1" applyFont="1" applyFill="1" applyBorder="1"/>
    <xf numFmtId="175" fontId="3" fillId="0" borderId="0" xfId="11" applyNumberFormat="1" applyFont="1"/>
    <xf numFmtId="0" fontId="3" fillId="0" borderId="0" xfId="11" applyFont="1"/>
    <xf numFmtId="175" fontId="3" fillId="0" borderId="0" xfId="12" applyNumberFormat="1" applyFont="1"/>
    <xf numFmtId="175" fontId="3" fillId="0" borderId="19" xfId="0" applyNumberFormat="1" applyFont="1" applyBorder="1" applyAlignment="1">
      <alignment horizontal="center"/>
    </xf>
    <xf numFmtId="175" fontId="0" fillId="0" borderId="19" xfId="0" applyNumberFormat="1" applyBorder="1"/>
    <xf numFmtId="175" fontId="0" fillId="0" borderId="19" xfId="3" applyNumberFormat="1" applyFont="1" applyBorder="1" applyAlignment="1">
      <alignment horizontal="center"/>
    </xf>
    <xf numFmtId="0" fontId="24" fillId="11" borderId="20" xfId="13" applyFont="1" applyFill="1" applyBorder="1" applyAlignment="1">
      <alignment horizontal="center"/>
    </xf>
    <xf numFmtId="0" fontId="24" fillId="0" borderId="0" xfId="13" applyFont="1" applyAlignment="1">
      <alignment horizontal="center"/>
    </xf>
    <xf numFmtId="44" fontId="3" fillId="0" borderId="0" xfId="0" applyNumberFormat="1" applyFont="1"/>
    <xf numFmtId="44" fontId="3" fillId="0" borderId="0" xfId="0" applyNumberFormat="1" applyFont="1" applyAlignment="1">
      <alignment horizontal="right"/>
    </xf>
    <xf numFmtId="175" fontId="24" fillId="0" borderId="7" xfId="9" applyNumberFormat="1" applyFont="1" applyFill="1" applyBorder="1"/>
    <xf numFmtId="0" fontId="0" fillId="0" borderId="0" xfId="0" applyAlignment="1">
      <alignment horizontal="center" wrapText="1"/>
    </xf>
    <xf numFmtId="175" fontId="24" fillId="11" borderId="20" xfId="12" applyNumberFormat="1" applyFont="1" applyFill="1" applyBorder="1" applyAlignment="1">
      <alignment horizontal="center"/>
    </xf>
    <xf numFmtId="0" fontId="24" fillId="11" borderId="0" xfId="13" applyFont="1" applyFill="1" applyAlignment="1">
      <alignment horizontal="center"/>
    </xf>
    <xf numFmtId="175" fontId="0" fillId="0" borderId="0" xfId="0" applyNumberFormat="1"/>
    <xf numFmtId="0" fontId="5" fillId="0" borderId="0" xfId="0" applyFont="1" applyAlignment="1">
      <alignment horizontal="left"/>
    </xf>
    <xf numFmtId="44" fontId="5" fillId="0" borderId="21" xfId="3" applyFont="1" applyBorder="1"/>
    <xf numFmtId="0" fontId="3" fillId="0" borderId="0" xfId="0" applyFont="1" applyAlignment="1">
      <alignment horizontal="right"/>
    </xf>
    <xf numFmtId="44" fontId="5" fillId="0" borderId="21" xfId="0" applyNumberFormat="1" applyFont="1" applyBorder="1" applyAlignment="1">
      <alignment horizontal="right"/>
    </xf>
    <xf numFmtId="0" fontId="0" fillId="11" borderId="7" xfId="0" applyFill="1" applyBorder="1"/>
    <xf numFmtId="0" fontId="27" fillId="0" borderId="0" xfId="0" applyFont="1"/>
    <xf numFmtId="0" fontId="28" fillId="12" borderId="22" xfId="13" applyFont="1" applyFill="1" applyBorder="1" applyAlignment="1">
      <alignment horizontal="center"/>
    </xf>
    <xf numFmtId="0" fontId="28" fillId="12" borderId="20" xfId="13" applyFont="1" applyFill="1" applyBorder="1" applyAlignment="1">
      <alignment horizontal="center"/>
    </xf>
    <xf numFmtId="0" fontId="28" fillId="12" borderId="23" xfId="13" applyFont="1" applyFill="1" applyBorder="1" applyAlignment="1">
      <alignment horizontal="center"/>
    </xf>
    <xf numFmtId="44" fontId="3" fillId="8" borderId="0" xfId="0" applyNumberFormat="1" applyFont="1" applyFill="1" applyAlignment="1">
      <alignment horizontal="right"/>
    </xf>
    <xf numFmtId="175" fontId="28" fillId="12" borderId="7" xfId="9" applyNumberFormat="1" applyFont="1" applyFill="1" applyBorder="1"/>
    <xf numFmtId="175" fontId="28" fillId="12" borderId="24" xfId="12" applyNumberFormat="1" applyFont="1" applyFill="1" applyBorder="1" applyAlignment="1">
      <alignment horizontal="center"/>
    </xf>
    <xf numFmtId="175" fontId="28" fillId="12" borderId="25" xfId="12" applyNumberFormat="1" applyFont="1" applyFill="1" applyBorder="1" applyAlignment="1">
      <alignment horizontal="center"/>
    </xf>
    <xf numFmtId="175" fontId="28" fillId="12" borderId="26" xfId="12" applyNumberFormat="1" applyFont="1" applyFill="1" applyBorder="1" applyAlignment="1">
      <alignment horizontal="center"/>
    </xf>
    <xf numFmtId="0" fontId="24" fillId="11" borderId="27" xfId="13" applyFont="1" applyFill="1" applyBorder="1"/>
    <xf numFmtId="0" fontId="24" fillId="11" borderId="28" xfId="13" applyFont="1" applyFill="1" applyBorder="1"/>
    <xf numFmtId="0" fontId="24" fillId="0" borderId="0" xfId="13" applyFont="1"/>
    <xf numFmtId="0" fontId="24" fillId="11" borderId="7" xfId="13" applyFont="1" applyFill="1" applyBorder="1"/>
    <xf numFmtId="0" fontId="24" fillId="11" borderId="7" xfId="13" applyFont="1" applyFill="1" applyBorder="1" applyAlignment="1">
      <alignment wrapText="1"/>
    </xf>
    <xf numFmtId="175" fontId="3" fillId="0" borderId="0" xfId="3" applyNumberFormat="1" applyFont="1" applyBorder="1"/>
    <xf numFmtId="0" fontId="24" fillId="11" borderId="16" xfId="13" applyFont="1" applyFill="1" applyBorder="1" applyAlignment="1">
      <alignment horizontal="center"/>
    </xf>
    <xf numFmtId="175" fontId="25" fillId="8" borderId="29" xfId="12" applyNumberFormat="1" applyFont="1" applyFill="1" applyBorder="1"/>
    <xf numFmtId="175" fontId="25" fillId="8" borderId="7" xfId="12" applyNumberFormat="1" applyFont="1" applyFill="1" applyBorder="1" applyAlignment="1">
      <alignment wrapText="1"/>
    </xf>
    <xf numFmtId="0" fontId="24" fillId="11" borderId="24" xfId="13" applyFont="1" applyFill="1" applyBorder="1" applyAlignment="1">
      <alignment horizontal="center"/>
    </xf>
    <xf numFmtId="164" fontId="24" fillId="0" borderId="7" xfId="1" applyNumberFormat="1" applyFont="1" applyFill="1" applyBorder="1"/>
    <xf numFmtId="164" fontId="24" fillId="0" borderId="30" xfId="1" applyNumberFormat="1" applyFont="1" applyFill="1" applyBorder="1" applyAlignment="1">
      <alignment wrapText="1"/>
    </xf>
    <xf numFmtId="0" fontId="25" fillId="8" borderId="29" xfId="0" applyFont="1" applyFill="1" applyBorder="1"/>
    <xf numFmtId="0" fontId="25" fillId="8" borderId="7" xfId="0" applyFont="1" applyFill="1" applyBorder="1" applyAlignment="1">
      <alignment wrapText="1"/>
    </xf>
    <xf numFmtId="0" fontId="24" fillId="11" borderId="22" xfId="13" applyFont="1" applyFill="1" applyBorder="1" applyAlignment="1">
      <alignment horizontal="center"/>
    </xf>
    <xf numFmtId="175" fontId="24" fillId="11" borderId="17" xfId="12" applyNumberFormat="1" applyFont="1" applyFill="1" applyBorder="1" applyAlignment="1">
      <alignment horizontal="center"/>
    </xf>
    <xf numFmtId="175" fontId="24" fillId="11" borderId="7" xfId="12" applyNumberFormat="1" applyFont="1" applyFill="1" applyBorder="1" applyAlignment="1">
      <alignment horizontal="center" wrapText="1"/>
    </xf>
    <xf numFmtId="0" fontId="24" fillId="11" borderId="31" xfId="13" applyFont="1" applyFill="1" applyBorder="1" applyAlignment="1">
      <alignment horizontal="center"/>
    </xf>
    <xf numFmtId="0" fontId="25" fillId="11" borderId="9" xfId="13" applyFont="1" applyFill="1" applyBorder="1" applyAlignment="1">
      <alignment horizontal="center"/>
    </xf>
    <xf numFmtId="0" fontId="24" fillId="11" borderId="31" xfId="13" applyFont="1" applyFill="1" applyBorder="1" applyAlignment="1">
      <alignment horizontal="center" wrapText="1"/>
    </xf>
    <xf numFmtId="0" fontId="25" fillId="11" borderId="0" xfId="13" applyFont="1" applyFill="1" applyAlignment="1">
      <alignment horizontal="center"/>
    </xf>
    <xf numFmtId="175" fontId="24" fillId="0" borderId="0" xfId="12" applyNumberFormat="1" applyFont="1" applyFill="1" applyBorder="1" applyAlignment="1">
      <alignment horizontal="center" wrapText="1"/>
    </xf>
    <xf numFmtId="0" fontId="24" fillId="11" borderId="7" xfId="13" applyFont="1" applyFill="1" applyBorder="1" applyAlignment="1">
      <alignment horizontal="center"/>
    </xf>
    <xf numFmtId="0" fontId="28" fillId="12" borderId="1" xfId="13" applyFont="1" applyFill="1" applyBorder="1" applyAlignment="1">
      <alignment horizontal="center"/>
    </xf>
    <xf numFmtId="44" fontId="3" fillId="8" borderId="0" xfId="3" applyFont="1" applyFill="1"/>
    <xf numFmtId="0" fontId="26" fillId="10" borderId="16" xfId="14" applyFont="1" applyFill="1" applyBorder="1"/>
    <xf numFmtId="0" fontId="3" fillId="0" borderId="0" xfId="14" applyFont="1"/>
    <xf numFmtId="0" fontId="0" fillId="0" borderId="0" xfId="0" applyAlignment="1">
      <alignment horizontal="left"/>
    </xf>
    <xf numFmtId="175" fontId="1" fillId="0" borderId="0" xfId="12" applyNumberFormat="1" applyFont="1" applyFill="1" applyBorder="1" applyAlignment="1">
      <alignment horizontal="center" wrapText="1"/>
    </xf>
    <xf numFmtId="44" fontId="0" fillId="0" borderId="0" xfId="0" applyNumberFormat="1" applyAlignment="1">
      <alignment wrapText="1"/>
    </xf>
    <xf numFmtId="0" fontId="24" fillId="11" borderId="1" xfId="13" applyFont="1" applyFill="1" applyBorder="1" applyAlignment="1">
      <alignment horizontal="center"/>
    </xf>
    <xf numFmtId="0" fontId="24" fillId="11" borderId="18" xfId="13" applyFont="1" applyFill="1" applyBorder="1" applyAlignment="1">
      <alignment horizontal="center"/>
    </xf>
    <xf numFmtId="0" fontId="24" fillId="11" borderId="7" xfId="13" applyFont="1" applyFill="1" applyBorder="1" applyAlignment="1">
      <alignment horizontal="center"/>
    </xf>
    <xf numFmtId="0" fontId="28" fillId="12" borderId="16" xfId="13" applyFont="1" applyFill="1" applyBorder="1" applyAlignment="1">
      <alignment horizontal="center"/>
    </xf>
    <xf numFmtId="0" fontId="28" fillId="12" borderId="1" xfId="13" applyFont="1" applyFill="1" applyBorder="1" applyAlignment="1">
      <alignment horizontal="center"/>
    </xf>
    <xf numFmtId="0" fontId="28" fillId="12" borderId="17" xfId="13" applyFont="1" applyFill="1" applyBorder="1" applyAlignment="1">
      <alignment horizontal="center"/>
    </xf>
  </cellXfs>
  <cellStyles count="15">
    <cellStyle name="Comma" xfId="1" builtinId="3"/>
    <cellStyle name="Comma 2" xfId="2" xr:uid="{00000000-0005-0000-0000-000001000000}"/>
    <cellStyle name="Comma 27" xfId="10" xr:uid="{00000000-0005-0000-0000-000002000000}"/>
    <cellStyle name="Currency" xfId="3" builtinId="4"/>
    <cellStyle name="Currency 2" xfId="9" xr:uid="{00000000-0005-0000-0000-000004000000}"/>
    <cellStyle name="Currency 2 3" xfId="12" xr:uid="{A08D050E-E163-49C0-BBF4-82A5ABB5E150}"/>
    <cellStyle name="Normal" xfId="0" builtinId="0"/>
    <cellStyle name="Normal 13 2" xfId="13" xr:uid="{EFBA702B-7357-4E1D-A9A4-19994804D4D0}"/>
    <cellStyle name="Normal 2" xfId="4" xr:uid="{00000000-0005-0000-0000-000006000000}"/>
    <cellStyle name="Normal 2 3" xfId="11" xr:uid="{94BCD5BE-EA31-4679-9C09-3B466C47D093}"/>
    <cellStyle name="Normal 2 3 2" xfId="14" xr:uid="{4E1B7BAE-D33F-4F50-B11E-9992996BD2F7}"/>
    <cellStyle name="Normal 3" xfId="8" xr:uid="{00000000-0005-0000-0000-000007000000}"/>
    <cellStyle name="Normal_98REC_CR" xfId="5" xr:uid="{00000000-0005-0000-0000-000008000000}"/>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istrict\Accounting\WUTC%20Files\RSA\2013-14%20Plan%20Year\WUTC%20Filing%20Working%20Documents\SeaTac%20Multi%20Family%20Commodity%20Credit%20Template%20-%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6"/>
  <sheetViews>
    <sheetView zoomScaleNormal="100" workbookViewId="0">
      <pane ySplit="4" topLeftCell="A5" activePane="bottomLeft" state="frozenSplit"/>
      <selection activeCell="G25" sqref="G25"/>
      <selection pane="bottomLeft" activeCell="K65" sqref="K65"/>
    </sheetView>
  </sheetViews>
  <sheetFormatPr defaultColWidth="9.28515625" defaultRowHeight="12.75" x14ac:dyDescent="0.2"/>
  <cols>
    <col min="1" max="1" width="10" style="5" customWidth="1"/>
    <col min="2" max="2" width="10.28515625" style="5" customWidth="1"/>
    <col min="3" max="3" width="4.42578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8.7109375" style="5" bestFit="1" customWidth="1"/>
    <col min="10" max="10" width="9.42578125" style="5" customWidth="1"/>
    <col min="11" max="11" width="4.7109375" style="5" bestFit="1" customWidth="1"/>
    <col min="12" max="22" width="9.5703125" style="5" customWidth="1"/>
    <col min="23" max="24" width="10.42578125" style="5" customWidth="1"/>
    <col min="25" max="25" width="9.7109375" style="5" customWidth="1"/>
    <col min="26" max="26" width="9.28515625" style="5"/>
    <col min="27" max="27" width="10.42578125" style="5" customWidth="1"/>
    <col min="28" max="16384" width="9.28515625" style="5"/>
  </cols>
  <sheetData>
    <row r="1" spans="1:27" x14ac:dyDescent="0.2">
      <c r="A1" s="1" t="s">
        <v>31</v>
      </c>
      <c r="B1" s="2"/>
      <c r="C1" s="2"/>
      <c r="D1" s="2"/>
      <c r="E1" s="2"/>
      <c r="F1" s="2"/>
      <c r="G1" s="3"/>
      <c r="H1" s="2"/>
      <c r="I1" s="2"/>
      <c r="J1" s="1" t="s">
        <v>32</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
        <v>33</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2"/>
      <c r="P5" s="2"/>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row>
    <row r="7" spans="1:27" s="16" customFormat="1" ht="11.25" x14ac:dyDescent="0.2">
      <c r="A7" s="15" t="s">
        <v>5</v>
      </c>
      <c r="B7" s="12" t="s">
        <v>6</v>
      </c>
      <c r="C7" s="12"/>
      <c r="D7" s="12" t="s">
        <v>3</v>
      </c>
      <c r="E7" s="12"/>
      <c r="F7" s="12" t="s">
        <v>7</v>
      </c>
      <c r="G7" s="12"/>
      <c r="H7" s="12"/>
      <c r="I7" s="12"/>
      <c r="J7" s="12" t="s">
        <v>6</v>
      </c>
      <c r="K7" s="12"/>
    </row>
    <row r="8" spans="1:27" s="16" customFormat="1" ht="11.25" x14ac:dyDescent="0.2">
      <c r="A8" s="60">
        <v>39264</v>
      </c>
      <c r="B8" s="19">
        <v>16678</v>
      </c>
      <c r="C8" s="20"/>
      <c r="D8" s="18">
        <v>35119.9</v>
      </c>
      <c r="E8" s="14"/>
      <c r="F8" s="16">
        <f>ROUND(D8/B8,2)</f>
        <v>2.11</v>
      </c>
      <c r="G8" s="14"/>
      <c r="H8" s="14"/>
      <c r="I8" s="14"/>
      <c r="J8" s="14">
        <f>+B8</f>
        <v>16678</v>
      </c>
      <c r="K8" s="13">
        <v>2007</v>
      </c>
    </row>
    <row r="9" spans="1:27" s="16" customFormat="1" ht="11.25" x14ac:dyDescent="0.2">
      <c r="A9" s="60">
        <v>39298</v>
      </c>
      <c r="B9" s="19">
        <v>16617</v>
      </c>
      <c r="C9" s="14"/>
      <c r="D9" s="18">
        <v>36121.480000000003</v>
      </c>
      <c r="E9" s="14"/>
      <c r="F9" s="16">
        <f>ROUND(D9/B9,2)</f>
        <v>2.17</v>
      </c>
      <c r="G9" s="14"/>
      <c r="H9" s="14"/>
      <c r="I9" s="14"/>
      <c r="J9" s="14">
        <f>+B9</f>
        <v>16617</v>
      </c>
      <c r="K9" s="13">
        <v>2007</v>
      </c>
    </row>
    <row r="10" spans="1:27" s="16" customFormat="1" ht="11.25" x14ac:dyDescent="0.2">
      <c r="A10" s="17"/>
      <c r="B10" s="14"/>
      <c r="C10" s="14"/>
      <c r="E10" s="14"/>
      <c r="G10" s="14"/>
      <c r="H10" s="14"/>
      <c r="I10" s="14"/>
      <c r="J10" s="14"/>
      <c r="K10" s="13"/>
    </row>
    <row r="11" spans="1:27" s="16" customFormat="1" ht="11.25" x14ac:dyDescent="0.2">
      <c r="A11" s="17" t="s">
        <v>34</v>
      </c>
      <c r="B11" s="21">
        <f>SUM(B8:B10)</f>
        <v>33295</v>
      </c>
      <c r="C11" s="20" t="s">
        <v>8</v>
      </c>
      <c r="D11" s="22">
        <f>SUM(D8:D10)</f>
        <v>71241.38</v>
      </c>
      <c r="E11" s="14"/>
      <c r="G11" s="14"/>
      <c r="H11" s="14"/>
      <c r="I11" s="14"/>
      <c r="J11" s="14"/>
      <c r="K11" s="13"/>
    </row>
    <row r="12" spans="1:27" s="16" customFormat="1" ht="11.25" x14ac:dyDescent="0.2">
      <c r="A12" s="17"/>
      <c r="B12" s="14"/>
      <c r="C12" s="14"/>
      <c r="E12" s="14"/>
      <c r="G12" s="14"/>
      <c r="H12" s="14"/>
      <c r="I12" s="14"/>
      <c r="J12" s="14"/>
      <c r="K12" s="13"/>
    </row>
    <row r="13" spans="1:27" s="16" customFormat="1" ht="11.25" x14ac:dyDescent="0.2">
      <c r="A13" s="24">
        <v>39329</v>
      </c>
      <c r="B13" s="19">
        <v>16657</v>
      </c>
      <c r="C13" s="14"/>
      <c r="D13" s="16">
        <v>36761.14</v>
      </c>
      <c r="E13" s="14"/>
      <c r="F13" s="16">
        <f t="shared" ref="F13:F22" si="0">ROUND(D13/B13,2)</f>
        <v>2.21</v>
      </c>
      <c r="G13" s="23"/>
      <c r="H13" s="14"/>
      <c r="I13" s="14"/>
      <c r="J13" s="14">
        <f t="shared" ref="J13:J22" si="1">+B13</f>
        <v>16657</v>
      </c>
      <c r="K13" s="13">
        <v>2007</v>
      </c>
    </row>
    <row r="14" spans="1:27" s="16" customFormat="1" ht="11.25" x14ac:dyDescent="0.2">
      <c r="A14" s="24">
        <v>39359</v>
      </c>
      <c r="B14" s="19">
        <v>16702</v>
      </c>
      <c r="C14" s="14"/>
      <c r="D14" s="16">
        <v>36372.089999999997</v>
      </c>
      <c r="E14" s="14"/>
      <c r="F14" s="16">
        <f t="shared" si="0"/>
        <v>2.1800000000000002</v>
      </c>
      <c r="G14" s="23"/>
      <c r="H14" s="14"/>
      <c r="I14" s="14"/>
      <c r="J14" s="14">
        <f t="shared" si="1"/>
        <v>16702</v>
      </c>
      <c r="K14" s="13">
        <v>2007</v>
      </c>
    </row>
    <row r="15" spans="1:27" s="16" customFormat="1" ht="11.25" x14ac:dyDescent="0.2">
      <c r="A15" s="24">
        <v>39390</v>
      </c>
      <c r="B15" s="19">
        <v>16708</v>
      </c>
      <c r="C15" s="14"/>
      <c r="D15" s="16">
        <v>43788.67</v>
      </c>
      <c r="E15" s="14"/>
      <c r="F15" s="16">
        <f t="shared" si="0"/>
        <v>2.62</v>
      </c>
      <c r="G15" s="23"/>
      <c r="H15" s="14"/>
      <c r="I15" s="14"/>
      <c r="J15" s="14">
        <f t="shared" si="1"/>
        <v>16708</v>
      </c>
      <c r="K15" s="13">
        <v>2007</v>
      </c>
    </row>
    <row r="16" spans="1:27" s="16" customFormat="1" ht="11.25" x14ac:dyDescent="0.2">
      <c r="A16" s="24">
        <v>39420</v>
      </c>
      <c r="B16" s="19">
        <v>16699</v>
      </c>
      <c r="C16" s="14"/>
      <c r="D16" s="16">
        <v>38190.370000000003</v>
      </c>
      <c r="E16" s="14"/>
      <c r="F16" s="16">
        <f t="shared" si="0"/>
        <v>2.29</v>
      </c>
      <c r="G16" s="23"/>
      <c r="H16" s="14"/>
      <c r="I16" s="14"/>
      <c r="J16" s="14">
        <f t="shared" si="1"/>
        <v>16699</v>
      </c>
      <c r="K16" s="13">
        <v>2007</v>
      </c>
    </row>
    <row r="17" spans="1:27" s="16" customFormat="1" ht="11.25" x14ac:dyDescent="0.2">
      <c r="A17" s="24">
        <v>39451</v>
      </c>
      <c r="B17" s="19">
        <v>16649</v>
      </c>
      <c r="C17" s="14"/>
      <c r="D17" s="16">
        <v>42272.42</v>
      </c>
      <c r="E17" s="14"/>
      <c r="F17" s="16">
        <f t="shared" si="0"/>
        <v>2.54</v>
      </c>
      <c r="G17" s="23"/>
      <c r="H17" s="14"/>
      <c r="I17" s="14"/>
      <c r="J17" s="14">
        <f t="shared" si="1"/>
        <v>16649</v>
      </c>
      <c r="K17" s="13">
        <v>2008</v>
      </c>
    </row>
    <row r="18" spans="1:27" s="16" customFormat="1" ht="11.25" x14ac:dyDescent="0.2">
      <c r="A18" s="24">
        <v>39482</v>
      </c>
      <c r="B18" s="19">
        <v>16642</v>
      </c>
      <c r="C18" s="14"/>
      <c r="D18" s="16">
        <v>40138.230000000003</v>
      </c>
      <c r="E18" s="14"/>
      <c r="F18" s="16">
        <f t="shared" si="0"/>
        <v>2.41</v>
      </c>
      <c r="G18" s="23"/>
      <c r="H18" s="14"/>
      <c r="I18" s="14"/>
      <c r="J18" s="14">
        <f t="shared" si="1"/>
        <v>16642</v>
      </c>
      <c r="K18" s="13">
        <v>2008</v>
      </c>
    </row>
    <row r="19" spans="1:27" s="16" customFormat="1" ht="11.25" x14ac:dyDescent="0.2">
      <c r="A19" s="24">
        <v>39511</v>
      </c>
      <c r="B19" s="19">
        <v>16686</v>
      </c>
      <c r="C19" s="14"/>
      <c r="D19" s="16">
        <v>35853.629999999997</v>
      </c>
      <c r="E19" s="14"/>
      <c r="F19" s="16">
        <f t="shared" si="0"/>
        <v>2.15</v>
      </c>
      <c r="G19" s="23"/>
      <c r="H19" s="14"/>
      <c r="I19" s="14"/>
      <c r="J19" s="14">
        <f t="shared" si="1"/>
        <v>16686</v>
      </c>
      <c r="K19" s="13">
        <v>2008</v>
      </c>
      <c r="X19" s="14"/>
      <c r="Y19" s="14"/>
    </row>
    <row r="20" spans="1:27" s="16" customFormat="1" ht="11.25" x14ac:dyDescent="0.2">
      <c r="A20" s="24">
        <v>39542</v>
      </c>
      <c r="B20" s="19">
        <v>16748</v>
      </c>
      <c r="C20" s="14"/>
      <c r="D20" s="16">
        <v>43498.77</v>
      </c>
      <c r="E20" s="14"/>
      <c r="F20" s="16">
        <f t="shared" si="0"/>
        <v>2.6</v>
      </c>
      <c r="G20" s="23"/>
      <c r="H20" s="14"/>
      <c r="I20" s="14"/>
      <c r="J20" s="14">
        <f t="shared" si="1"/>
        <v>16748</v>
      </c>
      <c r="K20" s="13">
        <v>2008</v>
      </c>
      <c r="L20" s="14"/>
      <c r="M20" s="14"/>
      <c r="N20" s="14"/>
      <c r="O20" s="14"/>
      <c r="P20" s="14"/>
      <c r="Q20" s="14"/>
      <c r="R20" s="14"/>
      <c r="S20" s="14"/>
      <c r="T20" s="14"/>
      <c r="U20" s="14"/>
      <c r="V20" s="14"/>
      <c r="W20" s="14"/>
      <c r="Y20" s="14"/>
      <c r="AA20" s="14"/>
    </row>
    <row r="21" spans="1:27" s="16" customFormat="1" ht="11.25" x14ac:dyDescent="0.2">
      <c r="A21" s="24">
        <v>39572</v>
      </c>
      <c r="B21" s="19">
        <v>16877</v>
      </c>
      <c r="C21" s="14"/>
      <c r="D21" s="16">
        <v>37997.629999999997</v>
      </c>
      <c r="E21" s="14"/>
      <c r="F21" s="16">
        <f t="shared" si="0"/>
        <v>2.25</v>
      </c>
      <c r="G21" s="23"/>
      <c r="H21" s="20"/>
      <c r="I21" s="14"/>
      <c r="J21" s="14">
        <f t="shared" si="1"/>
        <v>16877</v>
      </c>
      <c r="K21" s="13">
        <v>2008</v>
      </c>
    </row>
    <row r="22" spans="1:27" s="16" customFormat="1" ht="11.25" x14ac:dyDescent="0.2">
      <c r="A22" s="24">
        <v>39603</v>
      </c>
      <c r="B22" s="19">
        <v>16697</v>
      </c>
      <c r="C22" s="14"/>
      <c r="D22" s="16">
        <v>37285.46</v>
      </c>
      <c r="E22" s="14"/>
      <c r="F22" s="16">
        <f t="shared" si="0"/>
        <v>2.23</v>
      </c>
      <c r="G22" s="23"/>
      <c r="H22" s="20"/>
      <c r="I22" s="14"/>
      <c r="J22" s="14">
        <f t="shared" si="1"/>
        <v>16697</v>
      </c>
      <c r="K22" s="13">
        <v>2008</v>
      </c>
    </row>
    <row r="23" spans="1:27" s="16" customFormat="1" ht="11.25" x14ac:dyDescent="0.2">
      <c r="A23" s="17"/>
      <c r="B23" s="14"/>
      <c r="C23" s="14"/>
      <c r="E23" s="14"/>
      <c r="G23" s="14"/>
      <c r="H23" s="14"/>
      <c r="I23" s="14"/>
      <c r="J23" s="14"/>
      <c r="K23" s="13"/>
    </row>
    <row r="24" spans="1:27" s="16" customFormat="1" ht="22.5" x14ac:dyDescent="0.2">
      <c r="A24" s="61" t="s">
        <v>35</v>
      </c>
      <c r="B24" s="21">
        <f>SUM(B12:B23)</f>
        <v>167065</v>
      </c>
      <c r="C24" s="20" t="s">
        <v>9</v>
      </c>
      <c r="D24" s="22">
        <f>SUM(D12:D23)</f>
        <v>392158.41000000003</v>
      </c>
      <c r="E24" s="14"/>
      <c r="G24" s="14"/>
      <c r="H24" s="14"/>
      <c r="I24" s="14"/>
      <c r="J24" s="14"/>
      <c r="K24" s="13"/>
    </row>
    <row r="25" spans="1:27" x14ac:dyDescent="0.2">
      <c r="D25" s="25"/>
    </row>
    <row r="26" spans="1:27" s="16" customFormat="1" ht="12" thickBot="1" x14ac:dyDescent="0.25">
      <c r="A26" s="26"/>
      <c r="B26" s="27">
        <f>+B11+B24</f>
        <v>200360</v>
      </c>
      <c r="C26" s="20"/>
      <c r="D26" s="28">
        <f>+D11+D24</f>
        <v>463399.79000000004</v>
      </c>
      <c r="E26" s="20" t="s">
        <v>10</v>
      </c>
      <c r="F26" s="23">
        <f>ROUND(D26/B26,3)</f>
        <v>2.3130000000000002</v>
      </c>
      <c r="G26" s="20" t="s">
        <v>11</v>
      </c>
      <c r="H26" s="14"/>
      <c r="I26" s="14"/>
      <c r="J26" s="27">
        <f>SUM(J8:J25)</f>
        <v>200360</v>
      </c>
      <c r="K26" s="20" t="s">
        <v>12</v>
      </c>
    </row>
    <row r="27" spans="1:27" s="16" customFormat="1" ht="12" thickTop="1" x14ac:dyDescent="0.2">
      <c r="B27" s="14"/>
      <c r="C27" s="14"/>
      <c r="D27" s="14"/>
      <c r="E27" s="14"/>
      <c r="F27" s="14"/>
      <c r="G27" s="14"/>
      <c r="H27" s="14"/>
      <c r="I27" s="14"/>
      <c r="J27" s="14"/>
      <c r="K27" s="14"/>
    </row>
    <row r="28" spans="1:27" s="16" customFormat="1" ht="11.25" x14ac:dyDescent="0.2">
      <c r="B28" s="14"/>
      <c r="C28" s="14"/>
      <c r="D28" s="14"/>
      <c r="E28" s="14"/>
      <c r="F28" s="14"/>
      <c r="G28" s="14"/>
      <c r="H28" s="14"/>
      <c r="I28" s="14"/>
      <c r="J28" s="14"/>
      <c r="K28" s="14"/>
    </row>
    <row r="29" spans="1:27" s="16" customFormat="1" ht="12" thickBot="1" x14ac:dyDescent="0.25">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ROUND(D26,0)</f>
        <v>463400</v>
      </c>
      <c r="H31" s="20" t="s">
        <v>10</v>
      </c>
      <c r="I31" s="14"/>
      <c r="J31" s="14"/>
      <c r="K31" s="14"/>
    </row>
    <row r="32" spans="1:27" s="13" customFormat="1" ht="11.25" x14ac:dyDescent="0.2">
      <c r="A32" s="33"/>
      <c r="B32" s="31"/>
      <c r="C32" s="14"/>
      <c r="D32" s="14"/>
      <c r="E32" s="14"/>
      <c r="F32" s="14"/>
      <c r="G32" s="14"/>
      <c r="H32" s="20"/>
      <c r="I32" s="14"/>
      <c r="J32" s="14"/>
      <c r="K32" s="14"/>
      <c r="W32" s="14"/>
      <c r="X32" s="16"/>
      <c r="Y32" s="16"/>
      <c r="AA32" s="14"/>
    </row>
    <row r="33" spans="2:27" s="16" customFormat="1" ht="11.25" x14ac:dyDescent="0.2">
      <c r="B33" s="14" t="s">
        <v>15</v>
      </c>
      <c r="C33" s="14"/>
      <c r="D33" s="14"/>
      <c r="E33" s="14"/>
      <c r="F33" s="34">
        <v>1.55</v>
      </c>
      <c r="G33" s="14"/>
      <c r="H33" s="14"/>
      <c r="I33" s="14"/>
      <c r="J33" s="14"/>
      <c r="K33" s="14"/>
    </row>
    <row r="34" spans="2:27" s="16" customFormat="1" ht="11.25" x14ac:dyDescent="0.2">
      <c r="B34" s="14"/>
      <c r="C34" s="14" t="s">
        <v>36</v>
      </c>
      <c r="D34" s="14"/>
      <c r="E34" s="14"/>
      <c r="F34" s="14">
        <f>+B11</f>
        <v>33295</v>
      </c>
      <c r="G34" s="20" t="s">
        <v>8</v>
      </c>
      <c r="H34" s="14"/>
      <c r="I34" s="14"/>
      <c r="J34" s="14"/>
      <c r="K34" s="14"/>
    </row>
    <row r="35" spans="2:27" s="16" customFormat="1" ht="11.25" x14ac:dyDescent="0.2">
      <c r="B35" s="14"/>
      <c r="C35" s="14" t="s">
        <v>16</v>
      </c>
      <c r="D35" s="14"/>
      <c r="E35" s="14"/>
      <c r="F35" s="21">
        <f>ROUND(F33*F34,0)</f>
        <v>51607</v>
      </c>
      <c r="G35" s="20"/>
      <c r="H35" s="14"/>
      <c r="I35" s="14"/>
      <c r="J35" s="14"/>
      <c r="K35" s="14"/>
    </row>
    <row r="36" spans="2:27" s="16" customFormat="1" ht="11.25" x14ac:dyDescent="0.2">
      <c r="B36" s="14"/>
      <c r="C36" s="14"/>
      <c r="D36" s="14"/>
      <c r="E36" s="14"/>
      <c r="F36" s="14"/>
      <c r="G36" s="20"/>
      <c r="H36" s="14"/>
      <c r="I36" s="14"/>
      <c r="J36" s="14"/>
      <c r="K36" s="14"/>
    </row>
    <row r="37" spans="2:27" s="16" customFormat="1" ht="11.25" x14ac:dyDescent="0.2">
      <c r="B37" s="14" t="s">
        <v>15</v>
      </c>
      <c r="C37" s="14"/>
      <c r="D37" s="14"/>
      <c r="E37" s="14"/>
      <c r="F37" s="34">
        <v>1.8180000000000001</v>
      </c>
      <c r="G37" s="14"/>
      <c r="H37" s="14"/>
      <c r="I37" s="14"/>
      <c r="J37" s="14"/>
      <c r="K37" s="14"/>
    </row>
    <row r="38" spans="2:27" s="16" customFormat="1" ht="11.25" x14ac:dyDescent="0.2">
      <c r="B38" s="14"/>
      <c r="C38" s="14" t="s">
        <v>37</v>
      </c>
      <c r="D38" s="14"/>
      <c r="E38" s="14"/>
      <c r="F38" s="14">
        <f>+B24</f>
        <v>167065</v>
      </c>
      <c r="G38" s="20" t="s">
        <v>9</v>
      </c>
      <c r="H38" s="14"/>
      <c r="I38" s="14"/>
      <c r="J38" s="14"/>
      <c r="K38" s="14"/>
    </row>
    <row r="39" spans="2:27" s="16" customFormat="1" ht="11.25" x14ac:dyDescent="0.2">
      <c r="B39" s="14"/>
      <c r="C39" s="14" t="s">
        <v>16</v>
      </c>
      <c r="D39" s="14"/>
      <c r="E39" s="14"/>
      <c r="F39" s="21">
        <f>ROUND(F37*F38,0)</f>
        <v>303724</v>
      </c>
      <c r="G39" s="20"/>
      <c r="H39" s="14"/>
      <c r="I39" s="14"/>
      <c r="J39" s="14"/>
      <c r="K39" s="14"/>
    </row>
    <row r="40" spans="2:27" s="16" customFormat="1" ht="11.25" x14ac:dyDescent="0.2">
      <c r="B40" s="14"/>
      <c r="C40" s="14"/>
      <c r="D40" s="14"/>
      <c r="E40" s="14"/>
      <c r="F40" s="35"/>
      <c r="G40" s="20"/>
      <c r="H40" s="14"/>
      <c r="I40" s="14"/>
      <c r="J40" s="14"/>
      <c r="K40" s="14"/>
    </row>
    <row r="41" spans="2:27" s="16" customFormat="1" ht="12" thickBot="1" x14ac:dyDescent="0.25">
      <c r="B41" s="14"/>
      <c r="C41" s="14" t="s">
        <v>17</v>
      </c>
      <c r="D41" s="14"/>
      <c r="E41" s="14"/>
      <c r="F41" s="27">
        <f>+F35+F39</f>
        <v>355331</v>
      </c>
      <c r="G41" s="36">
        <f>+F41</f>
        <v>355331</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18</v>
      </c>
      <c r="G44" s="37">
        <f>+G31-G41</f>
        <v>108069</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
        <v>38</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
        <v>19</v>
      </c>
      <c r="C49" s="14"/>
      <c r="D49" s="14"/>
      <c r="E49" s="14"/>
      <c r="F49" s="14"/>
      <c r="G49" s="14"/>
      <c r="H49" s="14"/>
      <c r="I49" s="14"/>
      <c r="J49" s="14"/>
      <c r="K49" s="14"/>
    </row>
    <row r="50" spans="1:25" s="16" customFormat="1" ht="11.25" x14ac:dyDescent="0.2">
      <c r="B50" s="14"/>
      <c r="C50" s="14"/>
      <c r="D50" s="14"/>
      <c r="E50" s="14"/>
      <c r="F50" s="32" t="s">
        <v>20</v>
      </c>
      <c r="G50" s="14">
        <f>+J26</f>
        <v>200360</v>
      </c>
      <c r="H50" s="20" t="s">
        <v>12</v>
      </c>
      <c r="I50" s="14"/>
      <c r="J50" s="14"/>
      <c r="K50" s="14"/>
    </row>
    <row r="51" spans="1:25" s="16" customFormat="1" ht="11.25" x14ac:dyDescent="0.2">
      <c r="B51" s="14"/>
      <c r="C51" s="14"/>
      <c r="D51" s="14"/>
      <c r="E51" s="14"/>
      <c r="F51" s="32" t="s">
        <v>18</v>
      </c>
      <c r="G51" s="14">
        <f>+G44</f>
        <v>108069</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39</v>
      </c>
      <c r="G53" s="38">
        <f>ROUND(G51/G50,3)</f>
        <v>0.53900000000000003</v>
      </c>
      <c r="H53" s="14"/>
      <c r="I53" s="23">
        <f>+G53</f>
        <v>0.53900000000000003</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
        <v>41</v>
      </c>
      <c r="C55" s="14"/>
      <c r="D55" s="14"/>
      <c r="E55" s="14"/>
      <c r="F55" s="32"/>
      <c r="G55" s="14"/>
      <c r="H55" s="14"/>
      <c r="I55" s="23"/>
      <c r="J55" s="14"/>
      <c r="K55" s="14"/>
    </row>
    <row r="56" spans="1:25" s="16" customFormat="1" ht="12" thickBot="1" x14ac:dyDescent="0.25">
      <c r="B56" s="31"/>
      <c r="C56" s="14"/>
      <c r="D56" s="14"/>
      <c r="E56" s="14"/>
      <c r="F56" s="32" t="s">
        <v>40</v>
      </c>
      <c r="G56" s="39">
        <f>+F26</f>
        <v>2.3130000000000002</v>
      </c>
      <c r="H56" s="14"/>
      <c r="I56" s="23">
        <f>+G56</f>
        <v>2.3130000000000002</v>
      </c>
      <c r="J56" s="20" t="s">
        <v>11</v>
      </c>
      <c r="K56" s="14"/>
    </row>
    <row r="57" spans="1:25" s="14" customFormat="1" ht="12" thickTop="1" x14ac:dyDescent="0.2">
      <c r="B57" s="31"/>
      <c r="I57" s="23"/>
      <c r="X57" s="16"/>
      <c r="Y57" s="16"/>
    </row>
    <row r="58" spans="1:25" s="16" customFormat="1" ht="12" thickBot="1" x14ac:dyDescent="0.25">
      <c r="B58" s="14"/>
      <c r="C58" s="14"/>
      <c r="D58" s="14"/>
      <c r="E58" s="14"/>
      <c r="F58" s="14"/>
      <c r="G58" s="32" t="s">
        <v>42</v>
      </c>
      <c r="H58" s="27"/>
      <c r="I58" s="38">
        <f>+I53+I56</f>
        <v>2.8520000000000003</v>
      </c>
      <c r="J58" s="14"/>
      <c r="K58" s="14"/>
    </row>
    <row r="59" spans="1:25" s="16" customFormat="1" ht="12" thickTop="1" x14ac:dyDescent="0.2">
      <c r="I59" s="23"/>
    </row>
    <row r="60" spans="1:25" s="16" customFormat="1" ht="11.25" x14ac:dyDescent="0.2"/>
    <row r="61" spans="1:25" s="16" customFormat="1" ht="11.25" x14ac:dyDescent="0.2"/>
    <row r="62" spans="1:25" s="16" customFormat="1" ht="11.25" x14ac:dyDescent="0.2"/>
    <row r="63" spans="1:25" s="16" customFormat="1" ht="18.75" x14ac:dyDescent="0.3">
      <c r="A63" s="40"/>
      <c r="B63" s="41"/>
      <c r="C63" s="41"/>
      <c r="D63" s="41"/>
      <c r="E63" s="40"/>
      <c r="F63" s="41"/>
      <c r="G63" s="41"/>
      <c r="H63" s="41"/>
      <c r="I63" s="41"/>
      <c r="J63" s="41"/>
      <c r="K63" s="41"/>
      <c r="Y63" s="14"/>
    </row>
    <row r="64" spans="1:25" s="16" customFormat="1" ht="11.25" x14ac:dyDescent="0.2">
      <c r="A64" s="24"/>
      <c r="B64" s="42"/>
      <c r="C64" s="20"/>
      <c r="D64" s="18"/>
    </row>
    <row r="65" spans="1:27" s="16" customFormat="1" ht="11.25" x14ac:dyDescent="0.2">
      <c r="A65" s="24"/>
      <c r="B65" s="42"/>
      <c r="C65" s="14"/>
      <c r="D65" s="18"/>
    </row>
    <row r="66" spans="1:27" s="14" customFormat="1" ht="11.25" x14ac:dyDescent="0.2">
      <c r="A66" s="24"/>
      <c r="D66" s="16"/>
      <c r="F66" s="16"/>
      <c r="X66" s="16"/>
      <c r="Y66" s="16"/>
    </row>
    <row r="67" spans="1:27" s="16" customFormat="1" ht="11.25" x14ac:dyDescent="0.2">
      <c r="A67" s="24"/>
      <c r="B67" s="14"/>
      <c r="C67" s="20"/>
    </row>
    <row r="68" spans="1:27" s="16" customFormat="1" ht="11.25" x14ac:dyDescent="0.2">
      <c r="A68" s="24"/>
      <c r="B68" s="14"/>
      <c r="C68" s="14"/>
    </row>
    <row r="69" spans="1:27" s="16" customFormat="1" ht="11.25" x14ac:dyDescent="0.2">
      <c r="A69" s="24"/>
      <c r="B69" s="19"/>
      <c r="C69" s="14"/>
    </row>
    <row r="70" spans="1:27" s="16" customFormat="1" ht="11.25" x14ac:dyDescent="0.2">
      <c r="A70" s="24"/>
      <c r="B70" s="19"/>
      <c r="C70" s="14"/>
    </row>
    <row r="71" spans="1:27" s="16" customFormat="1" ht="11.25" x14ac:dyDescent="0.2">
      <c r="A71" s="24"/>
      <c r="B71" s="19"/>
      <c r="C71" s="14"/>
    </row>
    <row r="72" spans="1:27" s="16" customFormat="1" ht="11.25" x14ac:dyDescent="0.2">
      <c r="A72" s="24"/>
      <c r="B72" s="19"/>
      <c r="C72" s="14"/>
    </row>
    <row r="73" spans="1:27" s="16" customFormat="1" ht="11.25" x14ac:dyDescent="0.2">
      <c r="A73" s="24"/>
      <c r="B73" s="19"/>
      <c r="C73" s="14"/>
      <c r="Y73" s="14"/>
    </row>
    <row r="74" spans="1:27" s="16" customFormat="1" ht="11.25" x14ac:dyDescent="0.2">
      <c r="A74" s="24"/>
      <c r="B74" s="19"/>
      <c r="C74" s="14"/>
    </row>
    <row r="75" spans="1:27" s="16" customFormat="1" ht="11.25" x14ac:dyDescent="0.2">
      <c r="A75" s="24"/>
      <c r="B75" s="19"/>
      <c r="C75" s="14"/>
    </row>
    <row r="76" spans="1:27" s="16" customFormat="1" ht="11.25" x14ac:dyDescent="0.2">
      <c r="A76" s="24"/>
      <c r="B76" s="19"/>
      <c r="C76" s="14"/>
    </row>
    <row r="77" spans="1:27" s="16" customFormat="1" ht="11.25" x14ac:dyDescent="0.2">
      <c r="A77" s="24"/>
      <c r="B77" s="19"/>
      <c r="C77" s="14"/>
      <c r="E77" s="13"/>
      <c r="G77" s="14"/>
      <c r="H77" s="13"/>
      <c r="I77" s="14"/>
      <c r="J77" s="14"/>
      <c r="K77" s="13"/>
      <c r="L77" s="14"/>
      <c r="M77" s="14"/>
      <c r="N77" s="14"/>
      <c r="O77" s="14"/>
      <c r="P77" s="14"/>
      <c r="Q77" s="14"/>
      <c r="R77" s="14"/>
      <c r="S77" s="14"/>
      <c r="T77" s="14"/>
      <c r="U77" s="14"/>
      <c r="V77" s="13"/>
      <c r="W77" s="14"/>
      <c r="AA77" s="14"/>
    </row>
    <row r="78" spans="1:27" s="16" customFormat="1" ht="11.25" x14ac:dyDescent="0.2">
      <c r="A78" s="24"/>
      <c r="B78" s="19"/>
      <c r="C78" s="14"/>
    </row>
    <row r="79" spans="1:27" s="16" customFormat="1" ht="11.25" x14ac:dyDescent="0.2">
      <c r="A79" s="17"/>
      <c r="B79" s="14"/>
      <c r="C79" s="14"/>
    </row>
    <row r="80" spans="1:27" s="16" customFormat="1" ht="11.25" x14ac:dyDescent="0.2">
      <c r="A80" s="61"/>
      <c r="B80" s="14"/>
      <c r="C80" s="20"/>
    </row>
    <row r="81" spans="1:25" s="16" customFormat="1" x14ac:dyDescent="0.2">
      <c r="A81" s="5"/>
      <c r="B81" s="5"/>
      <c r="C81" s="5"/>
      <c r="D81" s="25"/>
      <c r="F81" s="5"/>
    </row>
    <row r="82" spans="1:25" s="16" customFormat="1" ht="11.25" x14ac:dyDescent="0.2">
      <c r="A82" s="26"/>
      <c r="B82" s="14"/>
      <c r="C82" s="20"/>
      <c r="F82" s="23"/>
      <c r="Y82" s="14"/>
    </row>
    <row r="83" spans="1:25" s="16" customFormat="1" ht="11.25" x14ac:dyDescent="0.2"/>
    <row r="84" spans="1:25" s="16" customFormat="1" ht="11.25" x14ac:dyDescent="0.2"/>
    <row r="85" spans="1:25" s="16" customFormat="1" ht="11.25" x14ac:dyDescent="0.2"/>
    <row r="86" spans="1:25" s="16" customFormat="1" ht="11.25" x14ac:dyDescent="0.2">
      <c r="B86" s="8"/>
    </row>
    <row r="87" spans="1:25" s="14" customFormat="1" ht="11.25" x14ac:dyDescent="0.2">
      <c r="B87" s="31"/>
      <c r="X87" s="16"/>
      <c r="Y87" s="16"/>
    </row>
    <row r="88" spans="1:25" s="16" customFormat="1" ht="11.25" x14ac:dyDescent="0.2"/>
    <row r="89" spans="1:25" s="16" customFormat="1" ht="11.25" x14ac:dyDescent="0.2"/>
    <row r="90" spans="1:25" s="16" customFormat="1" ht="11.25" x14ac:dyDescent="0.2"/>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c r="A96" s="6"/>
    </row>
    <row r="97" spans="7:27" s="16" customFormat="1" x14ac:dyDescent="0.2">
      <c r="AA97" s="5"/>
    </row>
    <row r="98" spans="7:27" s="16" customFormat="1" x14ac:dyDescent="0.2">
      <c r="AA98" s="5"/>
    </row>
    <row r="99" spans="7:27" s="16" customFormat="1" x14ac:dyDescent="0.2">
      <c r="AA99" s="5"/>
    </row>
    <row r="100" spans="7:27" s="16" customFormat="1" x14ac:dyDescent="0.2">
      <c r="AA100" s="5"/>
    </row>
    <row r="101" spans="7:27" s="16" customFormat="1" x14ac:dyDescent="0.2">
      <c r="G101" s="43"/>
      <c r="I101" s="43"/>
      <c r="J101" s="43"/>
      <c r="L101" s="43"/>
      <c r="M101" s="43"/>
      <c r="N101" s="43"/>
      <c r="O101" s="43"/>
      <c r="P101" s="43"/>
      <c r="Q101" s="43"/>
      <c r="R101" s="43"/>
      <c r="S101" s="43"/>
      <c r="T101" s="43"/>
      <c r="U101" s="43"/>
      <c r="V101" s="43"/>
      <c r="W101" s="43"/>
      <c r="X101" s="43"/>
      <c r="Y101" s="43"/>
      <c r="AA101" s="5"/>
    </row>
    <row r="102" spans="7:27" s="16" customFormat="1" x14ac:dyDescent="0.2">
      <c r="AA102" s="5"/>
    </row>
    <row r="103" spans="7:27" s="16" customFormat="1" ht="13.5" thickBot="1" x14ac:dyDescent="0.25">
      <c r="G103" s="44"/>
      <c r="I103" s="44"/>
      <c r="J103" s="44"/>
      <c r="L103" s="44"/>
      <c r="M103" s="44"/>
      <c r="N103" s="44"/>
      <c r="O103" s="44"/>
      <c r="P103" s="44"/>
      <c r="Q103" s="44"/>
      <c r="R103" s="44"/>
      <c r="S103" s="44"/>
      <c r="T103" s="44"/>
      <c r="U103" s="44"/>
      <c r="V103" s="44"/>
      <c r="W103" s="44"/>
      <c r="X103" s="44"/>
      <c r="Y103" s="44"/>
      <c r="AA103" s="5"/>
    </row>
    <row r="104" spans="7:27" ht="13.5" thickTop="1" x14ac:dyDescent="0.2"/>
    <row r="105" spans="7:27" x14ac:dyDescent="0.2">
      <c r="W105" s="45"/>
      <c r="X105" s="45"/>
      <c r="Y105" s="45"/>
    </row>
    <row r="106" spans="7:27" x14ac:dyDescent="0.2">
      <c r="W106" s="45"/>
      <c r="AA106" s="45"/>
    </row>
  </sheetData>
  <phoneticPr fontId="0" type="noConversion"/>
  <printOptions horizontalCentered="1"/>
  <pageMargins left="0" right="0" top="0.52" bottom="0.44" header="0" footer="0"/>
  <pageSetup scale="77" orientation="portrait" horizontalDpi="4294967292" verticalDpi="4294967292" r:id="rId1"/>
  <headerFooter alignWithMargins="0">
    <oddFooter>&amp;R&amp;"Helv,Regular"&amp;6\\SERVER1\PUBLIC\EXCEL&amp;F,&amp;A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
  <sheetViews>
    <sheetView showGridLines="0" zoomScaleNormal="100" workbookViewId="0">
      <pane ySplit="4" topLeftCell="A15" activePane="bottomLeft" state="frozenSplit"/>
      <selection activeCell="G25" sqref="G25"/>
      <selection pane="bottomLeft" activeCell="S29" sqref="S29"/>
    </sheetView>
  </sheetViews>
  <sheetFormatPr defaultColWidth="9.28515625" defaultRowHeight="12.75" x14ac:dyDescent="0.2"/>
  <cols>
    <col min="1" max="1" width="24.7109375" style="5" customWidth="1"/>
    <col min="2" max="2" width="10.28515625"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9.7109375" style="5" bestFit="1" customWidth="1"/>
    <col min="10" max="10" width="9.42578125" style="5" customWidth="1"/>
    <col min="11" max="11" width="4.7109375" style="5" bestFit="1" customWidth="1"/>
    <col min="12" max="13" width="9.5703125" style="5" customWidth="1"/>
    <col min="14"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7109375" style="5" customWidth="1"/>
    <col min="26" max="26" width="9.28515625" style="5"/>
    <col min="27" max="27" width="10.42578125" style="5" customWidth="1"/>
    <col min="28" max="16384" width="9.28515625" style="5"/>
  </cols>
  <sheetData>
    <row r="1" spans="1:27" x14ac:dyDescent="0.2">
      <c r="A1" s="1" t="s">
        <v>103</v>
      </c>
      <c r="B1" s="2"/>
      <c r="C1" s="2"/>
      <c r="D1" s="2"/>
      <c r="E1" s="2"/>
      <c r="F1" s="2"/>
      <c r="G1" s="3"/>
      <c r="H1" s="2"/>
      <c r="I1" s="2"/>
      <c r="J1" s="1" t="s">
        <v>76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2024</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01" t="str">
        <f>"Total "&amp;F5</f>
        <v>Total Commodity</v>
      </c>
      <c r="P5" s="2"/>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02" t="str">
        <f>+F6</f>
        <v>Revenue</v>
      </c>
    </row>
    <row r="7" spans="1:27" s="16" customFormat="1" ht="11.25" x14ac:dyDescent="0.2">
      <c r="A7" s="15" t="s">
        <v>5</v>
      </c>
      <c r="B7" s="12" t="s">
        <v>6</v>
      </c>
      <c r="C7" s="12"/>
      <c r="D7" s="12" t="s">
        <v>3</v>
      </c>
      <c r="E7" s="12"/>
      <c r="F7" s="12" t="s">
        <v>7</v>
      </c>
      <c r="G7" s="12"/>
      <c r="H7" s="12"/>
      <c r="I7" s="12"/>
      <c r="J7" s="12" t="s">
        <v>6</v>
      </c>
      <c r="K7" s="12"/>
      <c r="O7" s="102" t="str">
        <f>+F7</f>
        <v>per Customer</v>
      </c>
    </row>
    <row r="8" spans="1:27" s="16" customFormat="1" ht="11.25" x14ac:dyDescent="0.2">
      <c r="A8" s="17">
        <f>'Single Family'!$C$6</f>
        <v>45047</v>
      </c>
      <c r="B8" s="115">
        <v>5270</v>
      </c>
      <c r="C8" s="18"/>
      <c r="D8" s="88">
        <f>VLOOKUP(A8,Value!$A$6:$O$17,15,)</f>
        <v>1073.7294985244123</v>
      </c>
      <c r="E8" s="18"/>
      <c r="F8" s="16">
        <f t="shared" ref="F8:F22" si="0">ROUND(D8/B8,2)</f>
        <v>0.2</v>
      </c>
      <c r="G8" s="18"/>
      <c r="H8" s="18"/>
      <c r="I8" s="18"/>
      <c r="J8" s="14">
        <f t="shared" ref="J8:J18" si="1">+B8</f>
        <v>5270</v>
      </c>
      <c r="K8" s="13">
        <f t="shared" ref="K8:K18" si="2">YEAR(A8)</f>
        <v>2023</v>
      </c>
      <c r="O8" s="103">
        <f>VLOOKUP(A8,Value!$A$6:$O$17,13,FALSE)</f>
        <v>2147.4589970488246</v>
      </c>
    </row>
    <row r="9" spans="1:27" s="16" customFormat="1" ht="11.25" x14ac:dyDescent="0.2">
      <c r="A9" s="17">
        <f t="shared" ref="A9:A18" si="3">EOMONTH(A8,1)</f>
        <v>45107</v>
      </c>
      <c r="B9" s="115">
        <v>5272</v>
      </c>
      <c r="C9" s="20"/>
      <c r="D9" s="88">
        <f>VLOOKUP(A9,Value!$A$6:$O$17,15,)</f>
        <v>524.58684861825509</v>
      </c>
      <c r="E9" s="14"/>
      <c r="F9" s="16">
        <f t="shared" si="0"/>
        <v>0.1</v>
      </c>
      <c r="G9" s="14"/>
      <c r="H9" s="14"/>
      <c r="I9" s="14"/>
      <c r="J9" s="14">
        <f t="shared" si="1"/>
        <v>5272</v>
      </c>
      <c r="K9" s="13">
        <f t="shared" si="2"/>
        <v>2023</v>
      </c>
      <c r="O9" s="103">
        <f>VLOOKUP(A9,Value!$A$6:$O$17,13,FALSE)</f>
        <v>1049.1736972365102</v>
      </c>
    </row>
    <row r="10" spans="1:27" s="16" customFormat="1" ht="11.25" x14ac:dyDescent="0.2">
      <c r="A10" s="17">
        <f t="shared" si="3"/>
        <v>45138</v>
      </c>
      <c r="B10" s="115">
        <v>5293</v>
      </c>
      <c r="C10" s="14"/>
      <c r="D10" s="88">
        <f>VLOOKUP(A10,Value!$A$6:$O$17,15,)</f>
        <v>158.87937916808778</v>
      </c>
      <c r="E10" s="14"/>
      <c r="F10" s="16">
        <f t="shared" si="0"/>
        <v>0.03</v>
      </c>
      <c r="G10" s="14"/>
      <c r="H10" s="14"/>
      <c r="I10" s="14"/>
      <c r="J10" s="14">
        <f t="shared" si="1"/>
        <v>5293</v>
      </c>
      <c r="K10" s="13">
        <f t="shared" si="2"/>
        <v>2023</v>
      </c>
      <c r="O10" s="103">
        <f>VLOOKUP(A10,Value!$A$6:$O$17,13,FALSE)</f>
        <v>317.75875833617556</v>
      </c>
    </row>
    <row r="11" spans="1:27" s="16" customFormat="1" ht="11.25" x14ac:dyDescent="0.2">
      <c r="A11" s="17"/>
      <c r="B11" s="88"/>
      <c r="C11" s="14"/>
      <c r="D11" s="88"/>
      <c r="E11" s="14"/>
      <c r="G11" s="23"/>
      <c r="H11" s="14"/>
      <c r="I11" s="14"/>
      <c r="J11" s="14"/>
      <c r="K11" s="13"/>
      <c r="O11" s="103"/>
    </row>
    <row r="12" spans="1:27" s="16" customFormat="1" ht="11.25" x14ac:dyDescent="0.2">
      <c r="A12" s="17" t="s">
        <v>108</v>
      </c>
      <c r="B12" s="121">
        <f>SUM(B8:B10)</f>
        <v>15835</v>
      </c>
      <c r="C12" s="14"/>
      <c r="D12" s="18">
        <f>SUM(D2:D10)</f>
        <v>1757.1957263107552</v>
      </c>
      <c r="E12" s="14"/>
      <c r="G12" s="23"/>
      <c r="H12" s="14"/>
      <c r="I12" s="14"/>
      <c r="J12" s="14"/>
      <c r="K12" s="13"/>
      <c r="O12" s="103"/>
    </row>
    <row r="13" spans="1:27" s="16" customFormat="1" ht="11.25" x14ac:dyDescent="0.2">
      <c r="A13" s="17"/>
      <c r="B13" s="88"/>
      <c r="C13" s="14"/>
      <c r="D13" s="88"/>
      <c r="E13" s="14"/>
      <c r="G13" s="23"/>
      <c r="H13" s="14"/>
      <c r="I13" s="14"/>
      <c r="J13" s="14"/>
      <c r="K13" s="13"/>
      <c r="O13" s="103"/>
    </row>
    <row r="14" spans="1:27" s="16" customFormat="1" ht="11.25" x14ac:dyDescent="0.2">
      <c r="A14" s="17">
        <f>EOMONTH(A10,1)</f>
        <v>45169</v>
      </c>
      <c r="B14" s="116">
        <v>5288</v>
      </c>
      <c r="C14" s="14"/>
      <c r="D14" s="88">
        <f>VLOOKUP(A14,Value!$A$6:$O$17,15,)</f>
        <v>195.53619721296309</v>
      </c>
      <c r="E14" s="14"/>
      <c r="F14" s="16">
        <f t="shared" si="0"/>
        <v>0.04</v>
      </c>
      <c r="G14" s="23"/>
      <c r="H14" s="14"/>
      <c r="I14" s="14"/>
      <c r="J14" s="14">
        <f t="shared" si="1"/>
        <v>5288</v>
      </c>
      <c r="K14" s="13">
        <f t="shared" si="2"/>
        <v>2023</v>
      </c>
      <c r="O14" s="103">
        <f>VLOOKUP(A14,Value!$A$6:$O$17,13,FALSE)</f>
        <v>391.07239442592618</v>
      </c>
    </row>
    <row r="15" spans="1:27" s="16" customFormat="1" ht="11.25" x14ac:dyDescent="0.2">
      <c r="A15" s="17">
        <f t="shared" si="3"/>
        <v>45199</v>
      </c>
      <c r="B15" s="116">
        <v>5304</v>
      </c>
      <c r="C15" s="14"/>
      <c r="D15" s="88">
        <f>VLOOKUP(A15,Value!$A$6:$O$17,15,)</f>
        <v>365.71489733055478</v>
      </c>
      <c r="E15" s="14"/>
      <c r="F15" s="16">
        <f t="shared" si="0"/>
        <v>7.0000000000000007E-2</v>
      </c>
      <c r="G15" s="23"/>
      <c r="H15" s="14"/>
      <c r="I15" s="14"/>
      <c r="J15" s="14">
        <f t="shared" si="1"/>
        <v>5304</v>
      </c>
      <c r="K15" s="13">
        <f t="shared" si="2"/>
        <v>2023</v>
      </c>
      <c r="O15" s="103">
        <f>VLOOKUP(A15,Value!$A$6:$O$17,13,FALSE)</f>
        <v>731.42979466110955</v>
      </c>
    </row>
    <row r="16" spans="1:27" s="16" customFormat="1" ht="11.25" x14ac:dyDescent="0.2">
      <c r="A16" s="17">
        <f t="shared" si="3"/>
        <v>45230</v>
      </c>
      <c r="B16" s="116">
        <v>5306</v>
      </c>
      <c r="C16" s="14"/>
      <c r="D16" s="88">
        <f>VLOOKUP(A16,Value!$A$6:$O$17,15,)</f>
        <v>1240.2985396390307</v>
      </c>
      <c r="E16" s="14"/>
      <c r="F16" s="16">
        <f t="shared" si="0"/>
        <v>0.23</v>
      </c>
      <c r="G16" s="23"/>
      <c r="H16" s="14"/>
      <c r="I16" s="14"/>
      <c r="J16" s="14">
        <f t="shared" si="1"/>
        <v>5306</v>
      </c>
      <c r="K16" s="13">
        <f t="shared" si="2"/>
        <v>2023</v>
      </c>
      <c r="O16" s="103">
        <f>VLOOKUP(A16,Value!$A$6:$O$17,13,FALSE)</f>
        <v>2480.5970792780613</v>
      </c>
    </row>
    <row r="17" spans="1:27" s="16" customFormat="1" ht="11.25" x14ac:dyDescent="0.2">
      <c r="A17" s="17">
        <f>EOMONTH(A16,1)</f>
        <v>45260</v>
      </c>
      <c r="B17" s="116">
        <v>5310</v>
      </c>
      <c r="C17" s="14"/>
      <c r="D17" s="88">
        <f>VLOOKUP(A17,Value!$A$6:$O$17,15,)</f>
        <v>599.69431865798856</v>
      </c>
      <c r="E17" s="14"/>
      <c r="F17" s="16">
        <f t="shared" si="0"/>
        <v>0.11</v>
      </c>
      <c r="G17" s="23"/>
      <c r="H17" s="14"/>
      <c r="I17" s="14"/>
      <c r="J17" s="14">
        <f t="shared" si="1"/>
        <v>5310</v>
      </c>
      <c r="K17" s="13">
        <f t="shared" si="2"/>
        <v>2023</v>
      </c>
      <c r="O17" s="103">
        <f>VLOOKUP(A17,Value!$A$6:$O$17,13,FALSE)</f>
        <v>1199.3886373159771</v>
      </c>
    </row>
    <row r="18" spans="1:27" s="16" customFormat="1" ht="11.25" x14ac:dyDescent="0.2">
      <c r="A18" s="17">
        <f t="shared" si="3"/>
        <v>45291</v>
      </c>
      <c r="B18" s="116">
        <v>5315</v>
      </c>
      <c r="C18" s="14"/>
      <c r="D18" s="88">
        <f>VLOOKUP(A18,Value!$A$6:$O$17,15,)</f>
        <v>742.60038602601026</v>
      </c>
      <c r="E18" s="14"/>
      <c r="F18" s="16">
        <f t="shared" si="0"/>
        <v>0.14000000000000001</v>
      </c>
      <c r="G18" s="23"/>
      <c r="H18" s="14"/>
      <c r="I18" s="14"/>
      <c r="J18" s="14">
        <f t="shared" si="1"/>
        <v>5315</v>
      </c>
      <c r="K18" s="13">
        <f t="shared" si="2"/>
        <v>2023</v>
      </c>
      <c r="O18" s="103">
        <f>VLOOKUP(A18,Value!$A$6:$O$17,13,FALSE)</f>
        <v>1485.2007720520205</v>
      </c>
    </row>
    <row r="19" spans="1:27" s="16" customFormat="1" ht="11.25" x14ac:dyDescent="0.2">
      <c r="A19" s="17">
        <f>EOMONTH(A18,1)</f>
        <v>45322</v>
      </c>
      <c r="B19" s="116">
        <v>5324</v>
      </c>
      <c r="C19" s="14"/>
      <c r="D19" s="88">
        <f>VLOOKUP(A19,Value!$A$6:$O$17,15,)</f>
        <v>1709.1991848381763</v>
      </c>
      <c r="E19" s="14"/>
      <c r="F19" s="16">
        <f t="shared" si="0"/>
        <v>0.32</v>
      </c>
      <c r="G19" s="23"/>
      <c r="H19" s="14"/>
      <c r="I19" s="14"/>
      <c r="J19" s="14">
        <f>+B19</f>
        <v>5324</v>
      </c>
      <c r="K19" s="13">
        <f>YEAR(A19)</f>
        <v>2024</v>
      </c>
      <c r="O19" s="103">
        <f>VLOOKUP(A19,Value!$A$6:$O$17,13,FALSE)</f>
        <v>3418.3983696763526</v>
      </c>
      <c r="X19" s="14"/>
      <c r="Y19" s="14"/>
    </row>
    <row r="20" spans="1:27" s="16" customFormat="1" ht="11.25" x14ac:dyDescent="0.2">
      <c r="A20" s="17">
        <f>EOMONTH(A19,1)</f>
        <v>45351</v>
      </c>
      <c r="B20" s="116">
        <v>5306</v>
      </c>
      <c r="C20" s="14"/>
      <c r="D20" s="88">
        <f>VLOOKUP(A20,Value!$A$6:$O$17,15,)</f>
        <v>908.41662631262534</v>
      </c>
      <c r="E20" s="14"/>
      <c r="F20" s="16">
        <f t="shared" si="0"/>
        <v>0.17</v>
      </c>
      <c r="G20" s="23"/>
      <c r="H20" s="14"/>
      <c r="I20" s="14"/>
      <c r="J20" s="14">
        <f>+B20</f>
        <v>5306</v>
      </c>
      <c r="K20" s="13">
        <f>YEAR(A20)</f>
        <v>2024</v>
      </c>
      <c r="L20" s="14"/>
      <c r="M20" s="14"/>
      <c r="N20" s="14"/>
      <c r="O20" s="103">
        <f>VLOOKUP(A20,Value!$A$6:$O$17,13,FALSE)</f>
        <v>1816.8332526252507</v>
      </c>
      <c r="P20" s="14"/>
      <c r="Q20" s="14"/>
      <c r="R20" s="14"/>
      <c r="S20" s="14"/>
      <c r="T20" s="14"/>
      <c r="U20" s="14"/>
      <c r="V20" s="14"/>
      <c r="W20" s="14"/>
      <c r="Y20" s="14"/>
      <c r="AA20" s="14"/>
    </row>
    <row r="21" spans="1:27" s="16" customFormat="1" ht="11.25" x14ac:dyDescent="0.2">
      <c r="A21" s="17">
        <f>EOMONTH(A20,1)</f>
        <v>45382</v>
      </c>
      <c r="B21" s="116">
        <v>5298</v>
      </c>
      <c r="C21" s="14"/>
      <c r="D21" s="88">
        <f>VLOOKUP(A21,Value!$A$6:$O$17,15,)</f>
        <v>931.80374572279015</v>
      </c>
      <c r="E21" s="14"/>
      <c r="F21" s="16">
        <f t="shared" si="0"/>
        <v>0.18</v>
      </c>
      <c r="G21" s="23"/>
      <c r="H21" s="20"/>
      <c r="I21" s="14"/>
      <c r="J21" s="14">
        <f>+B21</f>
        <v>5298</v>
      </c>
      <c r="K21" s="13">
        <f>YEAR(A21)</f>
        <v>2024</v>
      </c>
      <c r="O21" s="103">
        <f>VLOOKUP(A21,Value!$A$6:$O$17,13,FALSE)</f>
        <v>1863.6074914455803</v>
      </c>
    </row>
    <row r="22" spans="1:27" s="16" customFormat="1" ht="11.25" x14ac:dyDescent="0.2">
      <c r="A22" s="17">
        <f>EOMONTH(A21,1)</f>
        <v>45412</v>
      </c>
      <c r="B22" s="116">
        <v>5297</v>
      </c>
      <c r="C22" s="14"/>
      <c r="D22" s="88">
        <f>VLOOKUP(A22,Value!$A$6:$O$17,15,)</f>
        <v>1576.9935552344577</v>
      </c>
      <c r="E22" s="14"/>
      <c r="F22" s="16">
        <f t="shared" si="0"/>
        <v>0.3</v>
      </c>
      <c r="G22" s="23"/>
      <c r="H22" s="20"/>
      <c r="I22" s="14"/>
      <c r="J22" s="14">
        <f>+B22</f>
        <v>5297</v>
      </c>
      <c r="K22" s="13">
        <f>YEAR(A22)</f>
        <v>2024</v>
      </c>
      <c r="O22" s="103">
        <f>VLOOKUP(A22,Value!$A$6:$O$17,13,FALSE)</f>
        <v>3153.9871104689155</v>
      </c>
    </row>
    <row r="23" spans="1:27" s="16" customFormat="1" ht="11.25" x14ac:dyDescent="0.2">
      <c r="A23" s="17"/>
      <c r="B23" s="14"/>
      <c r="C23" s="14"/>
      <c r="E23" s="14"/>
      <c r="G23" s="14"/>
      <c r="H23" s="14"/>
      <c r="I23" s="14"/>
      <c r="J23" s="14"/>
      <c r="K23" s="13"/>
      <c r="O23" s="104"/>
    </row>
    <row r="24" spans="1:27" s="16" customFormat="1" ht="11.25" x14ac:dyDescent="0.2">
      <c r="A24" s="17" t="s">
        <v>82</v>
      </c>
      <c r="B24" s="21">
        <f>SUM(B14:B22)</f>
        <v>47748</v>
      </c>
      <c r="D24" s="22">
        <f>SUM(D14:D22)</f>
        <v>8270.2574509745973</v>
      </c>
      <c r="E24" s="14"/>
      <c r="G24" s="14"/>
      <c r="H24" s="14"/>
      <c r="I24" s="14"/>
      <c r="J24" s="14"/>
      <c r="K24" s="13"/>
      <c r="O24" s="104"/>
      <c r="P24" s="15" t="s">
        <v>77</v>
      </c>
    </row>
    <row r="25" spans="1:27" x14ac:dyDescent="0.2">
      <c r="D25" s="25"/>
      <c r="O25" s="104">
        <f>SUM(O8:O24)</f>
        <v>20054.906354570703</v>
      </c>
    </row>
    <row r="26" spans="1:27" s="16" customFormat="1" ht="12" thickBot="1" x14ac:dyDescent="0.25">
      <c r="A26" s="26"/>
      <c r="B26" s="27">
        <f>B12+B24</f>
        <v>63583</v>
      </c>
      <c r="C26" s="20" t="s">
        <v>9</v>
      </c>
      <c r="D26" s="28">
        <f>D12+D24</f>
        <v>10027.453177285352</v>
      </c>
      <c r="E26" s="20" t="s">
        <v>10</v>
      </c>
      <c r="F26" s="23">
        <f>ROUND(D26/B26,3)</f>
        <v>0.158</v>
      </c>
      <c r="H26" s="14"/>
      <c r="I26" s="14"/>
      <c r="J26" s="27">
        <f>SUM(J8:J25)</f>
        <v>63583</v>
      </c>
      <c r="K26" s="20" t="s">
        <v>12</v>
      </c>
      <c r="O26" s="105">
        <f>ROUND(O25/J26,3)</f>
        <v>0.315</v>
      </c>
      <c r="P26" s="16" t="s">
        <v>78</v>
      </c>
    </row>
    <row r="27" spans="1:27" s="16" customFormat="1" ht="12" thickTop="1" x14ac:dyDescent="0.2">
      <c r="B27" s="14"/>
      <c r="C27" s="14"/>
      <c r="D27" s="14"/>
      <c r="E27" s="14"/>
      <c r="F27" s="14"/>
      <c r="G27" s="14"/>
      <c r="H27" s="14"/>
      <c r="I27" s="14"/>
      <c r="J27" s="14"/>
      <c r="K27" s="14"/>
      <c r="O27" s="106">
        <f>J22</f>
        <v>5297</v>
      </c>
      <c r="P27" s="16" t="s">
        <v>79</v>
      </c>
    </row>
    <row r="28" spans="1:27" s="16" customFormat="1" ht="11.25" x14ac:dyDescent="0.2">
      <c r="B28" s="14"/>
      <c r="C28" s="14"/>
      <c r="D28" s="14"/>
      <c r="E28" s="14"/>
      <c r="F28" s="14"/>
      <c r="G28" s="14"/>
      <c r="H28" s="14"/>
      <c r="I28" s="14"/>
      <c r="J28" s="14"/>
      <c r="K28" s="14"/>
    </row>
    <row r="29" spans="1:27" s="16" customFormat="1" ht="11.25" x14ac:dyDescent="0.2">
      <c r="B29" s="14"/>
      <c r="C29" s="14"/>
      <c r="D29" s="14"/>
      <c r="E29" s="14"/>
      <c r="F29" s="14"/>
      <c r="G29" s="14"/>
      <c r="H29" s="14"/>
      <c r="I29" s="14"/>
      <c r="J29" s="14"/>
      <c r="K29" s="14"/>
    </row>
    <row r="30" spans="1:27" s="16" customFormat="1" ht="12" thickBot="1" x14ac:dyDescent="0.25">
      <c r="B30" s="29" t="s">
        <v>104</v>
      </c>
      <c r="C30" s="30"/>
      <c r="D30" s="30"/>
      <c r="E30" s="30"/>
      <c r="F30" s="14"/>
      <c r="G30" s="14"/>
      <c r="H30" s="14"/>
      <c r="I30" s="14"/>
      <c r="J30" s="14"/>
      <c r="K30" s="14"/>
    </row>
    <row r="31" spans="1:27" s="16" customFormat="1" ht="12" thickTop="1" x14ac:dyDescent="0.2">
      <c r="A31" s="6"/>
      <c r="B31" s="31"/>
      <c r="C31" s="14"/>
      <c r="D31" s="14"/>
      <c r="E31" s="14"/>
      <c r="F31" s="14"/>
      <c r="G31" s="14"/>
      <c r="H31" s="14"/>
      <c r="I31" s="14"/>
      <c r="J31" s="14"/>
      <c r="K31" s="14"/>
      <c r="X31" s="14"/>
      <c r="Y31" s="14"/>
    </row>
    <row r="32" spans="1:27" s="16" customFormat="1" ht="11.25" x14ac:dyDescent="0.2">
      <c r="A32" s="8"/>
      <c r="B32" s="31"/>
      <c r="C32" s="14"/>
      <c r="D32" s="14"/>
      <c r="E32" s="14"/>
      <c r="F32" s="32" t="s">
        <v>14</v>
      </c>
      <c r="G32" s="14">
        <f>D26</f>
        <v>10027.453177285352</v>
      </c>
      <c r="H32" s="20" t="s">
        <v>10</v>
      </c>
      <c r="I32" s="14"/>
      <c r="J32" s="14"/>
      <c r="K32" s="14"/>
    </row>
    <row r="33" spans="1:27" s="13" customFormat="1" ht="11.25" x14ac:dyDescent="0.2">
      <c r="A33" s="33"/>
      <c r="B33" s="31"/>
      <c r="C33" s="14"/>
      <c r="D33" s="14"/>
      <c r="E33" s="14"/>
      <c r="F33" s="14"/>
      <c r="G33" s="14"/>
      <c r="H33" s="20"/>
      <c r="I33" s="14"/>
      <c r="J33" s="14"/>
      <c r="K33" s="14"/>
      <c r="O33" s="16">
        <f>12*O27*O26</f>
        <v>20022.66</v>
      </c>
      <c r="P33" s="13" t="s">
        <v>80</v>
      </c>
      <c r="W33" s="14"/>
      <c r="X33" s="16"/>
      <c r="Y33" s="16"/>
      <c r="AA33" s="14"/>
    </row>
    <row r="34" spans="1:27" s="16" customFormat="1" ht="11.25" x14ac:dyDescent="0.2">
      <c r="B34" s="14" t="s">
        <v>15</v>
      </c>
      <c r="C34" s="14"/>
      <c r="D34" s="14"/>
      <c r="E34" s="14"/>
      <c r="F34" s="114">
        <v>0.98</v>
      </c>
      <c r="G34" s="14"/>
      <c r="H34" s="14"/>
      <c r="I34" s="14"/>
      <c r="J34" s="14"/>
      <c r="K34" s="14"/>
      <c r="O34" s="16">
        <f>12*O27*G57</f>
        <v>10043.112000000001</v>
      </c>
      <c r="P34" s="16" t="s">
        <v>81</v>
      </c>
    </row>
    <row r="35" spans="1:27" s="16" customFormat="1" ht="11.25" x14ac:dyDescent="0.2">
      <c r="B35" s="14"/>
      <c r="C35" s="14" t="str">
        <f>"Customers from "&amp;TEXT($A$8,"mm/yy")&amp;" - "&amp;TEXT($A$10,"mm/yy")</f>
        <v>Customers from 05/23 - 07/23</v>
      </c>
      <c r="D35" s="14"/>
      <c r="E35" s="14"/>
      <c r="F35" s="14">
        <f>B12</f>
        <v>15835</v>
      </c>
      <c r="G35" s="20" t="s">
        <v>8</v>
      </c>
      <c r="H35" s="14"/>
      <c r="I35" s="14"/>
      <c r="J35" s="14"/>
      <c r="K35" s="14"/>
      <c r="O35" s="107">
        <f>+O34/O33</f>
        <v>0.50158730158730169</v>
      </c>
    </row>
    <row r="36" spans="1:27" s="16" customFormat="1" ht="11.25" x14ac:dyDescent="0.2">
      <c r="B36" s="14"/>
      <c r="C36" s="14" t="s">
        <v>16</v>
      </c>
      <c r="D36" s="14"/>
      <c r="E36" s="14"/>
      <c r="F36" s="21">
        <f>ROUND(F34*F35,0)</f>
        <v>15518</v>
      </c>
      <c r="G36" s="20"/>
      <c r="H36" s="14"/>
      <c r="I36" s="14"/>
      <c r="J36" s="14"/>
      <c r="K36" s="14"/>
    </row>
    <row r="37" spans="1:27" s="16" customFormat="1" ht="11.25" x14ac:dyDescent="0.2">
      <c r="B37" s="14"/>
      <c r="C37" s="14"/>
      <c r="D37" s="14"/>
      <c r="E37" s="14"/>
      <c r="F37" s="14"/>
      <c r="G37" s="20"/>
      <c r="H37" s="14"/>
      <c r="I37" s="14"/>
      <c r="J37" s="14"/>
      <c r="K37" s="14"/>
      <c r="L37" s="14"/>
      <c r="M37" s="14"/>
      <c r="N37" s="14"/>
      <c r="O37" s="14"/>
      <c r="P37" s="14"/>
      <c r="Q37" s="14"/>
    </row>
    <row r="38" spans="1:27" s="16" customFormat="1" ht="12" thickBot="1" x14ac:dyDescent="0.25">
      <c r="B38" s="14" t="s">
        <v>15</v>
      </c>
      <c r="C38" s="14"/>
      <c r="D38" s="14"/>
      <c r="E38" s="14"/>
      <c r="F38" s="39">
        <v>0.13500000000000001</v>
      </c>
      <c r="G38" s="14"/>
      <c r="H38" s="14"/>
      <c r="I38" s="14"/>
      <c r="J38" s="14"/>
      <c r="K38" s="14"/>
      <c r="L38" s="14"/>
      <c r="M38" s="14"/>
      <c r="N38" s="14"/>
      <c r="O38" s="14"/>
      <c r="P38" s="14"/>
      <c r="Q38" s="14"/>
    </row>
    <row r="39" spans="1:27" s="16" customFormat="1" ht="12" thickTop="1" x14ac:dyDescent="0.2">
      <c r="B39" s="14"/>
      <c r="C39" s="14" t="str">
        <f>"Customers from "&amp;TEXT($A$14,"mm/yy")&amp;" - "&amp;TEXT($A$22,"mm/yy")</f>
        <v>Customers from 08/23 - 04/24</v>
      </c>
      <c r="D39" s="14"/>
      <c r="E39" s="14"/>
      <c r="F39" s="14">
        <f>B24</f>
        <v>47748</v>
      </c>
      <c r="G39" s="20" t="s">
        <v>9</v>
      </c>
      <c r="H39" s="14"/>
      <c r="I39" s="14"/>
      <c r="J39" s="14"/>
      <c r="K39" s="14"/>
    </row>
    <row r="40" spans="1:27" s="16" customFormat="1" ht="11.25" x14ac:dyDescent="0.2">
      <c r="B40" s="14"/>
      <c r="C40" s="14" t="s">
        <v>16</v>
      </c>
      <c r="D40" s="14"/>
      <c r="E40" s="14"/>
      <c r="F40" s="21">
        <f>ROUND(F38*F39,0)</f>
        <v>6446</v>
      </c>
      <c r="G40" s="20"/>
      <c r="H40" s="14"/>
      <c r="I40" s="14"/>
      <c r="J40" s="14"/>
      <c r="K40" s="14"/>
    </row>
    <row r="41" spans="1:27" s="16" customFormat="1" ht="11.25" x14ac:dyDescent="0.2">
      <c r="B41" s="14"/>
      <c r="C41" s="14"/>
      <c r="D41" s="14"/>
      <c r="E41" s="14"/>
      <c r="F41" s="35"/>
      <c r="G41" s="20"/>
      <c r="H41" s="14"/>
      <c r="I41" s="14"/>
      <c r="J41" s="14"/>
      <c r="K41" s="14"/>
    </row>
    <row r="42" spans="1:27" s="16" customFormat="1" ht="12" thickBot="1" x14ac:dyDescent="0.25">
      <c r="B42" s="14"/>
      <c r="C42" s="14" t="s">
        <v>17</v>
      </c>
      <c r="D42" s="14"/>
      <c r="E42" s="14"/>
      <c r="F42" s="27">
        <f>+F36+F40</f>
        <v>21964</v>
      </c>
      <c r="G42" s="36">
        <f>+F42</f>
        <v>21964</v>
      </c>
      <c r="H42" s="14"/>
      <c r="I42" s="14"/>
      <c r="J42" s="14"/>
      <c r="K42" s="14"/>
    </row>
    <row r="43" spans="1:27" s="16" customFormat="1" ht="12" thickTop="1" x14ac:dyDescent="0.2">
      <c r="B43" s="14"/>
      <c r="C43" s="14"/>
      <c r="D43" s="14"/>
      <c r="E43" s="14"/>
      <c r="F43" s="14"/>
      <c r="G43" s="14"/>
      <c r="H43" s="14"/>
      <c r="I43" s="14"/>
      <c r="J43" s="14"/>
      <c r="K43" s="14"/>
    </row>
    <row r="44" spans="1:27" s="16" customFormat="1" ht="11.25" x14ac:dyDescent="0.2">
      <c r="B44" s="14"/>
      <c r="C44" s="14"/>
      <c r="D44" s="14"/>
      <c r="E44" s="14"/>
      <c r="F44" s="14"/>
      <c r="G44" s="14"/>
      <c r="H44" s="14"/>
      <c r="I44" s="14"/>
      <c r="J44" s="14"/>
      <c r="K44" s="14"/>
    </row>
    <row r="45" spans="1:27" s="16" customFormat="1" ht="12" thickBot="1" x14ac:dyDescent="0.25">
      <c r="B45" s="14"/>
      <c r="C45" s="14"/>
      <c r="D45" s="14"/>
      <c r="E45" s="14"/>
      <c r="F45" s="32" t="str">
        <f>IF(G45&lt;0,"Excess","Deficient")&amp;" Commodity Credits"</f>
        <v>Excess Commodity Credits</v>
      </c>
      <c r="G45" s="37">
        <f>+G32-G42</f>
        <v>-11936.546822714648</v>
      </c>
      <c r="H45" s="14"/>
      <c r="I45" s="14"/>
      <c r="J45" s="14"/>
      <c r="K45" s="14"/>
    </row>
    <row r="46" spans="1:27" s="16" customFormat="1" ht="12" thickTop="1" x14ac:dyDescent="0.2">
      <c r="B46" s="14"/>
      <c r="C46" s="14"/>
      <c r="D46" s="14"/>
      <c r="E46" s="14"/>
      <c r="F46" s="14"/>
      <c r="G46" s="14"/>
      <c r="H46" s="14"/>
      <c r="I46" s="14"/>
      <c r="J46" s="14"/>
      <c r="K46" s="14"/>
      <c r="Y46" s="14"/>
    </row>
    <row r="47" spans="1:27" s="16" customFormat="1" ht="11.25" x14ac:dyDescent="0.2">
      <c r="B47" s="14"/>
      <c r="C47" s="14"/>
      <c r="D47" s="14"/>
      <c r="E47" s="14"/>
      <c r="F47" s="14"/>
      <c r="G47" s="14"/>
      <c r="H47" s="14"/>
      <c r="I47" s="14"/>
      <c r="J47" s="14"/>
      <c r="K47" s="14"/>
    </row>
    <row r="48" spans="1:27" s="16" customFormat="1" ht="12" thickBot="1" x14ac:dyDescent="0.25">
      <c r="B48" s="29" t="str">
        <f>$K$22+1&amp;" Recycle Adjustment Calculation"</f>
        <v>2025 Recycle Adjustment Calculation</v>
      </c>
      <c r="C48" s="30"/>
      <c r="D48" s="30"/>
      <c r="E48" s="30"/>
      <c r="F48" s="30"/>
      <c r="G48" s="14"/>
      <c r="H48" s="14"/>
      <c r="I48" s="14"/>
      <c r="J48" s="14"/>
      <c r="K48" s="14"/>
    </row>
    <row r="49" spans="1:27" s="16" customFormat="1" ht="12" thickTop="1" x14ac:dyDescent="0.2">
      <c r="B49" s="31"/>
      <c r="C49" s="14"/>
      <c r="D49" s="14"/>
      <c r="E49" s="14"/>
      <c r="F49" s="14"/>
      <c r="G49" s="14"/>
      <c r="H49" s="14"/>
      <c r="I49" s="14"/>
      <c r="J49" s="14"/>
      <c r="K49" s="14"/>
      <c r="L49" s="14"/>
      <c r="M49" s="14"/>
      <c r="N49" s="14"/>
      <c r="O49" s="14"/>
      <c r="P49" s="14"/>
      <c r="Q49" s="14"/>
      <c r="R49" s="14"/>
      <c r="S49" s="14"/>
      <c r="T49" s="14"/>
      <c r="U49" s="14"/>
      <c r="V49" s="14"/>
      <c r="W49" s="14"/>
      <c r="AA49" s="14"/>
    </row>
    <row r="50" spans="1:27" s="16" customFormat="1" ht="11.25" x14ac:dyDescent="0.2">
      <c r="B50" s="14" t="s">
        <v>85</v>
      </c>
      <c r="C50" s="14"/>
      <c r="D50" s="14"/>
      <c r="E50" s="14"/>
      <c r="F50" s="14"/>
      <c r="G50" s="14"/>
      <c r="H50" s="14"/>
      <c r="I50" s="14"/>
      <c r="J50" s="14"/>
      <c r="K50" s="14"/>
    </row>
    <row r="51" spans="1:27" s="16" customFormat="1" ht="11.25" x14ac:dyDescent="0.2">
      <c r="B51" s="14"/>
      <c r="C51" s="14"/>
      <c r="D51" s="14"/>
      <c r="E51" s="14"/>
      <c r="F51" s="32" t="s">
        <v>20</v>
      </c>
      <c r="G51" s="14">
        <f>+J26</f>
        <v>63583</v>
      </c>
      <c r="H51" s="20" t="s">
        <v>12</v>
      </c>
      <c r="I51" s="14"/>
      <c r="J51" s="14"/>
      <c r="K51" s="14"/>
    </row>
    <row r="52" spans="1:27" s="16" customFormat="1" ht="11.25" x14ac:dyDescent="0.2">
      <c r="B52" s="14"/>
      <c r="C52" s="14"/>
      <c r="D52" s="14"/>
      <c r="E52" s="14"/>
      <c r="F52" s="32" t="str">
        <f>+F45</f>
        <v>Excess Commodity Credits</v>
      </c>
      <c r="G52" s="14">
        <f>+G45</f>
        <v>-11936.546822714648</v>
      </c>
      <c r="H52" s="14"/>
      <c r="I52" s="14"/>
      <c r="J52" s="14"/>
      <c r="K52" s="14"/>
    </row>
    <row r="53" spans="1:27" s="16" customFormat="1" ht="11.25" x14ac:dyDescent="0.2">
      <c r="B53" s="14"/>
      <c r="C53" s="14"/>
      <c r="D53" s="14"/>
      <c r="E53" s="14"/>
      <c r="F53" s="32"/>
      <c r="G53" s="14"/>
      <c r="H53" s="14"/>
      <c r="I53" s="14"/>
      <c r="J53" s="14"/>
      <c r="K53" s="14"/>
    </row>
    <row r="54" spans="1:27" s="16" customFormat="1" ht="12" thickBot="1" x14ac:dyDescent="0.25">
      <c r="B54" s="14"/>
      <c r="C54" s="14"/>
      <c r="D54" s="14"/>
      <c r="E54" s="14"/>
      <c r="F54" s="32" t="s">
        <v>107</v>
      </c>
      <c r="G54" s="38">
        <f>ROUND(G52/G51,3)</f>
        <v>-0.188</v>
      </c>
      <c r="H54" s="14"/>
      <c r="I54" s="23">
        <f>+G54</f>
        <v>-0.188</v>
      </c>
      <c r="J54" s="14"/>
      <c r="K54" s="14"/>
    </row>
    <row r="55" spans="1:27" s="16" customFormat="1" ht="12" thickTop="1" x14ac:dyDescent="0.2">
      <c r="B55" s="14"/>
      <c r="C55" s="14"/>
      <c r="D55" s="14"/>
      <c r="E55" s="14"/>
      <c r="F55" s="32"/>
      <c r="G55" s="14"/>
      <c r="H55" s="14"/>
      <c r="I55" s="23"/>
      <c r="J55" s="14"/>
      <c r="K55" s="14"/>
      <c r="N55" s="117" t="s">
        <v>83</v>
      </c>
      <c r="Y55" s="14"/>
    </row>
    <row r="56" spans="1:27" s="16" customFormat="1" ht="11.25" x14ac:dyDescent="0.2">
      <c r="B56" s="14" t="s">
        <v>86</v>
      </c>
      <c r="C56" s="14"/>
      <c r="D56" s="14"/>
      <c r="E56" s="14"/>
      <c r="F56" s="32"/>
      <c r="G56" s="14"/>
      <c r="H56" s="14"/>
      <c r="I56" s="23"/>
      <c r="J56" s="14"/>
      <c r="K56" s="14"/>
      <c r="N56" s="118">
        <f>+'[1]WUTC_AW of Kent_MF'!$O$56</f>
        <v>0.5</v>
      </c>
    </row>
    <row r="57" spans="1:27" s="16" customFormat="1" ht="12" thickBot="1" x14ac:dyDescent="0.25">
      <c r="B57" s="31"/>
      <c r="C57" s="14"/>
      <c r="D57" s="14"/>
      <c r="E57" s="14"/>
      <c r="F57" s="32" t="s">
        <v>106</v>
      </c>
      <c r="G57" s="39">
        <f>F26</f>
        <v>0.158</v>
      </c>
      <c r="H57" s="14"/>
      <c r="I57" s="23">
        <f>+G57</f>
        <v>0.158</v>
      </c>
      <c r="J57" s="20" t="s">
        <v>11</v>
      </c>
      <c r="K57" s="14"/>
    </row>
    <row r="58" spans="1:27" s="14" customFormat="1" ht="12" thickTop="1" x14ac:dyDescent="0.2">
      <c r="B58" s="31"/>
      <c r="I58" s="23"/>
      <c r="X58" s="16"/>
      <c r="Y58" s="16"/>
    </row>
    <row r="59" spans="1:27" s="16" customFormat="1" ht="12" thickBot="1" x14ac:dyDescent="0.25">
      <c r="B59" s="14"/>
      <c r="C59" s="14"/>
      <c r="D59" s="14"/>
      <c r="E59" s="14"/>
      <c r="F59" s="14"/>
      <c r="G59" s="32" t="s">
        <v>142</v>
      </c>
      <c r="H59" s="27"/>
      <c r="I59" s="38">
        <f>+I54+I57</f>
        <v>-0.03</v>
      </c>
      <c r="J59" s="14"/>
      <c r="K59" s="14"/>
    </row>
    <row r="60" spans="1:27" s="16" customFormat="1" ht="12" thickTop="1" x14ac:dyDescent="0.2">
      <c r="I60" s="23"/>
    </row>
    <row r="61" spans="1:27" s="16" customFormat="1" ht="11.25" x14ac:dyDescent="0.2"/>
    <row r="62" spans="1:27" s="16" customFormat="1" ht="11.25" x14ac:dyDescent="0.2">
      <c r="B62" s="134" t="s">
        <v>109</v>
      </c>
      <c r="G62" s="134" t="s">
        <v>105</v>
      </c>
      <c r="I62" s="16">
        <f>+RSA!E24</f>
        <v>0</v>
      </c>
      <c r="J62" s="16" t="s">
        <v>150</v>
      </c>
    </row>
    <row r="63" spans="1:27" s="16" customFormat="1" ht="11.25" x14ac:dyDescent="0.2"/>
    <row r="64" spans="1:27" s="16" customFormat="1" ht="11.25" x14ac:dyDescent="0.2">
      <c r="A64" s="17"/>
      <c r="B64" s="14"/>
      <c r="C64" s="14"/>
    </row>
    <row r="65" spans="1:27" s="16" customFormat="1" ht="12" thickBot="1" x14ac:dyDescent="0.25">
      <c r="A65" s="17"/>
      <c r="B65" s="19"/>
      <c r="C65" s="14"/>
      <c r="G65" s="32" t="str">
        <f>G59</f>
        <v>8/1/22 - 7/31/23 Adjusted Credit</v>
      </c>
      <c r="H65" s="27"/>
      <c r="I65" s="120">
        <f>I59+I62</f>
        <v>-0.03</v>
      </c>
    </row>
    <row r="66" spans="1:27" s="16" customFormat="1" ht="12" thickTop="1" x14ac:dyDescent="0.2">
      <c r="A66" s="17"/>
      <c r="B66" s="19"/>
      <c r="C66" s="14"/>
    </row>
    <row r="67" spans="1:27" s="16" customFormat="1" ht="11.25" x14ac:dyDescent="0.2">
      <c r="A67" s="17"/>
      <c r="B67" s="19"/>
      <c r="C67" s="14"/>
    </row>
    <row r="68" spans="1:27" s="16" customFormat="1" ht="11.25" x14ac:dyDescent="0.2">
      <c r="A68" s="17"/>
      <c r="B68" s="19"/>
      <c r="C68" s="14"/>
      <c r="Y68" s="14"/>
    </row>
    <row r="69" spans="1:27" s="16" customFormat="1" ht="11.25" x14ac:dyDescent="0.2">
      <c r="A69" s="17"/>
      <c r="B69" s="19"/>
      <c r="C69" s="14"/>
    </row>
    <row r="70" spans="1:27" s="16" customFormat="1" ht="11.25" x14ac:dyDescent="0.2">
      <c r="A70" s="17"/>
      <c r="B70" s="19"/>
      <c r="C70" s="14"/>
    </row>
    <row r="71" spans="1:27" s="16" customFormat="1" ht="11.25" x14ac:dyDescent="0.2">
      <c r="A71" s="17"/>
      <c r="B71" s="19"/>
      <c r="C71" s="14"/>
    </row>
    <row r="72" spans="1:27" s="16" customFormat="1" ht="11.25" x14ac:dyDescent="0.2">
      <c r="A72" s="17"/>
      <c r="B72" s="19"/>
      <c r="C72" s="14"/>
      <c r="E72" s="13"/>
      <c r="G72" s="14"/>
      <c r="H72" s="13"/>
      <c r="I72" s="14"/>
      <c r="J72" s="14"/>
      <c r="K72" s="13"/>
      <c r="L72" s="14"/>
      <c r="M72" s="14"/>
      <c r="N72" s="14"/>
      <c r="O72" s="14"/>
      <c r="P72" s="14"/>
      <c r="Q72" s="14"/>
      <c r="R72" s="14"/>
      <c r="S72" s="14"/>
      <c r="T72" s="14"/>
      <c r="U72" s="14"/>
      <c r="V72" s="13"/>
      <c r="W72" s="14"/>
      <c r="AA72" s="14"/>
    </row>
    <row r="73" spans="1:27" s="16" customFormat="1" ht="11.25" x14ac:dyDescent="0.2">
      <c r="A73" s="17"/>
      <c r="B73" s="19"/>
      <c r="C73" s="14"/>
    </row>
    <row r="74" spans="1:27" s="16" customFormat="1" ht="11.25" x14ac:dyDescent="0.2">
      <c r="A74" s="17"/>
      <c r="B74" s="14"/>
      <c r="C74" s="14"/>
    </row>
    <row r="75" spans="1:27" s="16" customFormat="1" ht="11.25" x14ac:dyDescent="0.2">
      <c r="A75" s="17"/>
      <c r="B75" s="14"/>
      <c r="C75" s="20"/>
    </row>
    <row r="76" spans="1:27" s="16" customFormat="1" x14ac:dyDescent="0.2">
      <c r="A76" s="5"/>
      <c r="B76" s="5"/>
      <c r="C76" s="5"/>
      <c r="D76" s="25"/>
      <c r="F76" s="5"/>
    </row>
    <row r="77" spans="1:27" s="16" customFormat="1" ht="11.25" x14ac:dyDescent="0.2">
      <c r="A77" s="26"/>
      <c r="B77" s="14"/>
      <c r="C77" s="20"/>
      <c r="F77" s="23"/>
      <c r="Y77" s="14"/>
    </row>
    <row r="78" spans="1:27" s="16" customFormat="1" ht="11.25" x14ac:dyDescent="0.2"/>
    <row r="79" spans="1:27" s="16" customFormat="1" ht="11.25" x14ac:dyDescent="0.2"/>
    <row r="80" spans="1:27" s="16" customFormat="1" ht="11.25" x14ac:dyDescent="0.2"/>
    <row r="81" spans="1:27" s="16" customFormat="1" ht="11.25" x14ac:dyDescent="0.2">
      <c r="B81" s="8"/>
    </row>
    <row r="82" spans="1:27" s="14" customFormat="1" ht="11.25" x14ac:dyDescent="0.2">
      <c r="B82" s="31"/>
      <c r="X82" s="16"/>
      <c r="Y82" s="16"/>
    </row>
    <row r="83" spans="1:27" s="16" customFormat="1" ht="11.25" x14ac:dyDescent="0.2"/>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c r="A91" s="6"/>
    </row>
    <row r="92" spans="1:27" s="16" customFormat="1" x14ac:dyDescent="0.2">
      <c r="AA92" s="5"/>
    </row>
    <row r="93" spans="1:27" s="16" customFormat="1" x14ac:dyDescent="0.2">
      <c r="AA93" s="5"/>
    </row>
    <row r="94" spans="1:27" s="16" customFormat="1" x14ac:dyDescent="0.2">
      <c r="AA94" s="5"/>
    </row>
    <row r="95" spans="1:27" s="16" customFormat="1" x14ac:dyDescent="0.2">
      <c r="AA95" s="5"/>
    </row>
    <row r="96" spans="1:27" s="16" customFormat="1" x14ac:dyDescent="0.2">
      <c r="G96" s="43"/>
      <c r="I96" s="43"/>
      <c r="J96" s="43"/>
      <c r="L96" s="43"/>
      <c r="M96" s="43"/>
      <c r="N96" s="43"/>
      <c r="O96" s="43"/>
      <c r="P96" s="43"/>
      <c r="Q96" s="43"/>
      <c r="R96" s="43"/>
      <c r="S96" s="43"/>
      <c r="T96" s="43"/>
      <c r="U96" s="43"/>
      <c r="V96" s="43"/>
      <c r="W96" s="43"/>
      <c r="X96" s="43"/>
      <c r="Y96" s="43"/>
      <c r="AA96" s="5"/>
    </row>
    <row r="97" spans="7:27" s="16" customFormat="1" x14ac:dyDescent="0.2">
      <c r="AA97" s="5"/>
    </row>
    <row r="98" spans="7:27" s="16" customFormat="1" ht="13.5" thickBot="1" x14ac:dyDescent="0.25">
      <c r="G98" s="44"/>
      <c r="I98" s="44"/>
      <c r="J98" s="44"/>
      <c r="L98" s="44"/>
      <c r="M98" s="44"/>
      <c r="N98" s="44"/>
      <c r="O98" s="44"/>
      <c r="P98" s="44"/>
      <c r="Q98" s="44"/>
      <c r="R98" s="44"/>
      <c r="S98" s="44"/>
      <c r="T98" s="44"/>
      <c r="U98" s="44"/>
      <c r="V98" s="44"/>
      <c r="W98" s="44"/>
      <c r="X98" s="44"/>
      <c r="Y98" s="44"/>
      <c r="AA98" s="5"/>
    </row>
    <row r="99" spans="7:27" ht="13.5" thickTop="1" x14ac:dyDescent="0.2"/>
    <row r="100" spans="7:27" x14ac:dyDescent="0.2">
      <c r="W100" s="45"/>
      <c r="X100" s="45"/>
      <c r="Y100" s="45"/>
    </row>
    <row r="101" spans="7:27" x14ac:dyDescent="0.2">
      <c r="W101" s="45"/>
      <c r="AA101" s="45"/>
    </row>
  </sheetData>
  <phoneticPr fontId="0" type="noConversion"/>
  <printOptions horizontalCentered="1"/>
  <pageMargins left="0" right="0" top="0.52" bottom="0.44" header="0" footer="0"/>
  <pageSetup scale="98" orientation="portrait" horizontalDpi="1200" verticalDpi="1200" r:id="rId1"/>
  <headerFooter alignWithMargins="0">
    <oddFooter>&amp;R&amp;"Helv,Regular"&amp;6\\SERVER1\PUBLIC\EXCEL&amp;F,&amp;A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GridLines="0" zoomScaleNormal="100" workbookViewId="0"/>
  </sheetViews>
  <sheetFormatPr defaultRowHeight="12.75" x14ac:dyDescent="0.2"/>
  <cols>
    <col min="1" max="1" width="8.28515625" customWidth="1"/>
    <col min="2" max="2" width="2.28515625" customWidth="1"/>
    <col min="3" max="13" width="11.7109375" customWidth="1"/>
    <col min="14" max="14" width="3" customWidth="1"/>
    <col min="15" max="15" width="11.7109375" style="56" customWidth="1"/>
    <col min="16" max="16" width="14.5703125" bestFit="1" customWidth="1"/>
  </cols>
  <sheetData>
    <row r="1" spans="1:17" x14ac:dyDescent="0.2">
      <c r="A1" s="46" t="s">
        <v>43</v>
      </c>
    </row>
    <row r="2" spans="1:17" x14ac:dyDescent="0.2">
      <c r="A2" s="46" t="str">
        <f>'WUTC_AW of Kent (SeaTac)_SF'!A1</f>
        <v>Rabanco Ltd (dba Allied Waste of Seatac)</v>
      </c>
      <c r="B2" s="46"/>
      <c r="O2" s="57"/>
    </row>
    <row r="3" spans="1:17" x14ac:dyDescent="0.2">
      <c r="A3" s="46"/>
      <c r="B3" s="46"/>
      <c r="O3" s="57"/>
    </row>
    <row r="4" spans="1:17" x14ac:dyDescent="0.2">
      <c r="A4" s="46"/>
      <c r="B4" s="46"/>
      <c r="O4" s="57" t="str">
        <f>+TEXT(P18,"00.0%")&amp;" of"</f>
        <v>50.0% of</v>
      </c>
    </row>
    <row r="5" spans="1:17" x14ac:dyDescent="0.2">
      <c r="B5" s="47"/>
      <c r="C5" s="48" t="s">
        <v>21</v>
      </c>
      <c r="D5" s="48" t="s">
        <v>22</v>
      </c>
      <c r="E5" s="48" t="s">
        <v>88</v>
      </c>
      <c r="F5" s="48" t="s">
        <v>50</v>
      </c>
      <c r="G5" s="48" t="s">
        <v>89</v>
      </c>
      <c r="H5" s="48" t="s">
        <v>24</v>
      </c>
      <c r="I5" s="48" t="s">
        <v>25</v>
      </c>
      <c r="J5" s="48" t="s">
        <v>26</v>
      </c>
      <c r="K5" s="48" t="s">
        <v>27</v>
      </c>
      <c r="L5" s="48" t="s">
        <v>28</v>
      </c>
      <c r="M5" s="48" t="s">
        <v>29</v>
      </c>
      <c r="O5" s="57" t="s">
        <v>29</v>
      </c>
      <c r="P5" s="48" t="s">
        <v>84</v>
      </c>
    </row>
    <row r="6" spans="1:17" ht="15.75" customHeight="1" x14ac:dyDescent="0.2">
      <c r="A6" s="50">
        <f>+Pricing!A6</f>
        <v>45047</v>
      </c>
      <c r="B6" s="51"/>
      <c r="C6" s="55">
        <f>'Commodity Tonnages'!C6*Pricing!C6</f>
        <v>2019.8950670757345</v>
      </c>
      <c r="D6" s="58">
        <f>'Commodity Tonnages'!D6*Pricing!D6</f>
        <v>-1115.3730386206794</v>
      </c>
      <c r="E6" s="58">
        <f>'Commodity Tonnages'!E6*Pricing!E6</f>
        <v>0</v>
      </c>
      <c r="F6" s="58">
        <f>'Commodity Tonnages'!F6*Pricing!F6</f>
        <v>149.73979924933721</v>
      </c>
      <c r="G6" s="58">
        <f>'Commodity Tonnages'!G6*Pricing!G6</f>
        <v>11.621913885687231</v>
      </c>
      <c r="H6" s="58">
        <f>'Commodity Tonnages'!H6*Pricing!H6</f>
        <v>1165.3368027733768</v>
      </c>
      <c r="I6" s="58">
        <f>'Commodity Tonnages'!I6*Pricing!I6</f>
        <v>395.41507487359024</v>
      </c>
      <c r="J6" s="58">
        <f>'Commodity Tonnages'!J6*Pricing!J6</f>
        <v>395.41507487359024</v>
      </c>
      <c r="K6" s="58">
        <f>'Commodity Tonnages'!K6*Pricing!K6</f>
        <v>2253.5343959875418</v>
      </c>
      <c r="L6" s="58">
        <f>'Commodity Tonnages'!L6*Pricing!L6</f>
        <v>-3128.126093049354</v>
      </c>
      <c r="M6" s="92">
        <f>SUM(C6:L6)</f>
        <v>2147.4589970488246</v>
      </c>
      <c r="O6" s="112">
        <f>M6*P6</f>
        <v>1073.7294985244123</v>
      </c>
      <c r="P6" s="119">
        <v>0.5</v>
      </c>
      <c r="Q6" s="93"/>
    </row>
    <row r="7" spans="1:17" ht="15.75" customHeight="1" x14ac:dyDescent="0.2">
      <c r="A7" s="50">
        <f>+Pricing!A7</f>
        <v>45107</v>
      </c>
      <c r="B7" s="51"/>
      <c r="C7" s="55">
        <f>'Commodity Tonnages'!C7*Pricing!C7</f>
        <v>2052.7138290573844</v>
      </c>
      <c r="D7" s="58">
        <f>'Commodity Tonnages'!D7*Pricing!D7</f>
        <v>-1372.2042913010657</v>
      </c>
      <c r="E7" s="58">
        <f>'Commodity Tonnages'!E7*Pricing!E7</f>
        <v>0</v>
      </c>
      <c r="F7" s="58">
        <f>'Commodity Tonnages'!F7*Pricing!F7</f>
        <v>126.30055025622093</v>
      </c>
      <c r="G7" s="58">
        <f>'Commodity Tonnages'!G7*Pricing!G7</f>
        <v>10.471223966290333</v>
      </c>
      <c r="H7" s="58">
        <f>'Commodity Tonnages'!H7*Pricing!H7</f>
        <v>1002.4733266724286</v>
      </c>
      <c r="I7" s="58">
        <f>'Commodity Tonnages'!I7*Pricing!I7</f>
        <v>220.41282286254435</v>
      </c>
      <c r="J7" s="58">
        <f>'Commodity Tonnages'!J7*Pricing!J7</f>
        <v>220.41282286254435</v>
      </c>
      <c r="K7" s="58">
        <f>'Commodity Tonnages'!K7*Pricing!K7</f>
        <v>2051.0513522653337</v>
      </c>
      <c r="L7" s="58">
        <f>'Commodity Tonnages'!L7*Pricing!L7</f>
        <v>-3262.4579394051711</v>
      </c>
      <c r="M7" s="92">
        <f t="shared" ref="M7:M17" si="0">SUM(C7:L7)</f>
        <v>1049.1736972365102</v>
      </c>
      <c r="O7" s="112">
        <f t="shared" ref="O7:O17" si="1">M7*P7</f>
        <v>524.58684861825509</v>
      </c>
      <c r="P7" s="119">
        <v>0.5</v>
      </c>
      <c r="Q7" s="93"/>
    </row>
    <row r="8" spans="1:17" ht="15.75" customHeight="1" x14ac:dyDescent="0.2">
      <c r="A8" s="50">
        <f>+Pricing!A8</f>
        <v>45138</v>
      </c>
      <c r="B8" s="51"/>
      <c r="C8" s="55">
        <f>'Commodity Tonnages'!C8*Pricing!C8</f>
        <v>1770.3461903150951</v>
      </c>
      <c r="D8" s="58">
        <f>'Commodity Tonnages'!D8*Pricing!D8</f>
        <v>-1212.5281901295175</v>
      </c>
      <c r="E8" s="58">
        <f>'Commodity Tonnages'!E8*Pricing!E8</f>
        <v>0</v>
      </c>
      <c r="F8" s="58">
        <f>'Commodity Tonnages'!F8*Pricing!F8</f>
        <v>116.94796969529666</v>
      </c>
      <c r="G8" s="58">
        <f>'Commodity Tonnages'!G8*Pricing!G8</f>
        <v>9.3841885008419492</v>
      </c>
      <c r="H8" s="58">
        <f>'Commodity Tonnages'!H8*Pricing!H8</f>
        <v>515.44449448059004</v>
      </c>
      <c r="I8" s="58">
        <f>'Commodity Tonnages'!I8*Pricing!I8</f>
        <v>43.545420549669679</v>
      </c>
      <c r="J8" s="58">
        <f>'Commodity Tonnages'!J8*Pricing!J8</f>
        <v>43.545420549669679</v>
      </c>
      <c r="K8" s="58">
        <f>'Commodity Tonnages'!K8*Pricing!K8</f>
        <v>1963.0645073110288</v>
      </c>
      <c r="L8" s="58">
        <f>'Commodity Tonnages'!L8*Pricing!L8</f>
        <v>-2931.9912429364986</v>
      </c>
      <c r="M8" s="92">
        <f t="shared" si="0"/>
        <v>317.75875833617556</v>
      </c>
      <c r="O8" s="112">
        <f t="shared" si="1"/>
        <v>158.87937916808778</v>
      </c>
      <c r="P8" s="119">
        <v>0.5</v>
      </c>
      <c r="Q8" s="93"/>
    </row>
    <row r="9" spans="1:17" ht="15.75" customHeight="1" x14ac:dyDescent="0.2">
      <c r="A9" s="50">
        <f>+Pricing!A9</f>
        <v>45169</v>
      </c>
      <c r="B9" s="51"/>
      <c r="C9" s="55">
        <f>'Commodity Tonnages'!C9*Pricing!C9</f>
        <v>2454.66233914642</v>
      </c>
      <c r="D9" s="58">
        <f>'Commodity Tonnages'!D9*Pricing!D9</f>
        <v>-1677.5459926941635</v>
      </c>
      <c r="E9" s="58">
        <f>'Commodity Tonnages'!E9*Pricing!E9</f>
        <v>0</v>
      </c>
      <c r="F9" s="58">
        <f>'Commodity Tonnages'!F9*Pricing!F9</f>
        <v>145.15382380947383</v>
      </c>
      <c r="G9" s="58">
        <f>'Commodity Tonnages'!G9*Pricing!G9</f>
        <v>12.05504697730137</v>
      </c>
      <c r="H9" s="58">
        <f>'Commodity Tonnages'!H9*Pricing!H9</f>
        <v>831.12912839717239</v>
      </c>
      <c r="I9" s="58">
        <f>'Commodity Tonnages'!I9*Pricing!I9</f>
        <v>31.610271227759316</v>
      </c>
      <c r="J9" s="58">
        <f>'Commodity Tonnages'!J9*Pricing!J9</f>
        <v>31.610271227759316</v>
      </c>
      <c r="K9" s="58">
        <f>'Commodity Tonnages'!K9*Pricing!K9</f>
        <v>2733.0233422944279</v>
      </c>
      <c r="L9" s="58">
        <f>'Commodity Tonnages'!L9*Pricing!L9</f>
        <v>-4170.6258359602243</v>
      </c>
      <c r="M9" s="92">
        <f t="shared" si="0"/>
        <v>391.07239442592618</v>
      </c>
      <c r="O9" s="112">
        <f t="shared" si="1"/>
        <v>195.53619721296309</v>
      </c>
      <c r="P9" s="119">
        <v>0.5</v>
      </c>
      <c r="Q9" s="93"/>
    </row>
    <row r="10" spans="1:17" ht="15.75" customHeight="1" x14ac:dyDescent="0.2">
      <c r="A10" s="50">
        <f>+Pricing!A10</f>
        <v>45199</v>
      </c>
      <c r="B10" s="51"/>
      <c r="C10" s="55">
        <f>'Commodity Tonnages'!C10*Pricing!C10</f>
        <v>1822.9410749823512</v>
      </c>
      <c r="D10" s="58">
        <f>'Commodity Tonnages'!D10*Pricing!D10</f>
        <v>-1220.1298250549703</v>
      </c>
      <c r="E10" s="58">
        <f>'Commodity Tonnages'!E10*Pricing!E10</f>
        <v>0</v>
      </c>
      <c r="F10" s="58">
        <f>'Commodity Tonnages'!F10*Pricing!F10</f>
        <v>105.52605727637589</v>
      </c>
      <c r="G10" s="58">
        <f>'Commodity Tonnages'!G10*Pricing!G10</f>
        <v>9.6539446904335513</v>
      </c>
      <c r="H10" s="58">
        <f>'Commodity Tonnages'!H10*Pricing!H10</f>
        <v>955.95513470356684</v>
      </c>
      <c r="I10" s="58">
        <f>'Commodity Tonnages'!I10*Pricing!I10</f>
        <v>-55.93086403140974</v>
      </c>
      <c r="J10" s="58">
        <f>'Commodity Tonnages'!J10*Pricing!J10</f>
        <v>-55.93086403140974</v>
      </c>
      <c r="K10" s="58">
        <f>'Commodity Tonnages'!K10*Pricing!K10</f>
        <v>2371.097195294536</v>
      </c>
      <c r="L10" s="58">
        <f>'Commodity Tonnages'!L10*Pricing!L10</f>
        <v>-3201.7520591683642</v>
      </c>
      <c r="M10" s="92">
        <f t="shared" si="0"/>
        <v>731.42979466110955</v>
      </c>
      <c r="O10" s="112">
        <f t="shared" si="1"/>
        <v>365.71489733055478</v>
      </c>
      <c r="P10" s="119">
        <v>0.5</v>
      </c>
      <c r="Q10" s="93"/>
    </row>
    <row r="11" spans="1:17" ht="15.75" customHeight="1" x14ac:dyDescent="0.2">
      <c r="A11" s="50">
        <f>+Pricing!A11</f>
        <v>45230</v>
      </c>
      <c r="B11" s="51"/>
      <c r="C11" s="55">
        <f>'Commodity Tonnages'!C11*Pricing!C11</f>
        <v>1954.4655642929786</v>
      </c>
      <c r="D11" s="58">
        <f>'Commodity Tonnages'!D11*Pricing!D11</f>
        <v>-1077.8988884203895</v>
      </c>
      <c r="E11" s="58">
        <f>'Commodity Tonnages'!E11*Pricing!E11</f>
        <v>0</v>
      </c>
      <c r="F11" s="58">
        <f>'Commodity Tonnages'!F11*Pricing!F11</f>
        <v>127.50196571164993</v>
      </c>
      <c r="G11" s="58">
        <f>'Commodity Tonnages'!G11*Pricing!G11</f>
        <v>11.317261782945781</v>
      </c>
      <c r="H11" s="58">
        <f>'Commodity Tonnages'!H11*Pricing!H11</f>
        <v>1761.2902157975229</v>
      </c>
      <c r="I11" s="58">
        <f>'Commodity Tonnages'!I11*Pricing!I11</f>
        <v>34.173173079842229</v>
      </c>
      <c r="J11" s="58">
        <f>'Commodity Tonnages'!J11*Pricing!J11</f>
        <v>34.173173079842229</v>
      </c>
      <c r="K11" s="58">
        <f>'Commodity Tonnages'!K11*Pricing!K11</f>
        <v>2988.5532519455546</v>
      </c>
      <c r="L11" s="58">
        <f>'Commodity Tonnages'!L11*Pricing!L11</f>
        <v>-3352.9786379918855</v>
      </c>
      <c r="M11" s="92">
        <f t="shared" si="0"/>
        <v>2480.5970792780613</v>
      </c>
      <c r="O11" s="112">
        <f t="shared" si="1"/>
        <v>1240.2985396390307</v>
      </c>
      <c r="P11" s="119">
        <v>0.5</v>
      </c>
      <c r="Q11" s="93"/>
    </row>
    <row r="12" spans="1:17" ht="15.75" customHeight="1" x14ac:dyDescent="0.2">
      <c r="A12" s="50">
        <f>+Pricing!A12</f>
        <v>45260</v>
      </c>
      <c r="B12" s="51"/>
      <c r="C12" s="55">
        <f>'Commodity Tonnages'!C12*Pricing!C12</f>
        <v>2133.2438036535823</v>
      </c>
      <c r="D12" s="58">
        <f>'Commodity Tonnages'!D12*Pricing!D12</f>
        <v>-1325.9459596845475</v>
      </c>
      <c r="E12" s="58">
        <f>'Commodity Tonnages'!E12*Pricing!E12</f>
        <v>0</v>
      </c>
      <c r="F12" s="58">
        <f>'Commodity Tonnages'!F12*Pricing!F12</f>
        <v>160.28545080921342</v>
      </c>
      <c r="G12" s="58">
        <f>'Commodity Tonnages'!G12*Pricing!G12</f>
        <v>10.653682305008928</v>
      </c>
      <c r="H12" s="58">
        <f>'Commodity Tonnages'!H12*Pricing!H12</f>
        <v>1210.0169270021111</v>
      </c>
      <c r="I12" s="58">
        <f>'Commodity Tonnages'!I12*Pricing!I12</f>
        <v>-55.495211628540154</v>
      </c>
      <c r="J12" s="58">
        <f>'Commodity Tonnages'!J12*Pricing!J12</f>
        <v>-55.495211628540154</v>
      </c>
      <c r="K12" s="58">
        <f>'Commodity Tonnages'!K12*Pricing!K12</f>
        <v>2832.8250365895028</v>
      </c>
      <c r="L12" s="58">
        <f>'Commodity Tonnages'!L12*Pricing!L12</f>
        <v>-3710.6998801018131</v>
      </c>
      <c r="M12" s="92">
        <f t="shared" si="0"/>
        <v>1199.3886373159771</v>
      </c>
      <c r="O12" s="112">
        <f t="shared" si="1"/>
        <v>599.69431865798856</v>
      </c>
      <c r="P12" s="119">
        <v>0.5</v>
      </c>
      <c r="Q12" s="93"/>
    </row>
    <row r="13" spans="1:17" ht="15.75" customHeight="1" x14ac:dyDescent="0.2">
      <c r="A13" s="50">
        <f>+Pricing!A13</f>
        <v>45291</v>
      </c>
      <c r="B13" s="51"/>
      <c r="C13" s="55">
        <f>'Commodity Tonnages'!C13*Pricing!C13</f>
        <v>2190.6873489314758</v>
      </c>
      <c r="D13" s="58">
        <f>'Commodity Tonnages'!D13*Pricing!D13</f>
        <v>-2058.8119478543144</v>
      </c>
      <c r="E13" s="58">
        <f>'Commodity Tonnages'!E13*Pricing!E13</f>
        <v>0</v>
      </c>
      <c r="F13" s="58">
        <f>'Commodity Tonnages'!F13*Pricing!F13</f>
        <v>146.25521405886676</v>
      </c>
      <c r="G13" s="58">
        <f>'Commodity Tonnages'!G13*Pricing!G13</f>
        <v>12.039218228652803</v>
      </c>
      <c r="H13" s="58">
        <f>'Commodity Tonnages'!H13*Pricing!H13</f>
        <v>1898.3518431932559</v>
      </c>
      <c r="I13" s="58">
        <f>'Commodity Tonnages'!I13*Pricing!I13</f>
        <v>38.727460034158391</v>
      </c>
      <c r="J13" s="58">
        <f>'Commodity Tonnages'!J13*Pricing!J13</f>
        <v>38.727460034158391</v>
      </c>
      <c r="K13" s="58">
        <f>'Commodity Tonnages'!K13*Pricing!K13</f>
        <v>3128.3246291888295</v>
      </c>
      <c r="L13" s="58">
        <f>'Commodity Tonnages'!L13*Pricing!L13</f>
        <v>-3909.1004537630624</v>
      </c>
      <c r="M13" s="92">
        <f t="shared" si="0"/>
        <v>1485.2007720520205</v>
      </c>
      <c r="O13" s="112">
        <f t="shared" si="1"/>
        <v>742.60038602601026</v>
      </c>
      <c r="P13" s="119">
        <v>0.5</v>
      </c>
      <c r="Q13" s="93"/>
    </row>
    <row r="14" spans="1:17" ht="15.75" customHeight="1" x14ac:dyDescent="0.2">
      <c r="A14" s="50">
        <f>+Pricing!A14</f>
        <v>45322</v>
      </c>
      <c r="B14" s="51"/>
      <c r="C14" s="55">
        <f>'Commodity Tonnages'!C14*Pricing!C14</f>
        <v>3440.7359449014211</v>
      </c>
      <c r="D14" s="58">
        <f>'Commodity Tonnages'!D14*Pricing!D14</f>
        <v>-1236.5410561901817</v>
      </c>
      <c r="E14" s="58">
        <f>'Commodity Tonnages'!E14*Pricing!E14</f>
        <v>0</v>
      </c>
      <c r="F14" s="58">
        <f>'Commodity Tonnages'!F14*Pricing!F14</f>
        <v>196.56728989338873</v>
      </c>
      <c r="G14" s="58">
        <f>'Commodity Tonnages'!G14*Pricing!G14</f>
        <v>15.510889744715604</v>
      </c>
      <c r="H14" s="58">
        <f>'Commodity Tonnages'!H14*Pricing!H14</f>
        <v>2732.9633769840862</v>
      </c>
      <c r="I14" s="58">
        <f>'Commodity Tonnages'!I14*Pricing!I14</f>
        <v>102.21953321941596</v>
      </c>
      <c r="J14" s="58">
        <f>'Commodity Tonnages'!J14*Pricing!J14</f>
        <v>102.21953321941596</v>
      </c>
      <c r="K14" s="58">
        <f>'Commodity Tonnages'!K14*Pricing!K14</f>
        <v>4503.7612323025533</v>
      </c>
      <c r="L14" s="58">
        <f>'Commodity Tonnages'!L14*Pricing!L14</f>
        <v>-6439.038374398463</v>
      </c>
      <c r="M14" s="92">
        <f t="shared" si="0"/>
        <v>3418.3983696763526</v>
      </c>
      <c r="O14" s="112">
        <f t="shared" si="1"/>
        <v>1709.1991848381763</v>
      </c>
      <c r="P14" s="119">
        <v>0.5</v>
      </c>
      <c r="Q14" s="93"/>
    </row>
    <row r="15" spans="1:17" ht="15.75" customHeight="1" x14ac:dyDescent="0.2">
      <c r="A15" s="50">
        <f>+Pricing!A15</f>
        <v>45351</v>
      </c>
      <c r="B15" s="51"/>
      <c r="C15" s="55">
        <f>'Commodity Tonnages'!C15*Pricing!C15</f>
        <v>2937.7541272766825</v>
      </c>
      <c r="D15" s="58">
        <f>'Commodity Tonnages'!D15*Pricing!D15</f>
        <v>-925.27393984964976</v>
      </c>
      <c r="E15" s="58">
        <f>'Commodity Tonnages'!E15*Pricing!E15</f>
        <v>0</v>
      </c>
      <c r="F15" s="58">
        <f>'Commodity Tonnages'!F15*Pricing!F15</f>
        <v>236.43643421014946</v>
      </c>
      <c r="G15" s="58">
        <f>'Commodity Tonnages'!G15*Pricing!G15</f>
        <v>12.568430130010368</v>
      </c>
      <c r="H15" s="58">
        <f>'Commodity Tonnages'!H15*Pricing!H15</f>
        <v>2096.528778858959</v>
      </c>
      <c r="I15" s="58">
        <f>'Commodity Tonnages'!I15*Pricing!I15</f>
        <v>-405.86827473374916</v>
      </c>
      <c r="J15" s="58">
        <f>'Commodity Tonnages'!J15*Pricing!J15</f>
        <v>-405.86827473374916</v>
      </c>
      <c r="K15" s="58">
        <f>'Commodity Tonnages'!K15*Pricing!K15</f>
        <v>3743.7660364402377</v>
      </c>
      <c r="L15" s="58">
        <f>'Commodity Tonnages'!L15*Pricing!L15</f>
        <v>-5473.2100649736403</v>
      </c>
      <c r="M15" s="92">
        <f t="shared" si="0"/>
        <v>1816.8332526252507</v>
      </c>
      <c r="O15" s="112">
        <f t="shared" si="1"/>
        <v>908.41662631262534</v>
      </c>
      <c r="P15" s="119">
        <v>0.5</v>
      </c>
      <c r="Q15" s="93"/>
    </row>
    <row r="16" spans="1:17" ht="15.75" customHeight="1" x14ac:dyDescent="0.2">
      <c r="A16" s="50">
        <f>+Pricing!A16</f>
        <v>45382</v>
      </c>
      <c r="B16" s="51"/>
      <c r="C16" s="55">
        <f>'Commodity Tonnages'!C16*Pricing!C16</f>
        <v>2633.3475353072204</v>
      </c>
      <c r="D16" s="58">
        <f>'Commodity Tonnages'!D16*Pricing!D16</f>
        <v>-784.78417253002738</v>
      </c>
      <c r="E16" s="58">
        <f>'Commodity Tonnages'!E16*Pricing!E16</f>
        <v>0</v>
      </c>
      <c r="F16" s="58">
        <f>'Commodity Tonnages'!F16*Pricing!F16</f>
        <v>179.13353624283809</v>
      </c>
      <c r="G16" s="58">
        <f>'Commodity Tonnages'!G16*Pricing!G16</f>
        <v>9.8408940568026271</v>
      </c>
      <c r="H16" s="58">
        <f>'Commodity Tonnages'!H16*Pricing!H16</f>
        <v>1920.3825680077018</v>
      </c>
      <c r="I16" s="58">
        <f>'Commodity Tonnages'!I16*Pricing!I16</f>
        <v>-386.25607375665174</v>
      </c>
      <c r="J16" s="58">
        <f>'Commodity Tonnages'!J16*Pricing!J16</f>
        <v>-386.25607375665174</v>
      </c>
      <c r="K16" s="58">
        <f>'Commodity Tonnages'!K16*Pricing!K16</f>
        <v>3600.4046621209845</v>
      </c>
      <c r="L16" s="58">
        <f>'Commodity Tonnages'!L16*Pricing!L16</f>
        <v>-4922.2053842466357</v>
      </c>
      <c r="M16" s="92">
        <f t="shared" si="0"/>
        <v>1863.6074914455803</v>
      </c>
      <c r="O16" s="112">
        <f t="shared" si="1"/>
        <v>931.80374572279015</v>
      </c>
      <c r="P16" s="119">
        <v>0.5</v>
      </c>
      <c r="Q16" s="93"/>
    </row>
    <row r="17" spans="1:17" ht="15.75" customHeight="1" x14ac:dyDescent="0.2">
      <c r="A17" s="50">
        <f>+Pricing!A17</f>
        <v>45412</v>
      </c>
      <c r="B17" s="51"/>
      <c r="C17" s="55">
        <f>'Commodity Tonnages'!C17*Pricing!C17</f>
        <v>2756.1408981783161</v>
      </c>
      <c r="D17" s="58">
        <f>'Commodity Tonnages'!D17*Pricing!D17</f>
        <v>-839.93097315487432</v>
      </c>
      <c r="E17" s="58">
        <f>'Commodity Tonnages'!E17*Pricing!E17</f>
        <v>0</v>
      </c>
      <c r="F17" s="58">
        <f>'Commodity Tonnages'!F17*Pricing!F17</f>
        <v>165.1261848031078</v>
      </c>
      <c r="G17" s="58">
        <f>'Commodity Tonnages'!G17*Pricing!G17</f>
        <v>8.8122953288448791</v>
      </c>
      <c r="H17" s="58">
        <f>'Commodity Tonnages'!H17*Pricing!H17</f>
        <v>1842.8604601715365</v>
      </c>
      <c r="I17" s="58">
        <f>'Commodity Tonnages'!I17*Pricing!I17</f>
        <v>185.71196456650401</v>
      </c>
      <c r="J17" s="58">
        <f>'Commodity Tonnages'!J17*Pricing!J17</f>
        <v>185.71196456650401</v>
      </c>
      <c r="K17" s="58">
        <f>'Commodity Tonnages'!K17*Pricing!K17</f>
        <v>3354.6166272300839</v>
      </c>
      <c r="L17" s="58">
        <f>'Commodity Tonnages'!L17*Pricing!L17</f>
        <v>-4505.0623112211069</v>
      </c>
      <c r="M17" s="92">
        <f t="shared" si="0"/>
        <v>3153.9871104689155</v>
      </c>
      <c r="O17" s="112">
        <f t="shared" si="1"/>
        <v>1576.9935552344577</v>
      </c>
      <c r="P17" s="119">
        <v>0.5</v>
      </c>
      <c r="Q17" s="93"/>
    </row>
    <row r="18" spans="1:17" ht="15.75" customHeight="1" x14ac:dyDescent="0.2">
      <c r="A18" s="54" t="s">
        <v>30</v>
      </c>
      <c r="B18" s="51"/>
      <c r="C18" s="94">
        <f t="shared" ref="C18:L18" si="2">SUM(C6:C17)</f>
        <v>28166.933723118666</v>
      </c>
      <c r="D18" s="95">
        <f t="shared" si="2"/>
        <v>-14846.968275484383</v>
      </c>
      <c r="E18" s="95">
        <f t="shared" si="2"/>
        <v>0</v>
      </c>
      <c r="F18" s="94">
        <f t="shared" si="2"/>
        <v>1854.9742760159188</v>
      </c>
      <c r="G18" s="94">
        <f t="shared" si="2"/>
        <v>133.92898959753541</v>
      </c>
      <c r="H18" s="94">
        <f t="shared" si="2"/>
        <v>17932.733057042307</v>
      </c>
      <c r="I18" s="94">
        <f t="shared" si="2"/>
        <v>148.26529626313342</v>
      </c>
      <c r="J18" s="94">
        <f t="shared" si="2"/>
        <v>148.26529626313342</v>
      </c>
      <c r="K18" s="94">
        <f t="shared" si="2"/>
        <v>35524.022268970613</v>
      </c>
      <c r="L18" s="95">
        <f t="shared" si="2"/>
        <v>-49007.248277216218</v>
      </c>
      <c r="M18" s="96">
        <f>SUM(C18:L18)</f>
        <v>20054.906354570703</v>
      </c>
      <c r="O18" s="71">
        <f>SUM(O6:O17)</f>
        <v>10027.453177285352</v>
      </c>
      <c r="P18" s="100">
        <f>+O18/M18</f>
        <v>0.5</v>
      </c>
    </row>
    <row r="19" spans="1:17" x14ac:dyDescent="0.2">
      <c r="A19" s="51"/>
      <c r="B19" s="51"/>
      <c r="C19" s="55"/>
      <c r="D19" s="55"/>
      <c r="E19" s="55"/>
      <c r="F19" s="55"/>
      <c r="G19" s="55"/>
      <c r="H19" s="55"/>
      <c r="I19" s="55"/>
      <c r="J19" s="55"/>
      <c r="K19" s="55"/>
      <c r="L19" s="55"/>
      <c r="M19" s="55"/>
      <c r="O19" s="62"/>
    </row>
    <row r="20" spans="1:17" x14ac:dyDescent="0.2">
      <c r="A20" s="51"/>
      <c r="B20" s="51"/>
      <c r="C20" s="51"/>
      <c r="D20" s="51"/>
      <c r="E20" s="51"/>
      <c r="F20" s="51"/>
      <c r="G20" s="51"/>
      <c r="H20" s="51"/>
      <c r="I20" s="51"/>
      <c r="J20" s="51"/>
      <c r="K20" s="51"/>
      <c r="L20" s="51"/>
      <c r="M20" s="52"/>
      <c r="O20" s="63"/>
    </row>
    <row r="21" spans="1:17" x14ac:dyDescent="0.2">
      <c r="A21" s="51"/>
      <c r="B21" s="51"/>
      <c r="C21" s="51"/>
      <c r="D21" s="51"/>
      <c r="E21" s="51"/>
      <c r="F21" s="51"/>
      <c r="G21" s="51"/>
      <c r="H21" s="51"/>
      <c r="I21" s="51"/>
      <c r="J21" s="51"/>
      <c r="K21" s="51"/>
      <c r="L21" s="51"/>
      <c r="M21" s="52"/>
      <c r="O21" s="64"/>
    </row>
    <row r="22" spans="1:17" x14ac:dyDescent="0.2">
      <c r="A22" s="51"/>
      <c r="B22" s="51"/>
      <c r="C22" s="51"/>
      <c r="D22" s="51"/>
      <c r="E22" s="51"/>
      <c r="F22" s="51"/>
      <c r="G22" s="51"/>
      <c r="H22" s="51"/>
      <c r="I22" s="51"/>
      <c r="J22" s="51"/>
      <c r="K22" s="51"/>
      <c r="L22" s="51"/>
      <c r="M22" s="52"/>
    </row>
    <row r="23" spans="1:17" x14ac:dyDescent="0.2">
      <c r="A23" s="51"/>
      <c r="B23" s="51"/>
      <c r="C23" s="51"/>
      <c r="D23" s="51"/>
      <c r="E23" s="51"/>
      <c r="F23" s="51"/>
      <c r="G23" s="51"/>
      <c r="H23" s="51"/>
      <c r="I23" s="51"/>
      <c r="J23" s="51"/>
      <c r="K23" s="51"/>
      <c r="L23" s="51"/>
      <c r="M23" s="52"/>
    </row>
    <row r="24" spans="1:17" x14ac:dyDescent="0.2">
      <c r="A24" s="51"/>
      <c r="B24" s="51"/>
      <c r="C24" s="51"/>
      <c r="D24" s="51"/>
      <c r="E24" s="51"/>
      <c r="F24" s="51"/>
      <c r="G24" s="51"/>
      <c r="H24" s="51"/>
      <c r="I24" s="51"/>
      <c r="J24" s="51"/>
      <c r="K24" s="51"/>
      <c r="L24" s="51"/>
      <c r="M24" s="52"/>
    </row>
    <row r="25" spans="1:17" x14ac:dyDescent="0.2">
      <c r="A25" s="51"/>
      <c r="B25" s="51"/>
      <c r="C25" s="51"/>
      <c r="D25" s="51"/>
      <c r="E25" s="51"/>
      <c r="F25" s="51"/>
      <c r="G25" s="51"/>
      <c r="H25" s="51"/>
      <c r="I25" s="51"/>
      <c r="J25" s="51"/>
      <c r="K25" s="51"/>
      <c r="L25" s="51"/>
      <c r="M25" s="52"/>
    </row>
    <row r="26" spans="1:17" x14ac:dyDescent="0.2">
      <c r="A26" s="51"/>
      <c r="B26" s="51"/>
      <c r="C26" s="51"/>
      <c r="D26" s="51"/>
      <c r="E26" s="51"/>
      <c r="F26" s="51"/>
      <c r="G26" s="51"/>
      <c r="H26" s="51"/>
      <c r="I26" s="51"/>
      <c r="J26" s="51"/>
      <c r="K26" s="51"/>
      <c r="L26" s="51"/>
      <c r="M26" s="52"/>
    </row>
    <row r="27" spans="1:17" x14ac:dyDescent="0.2">
      <c r="A27" s="51"/>
      <c r="B27" s="51"/>
      <c r="C27" s="51"/>
      <c r="D27" s="51"/>
      <c r="E27" s="51"/>
      <c r="F27" s="51"/>
      <c r="G27" s="51"/>
      <c r="H27" s="51"/>
      <c r="I27" s="51"/>
      <c r="J27" s="51"/>
      <c r="K27" s="51"/>
      <c r="L27" s="51"/>
      <c r="M27" s="52"/>
    </row>
    <row r="28" spans="1:17" x14ac:dyDescent="0.2">
      <c r="A28" s="51"/>
      <c r="B28" s="51"/>
      <c r="C28" s="51"/>
      <c r="D28" s="51"/>
      <c r="E28" s="51"/>
      <c r="F28" s="51"/>
      <c r="G28" s="51"/>
      <c r="H28" s="51"/>
      <c r="I28" s="51"/>
      <c r="J28" s="51"/>
      <c r="K28" s="51"/>
      <c r="L28" s="51"/>
      <c r="M28" s="51"/>
    </row>
    <row r="29" spans="1:17" x14ac:dyDescent="0.2">
      <c r="A29" s="51"/>
      <c r="B29" s="51"/>
      <c r="C29" s="51"/>
      <c r="D29" s="51"/>
      <c r="E29" s="51"/>
      <c r="F29" s="51"/>
      <c r="G29" s="51"/>
      <c r="H29" s="51"/>
      <c r="I29" s="51"/>
      <c r="J29" s="51"/>
      <c r="K29" s="51"/>
      <c r="L29" s="51"/>
      <c r="M29" s="51"/>
    </row>
    <row r="30" spans="1:17" x14ac:dyDescent="0.2">
      <c r="A30" s="51"/>
      <c r="B30" s="51"/>
      <c r="C30" s="51"/>
      <c r="D30" s="51"/>
      <c r="E30" s="51"/>
      <c r="F30" s="51"/>
      <c r="G30" s="51"/>
      <c r="H30" s="51"/>
      <c r="I30" s="51"/>
      <c r="J30" s="51"/>
      <c r="K30" s="51"/>
      <c r="L30" s="51"/>
      <c r="M30" s="51"/>
    </row>
    <row r="31" spans="1:17" x14ac:dyDescent="0.2">
      <c r="A31" s="51"/>
      <c r="B31" s="51"/>
      <c r="C31" s="51"/>
      <c r="D31" s="51"/>
      <c r="E31" s="51"/>
      <c r="F31" s="51"/>
      <c r="G31" s="51"/>
      <c r="H31" s="51"/>
      <c r="I31" s="51"/>
      <c r="J31" s="51"/>
      <c r="K31" s="51"/>
      <c r="L31" s="51"/>
      <c r="M31" s="51"/>
    </row>
    <row r="32" spans="1:17" x14ac:dyDescent="0.2">
      <c r="A32" s="51"/>
      <c r="B32" s="51"/>
      <c r="C32" s="51"/>
      <c r="D32" s="51"/>
      <c r="E32" s="51"/>
      <c r="F32" s="51"/>
      <c r="G32" s="51"/>
      <c r="H32" s="51"/>
      <c r="I32" s="51"/>
      <c r="J32" s="51"/>
      <c r="K32" s="51"/>
      <c r="L32" s="51"/>
      <c r="M32" s="51"/>
    </row>
    <row r="33" spans="1:13" x14ac:dyDescent="0.2">
      <c r="A33" s="51"/>
      <c r="B33" s="51"/>
      <c r="C33" s="51"/>
      <c r="D33" s="51"/>
      <c r="E33" s="51"/>
      <c r="F33" s="51"/>
      <c r="G33" s="51"/>
      <c r="H33" s="51"/>
      <c r="I33" s="51"/>
      <c r="J33" s="51"/>
      <c r="K33" s="51"/>
      <c r="L33" s="51"/>
      <c r="M33" s="51"/>
    </row>
    <row r="34" spans="1:13" x14ac:dyDescent="0.2">
      <c r="A34" s="51"/>
      <c r="B34" s="51"/>
      <c r="C34" s="51"/>
      <c r="D34" s="51"/>
      <c r="E34" s="51"/>
      <c r="F34" s="51"/>
      <c r="G34" s="51"/>
      <c r="H34" s="51"/>
      <c r="I34" s="51"/>
      <c r="J34" s="51"/>
      <c r="K34" s="51"/>
      <c r="L34" s="51"/>
      <c r="M34" s="51"/>
    </row>
    <row r="35" spans="1:13" x14ac:dyDescent="0.2">
      <c r="A35" s="51"/>
      <c r="B35" s="51"/>
      <c r="C35" s="51"/>
      <c r="D35" s="51"/>
      <c r="E35" s="51"/>
      <c r="F35" s="51"/>
      <c r="G35" s="51"/>
      <c r="H35" s="51"/>
      <c r="I35" s="51"/>
      <c r="J35" s="51"/>
      <c r="K35" s="51"/>
      <c r="L35" s="51"/>
      <c r="M35" s="51"/>
    </row>
    <row r="36" spans="1:13" x14ac:dyDescent="0.2">
      <c r="A36" s="51"/>
      <c r="B36" s="51"/>
      <c r="C36" s="51"/>
      <c r="D36" s="51"/>
      <c r="E36" s="51"/>
      <c r="F36" s="51"/>
      <c r="G36" s="51"/>
      <c r="H36" s="51"/>
      <c r="I36" s="51"/>
      <c r="J36" s="51"/>
      <c r="K36" s="51"/>
      <c r="L36" s="51"/>
      <c r="M36" s="51"/>
    </row>
    <row r="37" spans="1:13" x14ac:dyDescent="0.2">
      <c r="A37" s="51"/>
      <c r="B37" s="51"/>
      <c r="C37" s="51"/>
      <c r="D37" s="51"/>
      <c r="E37" s="51"/>
      <c r="F37" s="51"/>
      <c r="G37" s="51"/>
      <c r="H37" s="51"/>
      <c r="I37" s="51"/>
      <c r="J37" s="51"/>
      <c r="K37" s="51"/>
      <c r="L37" s="51"/>
      <c r="M37" s="51"/>
    </row>
    <row r="38" spans="1:13" x14ac:dyDescent="0.2">
      <c r="A38" s="51"/>
      <c r="B38" s="51"/>
      <c r="C38" s="51"/>
      <c r="D38" s="51"/>
      <c r="E38" s="51"/>
      <c r="F38" s="51"/>
      <c r="G38" s="51"/>
      <c r="H38" s="51"/>
      <c r="I38" s="51"/>
      <c r="J38" s="51"/>
      <c r="K38" s="51"/>
      <c r="L38" s="51"/>
      <c r="M38" s="51"/>
    </row>
    <row r="39" spans="1:13" x14ac:dyDescent="0.2">
      <c r="A39" s="51"/>
      <c r="B39" s="51"/>
      <c r="C39" s="51"/>
      <c r="D39" s="51"/>
      <c r="E39" s="51"/>
      <c r="F39" s="51"/>
      <c r="G39" s="51"/>
      <c r="H39" s="51"/>
      <c r="I39" s="51"/>
      <c r="J39" s="51"/>
      <c r="K39" s="51"/>
      <c r="L39" s="51"/>
      <c r="M39" s="51"/>
    </row>
    <row r="40" spans="1:13" x14ac:dyDescent="0.2">
      <c r="A40" s="51"/>
      <c r="B40" s="51"/>
      <c r="C40" s="51"/>
      <c r="D40" s="51"/>
      <c r="E40" s="51"/>
      <c r="F40" s="51"/>
      <c r="G40" s="51"/>
      <c r="H40" s="51"/>
      <c r="I40" s="51"/>
      <c r="J40" s="51"/>
      <c r="K40" s="51"/>
      <c r="L40" s="51"/>
      <c r="M40" s="51"/>
    </row>
    <row r="41" spans="1:13" x14ac:dyDescent="0.2">
      <c r="A41" s="51"/>
      <c r="B41" s="51"/>
      <c r="C41" s="51"/>
      <c r="D41" s="51"/>
      <c r="E41" s="51"/>
      <c r="F41" s="51"/>
      <c r="G41" s="51"/>
      <c r="H41" s="51"/>
      <c r="I41" s="51"/>
      <c r="J41" s="51"/>
      <c r="K41" s="51"/>
      <c r="L41" s="51"/>
      <c r="M41" s="51"/>
    </row>
    <row r="42" spans="1:13" x14ac:dyDescent="0.2">
      <c r="A42" s="51"/>
      <c r="B42" s="51"/>
      <c r="C42" s="51"/>
      <c r="D42" s="51"/>
      <c r="E42" s="51"/>
      <c r="F42" s="51"/>
      <c r="G42" s="51"/>
      <c r="H42" s="51"/>
      <c r="I42" s="51"/>
      <c r="J42" s="51"/>
      <c r="K42" s="51"/>
      <c r="L42" s="51"/>
      <c r="M42" s="51"/>
    </row>
    <row r="43" spans="1:13" x14ac:dyDescent="0.2">
      <c r="A43" s="51"/>
      <c r="B43" s="51"/>
      <c r="C43" s="51"/>
      <c r="D43" s="51"/>
      <c r="E43" s="51"/>
      <c r="F43" s="51"/>
      <c r="G43" s="51"/>
      <c r="H43" s="51"/>
      <c r="I43" s="51"/>
      <c r="J43" s="51"/>
      <c r="K43" s="51"/>
      <c r="L43" s="51"/>
      <c r="M43" s="51"/>
    </row>
    <row r="44" spans="1:13" x14ac:dyDescent="0.2">
      <c r="A44" s="51"/>
      <c r="B44" s="51"/>
      <c r="C44" s="51"/>
      <c r="D44" s="51"/>
      <c r="E44" s="51"/>
      <c r="F44" s="51"/>
      <c r="G44" s="51"/>
      <c r="H44" s="51"/>
      <c r="I44" s="51"/>
      <c r="J44" s="51"/>
      <c r="K44" s="51"/>
      <c r="L44" s="51"/>
      <c r="M44" s="51"/>
    </row>
    <row r="45" spans="1:13" x14ac:dyDescent="0.2">
      <c r="A45" s="51"/>
      <c r="B45" s="51"/>
      <c r="C45" s="51"/>
      <c r="D45" s="51"/>
      <c r="E45" s="51"/>
      <c r="F45" s="51"/>
      <c r="G45" s="51"/>
      <c r="H45" s="51"/>
      <c r="I45" s="51"/>
      <c r="J45" s="51"/>
      <c r="K45" s="51"/>
      <c r="L45" s="51"/>
      <c r="M45" s="51"/>
    </row>
    <row r="46" spans="1:13" x14ac:dyDescent="0.2">
      <c r="A46" s="51"/>
      <c r="B46" s="51"/>
      <c r="C46" s="51"/>
      <c r="D46" s="51"/>
      <c r="E46" s="51"/>
      <c r="F46" s="51"/>
      <c r="G46" s="51"/>
      <c r="H46" s="51"/>
      <c r="I46" s="51"/>
      <c r="J46" s="51"/>
      <c r="K46" s="51"/>
      <c r="L46" s="51"/>
      <c r="M46" s="51"/>
    </row>
    <row r="47" spans="1:13" x14ac:dyDescent="0.2">
      <c r="A47" s="51"/>
      <c r="B47" s="51"/>
      <c r="C47" s="51"/>
      <c r="D47" s="51"/>
      <c r="E47" s="51"/>
      <c r="F47" s="51"/>
      <c r="G47" s="51"/>
      <c r="H47" s="51"/>
      <c r="I47" s="51"/>
      <c r="J47" s="51"/>
      <c r="K47" s="51"/>
      <c r="L47" s="51"/>
      <c r="M47" s="51"/>
    </row>
    <row r="48" spans="1:13" x14ac:dyDescent="0.2">
      <c r="A48" s="51"/>
      <c r="B48" s="51"/>
      <c r="C48" s="51"/>
      <c r="D48" s="51"/>
      <c r="E48" s="51"/>
      <c r="F48" s="51"/>
      <c r="G48" s="51"/>
      <c r="H48" s="51"/>
      <c r="I48" s="51"/>
      <c r="J48" s="51"/>
      <c r="K48" s="51"/>
      <c r="L48" s="51"/>
      <c r="M48" s="51"/>
    </row>
    <row r="49" spans="1:13" x14ac:dyDescent="0.2">
      <c r="A49" s="51"/>
      <c r="B49" s="51"/>
      <c r="C49" s="51"/>
      <c r="D49" s="51"/>
      <c r="E49" s="51"/>
      <c r="F49" s="51"/>
      <c r="G49" s="51"/>
      <c r="H49" s="51"/>
      <c r="I49" s="51"/>
      <c r="J49" s="51"/>
      <c r="K49" s="51"/>
      <c r="L49" s="51"/>
      <c r="M49" s="51"/>
    </row>
    <row r="50" spans="1:13" x14ac:dyDescent="0.2">
      <c r="A50" s="51"/>
      <c r="B50" s="51"/>
      <c r="C50" s="51"/>
      <c r="D50" s="51"/>
      <c r="E50" s="51"/>
      <c r="F50" s="51"/>
      <c r="G50" s="51"/>
      <c r="H50" s="51"/>
      <c r="I50" s="51"/>
      <c r="J50" s="51"/>
      <c r="K50" s="51"/>
      <c r="L50" s="51"/>
      <c r="M50" s="51"/>
    </row>
    <row r="51" spans="1:13" x14ac:dyDescent="0.2">
      <c r="A51" s="51"/>
      <c r="B51" s="51"/>
      <c r="C51" s="51"/>
      <c r="D51" s="51"/>
      <c r="E51" s="51"/>
      <c r="F51" s="51"/>
      <c r="G51" s="51"/>
      <c r="H51" s="51"/>
      <c r="I51" s="51"/>
      <c r="J51" s="51"/>
      <c r="K51" s="51"/>
      <c r="L51" s="51"/>
      <c r="M51" s="51"/>
    </row>
    <row r="52" spans="1:13" x14ac:dyDescent="0.2">
      <c r="A52" s="51"/>
      <c r="B52" s="51"/>
      <c r="C52" s="51"/>
      <c r="D52" s="51"/>
      <c r="E52" s="51"/>
      <c r="F52" s="51"/>
      <c r="G52" s="51"/>
      <c r="H52" s="51"/>
      <c r="I52" s="51"/>
      <c r="J52" s="51"/>
      <c r="K52" s="51"/>
      <c r="L52" s="51"/>
      <c r="M52" s="51"/>
    </row>
    <row r="53" spans="1:13" x14ac:dyDescent="0.2">
      <c r="A53" s="51"/>
      <c r="B53" s="51"/>
      <c r="C53" s="51"/>
      <c r="D53" s="51"/>
      <c r="E53" s="51"/>
      <c r="F53" s="51"/>
      <c r="G53" s="51"/>
      <c r="H53" s="51"/>
      <c r="I53" s="51"/>
      <c r="J53" s="51"/>
      <c r="K53" s="51"/>
      <c r="L53" s="51"/>
      <c r="M53" s="51"/>
    </row>
    <row r="54" spans="1:13" x14ac:dyDescent="0.2">
      <c r="A54" s="51"/>
      <c r="B54" s="51"/>
      <c r="C54" s="51"/>
      <c r="D54" s="51"/>
      <c r="E54" s="51"/>
      <c r="F54" s="51"/>
      <c r="G54" s="51"/>
      <c r="H54" s="51"/>
      <c r="I54" s="51"/>
      <c r="J54" s="51"/>
      <c r="K54" s="51"/>
      <c r="L54" s="51"/>
      <c r="M54" s="51"/>
    </row>
    <row r="55" spans="1:13" x14ac:dyDescent="0.2">
      <c r="A55" s="51"/>
      <c r="B55" s="51"/>
      <c r="C55" s="51"/>
      <c r="D55" s="51"/>
      <c r="E55" s="51"/>
      <c r="F55" s="51"/>
      <c r="G55" s="51"/>
      <c r="H55" s="51"/>
      <c r="I55" s="51"/>
      <c r="J55" s="51"/>
      <c r="K55" s="51"/>
      <c r="L55" s="51"/>
      <c r="M55" s="51"/>
    </row>
    <row r="56" spans="1:13" x14ac:dyDescent="0.2">
      <c r="A56" s="51"/>
      <c r="B56" s="51"/>
      <c r="C56" s="51"/>
      <c r="D56" s="51"/>
      <c r="E56" s="51"/>
      <c r="F56" s="51"/>
      <c r="G56" s="51"/>
      <c r="H56" s="51"/>
      <c r="I56" s="51"/>
      <c r="J56" s="51"/>
      <c r="K56" s="51"/>
      <c r="L56" s="51"/>
      <c r="M56" s="51"/>
    </row>
    <row r="57" spans="1:13" x14ac:dyDescent="0.2">
      <c r="A57" s="51"/>
      <c r="B57" s="51"/>
      <c r="C57" s="51"/>
      <c r="D57" s="51"/>
      <c r="E57" s="51"/>
      <c r="F57" s="51"/>
      <c r="G57" s="51"/>
      <c r="H57" s="51"/>
      <c r="I57" s="51"/>
      <c r="J57" s="51"/>
      <c r="K57" s="51"/>
      <c r="L57" s="51"/>
      <c r="M57" s="51"/>
    </row>
    <row r="58" spans="1:13" x14ac:dyDescent="0.2">
      <c r="A58" s="51"/>
      <c r="B58" s="51"/>
      <c r="C58" s="51"/>
      <c r="D58" s="51"/>
      <c r="E58" s="51"/>
      <c r="F58" s="51"/>
      <c r="G58" s="51"/>
      <c r="H58" s="51"/>
      <c r="I58" s="51"/>
      <c r="J58" s="51"/>
      <c r="K58" s="51"/>
      <c r="L58" s="51"/>
      <c r="M58" s="51"/>
    </row>
    <row r="59" spans="1:13" x14ac:dyDescent="0.2">
      <c r="A59" s="51"/>
      <c r="B59" s="51"/>
      <c r="C59" s="51"/>
      <c r="D59" s="51"/>
      <c r="E59" s="51"/>
      <c r="F59" s="51"/>
      <c r="G59" s="51"/>
      <c r="H59" s="51"/>
      <c r="I59" s="51"/>
      <c r="J59" s="51"/>
      <c r="K59" s="51"/>
      <c r="L59" s="51"/>
      <c r="M59" s="51"/>
    </row>
    <row r="60" spans="1:13" x14ac:dyDescent="0.2">
      <c r="A60" s="51"/>
      <c r="B60" s="51"/>
      <c r="C60" s="51"/>
      <c r="D60" s="51"/>
      <c r="E60" s="51"/>
      <c r="F60" s="51"/>
      <c r="G60" s="51"/>
      <c r="H60" s="51"/>
      <c r="I60" s="51"/>
      <c r="J60" s="51"/>
      <c r="K60" s="51"/>
      <c r="L60" s="51"/>
      <c r="M60" s="51"/>
    </row>
    <row r="61" spans="1:13" x14ac:dyDescent="0.2">
      <c r="A61" s="51"/>
      <c r="B61" s="51"/>
      <c r="C61" s="51"/>
      <c r="D61" s="51"/>
      <c r="E61" s="51"/>
      <c r="F61" s="51"/>
      <c r="G61" s="51"/>
      <c r="H61" s="51"/>
      <c r="I61" s="51"/>
      <c r="J61" s="51"/>
      <c r="K61" s="51"/>
      <c r="L61" s="51"/>
      <c r="M61" s="51"/>
    </row>
    <row r="62" spans="1:13" x14ac:dyDescent="0.2">
      <c r="A62" s="51"/>
      <c r="B62" s="51"/>
      <c r="C62" s="51"/>
      <c r="D62" s="51"/>
      <c r="E62" s="51"/>
      <c r="F62" s="51"/>
      <c r="G62" s="51"/>
      <c r="H62" s="51"/>
      <c r="I62" s="51"/>
      <c r="J62" s="51"/>
      <c r="K62" s="51"/>
      <c r="L62" s="51"/>
      <c r="M62" s="51"/>
    </row>
    <row r="63" spans="1:13" x14ac:dyDescent="0.2">
      <c r="A63" s="51"/>
      <c r="B63" s="51"/>
      <c r="C63" s="51"/>
      <c r="D63" s="51"/>
      <c r="E63" s="51"/>
      <c r="F63" s="51"/>
      <c r="G63" s="51"/>
      <c r="H63" s="51"/>
      <c r="I63" s="51"/>
      <c r="J63" s="51"/>
      <c r="K63" s="51"/>
      <c r="L63" s="51"/>
      <c r="M63" s="51"/>
    </row>
    <row r="64" spans="1:13" x14ac:dyDescent="0.2">
      <c r="A64" s="51"/>
      <c r="B64" s="51"/>
      <c r="C64" s="51"/>
      <c r="D64" s="51"/>
      <c r="E64" s="51"/>
      <c r="F64" s="51"/>
      <c r="G64" s="51"/>
      <c r="H64" s="51"/>
      <c r="I64" s="51"/>
      <c r="J64" s="51"/>
      <c r="K64" s="51"/>
      <c r="L64" s="51"/>
      <c r="M64" s="51"/>
    </row>
    <row r="65" spans="1:13" x14ac:dyDescent="0.2">
      <c r="A65" s="51"/>
      <c r="B65" s="51"/>
      <c r="C65" s="51"/>
      <c r="D65" s="51"/>
      <c r="E65" s="51"/>
      <c r="F65" s="51"/>
      <c r="G65" s="51"/>
      <c r="H65" s="51"/>
      <c r="I65" s="51"/>
      <c r="J65" s="51"/>
      <c r="K65" s="51"/>
      <c r="L65" s="51"/>
      <c r="M65" s="51"/>
    </row>
    <row r="66" spans="1:13" x14ac:dyDescent="0.2">
      <c r="A66" s="51"/>
      <c r="B66" s="51"/>
      <c r="C66" s="51"/>
      <c r="D66" s="51"/>
      <c r="E66" s="51"/>
      <c r="F66" s="51"/>
      <c r="G66" s="51"/>
      <c r="H66" s="51"/>
      <c r="I66" s="51"/>
      <c r="J66" s="51"/>
      <c r="K66" s="51"/>
      <c r="L66" s="51"/>
      <c r="M66" s="51"/>
    </row>
    <row r="67" spans="1:13" x14ac:dyDescent="0.2">
      <c r="A67" s="51"/>
      <c r="B67" s="51"/>
      <c r="C67" s="51"/>
      <c r="D67" s="51"/>
      <c r="E67" s="51"/>
      <c r="F67" s="51"/>
      <c r="G67" s="51"/>
      <c r="H67" s="51"/>
      <c r="I67" s="51"/>
      <c r="J67" s="51"/>
      <c r="K67" s="51"/>
      <c r="L67" s="51"/>
      <c r="M67" s="51"/>
    </row>
    <row r="68" spans="1:13" x14ac:dyDescent="0.2">
      <c r="A68" s="51"/>
      <c r="B68" s="51"/>
      <c r="C68" s="51"/>
      <c r="D68" s="51"/>
      <c r="E68" s="51"/>
      <c r="F68" s="51"/>
      <c r="G68" s="51"/>
      <c r="H68" s="51"/>
      <c r="I68" s="51"/>
      <c r="J68" s="51"/>
      <c r="K68" s="51"/>
      <c r="L68" s="51"/>
      <c r="M68" s="51"/>
    </row>
    <row r="69" spans="1:13" x14ac:dyDescent="0.2">
      <c r="A69" s="51"/>
      <c r="B69" s="51"/>
      <c r="C69" s="51"/>
      <c r="D69" s="51"/>
      <c r="E69" s="51"/>
      <c r="F69" s="51"/>
      <c r="G69" s="51"/>
      <c r="H69" s="51"/>
      <c r="I69" s="51"/>
      <c r="J69" s="51"/>
      <c r="K69" s="51"/>
      <c r="L69" s="51"/>
      <c r="M69" s="51"/>
    </row>
    <row r="70" spans="1:13" x14ac:dyDescent="0.2">
      <c r="A70" s="51"/>
      <c r="B70" s="51"/>
      <c r="C70" s="51"/>
      <c r="D70" s="51"/>
      <c r="E70" s="51"/>
      <c r="F70" s="51"/>
      <c r="G70" s="51"/>
      <c r="H70" s="51"/>
      <c r="I70" s="51"/>
      <c r="J70" s="51"/>
      <c r="K70" s="51"/>
      <c r="L70" s="51"/>
      <c r="M70" s="51"/>
    </row>
    <row r="71" spans="1:13" x14ac:dyDescent="0.2">
      <c r="A71" s="51"/>
      <c r="B71" s="51"/>
      <c r="C71" s="51"/>
      <c r="D71" s="51"/>
      <c r="E71" s="51"/>
      <c r="F71" s="51"/>
      <c r="G71" s="51"/>
      <c r="H71" s="51"/>
      <c r="I71" s="51"/>
      <c r="J71" s="51"/>
      <c r="K71" s="51"/>
      <c r="L71" s="51"/>
      <c r="M71" s="51"/>
    </row>
    <row r="72" spans="1:13" x14ac:dyDescent="0.2">
      <c r="A72" s="51"/>
      <c r="B72" s="51"/>
      <c r="C72" s="51"/>
      <c r="D72" s="51"/>
      <c r="E72" s="51"/>
      <c r="F72" s="51"/>
      <c r="G72" s="51"/>
      <c r="H72" s="51"/>
      <c r="I72" s="51"/>
      <c r="J72" s="51"/>
      <c r="K72" s="51"/>
      <c r="L72" s="51"/>
      <c r="M72" s="51"/>
    </row>
    <row r="73" spans="1:13" x14ac:dyDescent="0.2">
      <c r="A73" s="51"/>
      <c r="B73" s="51"/>
      <c r="C73" s="51"/>
      <c r="D73" s="51"/>
      <c r="E73" s="51"/>
      <c r="F73" s="51"/>
      <c r="G73" s="51"/>
      <c r="H73" s="51"/>
      <c r="I73" s="51"/>
      <c r="J73" s="51"/>
      <c r="K73" s="51"/>
      <c r="L73" s="51"/>
      <c r="M73" s="51"/>
    </row>
    <row r="74" spans="1:13" x14ac:dyDescent="0.2">
      <c r="A74" s="51"/>
      <c r="B74" s="51"/>
      <c r="C74" s="51"/>
      <c r="D74" s="51"/>
      <c r="E74" s="51"/>
      <c r="F74" s="51"/>
      <c r="G74" s="51"/>
      <c r="H74" s="51"/>
      <c r="I74" s="51"/>
      <c r="J74" s="51"/>
      <c r="K74" s="51"/>
      <c r="L74" s="51"/>
      <c r="M74" s="51"/>
    </row>
    <row r="75" spans="1:13" x14ac:dyDescent="0.2">
      <c r="A75" s="51"/>
      <c r="B75" s="51"/>
      <c r="C75" s="51"/>
      <c r="D75" s="51"/>
      <c r="E75" s="51"/>
      <c r="F75" s="51"/>
      <c r="G75" s="51"/>
      <c r="H75" s="51"/>
      <c r="I75" s="51"/>
      <c r="J75" s="51"/>
      <c r="K75" s="51"/>
      <c r="L75" s="51"/>
      <c r="M75" s="51"/>
    </row>
    <row r="76" spans="1:13" x14ac:dyDescent="0.2">
      <c r="A76" s="51"/>
      <c r="B76" s="51"/>
      <c r="C76" s="51"/>
      <c r="D76" s="51"/>
      <c r="E76" s="51"/>
      <c r="F76" s="51"/>
      <c r="G76" s="51"/>
      <c r="H76" s="51"/>
      <c r="I76" s="51"/>
      <c r="J76" s="51"/>
      <c r="K76" s="51"/>
      <c r="L76" s="51"/>
      <c r="M76" s="51"/>
    </row>
    <row r="77" spans="1:13" x14ac:dyDescent="0.2">
      <c r="A77" s="51"/>
      <c r="B77" s="51"/>
      <c r="C77" s="51"/>
      <c r="D77" s="51"/>
      <c r="E77" s="51"/>
      <c r="F77" s="51"/>
      <c r="G77" s="51"/>
      <c r="H77" s="51"/>
      <c r="I77" s="51"/>
      <c r="J77" s="51"/>
      <c r="K77" s="51"/>
      <c r="L77" s="51"/>
      <c r="M77" s="51"/>
    </row>
    <row r="78" spans="1:13" x14ac:dyDescent="0.2">
      <c r="A78" s="51"/>
      <c r="B78" s="51"/>
      <c r="C78" s="51"/>
      <c r="D78" s="51"/>
      <c r="E78" s="51"/>
      <c r="F78" s="51"/>
      <c r="G78" s="51"/>
      <c r="H78" s="51"/>
      <c r="I78" s="51"/>
      <c r="J78" s="51"/>
      <c r="K78" s="51"/>
      <c r="L78" s="51"/>
      <c r="M78" s="51"/>
    </row>
    <row r="79" spans="1:13" x14ac:dyDescent="0.2">
      <c r="A79" s="51"/>
      <c r="B79" s="51"/>
      <c r="C79" s="51"/>
      <c r="D79" s="51"/>
      <c r="E79" s="51"/>
      <c r="F79" s="51"/>
      <c r="G79" s="51"/>
      <c r="H79" s="51"/>
      <c r="I79" s="51"/>
      <c r="J79" s="51"/>
      <c r="K79" s="51"/>
      <c r="L79" s="51"/>
      <c r="M79" s="51"/>
    </row>
    <row r="80" spans="1:13" x14ac:dyDescent="0.2">
      <c r="A80" s="51"/>
      <c r="B80" s="51"/>
      <c r="C80" s="51"/>
      <c r="D80" s="51"/>
      <c r="E80" s="51"/>
      <c r="F80" s="51"/>
      <c r="G80" s="51"/>
      <c r="H80" s="51"/>
      <c r="I80" s="51"/>
      <c r="J80" s="51"/>
      <c r="K80" s="51"/>
      <c r="L80" s="51"/>
      <c r="M80" s="51"/>
    </row>
    <row r="81" spans="1:13" x14ac:dyDescent="0.2">
      <c r="A81" s="51"/>
      <c r="B81" s="51"/>
      <c r="C81" s="51"/>
      <c r="D81" s="51"/>
      <c r="E81" s="51"/>
      <c r="F81" s="51"/>
      <c r="G81" s="51"/>
      <c r="H81" s="51"/>
      <c r="I81" s="51"/>
      <c r="J81" s="51"/>
      <c r="K81" s="51"/>
      <c r="L81" s="51"/>
      <c r="M81" s="51"/>
    </row>
    <row r="82" spans="1:13" x14ac:dyDescent="0.2">
      <c r="A82" s="51"/>
      <c r="B82" s="51"/>
      <c r="C82" s="51"/>
      <c r="D82" s="51"/>
      <c r="E82" s="51"/>
      <c r="F82" s="51"/>
      <c r="G82" s="51"/>
      <c r="H82" s="51"/>
      <c r="I82" s="51"/>
      <c r="J82" s="51"/>
      <c r="K82" s="51"/>
      <c r="L82" s="51"/>
      <c r="M82" s="51"/>
    </row>
    <row r="83" spans="1:13" x14ac:dyDescent="0.2">
      <c r="A83" s="51"/>
      <c r="B83" s="51"/>
      <c r="C83" s="51"/>
      <c r="D83" s="51"/>
      <c r="E83" s="51"/>
      <c r="F83" s="51"/>
      <c r="G83" s="51"/>
      <c r="H83" s="51"/>
      <c r="I83" s="51"/>
      <c r="J83" s="51"/>
      <c r="K83" s="51"/>
      <c r="L83" s="51"/>
      <c r="M83" s="51"/>
    </row>
    <row r="84" spans="1:13" x14ac:dyDescent="0.2">
      <c r="A84" s="51"/>
      <c r="B84" s="51"/>
      <c r="C84" s="51"/>
      <c r="D84" s="51"/>
      <c r="E84" s="51"/>
      <c r="F84" s="51"/>
      <c r="G84" s="51"/>
      <c r="H84" s="51"/>
      <c r="I84" s="51"/>
      <c r="J84" s="51"/>
      <c r="K84" s="51"/>
      <c r="L84" s="51"/>
      <c r="M84" s="51"/>
    </row>
    <row r="85" spans="1:13" x14ac:dyDescent="0.2">
      <c r="A85" s="51"/>
      <c r="B85" s="51"/>
      <c r="C85" s="51"/>
      <c r="D85" s="51"/>
      <c r="E85" s="51"/>
      <c r="F85" s="51"/>
      <c r="G85" s="51"/>
      <c r="H85" s="51"/>
      <c r="I85" s="51"/>
      <c r="J85" s="51"/>
      <c r="K85" s="51"/>
      <c r="L85" s="51"/>
      <c r="M85" s="51"/>
    </row>
    <row r="86" spans="1:13" x14ac:dyDescent="0.2">
      <c r="A86" s="51"/>
      <c r="B86" s="51"/>
      <c r="C86" s="51"/>
      <c r="D86" s="51"/>
      <c r="E86" s="51"/>
      <c r="F86" s="51"/>
      <c r="G86" s="51"/>
      <c r="H86" s="51"/>
      <c r="I86" s="51"/>
      <c r="J86" s="51"/>
      <c r="K86" s="51"/>
      <c r="L86" s="51"/>
      <c r="M86" s="51"/>
    </row>
    <row r="87" spans="1:13" x14ac:dyDescent="0.2">
      <c r="A87" s="51"/>
      <c r="B87" s="51"/>
      <c r="C87" s="51"/>
      <c r="D87" s="51"/>
      <c r="E87" s="51"/>
      <c r="F87" s="51"/>
      <c r="G87" s="51"/>
      <c r="H87" s="51"/>
      <c r="I87" s="51"/>
      <c r="J87" s="51"/>
      <c r="K87" s="51"/>
      <c r="L87" s="51"/>
      <c r="M87" s="51"/>
    </row>
    <row r="88" spans="1:13" x14ac:dyDescent="0.2">
      <c r="A88" s="51"/>
      <c r="B88" s="51"/>
      <c r="C88" s="51"/>
      <c r="D88" s="51"/>
      <c r="E88" s="51"/>
      <c r="F88" s="51"/>
      <c r="G88" s="51"/>
      <c r="H88" s="51"/>
      <c r="I88" s="51"/>
      <c r="J88" s="51"/>
      <c r="K88" s="51"/>
      <c r="L88" s="51"/>
      <c r="M88" s="51"/>
    </row>
    <row r="89" spans="1:13" x14ac:dyDescent="0.2">
      <c r="A89" s="51"/>
      <c r="B89" s="51"/>
      <c r="C89" s="51"/>
      <c r="D89" s="51"/>
      <c r="E89" s="51"/>
      <c r="F89" s="51"/>
      <c r="G89" s="51"/>
      <c r="H89" s="51"/>
      <c r="I89" s="51"/>
      <c r="J89" s="51"/>
      <c r="K89" s="51"/>
      <c r="L89" s="51"/>
      <c r="M89" s="51"/>
    </row>
    <row r="90" spans="1:13" x14ac:dyDescent="0.2">
      <c r="A90" s="51"/>
      <c r="B90" s="51"/>
      <c r="C90" s="51"/>
      <c r="D90" s="51"/>
      <c r="E90" s="51"/>
      <c r="F90" s="51"/>
      <c r="G90" s="51"/>
      <c r="H90" s="51"/>
      <c r="I90" s="51"/>
      <c r="J90" s="51"/>
      <c r="K90" s="51"/>
      <c r="L90" s="51"/>
      <c r="M90" s="51"/>
    </row>
    <row r="91" spans="1:13" x14ac:dyDescent="0.2">
      <c r="A91" s="51"/>
      <c r="B91" s="51"/>
      <c r="C91" s="51"/>
      <c r="D91" s="51"/>
      <c r="E91" s="51"/>
      <c r="F91" s="51"/>
      <c r="G91" s="51"/>
      <c r="H91" s="51"/>
      <c r="I91" s="51"/>
      <c r="J91" s="51"/>
      <c r="K91" s="51"/>
      <c r="L91" s="51"/>
      <c r="M91" s="51"/>
    </row>
    <row r="92" spans="1:13" x14ac:dyDescent="0.2">
      <c r="A92" s="51"/>
      <c r="B92" s="51"/>
      <c r="C92" s="51"/>
      <c r="D92" s="51"/>
      <c r="E92" s="51"/>
      <c r="F92" s="51"/>
      <c r="G92" s="51"/>
      <c r="H92" s="51"/>
      <c r="I92" s="51"/>
      <c r="J92" s="51"/>
      <c r="K92" s="51"/>
      <c r="L92" s="51"/>
      <c r="M92" s="51"/>
    </row>
    <row r="93" spans="1:13" x14ac:dyDescent="0.2">
      <c r="A93" s="51"/>
      <c r="B93" s="51"/>
      <c r="C93" s="51"/>
      <c r="D93" s="51"/>
      <c r="E93" s="51"/>
      <c r="F93" s="51"/>
      <c r="G93" s="51"/>
      <c r="H93" s="51"/>
      <c r="I93" s="51"/>
      <c r="J93" s="51"/>
      <c r="K93" s="51"/>
      <c r="L93" s="51"/>
      <c r="M93" s="51"/>
    </row>
    <row r="94" spans="1:13" x14ac:dyDescent="0.2">
      <c r="A94" s="51"/>
      <c r="B94" s="51"/>
      <c r="C94" s="51"/>
      <c r="D94" s="51"/>
      <c r="E94" s="51"/>
      <c r="F94" s="51"/>
      <c r="G94" s="51"/>
      <c r="H94" s="51"/>
      <c r="I94" s="51"/>
      <c r="J94" s="51"/>
      <c r="K94" s="51"/>
      <c r="L94" s="51"/>
      <c r="M94" s="51"/>
    </row>
    <row r="95" spans="1:13" x14ac:dyDescent="0.2">
      <c r="A95" s="51"/>
      <c r="B95" s="51"/>
      <c r="C95" s="51"/>
      <c r="D95" s="51"/>
      <c r="E95" s="51"/>
      <c r="F95" s="51"/>
      <c r="G95" s="51"/>
      <c r="H95" s="51"/>
      <c r="I95" s="51"/>
      <c r="J95" s="51"/>
      <c r="K95" s="51"/>
      <c r="L95" s="51"/>
      <c r="M95" s="51"/>
    </row>
    <row r="96" spans="1:13" x14ac:dyDescent="0.2">
      <c r="A96" s="51"/>
      <c r="B96" s="51"/>
      <c r="C96" s="51"/>
      <c r="D96" s="51"/>
      <c r="E96" s="51"/>
      <c r="F96" s="51"/>
      <c r="G96" s="51"/>
      <c r="H96" s="51"/>
      <c r="I96" s="51"/>
      <c r="J96" s="51"/>
      <c r="K96" s="51"/>
      <c r="L96" s="51"/>
      <c r="M96" s="51"/>
    </row>
    <row r="97" spans="1:13" x14ac:dyDescent="0.2">
      <c r="A97" s="51"/>
      <c r="B97" s="51"/>
      <c r="C97" s="51"/>
      <c r="D97" s="51"/>
      <c r="E97" s="51"/>
      <c r="F97" s="51"/>
      <c r="G97" s="51"/>
      <c r="H97" s="51"/>
      <c r="I97" s="51"/>
      <c r="J97" s="51"/>
      <c r="K97" s="51"/>
      <c r="L97" s="51"/>
      <c r="M97" s="51"/>
    </row>
    <row r="98" spans="1:13" x14ac:dyDescent="0.2">
      <c r="A98" s="51"/>
      <c r="B98" s="51"/>
      <c r="C98" s="51"/>
      <c r="D98" s="51"/>
      <c r="E98" s="51"/>
      <c r="F98" s="51"/>
      <c r="G98" s="51"/>
      <c r="H98" s="51"/>
      <c r="I98" s="51"/>
      <c r="J98" s="51"/>
      <c r="K98" s="51"/>
      <c r="L98" s="51"/>
      <c r="M98" s="51"/>
    </row>
    <row r="99" spans="1:13" x14ac:dyDescent="0.2">
      <c r="A99" s="51"/>
      <c r="B99" s="51"/>
      <c r="C99" s="51"/>
      <c r="D99" s="51"/>
      <c r="E99" s="51"/>
      <c r="F99" s="51"/>
      <c r="G99" s="51"/>
      <c r="H99" s="51"/>
      <c r="I99" s="51"/>
      <c r="J99" s="51"/>
      <c r="K99" s="51"/>
      <c r="L99" s="51"/>
      <c r="M99" s="51"/>
    </row>
    <row r="100" spans="1:13" x14ac:dyDescent="0.2">
      <c r="A100" s="51"/>
      <c r="B100" s="51"/>
      <c r="C100" s="51"/>
      <c r="D100" s="51"/>
      <c r="E100" s="51"/>
      <c r="F100" s="51"/>
      <c r="G100" s="51"/>
      <c r="H100" s="51"/>
      <c r="I100" s="51"/>
      <c r="J100" s="51"/>
      <c r="K100" s="51"/>
      <c r="L100" s="51"/>
      <c r="M100" s="51"/>
    </row>
    <row r="101" spans="1:13" x14ac:dyDescent="0.2">
      <c r="A101" s="51"/>
      <c r="B101" s="51"/>
      <c r="C101" s="51"/>
      <c r="D101" s="51"/>
      <c r="E101" s="51"/>
      <c r="F101" s="51"/>
      <c r="G101" s="51"/>
      <c r="H101" s="51"/>
      <c r="I101" s="51"/>
      <c r="J101" s="51"/>
      <c r="K101" s="51"/>
      <c r="L101" s="51"/>
      <c r="M101" s="51"/>
    </row>
    <row r="102" spans="1:13" x14ac:dyDescent="0.2">
      <c r="A102" s="51"/>
      <c r="B102" s="51"/>
      <c r="C102" s="51"/>
      <c r="D102" s="51"/>
      <c r="E102" s="51"/>
      <c r="F102" s="51"/>
      <c r="G102" s="51"/>
      <c r="H102" s="51"/>
      <c r="I102" s="51"/>
      <c r="J102" s="51"/>
      <c r="K102" s="51"/>
      <c r="L102" s="51"/>
      <c r="M102" s="51"/>
    </row>
    <row r="103" spans="1:13" x14ac:dyDescent="0.2">
      <c r="A103" s="51"/>
      <c r="B103" s="51"/>
      <c r="C103" s="51"/>
      <c r="D103" s="51"/>
      <c r="E103" s="51"/>
      <c r="F103" s="51"/>
      <c r="G103" s="51"/>
      <c r="H103" s="51"/>
      <c r="I103" s="51"/>
      <c r="J103" s="51"/>
      <c r="K103" s="51"/>
      <c r="L103" s="51"/>
      <c r="M103" s="51"/>
    </row>
    <row r="104" spans="1:13" x14ac:dyDescent="0.2">
      <c r="A104" s="51"/>
      <c r="B104" s="51"/>
      <c r="C104" s="51"/>
      <c r="D104" s="51"/>
      <c r="E104" s="51"/>
      <c r="F104" s="51"/>
      <c r="G104" s="51"/>
      <c r="H104" s="51"/>
      <c r="I104" s="51"/>
      <c r="J104" s="51"/>
      <c r="K104" s="51"/>
      <c r="L104" s="51"/>
      <c r="M104" s="51"/>
    </row>
    <row r="105" spans="1:13" x14ac:dyDescent="0.2">
      <c r="A105" s="51"/>
      <c r="B105" s="51"/>
      <c r="C105" s="51"/>
      <c r="D105" s="51"/>
      <c r="E105" s="51"/>
      <c r="F105" s="51"/>
      <c r="G105" s="51"/>
      <c r="H105" s="51"/>
      <c r="I105" s="51"/>
      <c r="J105" s="51"/>
      <c r="K105" s="51"/>
      <c r="L105" s="51"/>
      <c r="M105" s="51"/>
    </row>
    <row r="106" spans="1:13" x14ac:dyDescent="0.2">
      <c r="A106" s="51"/>
      <c r="B106" s="51"/>
      <c r="C106" s="51"/>
      <c r="D106" s="51"/>
      <c r="E106" s="51"/>
      <c r="F106" s="51"/>
      <c r="G106" s="51"/>
      <c r="H106" s="51"/>
      <c r="I106" s="51"/>
      <c r="J106" s="51"/>
      <c r="K106" s="51"/>
      <c r="L106" s="51"/>
      <c r="M106" s="51"/>
    </row>
    <row r="107" spans="1:13" x14ac:dyDescent="0.2">
      <c r="A107" s="51"/>
      <c r="B107" s="51"/>
      <c r="C107" s="51"/>
      <c r="D107" s="51"/>
      <c r="E107" s="51"/>
      <c r="F107" s="51"/>
      <c r="G107" s="51"/>
      <c r="H107" s="51"/>
      <c r="I107" s="51"/>
      <c r="J107" s="51"/>
      <c r="K107" s="51"/>
      <c r="L107" s="51"/>
      <c r="M107" s="51"/>
    </row>
    <row r="108" spans="1:13" x14ac:dyDescent="0.2">
      <c r="A108" s="51"/>
      <c r="B108" s="51"/>
      <c r="C108" s="51"/>
      <c r="D108" s="51"/>
      <c r="E108" s="51"/>
      <c r="F108" s="51"/>
      <c r="G108" s="51"/>
      <c r="H108" s="51"/>
      <c r="I108" s="51"/>
      <c r="J108" s="51"/>
      <c r="K108" s="51"/>
      <c r="L108" s="51"/>
      <c r="M108" s="51"/>
    </row>
    <row r="109" spans="1:13" x14ac:dyDescent="0.2">
      <c r="A109" s="51"/>
      <c r="B109" s="51"/>
      <c r="C109" s="51"/>
      <c r="D109" s="51"/>
      <c r="E109" s="51"/>
      <c r="F109" s="51"/>
      <c r="G109" s="51"/>
      <c r="H109" s="51"/>
      <c r="I109" s="51"/>
      <c r="J109" s="51"/>
      <c r="K109" s="51"/>
      <c r="L109" s="51"/>
      <c r="M109" s="51"/>
    </row>
    <row r="110" spans="1:13" x14ac:dyDescent="0.2">
      <c r="A110" s="51"/>
      <c r="B110" s="51"/>
      <c r="C110" s="51"/>
      <c r="D110" s="51"/>
      <c r="E110" s="51"/>
      <c r="F110" s="51"/>
      <c r="G110" s="51"/>
      <c r="H110" s="51"/>
      <c r="I110" s="51"/>
      <c r="J110" s="51"/>
      <c r="K110" s="51"/>
      <c r="L110" s="51"/>
      <c r="M110" s="51"/>
    </row>
    <row r="111" spans="1:13" x14ac:dyDescent="0.2">
      <c r="A111" s="51"/>
      <c r="B111" s="51"/>
      <c r="C111" s="51"/>
      <c r="D111" s="51"/>
      <c r="E111" s="51"/>
      <c r="F111" s="51"/>
      <c r="G111" s="51"/>
      <c r="H111" s="51"/>
      <c r="I111" s="51"/>
      <c r="J111" s="51"/>
      <c r="K111" s="51"/>
      <c r="L111" s="51"/>
      <c r="M111" s="51"/>
    </row>
    <row r="112" spans="1:13" x14ac:dyDescent="0.2">
      <c r="A112" s="51"/>
      <c r="B112" s="51"/>
      <c r="C112" s="51"/>
      <c r="D112" s="51"/>
      <c r="E112" s="51"/>
      <c r="F112" s="51"/>
      <c r="G112" s="51"/>
      <c r="H112" s="51"/>
      <c r="I112" s="51"/>
      <c r="J112" s="51"/>
      <c r="K112" s="51"/>
      <c r="L112" s="51"/>
      <c r="M112" s="51"/>
    </row>
    <row r="113" spans="1:13" x14ac:dyDescent="0.2">
      <c r="A113" s="51"/>
      <c r="B113" s="51"/>
      <c r="C113" s="51"/>
      <c r="D113" s="51"/>
      <c r="E113" s="51"/>
      <c r="F113" s="51"/>
      <c r="G113" s="51"/>
      <c r="H113" s="51"/>
      <c r="I113" s="51"/>
      <c r="J113" s="51"/>
      <c r="K113" s="51"/>
      <c r="L113" s="51"/>
      <c r="M113" s="51"/>
    </row>
    <row r="114" spans="1:13" x14ac:dyDescent="0.2">
      <c r="A114" s="51"/>
      <c r="B114" s="51"/>
      <c r="C114" s="51"/>
      <c r="D114" s="51"/>
      <c r="E114" s="51"/>
      <c r="F114" s="51"/>
      <c r="G114" s="51"/>
      <c r="H114" s="51"/>
      <c r="I114" s="51"/>
      <c r="J114" s="51"/>
      <c r="K114" s="51"/>
      <c r="L114" s="51"/>
      <c r="M114" s="51"/>
    </row>
    <row r="115" spans="1:13" x14ac:dyDescent="0.2">
      <c r="A115" s="51"/>
      <c r="B115" s="51"/>
      <c r="C115" s="51"/>
      <c r="D115" s="51"/>
      <c r="E115" s="51"/>
      <c r="F115" s="51"/>
      <c r="G115" s="51"/>
      <c r="H115" s="51"/>
      <c r="I115" s="51"/>
      <c r="J115" s="51"/>
      <c r="K115" s="51"/>
      <c r="L115" s="51"/>
      <c r="M115" s="51"/>
    </row>
    <row r="116" spans="1:13" x14ac:dyDescent="0.2">
      <c r="A116" s="51"/>
      <c r="B116" s="51"/>
      <c r="C116" s="51"/>
      <c r="D116" s="51"/>
      <c r="E116" s="51"/>
      <c r="F116" s="51"/>
      <c r="G116" s="51"/>
      <c r="H116" s="51"/>
      <c r="I116" s="51"/>
      <c r="J116" s="51"/>
      <c r="K116" s="51"/>
      <c r="L116" s="51"/>
      <c r="M116" s="51"/>
    </row>
    <row r="117" spans="1:13" x14ac:dyDescent="0.2">
      <c r="A117" s="51"/>
      <c r="B117" s="51"/>
      <c r="C117" s="51"/>
      <c r="D117" s="51"/>
      <c r="E117" s="51"/>
      <c r="F117" s="51"/>
      <c r="G117" s="51"/>
      <c r="H117" s="51"/>
      <c r="I117" s="51"/>
      <c r="J117" s="51"/>
      <c r="K117" s="51"/>
      <c r="L117" s="51"/>
      <c r="M117" s="51"/>
    </row>
    <row r="118" spans="1:13" x14ac:dyDescent="0.2">
      <c r="A118" s="51"/>
      <c r="B118" s="51"/>
      <c r="C118" s="51"/>
      <c r="D118" s="51"/>
      <c r="E118" s="51"/>
      <c r="F118" s="51"/>
      <c r="G118" s="51"/>
      <c r="H118" s="51"/>
      <c r="I118" s="51"/>
      <c r="J118" s="51"/>
      <c r="K118" s="51"/>
      <c r="L118" s="51"/>
      <c r="M118" s="51"/>
    </row>
  </sheetData>
  <phoneticPr fontId="0" type="noConversion"/>
  <pageMargins left="0.5" right="0.5" top="0.75" bottom="0.75" header="0.5" footer="0.5"/>
  <pageSetup scale="7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8"/>
  <sheetViews>
    <sheetView showGridLines="0" zoomScaleNormal="100" workbookViewId="0"/>
  </sheetViews>
  <sheetFormatPr defaultRowHeight="12.75" x14ac:dyDescent="0.2"/>
  <cols>
    <col min="2" max="2" width="2.5703125" customWidth="1"/>
    <col min="3" max="12" width="11.7109375" customWidth="1"/>
    <col min="13" max="13" width="2.7109375" customWidth="1"/>
    <col min="14" max="14" width="11.7109375" customWidth="1"/>
    <col min="15" max="15" width="14.7109375" bestFit="1" customWidth="1"/>
  </cols>
  <sheetData>
    <row r="1" spans="1:16" x14ac:dyDescent="0.2">
      <c r="A1" s="46" t="str">
        <f>"Single-Family Tonnages by Commodity ("&amp;TEXT(A6,"mmmm yyyy")&amp;" through "&amp;TEXT(A17,"mmmm yyyy")&amp;")"</f>
        <v>Single-Family Tonnages by Commodity (May 2023 through April 2024)</v>
      </c>
    </row>
    <row r="2" spans="1:16" x14ac:dyDescent="0.2">
      <c r="A2" s="46" t="str">
        <f>'WUTC_AW of Kent (SeaTac)_SF'!A1</f>
        <v>Rabanco Ltd (dba Allied Waste of Seatac)</v>
      </c>
      <c r="B2" s="46"/>
    </row>
    <row r="3" spans="1:16" x14ac:dyDescent="0.2">
      <c r="A3" s="46"/>
      <c r="B3" s="46"/>
    </row>
    <row r="4" spans="1:16" x14ac:dyDescent="0.2">
      <c r="A4" s="46"/>
      <c r="B4" s="46"/>
    </row>
    <row r="5" spans="1:16" x14ac:dyDescent="0.2">
      <c r="B5" s="47"/>
      <c r="C5" s="48" t="s">
        <v>21</v>
      </c>
      <c r="D5" s="48" t="s">
        <v>22</v>
      </c>
      <c r="E5" s="48" t="s">
        <v>88</v>
      </c>
      <c r="F5" s="48" t="s">
        <v>50</v>
      </c>
      <c r="G5" s="48" t="s">
        <v>89</v>
      </c>
      <c r="H5" s="48" t="s">
        <v>24</v>
      </c>
      <c r="I5" s="48" t="s">
        <v>25</v>
      </c>
      <c r="J5" s="48" t="s">
        <v>26</v>
      </c>
      <c r="K5" s="48" t="s">
        <v>27</v>
      </c>
      <c r="L5" s="48" t="s">
        <v>28</v>
      </c>
      <c r="M5" s="48"/>
      <c r="N5" s="48" t="s">
        <v>29</v>
      </c>
    </row>
    <row r="6" spans="1:16" ht="15.75" customHeight="1" x14ac:dyDescent="0.2">
      <c r="A6" s="50">
        <f>'Single Family'!$C$6</f>
        <v>45047</v>
      </c>
      <c r="B6" s="51" t="s">
        <v>63</v>
      </c>
      <c r="C6" s="85">
        <f>'Single Family'!C32</f>
        <v>1.7907252167384184</v>
      </c>
      <c r="D6" s="85">
        <f>'Single Family'!C34</f>
        <v>17.049419728228056</v>
      </c>
      <c r="E6" s="85">
        <f>'Single Family'!C35</f>
        <v>0</v>
      </c>
      <c r="F6" s="85">
        <f>'Single Family'!C30</f>
        <v>1.6191587289071929</v>
      </c>
      <c r="G6" s="85">
        <f>'Single Family'!C33</f>
        <v>0.10722905489451609</v>
      </c>
      <c r="H6" s="85">
        <f>'Single Family'!C37</f>
        <v>35.589323319489885</v>
      </c>
      <c r="I6" s="85">
        <f>'Single Family'!C31/2</f>
        <v>2.5091598845316763</v>
      </c>
      <c r="J6" s="85">
        <f>'Single Family'!C31/2</f>
        <v>2.5091598845316763</v>
      </c>
      <c r="K6" s="85">
        <f>'Single Family'!C28</f>
        <v>27.890277178063634</v>
      </c>
      <c r="L6" s="85">
        <f>'Single Family'!C36</f>
        <v>18.164601899131025</v>
      </c>
      <c r="M6" s="49"/>
      <c r="N6" s="97">
        <f t="shared" ref="N6:N17" si="0">SUM(C6:L6)</f>
        <v>107.2290548945161</v>
      </c>
      <c r="O6" s="59"/>
      <c r="P6" s="53"/>
    </row>
    <row r="7" spans="1:16" ht="15.75" customHeight="1" x14ac:dyDescent="0.2">
      <c r="A7" s="50">
        <f t="shared" ref="A7:A17" si="1">EOMONTH(A6,1)</f>
        <v>45107</v>
      </c>
      <c r="B7" s="51" t="s">
        <v>64</v>
      </c>
      <c r="C7" s="85">
        <f>'Single Family'!D32</f>
        <v>1.8676247462090796</v>
      </c>
      <c r="D7" s="85">
        <f>'Single Family'!D34</f>
        <v>17.781576924984652</v>
      </c>
      <c r="E7" s="85">
        <f>'Single Family'!D35</f>
        <v>0</v>
      </c>
      <c r="F7" s="85">
        <f>'Single Family'!D30</f>
        <v>1.6886906387878506</v>
      </c>
      <c r="G7" s="85">
        <f>'Single Family'!D33</f>
        <v>0.11183381713826825</v>
      </c>
      <c r="H7" s="85">
        <f>'Single Family'!D37</f>
        <v>37.117643908191226</v>
      </c>
      <c r="I7" s="85">
        <f>'Single Family'!D31/2</f>
        <v>2.6169113210354769</v>
      </c>
      <c r="J7" s="85">
        <f>'Single Family'!D31/2</f>
        <v>2.6169113210354769</v>
      </c>
      <c r="K7" s="85">
        <f>'Single Family'!D28</f>
        <v>29.087975837663571</v>
      </c>
      <c r="L7" s="85">
        <f>'Single Family'!D36</f>
        <v>18.944648623222641</v>
      </c>
      <c r="M7" s="49"/>
      <c r="N7" s="97">
        <f t="shared" si="0"/>
        <v>111.83381713826822</v>
      </c>
      <c r="P7" s="53"/>
    </row>
    <row r="8" spans="1:16" ht="15.75" customHeight="1" x14ac:dyDescent="0.2">
      <c r="A8" s="50">
        <f t="shared" si="1"/>
        <v>45138</v>
      </c>
      <c r="B8" s="51" t="s">
        <v>65</v>
      </c>
      <c r="C8" s="85">
        <f>'Single Family'!E32</f>
        <v>1.6832353922931402</v>
      </c>
      <c r="D8" s="85">
        <f>'Single Family'!E34</f>
        <v>16.026013615246068</v>
      </c>
      <c r="E8" s="85">
        <f>'Single Family'!E35</f>
        <v>0</v>
      </c>
      <c r="F8" s="85">
        <f>'Single Family'!E30</f>
        <v>1.521967330756073</v>
      </c>
      <c r="G8" s="85">
        <f>'Single Family'!E33</f>
        <v>0.10079253846066709</v>
      </c>
      <c r="H8" s="85">
        <f>'Single Family'!E37</f>
        <v>33.453043515095402</v>
      </c>
      <c r="I8" s="85">
        <f>'Single Family'!E31/2</f>
        <v>2.3585453999796098</v>
      </c>
      <c r="J8" s="85">
        <f>'Single Family'!E31/2</f>
        <v>2.3585453999796098</v>
      </c>
      <c r="K8" s="85">
        <f>'Single Family'!E28</f>
        <v>26.216139253619509</v>
      </c>
      <c r="L8" s="85">
        <f>'Single Family'!E36</f>
        <v>17.074256015237005</v>
      </c>
      <c r="M8" s="49"/>
      <c r="N8" s="97">
        <f t="shared" si="0"/>
        <v>100.79253846066709</v>
      </c>
      <c r="P8" s="53"/>
    </row>
    <row r="9" spans="1:16" ht="15.75" customHeight="1" x14ac:dyDescent="0.2">
      <c r="A9" s="50">
        <f t="shared" si="1"/>
        <v>45169</v>
      </c>
      <c r="B9" s="51" t="s">
        <v>66</v>
      </c>
      <c r="C9" s="85">
        <f>'Single Family'!F32</f>
        <v>2.3946056299473408</v>
      </c>
      <c r="D9" s="85">
        <f>'Single Family'!F34</f>
        <v>22.798939830037558</v>
      </c>
      <c r="E9" s="85">
        <f>'Single Family'!F35</f>
        <v>0</v>
      </c>
      <c r="F9" s="85">
        <f>'Single Family'!F30</f>
        <v>2.1651823360601705</v>
      </c>
      <c r="G9" s="85">
        <f>'Single Family'!F33</f>
        <v>0.1433895586794815</v>
      </c>
      <c r="H9" s="85">
        <f>'Single Family'!F37</f>
        <v>47.590994525719907</v>
      </c>
      <c r="I9" s="85">
        <f>'Single Family'!F31/2</f>
        <v>3.355315673099867</v>
      </c>
      <c r="J9" s="85">
        <f>'Single Family'!F31/2</f>
        <v>3.355315673099867</v>
      </c>
      <c r="K9" s="85">
        <f>'Single Family'!F28</f>
        <v>37.295624212533134</v>
      </c>
      <c r="L9" s="85">
        <f>'Single Family'!F36</f>
        <v>24.290191240304164</v>
      </c>
      <c r="M9" s="49"/>
      <c r="N9" s="97">
        <f t="shared" si="0"/>
        <v>143.38955867948147</v>
      </c>
      <c r="P9" s="53"/>
    </row>
    <row r="10" spans="1:16" ht="15.75" customHeight="1" x14ac:dyDescent="0.2">
      <c r="A10" s="50">
        <f t="shared" si="1"/>
        <v>45199</v>
      </c>
      <c r="B10" s="51" t="s">
        <v>67</v>
      </c>
      <c r="C10" s="85">
        <f>'Single Family'!G32</f>
        <v>1.8375681171952252</v>
      </c>
      <c r="D10" s="85">
        <f>'Single Family'!G34</f>
        <v>17.495409020002445</v>
      </c>
      <c r="E10" s="85">
        <f>'Single Family'!G35</f>
        <v>0</v>
      </c>
      <c r="F10" s="85">
        <f>'Single Family'!G30</f>
        <v>1.6615136868052636</v>
      </c>
      <c r="G10" s="85">
        <f>'Single Family'!G33</f>
        <v>0.11003401899372607</v>
      </c>
      <c r="H10" s="85">
        <f>'Single Family'!G37</f>
        <v>36.520290904017678</v>
      </c>
      <c r="I10" s="85">
        <f>'Single Family'!G31/2</f>
        <v>2.5747960444531901</v>
      </c>
      <c r="J10" s="85">
        <f>'Single Family'!G31/2</f>
        <v>2.5747960444531901</v>
      </c>
      <c r="K10" s="85">
        <f>'Single Family'!G28</f>
        <v>28.619848340268149</v>
      </c>
      <c r="L10" s="85">
        <f>'Single Family'!G36</f>
        <v>18.639762817537196</v>
      </c>
      <c r="M10" s="49"/>
      <c r="N10" s="97">
        <f t="shared" si="0"/>
        <v>110.03401899372605</v>
      </c>
      <c r="P10" s="53"/>
    </row>
    <row r="11" spans="1:16" ht="15.75" customHeight="1" x14ac:dyDescent="0.2">
      <c r="A11" s="50">
        <f t="shared" si="1"/>
        <v>45230</v>
      </c>
      <c r="B11" s="51" t="s">
        <v>68</v>
      </c>
      <c r="C11" s="85">
        <f>'Single Family'!H32</f>
        <v>1.9182188999593468</v>
      </c>
      <c r="D11" s="85">
        <f>'Single Family'!H34</f>
        <v>18.263281742127916</v>
      </c>
      <c r="E11" s="85">
        <f>'Single Family'!H35</f>
        <v>0</v>
      </c>
      <c r="F11" s="85">
        <f>'Single Family'!H30</f>
        <v>1.7344374484662359</v>
      </c>
      <c r="G11" s="85">
        <f>'Single Family'!H33</f>
        <v>0.11486340718319443</v>
      </c>
      <c r="H11" s="85">
        <f>'Single Family'!H37</f>
        <v>38.123164844102227</v>
      </c>
      <c r="I11" s="85">
        <f>'Single Family'!H31/2</f>
        <v>2.6878037280867497</v>
      </c>
      <c r="J11" s="85">
        <f>'Single Family'!H31/2</f>
        <v>2.6878037280867497</v>
      </c>
      <c r="K11" s="85">
        <f>'Single Family'!H28</f>
        <v>29.87597220834887</v>
      </c>
      <c r="L11" s="85">
        <f>'Single Family'!H36</f>
        <v>19.457861176833134</v>
      </c>
      <c r="M11" s="49"/>
      <c r="N11" s="97">
        <f t="shared" si="0"/>
        <v>114.86340718319443</v>
      </c>
      <c r="P11" s="53"/>
    </row>
    <row r="12" spans="1:16" ht="15.75" customHeight="1" x14ac:dyDescent="0.2">
      <c r="A12" s="50">
        <f t="shared" si="1"/>
        <v>45260</v>
      </c>
      <c r="B12" s="51" t="s">
        <v>69</v>
      </c>
      <c r="C12" s="85">
        <f>'Single Family'!I32</f>
        <v>2.1287988716096615</v>
      </c>
      <c r="D12" s="85">
        <f>'Single Family'!I34</f>
        <v>20.268204825505158</v>
      </c>
      <c r="E12" s="85">
        <f>'Single Family'!I35</f>
        <v>0</v>
      </c>
      <c r="F12" s="85">
        <f>'Single Family'!I30</f>
        <v>1.9248420934913706</v>
      </c>
      <c r="G12" s="85">
        <f>'Single Family'!I33</f>
        <v>0.12747298632393184</v>
      </c>
      <c r="H12" s="85">
        <f>'Single Family'!I37</f>
        <v>42.308284160912969</v>
      </c>
      <c r="I12" s="85">
        <f>'Single Family'!I31/2</f>
        <v>2.9828678799800046</v>
      </c>
      <c r="J12" s="85">
        <f>'Single Family'!I31/2</f>
        <v>2.9828678799800046</v>
      </c>
      <c r="K12" s="85">
        <f>'Single Family'!I28</f>
        <v>33.155723742854669</v>
      </c>
      <c r="L12" s="85">
        <f>'Single Family'!I36</f>
        <v>21.593923883274051</v>
      </c>
      <c r="M12" s="49"/>
      <c r="N12" s="97">
        <f t="shared" si="0"/>
        <v>127.47298632393182</v>
      </c>
      <c r="P12" s="53"/>
    </row>
    <row r="13" spans="1:16" ht="15.75" customHeight="1" x14ac:dyDescent="0.2">
      <c r="A13" s="50">
        <f t="shared" si="1"/>
        <v>45291</v>
      </c>
      <c r="B13" s="51" t="s">
        <v>70</v>
      </c>
      <c r="C13" s="85">
        <f>'Single Family'!J32</f>
        <v>2.2443175613781681</v>
      </c>
      <c r="D13" s="85">
        <f>'Single Family'!J34</f>
        <v>21.368053428690342</v>
      </c>
      <c r="E13" s="85">
        <f>'Single Family'!J35</f>
        <v>0</v>
      </c>
      <c r="F13" s="85">
        <f>'Single Family'!J30</f>
        <v>2.0292931243599006</v>
      </c>
      <c r="G13" s="85">
        <f>'Single Family'!J33</f>
        <v>0.13439027313641724</v>
      </c>
      <c r="H13" s="85">
        <f>'Single Family'!J37</f>
        <v>44.604131653976879</v>
      </c>
      <c r="I13" s="85">
        <f>'Single Family'!J31/2</f>
        <v>3.1447323913921639</v>
      </c>
      <c r="J13" s="85">
        <f>'Single Family'!J31/2</f>
        <v>3.1447323913921639</v>
      </c>
      <c r="K13" s="85">
        <f>'Single Family'!J28</f>
        <v>34.954910042782124</v>
      </c>
      <c r="L13" s="85">
        <f>'Single Family'!J36</f>
        <v>22.765712269309081</v>
      </c>
      <c r="M13" s="49"/>
      <c r="N13" s="97">
        <f t="shared" si="0"/>
        <v>134.39027313641725</v>
      </c>
      <c r="P13" s="53"/>
    </row>
    <row r="14" spans="1:16" ht="15.75" customHeight="1" x14ac:dyDescent="0.2">
      <c r="A14" s="50">
        <f t="shared" si="1"/>
        <v>45322</v>
      </c>
      <c r="B14" s="51" t="s">
        <v>71</v>
      </c>
      <c r="C14" s="85">
        <f>'Single Family'!K32</f>
        <v>3.3340206131167793</v>
      </c>
      <c r="D14" s="85">
        <f>'Single Family'!K34</f>
        <v>20.465757302055309</v>
      </c>
      <c r="E14" s="85">
        <f>'Single Family'!K35</f>
        <v>0</v>
      </c>
      <c r="F14" s="85">
        <f>'Single Family'!K30</f>
        <v>2.7698017401277859</v>
      </c>
      <c r="G14" s="85">
        <f>'Single Family'!K33</f>
        <v>0.17097541605727073</v>
      </c>
      <c r="H14" s="85">
        <f>'Single Family'!K37</f>
        <v>53.087866685782565</v>
      </c>
      <c r="I14" s="85">
        <f>'Single Family'!K31/2</f>
        <v>4.3256780262489505</v>
      </c>
      <c r="J14" s="85">
        <f>'Single Family'!K31/2</f>
        <v>4.3256780262489505</v>
      </c>
      <c r="K14" s="85">
        <f>'Single Family'!K28</f>
        <v>44.983631964667929</v>
      </c>
      <c r="L14" s="85">
        <f>'Single Family'!K36</f>
        <v>37.514788944293073</v>
      </c>
      <c r="M14" s="49"/>
      <c r="N14" s="97">
        <f t="shared" si="0"/>
        <v>170.97819871859861</v>
      </c>
      <c r="P14" s="53"/>
    </row>
    <row r="15" spans="1:16" ht="15.75" customHeight="1" x14ac:dyDescent="0.2">
      <c r="A15" s="50">
        <f t="shared" si="1"/>
        <v>45351</v>
      </c>
      <c r="B15" s="51" t="s">
        <v>72</v>
      </c>
      <c r="C15" s="85">
        <f>'Single Family'!L32</f>
        <v>2.7154359547864093</v>
      </c>
      <c r="D15" s="85">
        <f>'Single Family'!L34</f>
        <v>16.668599168611959</v>
      </c>
      <c r="E15" s="85">
        <f>'Single Family'!L35</f>
        <v>0</v>
      </c>
      <c r="F15" s="85">
        <f>'Single Family'!L30</f>
        <v>2.255900639361017</v>
      </c>
      <c r="G15" s="85">
        <f>'Single Family'!L33</f>
        <v>0.13925312588648253</v>
      </c>
      <c r="H15" s="85">
        <f>'Single Family'!L37</f>
        <v>43.238095587752824</v>
      </c>
      <c r="I15" s="85">
        <f>'Single Family'!L31/2</f>
        <v>3.5231040849280086</v>
      </c>
      <c r="J15" s="85">
        <f>'Single Family'!L31/2</f>
        <v>3.5231040849280086</v>
      </c>
      <c r="K15" s="85">
        <f>'Single Family'!L28</f>
        <v>36.637497420733553</v>
      </c>
      <c r="L15" s="85">
        <f>'Single Family'!L36</f>
        <v>30.55440219379021</v>
      </c>
      <c r="M15" s="49"/>
      <c r="N15" s="97">
        <f t="shared" si="0"/>
        <v>139.25539226077848</v>
      </c>
      <c r="P15" s="53"/>
    </row>
    <row r="16" spans="1:16" ht="15.75" customHeight="1" x14ac:dyDescent="0.2">
      <c r="A16" s="50">
        <f t="shared" si="1"/>
        <v>45382</v>
      </c>
      <c r="B16" s="51" t="s">
        <v>73</v>
      </c>
      <c r="C16" s="85">
        <f>'Single Family'!M32</f>
        <v>2.3936911748783953</v>
      </c>
      <c r="D16" s="85">
        <f>'Single Family'!M34</f>
        <v>14.693581211945842</v>
      </c>
      <c r="E16" s="85">
        <f>'Single Family'!M35</f>
        <v>0</v>
      </c>
      <c r="F16" s="85">
        <f>'Single Family'!M30</f>
        <v>1.9886049760528208</v>
      </c>
      <c r="G16" s="85">
        <f>'Single Family'!M33</f>
        <v>0.12275339358350747</v>
      </c>
      <c r="H16" s="85">
        <f>'Single Family'!M37</f>
        <v>38.114928707679063</v>
      </c>
      <c r="I16" s="85">
        <f>'Single Family'!M31/2</f>
        <v>3.1056608576627389</v>
      </c>
      <c r="J16" s="85">
        <f>'Single Family'!M31/2</f>
        <v>3.1056608576627389</v>
      </c>
      <c r="K16" s="85">
        <f>'Single Family'!M28</f>
        <v>32.296417851820813</v>
      </c>
      <c r="L16" s="85">
        <f>'Single Family'!M36</f>
        <v>26.934092389858474</v>
      </c>
      <c r="M16" s="49"/>
      <c r="N16" s="97">
        <f t="shared" si="0"/>
        <v>122.7553914211444</v>
      </c>
      <c r="P16" s="53"/>
    </row>
    <row r="17" spans="1:16" ht="15.75" customHeight="1" x14ac:dyDescent="0.2">
      <c r="A17" s="50">
        <f t="shared" si="1"/>
        <v>45412</v>
      </c>
      <c r="B17" s="51" t="s">
        <v>74</v>
      </c>
      <c r="C17" s="85">
        <f>'Single Family'!N32</f>
        <v>2.1712291381845135</v>
      </c>
      <c r="D17" s="85">
        <f>'Single Family'!N34</f>
        <v>13.328006555932628</v>
      </c>
      <c r="E17" s="85">
        <f>'Single Family'!N35</f>
        <v>0</v>
      </c>
      <c r="F17" s="85">
        <f>'Single Family'!N30</f>
        <v>1.8037903609532879</v>
      </c>
      <c r="G17" s="85">
        <f>'Single Family'!N33</f>
        <v>0.11134508400946223</v>
      </c>
      <c r="H17" s="85">
        <f>'Single Family'!N37</f>
        <v>34.572648584938023</v>
      </c>
      <c r="I17" s="85">
        <f>'Single Family'!N31/2</f>
        <v>2.8170306254393949</v>
      </c>
      <c r="J17" s="85">
        <f>'Single Family'!N31/2</f>
        <v>2.8170306254393949</v>
      </c>
      <c r="K17" s="85">
        <f>'Single Family'!N28</f>
        <v>29.294891602889511</v>
      </c>
      <c r="L17" s="85">
        <f>'Single Family'!N36</f>
        <v>24.430923596643744</v>
      </c>
      <c r="M17" s="49"/>
      <c r="N17" s="97">
        <f t="shared" si="0"/>
        <v>111.34689617442996</v>
      </c>
      <c r="P17" s="53"/>
    </row>
    <row r="18" spans="1:16" ht="15.75" customHeight="1" x14ac:dyDescent="0.2">
      <c r="A18" s="54" t="s">
        <v>30</v>
      </c>
      <c r="B18" s="51"/>
      <c r="C18" s="98">
        <f t="shared" ref="C18:L18" si="2">SUM(C6:C17)</f>
        <v>26.479471316296479</v>
      </c>
      <c r="D18" s="98">
        <f t="shared" si="2"/>
        <v>216.20684335336793</v>
      </c>
      <c r="E18" s="98">
        <f t="shared" si="2"/>
        <v>0</v>
      </c>
      <c r="F18" s="98">
        <f t="shared" si="2"/>
        <v>23.163183104128969</v>
      </c>
      <c r="G18" s="98">
        <f t="shared" si="2"/>
        <v>1.4943326743469256</v>
      </c>
      <c r="H18" s="98">
        <f t="shared" si="2"/>
        <v>484.32041639765862</v>
      </c>
      <c r="I18" s="98">
        <f t="shared" si="2"/>
        <v>36.001605916837832</v>
      </c>
      <c r="J18" s="98">
        <f t="shared" si="2"/>
        <v>36.001605916837832</v>
      </c>
      <c r="K18" s="98">
        <f t="shared" si="2"/>
        <v>390.30890965624542</v>
      </c>
      <c r="L18" s="98">
        <f t="shared" si="2"/>
        <v>280.36516504943381</v>
      </c>
      <c r="M18" s="49"/>
      <c r="N18" s="99">
        <f>SUM(N6:N17)</f>
        <v>1494.3415333851538</v>
      </c>
      <c r="O18" s="52"/>
    </row>
    <row r="19" spans="1:16" x14ac:dyDescent="0.2">
      <c r="A19" s="50"/>
      <c r="B19" s="51"/>
      <c r="C19" s="51"/>
      <c r="D19" s="51"/>
      <c r="E19" s="51"/>
      <c r="F19" s="51"/>
      <c r="G19" s="51"/>
      <c r="H19" s="51"/>
      <c r="I19" s="51"/>
      <c r="J19" s="51"/>
      <c r="K19" s="51"/>
      <c r="L19" s="51"/>
      <c r="M19" s="49"/>
      <c r="N19" s="52"/>
    </row>
    <row r="20" spans="1:16" x14ac:dyDescent="0.2">
      <c r="A20" s="46"/>
      <c r="B20" s="51"/>
      <c r="C20" s="51"/>
      <c r="D20" s="51"/>
      <c r="E20" s="51"/>
      <c r="F20" s="51"/>
      <c r="G20" s="51"/>
      <c r="H20" s="51"/>
      <c r="I20" s="51"/>
      <c r="J20" s="51"/>
      <c r="K20" s="51"/>
      <c r="L20" s="51"/>
      <c r="M20" s="49"/>
      <c r="N20" s="52"/>
    </row>
    <row r="21" spans="1:16" x14ac:dyDescent="0.2">
      <c r="A21" s="50"/>
      <c r="B21" s="51"/>
      <c r="C21" s="51"/>
      <c r="D21" s="51"/>
      <c r="E21" s="51"/>
      <c r="F21" s="51"/>
      <c r="G21" s="51"/>
      <c r="H21" s="51"/>
      <c r="I21" s="51"/>
      <c r="J21" s="51"/>
      <c r="K21" s="51"/>
      <c r="L21" s="51"/>
      <c r="M21" s="49"/>
      <c r="N21" s="52"/>
    </row>
    <row r="22" spans="1:16" x14ac:dyDescent="0.2">
      <c r="A22" s="50"/>
      <c r="B22" s="51"/>
      <c r="C22" s="51"/>
      <c r="D22" s="51"/>
      <c r="E22" s="51"/>
      <c r="F22" s="51"/>
      <c r="G22" s="51"/>
      <c r="H22" s="51"/>
      <c r="I22" s="51"/>
      <c r="J22" s="51"/>
      <c r="K22" s="51"/>
      <c r="L22" s="51"/>
      <c r="M22" s="49"/>
      <c r="N22" s="52"/>
    </row>
    <row r="23" spans="1:16" x14ac:dyDescent="0.2">
      <c r="A23" s="51"/>
      <c r="B23" s="51"/>
      <c r="C23" s="51"/>
      <c r="D23" s="51"/>
      <c r="E23" s="51"/>
      <c r="F23" s="51"/>
      <c r="G23" s="51"/>
      <c r="H23" s="51"/>
      <c r="I23" s="51"/>
      <c r="J23" s="51"/>
      <c r="K23" s="51"/>
      <c r="L23" s="51"/>
      <c r="M23" s="49"/>
      <c r="N23" s="52"/>
    </row>
    <row r="24" spans="1:16" x14ac:dyDescent="0.2">
      <c r="A24" s="51"/>
      <c r="B24" s="51"/>
      <c r="C24" s="51"/>
      <c r="D24" s="51"/>
      <c r="E24" s="51"/>
      <c r="F24" s="51"/>
      <c r="G24" s="51"/>
      <c r="H24" s="51"/>
      <c r="I24" s="51"/>
      <c r="J24" s="51"/>
      <c r="K24" s="51"/>
      <c r="L24" s="51"/>
      <c r="M24" s="49"/>
      <c r="N24" s="52"/>
    </row>
    <row r="25" spans="1:16" x14ac:dyDescent="0.2">
      <c r="A25" s="51"/>
      <c r="B25" s="51"/>
      <c r="C25" s="51"/>
      <c r="E25" s="51"/>
      <c r="F25" s="51"/>
      <c r="G25" s="51"/>
      <c r="H25" s="51"/>
      <c r="I25" s="51"/>
      <c r="J25" s="51"/>
      <c r="K25" s="51"/>
      <c r="L25" s="51"/>
      <c r="M25" s="49"/>
      <c r="N25" s="52"/>
    </row>
    <row r="26" spans="1:16" x14ac:dyDescent="0.2">
      <c r="A26" s="51"/>
      <c r="B26" s="51"/>
      <c r="C26" s="51"/>
      <c r="D26" s="51"/>
      <c r="E26" s="51"/>
      <c r="F26" s="51"/>
      <c r="G26" s="51"/>
      <c r="H26" s="51"/>
      <c r="I26" s="51"/>
      <c r="J26" s="51"/>
      <c r="K26" s="51"/>
      <c r="L26" s="51"/>
      <c r="M26" s="49"/>
      <c r="N26" s="52"/>
    </row>
    <row r="27" spans="1:16" x14ac:dyDescent="0.2">
      <c r="A27" s="51"/>
      <c r="B27" s="51"/>
      <c r="C27" s="51"/>
      <c r="D27" s="51"/>
      <c r="E27" s="51"/>
      <c r="F27" s="51"/>
      <c r="G27" s="51"/>
      <c r="H27" s="51"/>
      <c r="I27" s="51"/>
      <c r="J27" s="51"/>
      <c r="K27" s="51"/>
      <c r="L27" s="51"/>
      <c r="M27" s="49"/>
      <c r="N27" s="52"/>
    </row>
    <row r="28" spans="1:16" x14ac:dyDescent="0.2">
      <c r="A28" s="51"/>
      <c r="B28" s="51"/>
      <c r="C28" s="51"/>
      <c r="D28" s="51"/>
      <c r="E28" s="51"/>
      <c r="F28" s="51"/>
      <c r="G28" s="51"/>
      <c r="H28" s="51"/>
      <c r="I28" s="51"/>
      <c r="J28" s="51"/>
      <c r="K28" s="51"/>
      <c r="L28" s="51"/>
      <c r="M28" s="49"/>
      <c r="N28" s="51"/>
    </row>
    <row r="29" spans="1:16" x14ac:dyDescent="0.2">
      <c r="A29" s="51"/>
      <c r="B29" s="51"/>
      <c r="C29" s="51"/>
      <c r="D29" s="51"/>
      <c r="E29" s="51"/>
      <c r="F29" s="51"/>
      <c r="G29" s="51"/>
      <c r="H29" s="51"/>
      <c r="I29" s="51"/>
      <c r="J29" s="51"/>
      <c r="K29" s="51"/>
      <c r="L29" s="51"/>
      <c r="M29" s="49"/>
      <c r="N29" s="51"/>
    </row>
    <row r="30" spans="1:16" x14ac:dyDescent="0.2">
      <c r="A30" s="51"/>
      <c r="B30" s="51"/>
      <c r="C30" s="51"/>
      <c r="D30" s="51"/>
      <c r="E30" s="51"/>
      <c r="F30" s="51"/>
      <c r="G30" s="51"/>
      <c r="H30" s="51"/>
      <c r="I30" s="51"/>
      <c r="J30" s="51"/>
      <c r="K30" s="51"/>
      <c r="L30" s="51"/>
      <c r="M30" s="49"/>
      <c r="N30" s="51"/>
    </row>
    <row r="31" spans="1:16" x14ac:dyDescent="0.2">
      <c r="A31" s="51"/>
      <c r="B31" s="51"/>
      <c r="C31" s="51"/>
      <c r="D31" s="51"/>
      <c r="E31" s="51"/>
      <c r="F31" s="51"/>
      <c r="G31" s="51"/>
      <c r="H31" s="51"/>
      <c r="I31" s="51"/>
      <c r="J31" s="51"/>
      <c r="K31" s="51"/>
      <c r="L31" s="51"/>
      <c r="M31" s="49"/>
      <c r="N31" s="51"/>
    </row>
    <row r="32" spans="1:16" x14ac:dyDescent="0.2">
      <c r="A32" s="51"/>
      <c r="B32" s="51"/>
      <c r="C32" s="51"/>
      <c r="D32" s="51"/>
      <c r="E32" s="51"/>
      <c r="F32" s="51"/>
      <c r="G32" s="51"/>
      <c r="H32" s="51"/>
      <c r="I32" s="51"/>
      <c r="J32" s="51"/>
      <c r="K32" s="51"/>
      <c r="L32" s="51"/>
      <c r="M32" s="49"/>
      <c r="N32" s="51"/>
    </row>
    <row r="33" spans="1:14" x14ac:dyDescent="0.2">
      <c r="A33" s="51"/>
      <c r="B33" s="51"/>
      <c r="C33" s="51"/>
      <c r="D33" s="51"/>
      <c r="E33" s="51"/>
      <c r="F33" s="51"/>
      <c r="G33" s="51"/>
      <c r="H33" s="51"/>
      <c r="I33" s="51"/>
      <c r="J33" s="51"/>
      <c r="K33" s="51"/>
      <c r="L33" s="51"/>
      <c r="M33" s="49"/>
      <c r="N33" s="51"/>
    </row>
    <row r="34" spans="1:14" x14ac:dyDescent="0.2">
      <c r="A34" s="51"/>
      <c r="B34" s="51"/>
      <c r="C34" s="51"/>
      <c r="D34" s="51"/>
      <c r="E34" s="51"/>
      <c r="F34" s="51"/>
      <c r="G34" s="51"/>
      <c r="H34" s="51"/>
      <c r="I34" s="51"/>
      <c r="J34" s="51"/>
      <c r="K34" s="51"/>
      <c r="L34" s="51"/>
      <c r="M34" s="49"/>
      <c r="N34" s="51"/>
    </row>
    <row r="35" spans="1:14" x14ac:dyDescent="0.2">
      <c r="A35" s="51"/>
      <c r="B35" s="51"/>
      <c r="C35" s="51"/>
      <c r="D35" s="51"/>
      <c r="E35" s="51"/>
      <c r="F35" s="51"/>
      <c r="G35" s="51"/>
      <c r="H35" s="51"/>
      <c r="I35" s="51"/>
      <c r="J35" s="51"/>
      <c r="K35" s="51"/>
      <c r="L35" s="51"/>
      <c r="M35" s="49"/>
      <c r="N35" s="51"/>
    </row>
    <row r="36" spans="1:14" x14ac:dyDescent="0.2">
      <c r="A36" s="51"/>
      <c r="B36" s="51"/>
      <c r="C36" s="51"/>
      <c r="D36" s="51"/>
      <c r="E36" s="51"/>
      <c r="F36" s="51"/>
      <c r="G36" s="51"/>
      <c r="H36" s="51"/>
      <c r="I36" s="51"/>
      <c r="J36" s="51"/>
      <c r="K36" s="51"/>
      <c r="L36" s="51"/>
      <c r="M36" s="49"/>
      <c r="N36" s="51"/>
    </row>
    <row r="37" spans="1:14" x14ac:dyDescent="0.2">
      <c r="A37" s="51"/>
      <c r="B37" s="51"/>
      <c r="C37" s="51"/>
      <c r="D37" s="51"/>
      <c r="E37" s="51"/>
      <c r="F37" s="51"/>
      <c r="G37" s="51"/>
      <c r="H37" s="51"/>
      <c r="I37" s="51"/>
      <c r="J37" s="51"/>
      <c r="K37" s="51"/>
      <c r="L37" s="51"/>
      <c r="M37" s="49"/>
      <c r="N37" s="51"/>
    </row>
    <row r="38" spans="1:14" x14ac:dyDescent="0.2">
      <c r="A38" s="51"/>
      <c r="B38" s="51"/>
      <c r="C38" s="51"/>
      <c r="D38" s="51"/>
      <c r="E38" s="51"/>
      <c r="F38" s="51"/>
      <c r="G38" s="51"/>
      <c r="H38" s="51"/>
      <c r="I38" s="51"/>
      <c r="J38" s="51"/>
      <c r="K38" s="51"/>
      <c r="L38" s="51"/>
      <c r="M38" s="49"/>
      <c r="N38" s="51"/>
    </row>
    <row r="39" spans="1:14" x14ac:dyDescent="0.2">
      <c r="A39" s="51"/>
      <c r="B39" s="51"/>
      <c r="C39" s="51"/>
      <c r="D39" s="51"/>
      <c r="E39" s="51"/>
      <c r="F39" s="51"/>
      <c r="G39" s="51"/>
      <c r="H39" s="51"/>
      <c r="I39" s="51"/>
      <c r="J39" s="51"/>
      <c r="K39" s="51"/>
      <c r="L39" s="51"/>
      <c r="M39" s="51"/>
      <c r="N39" s="51"/>
    </row>
    <row r="40" spans="1:14" x14ac:dyDescent="0.2">
      <c r="A40" s="51"/>
      <c r="B40" s="51"/>
      <c r="C40" s="51"/>
      <c r="D40" s="51"/>
      <c r="E40" s="51"/>
      <c r="F40" s="51"/>
      <c r="G40" s="51"/>
      <c r="H40" s="51"/>
      <c r="I40" s="51"/>
      <c r="J40" s="51"/>
      <c r="K40" s="51"/>
      <c r="L40" s="51"/>
      <c r="M40" s="51"/>
      <c r="N40" s="51"/>
    </row>
    <row r="41" spans="1:14" x14ac:dyDescent="0.2">
      <c r="A41" s="51"/>
      <c r="B41" s="51"/>
      <c r="C41" s="51"/>
      <c r="D41" s="51"/>
      <c r="E41" s="51"/>
      <c r="F41" s="51"/>
      <c r="G41" s="51"/>
      <c r="H41" s="51"/>
      <c r="I41" s="51"/>
      <c r="J41" s="51"/>
      <c r="K41" s="51"/>
      <c r="L41" s="51"/>
      <c r="M41" s="51"/>
      <c r="N41" s="51"/>
    </row>
    <row r="42" spans="1:14" x14ac:dyDescent="0.2">
      <c r="A42" s="51"/>
      <c r="B42" s="51"/>
      <c r="C42" s="51"/>
      <c r="D42" s="51"/>
      <c r="E42" s="51"/>
      <c r="F42" s="51"/>
      <c r="G42" s="51"/>
      <c r="H42" s="51"/>
      <c r="I42" s="51"/>
      <c r="J42" s="51"/>
      <c r="K42" s="51"/>
      <c r="L42" s="51"/>
      <c r="M42" s="51"/>
      <c r="N42" s="51"/>
    </row>
    <row r="43" spans="1:14" x14ac:dyDescent="0.2">
      <c r="A43" s="51"/>
      <c r="B43" s="51"/>
      <c r="C43" s="51"/>
      <c r="D43" s="51"/>
      <c r="E43" s="51"/>
      <c r="F43" s="51"/>
      <c r="G43" s="51"/>
      <c r="H43" s="51"/>
      <c r="I43" s="51"/>
      <c r="J43" s="51"/>
      <c r="K43" s="51"/>
      <c r="L43" s="51"/>
      <c r="M43" s="51"/>
      <c r="N43" s="51"/>
    </row>
    <row r="44" spans="1:14" x14ac:dyDescent="0.2">
      <c r="A44" s="51"/>
      <c r="B44" s="51"/>
      <c r="C44" s="51"/>
      <c r="D44" s="51"/>
      <c r="E44" s="51"/>
      <c r="F44" s="51"/>
      <c r="G44" s="51"/>
      <c r="H44" s="51"/>
      <c r="I44" s="51"/>
      <c r="J44" s="51"/>
      <c r="K44" s="51"/>
      <c r="L44" s="51"/>
      <c r="M44" s="51"/>
      <c r="N44" s="51"/>
    </row>
    <row r="45" spans="1:14" x14ac:dyDescent="0.2">
      <c r="A45" s="51"/>
      <c r="B45" s="51"/>
      <c r="C45" s="51"/>
      <c r="D45" s="51"/>
      <c r="E45" s="51"/>
      <c r="F45" s="51"/>
      <c r="G45" s="51"/>
      <c r="H45" s="51"/>
      <c r="I45" s="51"/>
      <c r="J45" s="51"/>
      <c r="K45" s="51"/>
      <c r="L45" s="51"/>
      <c r="M45" s="51"/>
      <c r="N45" s="51"/>
    </row>
    <row r="46" spans="1:14" x14ac:dyDescent="0.2">
      <c r="A46" s="51"/>
      <c r="B46" s="51"/>
      <c r="C46" s="51"/>
      <c r="D46" s="51"/>
      <c r="E46" s="51"/>
      <c r="F46" s="51"/>
      <c r="G46" s="51"/>
      <c r="H46" s="51"/>
      <c r="I46" s="51"/>
      <c r="J46" s="51"/>
      <c r="K46" s="51"/>
      <c r="L46" s="51"/>
      <c r="M46" s="51"/>
      <c r="N46" s="51"/>
    </row>
    <row r="47" spans="1:14" x14ac:dyDescent="0.2">
      <c r="A47" s="51"/>
      <c r="B47" s="51"/>
      <c r="C47" s="51"/>
      <c r="D47" s="51"/>
      <c r="E47" s="51"/>
      <c r="F47" s="51"/>
      <c r="G47" s="51"/>
      <c r="H47" s="51"/>
      <c r="I47" s="51"/>
      <c r="J47" s="51"/>
      <c r="K47" s="51"/>
      <c r="L47" s="51"/>
      <c r="M47" s="51"/>
      <c r="N47" s="51"/>
    </row>
    <row r="48" spans="1:14" x14ac:dyDescent="0.2">
      <c r="A48" s="51"/>
      <c r="B48" s="51"/>
      <c r="C48" s="51"/>
      <c r="D48" s="51"/>
      <c r="E48" s="51"/>
      <c r="F48" s="51"/>
      <c r="G48" s="51"/>
      <c r="H48" s="51"/>
      <c r="I48" s="51"/>
      <c r="J48" s="51"/>
      <c r="K48" s="51"/>
      <c r="L48" s="51"/>
      <c r="M48" s="51"/>
      <c r="N48" s="51"/>
    </row>
    <row r="49" spans="1:14" x14ac:dyDescent="0.2">
      <c r="A49" s="51"/>
      <c r="B49" s="51"/>
      <c r="C49" s="51"/>
      <c r="D49" s="51"/>
      <c r="E49" s="51"/>
      <c r="F49" s="51"/>
      <c r="G49" s="51"/>
      <c r="H49" s="51"/>
      <c r="I49" s="51"/>
      <c r="J49" s="51"/>
      <c r="K49" s="51"/>
      <c r="L49" s="51"/>
      <c r="M49" s="51"/>
      <c r="N49" s="51"/>
    </row>
    <row r="50" spans="1:14" x14ac:dyDescent="0.2">
      <c r="A50" s="51"/>
      <c r="B50" s="51"/>
      <c r="C50" s="51"/>
      <c r="D50" s="51"/>
      <c r="E50" s="51"/>
      <c r="F50" s="51"/>
      <c r="G50" s="51"/>
      <c r="H50" s="51"/>
      <c r="I50" s="51"/>
      <c r="J50" s="51"/>
      <c r="K50" s="51"/>
      <c r="L50" s="51"/>
      <c r="M50" s="51"/>
      <c r="N50" s="51"/>
    </row>
    <row r="51" spans="1:14" x14ac:dyDescent="0.2">
      <c r="A51" s="51"/>
      <c r="B51" s="51"/>
      <c r="C51" s="51"/>
      <c r="D51" s="51"/>
      <c r="E51" s="51"/>
      <c r="F51" s="51"/>
      <c r="G51" s="51"/>
      <c r="H51" s="51"/>
      <c r="I51" s="51"/>
      <c r="J51" s="51"/>
      <c r="K51" s="51"/>
      <c r="L51" s="51"/>
      <c r="M51" s="51"/>
      <c r="N51" s="51"/>
    </row>
    <row r="52" spans="1:14" x14ac:dyDescent="0.2">
      <c r="A52" s="51"/>
      <c r="B52" s="51"/>
      <c r="C52" s="51"/>
      <c r="D52" s="51"/>
      <c r="E52" s="51"/>
      <c r="F52" s="51"/>
      <c r="G52" s="51"/>
      <c r="H52" s="51"/>
      <c r="I52" s="51"/>
      <c r="J52" s="51"/>
      <c r="K52" s="51"/>
      <c r="L52" s="51"/>
      <c r="M52" s="51"/>
      <c r="N52" s="51"/>
    </row>
    <row r="53" spans="1:14" x14ac:dyDescent="0.2">
      <c r="A53" s="51"/>
      <c r="B53" s="51"/>
      <c r="C53" s="51"/>
      <c r="D53" s="51"/>
      <c r="E53" s="51"/>
      <c r="F53" s="51"/>
      <c r="G53" s="51"/>
      <c r="H53" s="51"/>
      <c r="I53" s="51"/>
      <c r="J53" s="51"/>
      <c r="K53" s="51"/>
      <c r="L53" s="51"/>
      <c r="M53" s="51"/>
      <c r="N53" s="51"/>
    </row>
    <row r="54" spans="1:14" x14ac:dyDescent="0.2">
      <c r="A54" s="51"/>
      <c r="B54" s="51"/>
      <c r="C54" s="51"/>
      <c r="D54" s="51"/>
      <c r="E54" s="51"/>
      <c r="F54" s="51"/>
      <c r="G54" s="51"/>
      <c r="H54" s="51"/>
      <c r="I54" s="51"/>
      <c r="J54" s="51"/>
      <c r="K54" s="51"/>
      <c r="L54" s="51"/>
      <c r="M54" s="51"/>
      <c r="N54" s="51"/>
    </row>
    <row r="55" spans="1:14" x14ac:dyDescent="0.2">
      <c r="A55" s="51"/>
      <c r="B55" s="51"/>
      <c r="C55" s="51"/>
      <c r="D55" s="51"/>
      <c r="E55" s="51"/>
      <c r="F55" s="51"/>
      <c r="G55" s="51"/>
      <c r="H55" s="51"/>
      <c r="I55" s="51"/>
      <c r="J55" s="51"/>
      <c r="K55" s="51"/>
      <c r="L55" s="51"/>
      <c r="M55" s="51"/>
      <c r="N55" s="51"/>
    </row>
    <row r="56" spans="1:14" x14ac:dyDescent="0.2">
      <c r="A56" s="51"/>
      <c r="B56" s="51"/>
      <c r="C56" s="51"/>
      <c r="D56" s="51"/>
      <c r="E56" s="51"/>
      <c r="F56" s="51"/>
      <c r="G56" s="51"/>
      <c r="H56" s="51"/>
      <c r="I56" s="51"/>
      <c r="J56" s="51"/>
      <c r="K56" s="51"/>
      <c r="L56" s="51"/>
      <c r="M56" s="51"/>
      <c r="N56" s="51"/>
    </row>
    <row r="57" spans="1:14" x14ac:dyDescent="0.2">
      <c r="A57" s="51"/>
      <c r="B57" s="51"/>
      <c r="C57" s="51"/>
      <c r="D57" s="51"/>
      <c r="E57" s="51"/>
      <c r="F57" s="51"/>
      <c r="G57" s="51"/>
      <c r="H57" s="51"/>
      <c r="I57" s="51"/>
      <c r="J57" s="51"/>
      <c r="K57" s="51"/>
      <c r="L57" s="51"/>
      <c r="M57" s="51"/>
      <c r="N57" s="51"/>
    </row>
    <row r="58" spans="1:14" x14ac:dyDescent="0.2">
      <c r="A58" s="51"/>
      <c r="B58" s="51"/>
      <c r="C58" s="51"/>
      <c r="D58" s="51"/>
      <c r="E58" s="51"/>
      <c r="F58" s="51"/>
      <c r="G58" s="51"/>
      <c r="H58" s="51"/>
      <c r="I58" s="51"/>
      <c r="J58" s="51"/>
      <c r="K58" s="51"/>
      <c r="L58" s="51"/>
      <c r="M58" s="51"/>
      <c r="N58" s="51"/>
    </row>
    <row r="59" spans="1:14" x14ac:dyDescent="0.2">
      <c r="A59" s="51"/>
      <c r="B59" s="51"/>
      <c r="C59" s="51"/>
      <c r="D59" s="51"/>
      <c r="E59" s="51"/>
      <c r="F59" s="51"/>
      <c r="G59" s="51"/>
      <c r="H59" s="51"/>
      <c r="I59" s="51"/>
      <c r="J59" s="51"/>
      <c r="K59" s="51"/>
      <c r="L59" s="51"/>
      <c r="M59" s="51"/>
      <c r="N59" s="51"/>
    </row>
    <row r="60" spans="1:14" x14ac:dyDescent="0.2">
      <c r="A60" s="51"/>
      <c r="B60" s="51"/>
      <c r="C60" s="51"/>
      <c r="D60" s="51"/>
      <c r="E60" s="51"/>
      <c r="F60" s="51"/>
      <c r="G60" s="51"/>
      <c r="H60" s="51"/>
      <c r="I60" s="51"/>
      <c r="J60" s="51"/>
      <c r="K60" s="51"/>
      <c r="L60" s="51"/>
      <c r="M60" s="51"/>
      <c r="N60" s="51"/>
    </row>
    <row r="61" spans="1:14" x14ac:dyDescent="0.2">
      <c r="A61" s="51"/>
      <c r="B61" s="51"/>
      <c r="C61" s="51"/>
      <c r="D61" s="51"/>
      <c r="E61" s="51"/>
      <c r="F61" s="51"/>
      <c r="G61" s="51"/>
      <c r="H61" s="51"/>
      <c r="I61" s="51"/>
      <c r="J61" s="51"/>
      <c r="K61" s="51"/>
      <c r="L61" s="51"/>
      <c r="M61" s="51"/>
      <c r="N61" s="51"/>
    </row>
    <row r="62" spans="1:14" x14ac:dyDescent="0.2">
      <c r="A62" s="51"/>
      <c r="B62" s="51"/>
      <c r="C62" s="51"/>
      <c r="D62" s="51"/>
      <c r="E62" s="51"/>
      <c r="F62" s="51"/>
      <c r="G62" s="51"/>
      <c r="H62" s="51"/>
      <c r="I62" s="51"/>
      <c r="J62" s="51"/>
      <c r="K62" s="51"/>
      <c r="L62" s="51"/>
      <c r="M62" s="51"/>
      <c r="N62" s="51"/>
    </row>
    <row r="63" spans="1:14" x14ac:dyDescent="0.2">
      <c r="A63" s="51"/>
      <c r="B63" s="51"/>
      <c r="C63" s="51"/>
      <c r="D63" s="51"/>
      <c r="E63" s="51"/>
      <c r="F63" s="51"/>
      <c r="G63" s="51"/>
      <c r="H63" s="51"/>
      <c r="I63" s="51"/>
      <c r="J63" s="51"/>
      <c r="K63" s="51"/>
      <c r="L63" s="51"/>
      <c r="M63" s="51"/>
      <c r="N63" s="51"/>
    </row>
    <row r="64" spans="1:14" x14ac:dyDescent="0.2">
      <c r="A64" s="51"/>
      <c r="B64" s="51"/>
      <c r="C64" s="51"/>
      <c r="D64" s="51"/>
      <c r="E64" s="51"/>
      <c r="F64" s="51"/>
      <c r="G64" s="51"/>
      <c r="H64" s="51"/>
      <c r="I64" s="51"/>
      <c r="J64" s="51"/>
      <c r="K64" s="51"/>
      <c r="L64" s="51"/>
      <c r="M64" s="51"/>
      <c r="N64" s="51"/>
    </row>
    <row r="65" spans="1:14" x14ac:dyDescent="0.2">
      <c r="A65" s="51"/>
      <c r="B65" s="51"/>
      <c r="C65" s="51"/>
      <c r="D65" s="51"/>
      <c r="E65" s="51"/>
      <c r="F65" s="51"/>
      <c r="G65" s="51"/>
      <c r="H65" s="51"/>
      <c r="I65" s="51"/>
      <c r="J65" s="51"/>
      <c r="K65" s="51"/>
      <c r="L65" s="51"/>
      <c r="M65" s="51"/>
      <c r="N65" s="51"/>
    </row>
    <row r="66" spans="1:14" x14ac:dyDescent="0.2">
      <c r="A66" s="51"/>
      <c r="B66" s="51"/>
      <c r="C66" s="51"/>
      <c r="D66" s="51"/>
      <c r="E66" s="51"/>
      <c r="F66" s="51"/>
      <c r="G66" s="51"/>
      <c r="H66" s="51"/>
      <c r="I66" s="51"/>
      <c r="J66" s="51"/>
      <c r="K66" s="51"/>
      <c r="L66" s="51"/>
      <c r="M66" s="51"/>
      <c r="N66" s="51"/>
    </row>
    <row r="67" spans="1:14" x14ac:dyDescent="0.2">
      <c r="A67" s="51"/>
      <c r="B67" s="51"/>
      <c r="C67" s="51"/>
      <c r="D67" s="51"/>
      <c r="E67" s="51"/>
      <c r="F67" s="51"/>
      <c r="G67" s="51"/>
      <c r="H67" s="51"/>
      <c r="I67" s="51"/>
      <c r="J67" s="51"/>
      <c r="K67" s="51"/>
      <c r="L67" s="51"/>
      <c r="M67" s="51"/>
      <c r="N67" s="51"/>
    </row>
    <row r="68" spans="1:14" x14ac:dyDescent="0.2">
      <c r="A68" s="51"/>
      <c r="B68" s="51"/>
      <c r="C68" s="51"/>
      <c r="D68" s="51"/>
      <c r="E68" s="51"/>
      <c r="F68" s="51"/>
      <c r="G68" s="51"/>
      <c r="H68" s="51"/>
      <c r="I68" s="51"/>
      <c r="J68" s="51"/>
      <c r="K68" s="51"/>
      <c r="L68" s="51"/>
      <c r="M68" s="51"/>
      <c r="N68" s="51"/>
    </row>
    <row r="69" spans="1:14" x14ac:dyDescent="0.2">
      <c r="A69" s="51"/>
      <c r="B69" s="51"/>
      <c r="C69" s="51"/>
      <c r="D69" s="51"/>
      <c r="E69" s="51"/>
      <c r="F69" s="51"/>
      <c r="G69" s="51"/>
      <c r="H69" s="51"/>
      <c r="I69" s="51"/>
      <c r="J69" s="51"/>
      <c r="K69" s="51"/>
      <c r="L69" s="51"/>
      <c r="M69" s="51"/>
      <c r="N69" s="51"/>
    </row>
    <row r="70" spans="1:14" x14ac:dyDescent="0.2">
      <c r="A70" s="51"/>
      <c r="B70" s="51"/>
      <c r="C70" s="51"/>
      <c r="D70" s="51"/>
      <c r="E70" s="51"/>
      <c r="F70" s="51"/>
      <c r="G70" s="51"/>
      <c r="H70" s="51"/>
      <c r="I70" s="51"/>
      <c r="J70" s="51"/>
      <c r="K70" s="51"/>
      <c r="L70" s="51"/>
      <c r="M70" s="51"/>
      <c r="N70" s="51"/>
    </row>
    <row r="71" spans="1:14" x14ac:dyDescent="0.2">
      <c r="A71" s="51"/>
      <c r="B71" s="51"/>
      <c r="C71" s="51"/>
      <c r="D71" s="51"/>
      <c r="E71" s="51"/>
      <c r="F71" s="51"/>
      <c r="G71" s="51"/>
      <c r="H71" s="51"/>
      <c r="I71" s="51"/>
      <c r="J71" s="51"/>
      <c r="K71" s="51"/>
      <c r="L71" s="51"/>
      <c r="M71" s="51"/>
      <c r="N71" s="51"/>
    </row>
    <row r="72" spans="1:14" x14ac:dyDescent="0.2">
      <c r="A72" s="51"/>
      <c r="B72" s="51"/>
      <c r="C72" s="51"/>
      <c r="D72" s="51"/>
      <c r="E72" s="51"/>
      <c r="F72" s="51"/>
      <c r="G72" s="51"/>
      <c r="H72" s="51"/>
      <c r="I72" s="51"/>
      <c r="J72" s="51"/>
      <c r="K72" s="51"/>
      <c r="L72" s="51"/>
      <c r="M72" s="51"/>
      <c r="N72" s="51"/>
    </row>
    <row r="73" spans="1:14" x14ac:dyDescent="0.2">
      <c r="A73" s="51"/>
      <c r="B73" s="51"/>
      <c r="C73" s="51"/>
      <c r="D73" s="51"/>
      <c r="E73" s="51"/>
      <c r="F73" s="51"/>
      <c r="G73" s="51"/>
      <c r="H73" s="51"/>
      <c r="I73" s="51"/>
      <c r="J73" s="51"/>
      <c r="K73" s="51"/>
      <c r="L73" s="51"/>
      <c r="M73" s="51"/>
      <c r="N73" s="51"/>
    </row>
    <row r="74" spans="1:14" x14ac:dyDescent="0.2">
      <c r="A74" s="51"/>
      <c r="B74" s="51"/>
      <c r="C74" s="51"/>
      <c r="D74" s="51"/>
      <c r="E74" s="51"/>
      <c r="F74" s="51"/>
      <c r="G74" s="51"/>
      <c r="H74" s="51"/>
      <c r="I74" s="51"/>
      <c r="J74" s="51"/>
      <c r="K74" s="51"/>
      <c r="L74" s="51"/>
      <c r="M74" s="51"/>
      <c r="N74" s="51"/>
    </row>
    <row r="75" spans="1:14" x14ac:dyDescent="0.2">
      <c r="A75" s="51"/>
      <c r="B75" s="51"/>
      <c r="C75" s="51"/>
      <c r="D75" s="51"/>
      <c r="E75" s="51"/>
      <c r="F75" s="51"/>
      <c r="G75" s="51"/>
      <c r="H75" s="51"/>
      <c r="I75" s="51"/>
      <c r="J75" s="51"/>
      <c r="K75" s="51"/>
      <c r="L75" s="51"/>
      <c r="M75" s="51"/>
      <c r="N75" s="51"/>
    </row>
    <row r="76" spans="1:14" x14ac:dyDescent="0.2">
      <c r="A76" s="51"/>
      <c r="B76" s="51"/>
      <c r="C76" s="51"/>
      <c r="D76" s="51"/>
      <c r="E76" s="51"/>
      <c r="F76" s="51"/>
      <c r="G76" s="51"/>
      <c r="H76" s="51"/>
      <c r="I76" s="51"/>
      <c r="J76" s="51"/>
      <c r="K76" s="51"/>
      <c r="L76" s="51"/>
      <c r="M76" s="51"/>
      <c r="N76" s="51"/>
    </row>
    <row r="77" spans="1:14" x14ac:dyDescent="0.2">
      <c r="A77" s="51"/>
      <c r="B77" s="51"/>
      <c r="C77" s="51"/>
      <c r="D77" s="51"/>
      <c r="E77" s="51"/>
      <c r="F77" s="51"/>
      <c r="G77" s="51"/>
      <c r="H77" s="51"/>
      <c r="I77" s="51"/>
      <c r="J77" s="51"/>
      <c r="K77" s="51"/>
      <c r="L77" s="51"/>
      <c r="M77" s="51"/>
      <c r="N77" s="51"/>
    </row>
    <row r="78" spans="1:14" x14ac:dyDescent="0.2">
      <c r="A78" s="51"/>
      <c r="B78" s="51"/>
      <c r="C78" s="51"/>
      <c r="D78" s="51"/>
      <c r="E78" s="51"/>
      <c r="F78" s="51"/>
      <c r="G78" s="51"/>
      <c r="H78" s="51"/>
      <c r="I78" s="51"/>
      <c r="J78" s="51"/>
      <c r="K78" s="51"/>
      <c r="L78" s="51"/>
      <c r="M78" s="51"/>
      <c r="N78" s="51"/>
    </row>
    <row r="79" spans="1:14" x14ac:dyDescent="0.2">
      <c r="A79" s="51"/>
      <c r="B79" s="51"/>
      <c r="C79" s="51"/>
      <c r="D79" s="51"/>
      <c r="E79" s="51"/>
      <c r="F79" s="51"/>
      <c r="G79" s="51"/>
      <c r="H79" s="51"/>
      <c r="I79" s="51"/>
      <c r="J79" s="51"/>
      <c r="K79" s="51"/>
      <c r="L79" s="51"/>
      <c r="M79" s="51"/>
      <c r="N79" s="51"/>
    </row>
    <row r="80" spans="1:14" x14ac:dyDescent="0.2">
      <c r="A80" s="51"/>
      <c r="B80" s="51"/>
      <c r="C80" s="51"/>
      <c r="D80" s="51"/>
      <c r="E80" s="51"/>
      <c r="F80" s="51"/>
      <c r="G80" s="51"/>
      <c r="H80" s="51"/>
      <c r="I80" s="51"/>
      <c r="J80" s="51"/>
      <c r="K80" s="51"/>
      <c r="L80" s="51"/>
      <c r="M80" s="51"/>
      <c r="N80" s="51"/>
    </row>
    <row r="81" spans="1:14" x14ac:dyDescent="0.2">
      <c r="A81" s="51"/>
      <c r="B81" s="51"/>
      <c r="C81" s="51"/>
      <c r="D81" s="51"/>
      <c r="E81" s="51"/>
      <c r="F81" s="51"/>
      <c r="G81" s="51"/>
      <c r="H81" s="51"/>
      <c r="I81" s="51"/>
      <c r="J81" s="51"/>
      <c r="K81" s="51"/>
      <c r="L81" s="51"/>
      <c r="M81" s="51"/>
      <c r="N81" s="51"/>
    </row>
    <row r="82" spans="1:14" x14ac:dyDescent="0.2">
      <c r="A82" s="51"/>
      <c r="B82" s="51"/>
      <c r="C82" s="51"/>
      <c r="D82" s="51"/>
      <c r="E82" s="51"/>
      <c r="F82" s="51"/>
      <c r="G82" s="51"/>
      <c r="H82" s="51"/>
      <c r="I82" s="51"/>
      <c r="J82" s="51"/>
      <c r="K82" s="51"/>
      <c r="L82" s="51"/>
      <c r="M82" s="51"/>
      <c r="N82" s="51"/>
    </row>
    <row r="83" spans="1:14" x14ac:dyDescent="0.2">
      <c r="A83" s="51"/>
      <c r="B83" s="51"/>
      <c r="C83" s="51"/>
      <c r="D83" s="51"/>
      <c r="E83" s="51"/>
      <c r="F83" s="51"/>
      <c r="G83" s="51"/>
      <c r="H83" s="51"/>
      <c r="I83" s="51"/>
      <c r="J83" s="51"/>
      <c r="K83" s="51"/>
      <c r="L83" s="51"/>
      <c r="M83" s="51"/>
      <c r="N83" s="51"/>
    </row>
    <row r="84" spans="1:14" x14ac:dyDescent="0.2">
      <c r="A84" s="51"/>
      <c r="B84" s="51"/>
      <c r="C84" s="51"/>
      <c r="D84" s="51"/>
      <c r="E84" s="51"/>
      <c r="F84" s="51"/>
      <c r="G84" s="51"/>
      <c r="H84" s="51"/>
      <c r="I84" s="51"/>
      <c r="J84" s="51"/>
      <c r="K84" s="51"/>
      <c r="L84" s="51"/>
      <c r="M84" s="51"/>
      <c r="N84" s="51"/>
    </row>
    <row r="85" spans="1:14" x14ac:dyDescent="0.2">
      <c r="A85" s="51"/>
      <c r="B85" s="51"/>
      <c r="C85" s="51"/>
      <c r="D85" s="51"/>
      <c r="E85" s="51"/>
      <c r="F85" s="51"/>
      <c r="G85" s="51"/>
      <c r="H85" s="51"/>
      <c r="I85" s="51"/>
      <c r="J85" s="51"/>
      <c r="K85" s="51"/>
      <c r="L85" s="51"/>
      <c r="M85" s="51"/>
      <c r="N85" s="51"/>
    </row>
    <row r="86" spans="1:14" x14ac:dyDescent="0.2">
      <c r="A86" s="51"/>
      <c r="B86" s="51"/>
      <c r="C86" s="51"/>
      <c r="D86" s="51"/>
      <c r="E86" s="51"/>
      <c r="F86" s="51"/>
      <c r="G86" s="51"/>
      <c r="H86" s="51"/>
      <c r="I86" s="51"/>
      <c r="J86" s="51"/>
      <c r="K86" s="51"/>
      <c r="L86" s="51"/>
      <c r="M86" s="51"/>
      <c r="N86" s="51"/>
    </row>
    <row r="87" spans="1:14" x14ac:dyDescent="0.2">
      <c r="A87" s="51"/>
      <c r="B87" s="51"/>
      <c r="C87" s="51"/>
      <c r="D87" s="51"/>
      <c r="E87" s="51"/>
      <c r="F87" s="51"/>
      <c r="G87" s="51"/>
      <c r="H87" s="51"/>
      <c r="I87" s="51"/>
      <c r="J87" s="51"/>
      <c r="K87" s="51"/>
      <c r="L87" s="51"/>
      <c r="M87" s="51"/>
      <c r="N87" s="51"/>
    </row>
    <row r="88" spans="1:14" x14ac:dyDescent="0.2">
      <c r="A88" s="51"/>
      <c r="B88" s="51"/>
      <c r="C88" s="51"/>
      <c r="D88" s="51"/>
      <c r="E88" s="51"/>
      <c r="F88" s="51"/>
      <c r="G88" s="51"/>
      <c r="H88" s="51"/>
      <c r="I88" s="51"/>
      <c r="J88" s="51"/>
      <c r="K88" s="51"/>
      <c r="L88" s="51"/>
      <c r="M88" s="51"/>
      <c r="N88" s="51"/>
    </row>
    <row r="89" spans="1:14" x14ac:dyDescent="0.2">
      <c r="A89" s="51"/>
      <c r="B89" s="51"/>
      <c r="C89" s="51"/>
      <c r="D89" s="51"/>
      <c r="E89" s="51"/>
      <c r="F89" s="51"/>
      <c r="G89" s="51"/>
      <c r="H89" s="51"/>
      <c r="I89" s="51"/>
      <c r="J89" s="51"/>
      <c r="K89" s="51"/>
      <c r="L89" s="51"/>
      <c r="M89" s="51"/>
      <c r="N89" s="51"/>
    </row>
    <row r="90" spans="1:14" x14ac:dyDescent="0.2">
      <c r="A90" s="51"/>
      <c r="B90" s="51"/>
      <c r="C90" s="51"/>
      <c r="D90" s="51"/>
      <c r="E90" s="51"/>
      <c r="F90" s="51"/>
      <c r="G90" s="51"/>
      <c r="H90" s="51"/>
      <c r="I90" s="51"/>
      <c r="J90" s="51"/>
      <c r="K90" s="51"/>
      <c r="L90" s="51"/>
      <c r="M90" s="51"/>
      <c r="N90" s="51"/>
    </row>
    <row r="91" spans="1:14" x14ac:dyDescent="0.2">
      <c r="A91" s="51"/>
      <c r="B91" s="51"/>
      <c r="C91" s="51"/>
      <c r="D91" s="51"/>
      <c r="E91" s="51"/>
      <c r="F91" s="51"/>
      <c r="G91" s="51"/>
      <c r="H91" s="51"/>
      <c r="I91" s="51"/>
      <c r="J91" s="51"/>
      <c r="K91" s="51"/>
      <c r="L91" s="51"/>
      <c r="M91" s="51"/>
      <c r="N91" s="51"/>
    </row>
    <row r="92" spans="1:14" x14ac:dyDescent="0.2">
      <c r="A92" s="51"/>
      <c r="B92" s="51"/>
      <c r="C92" s="51"/>
      <c r="D92" s="51"/>
      <c r="E92" s="51"/>
      <c r="F92" s="51"/>
      <c r="G92" s="51"/>
      <c r="H92" s="51"/>
      <c r="I92" s="51"/>
      <c r="J92" s="51"/>
      <c r="K92" s="51"/>
      <c r="L92" s="51"/>
      <c r="M92" s="51"/>
      <c r="N92" s="51"/>
    </row>
    <row r="93" spans="1:14" x14ac:dyDescent="0.2">
      <c r="A93" s="51"/>
      <c r="B93" s="51"/>
      <c r="C93" s="51"/>
      <c r="D93" s="51"/>
      <c r="E93" s="51"/>
      <c r="F93" s="51"/>
      <c r="G93" s="51"/>
      <c r="H93" s="51"/>
      <c r="I93" s="51"/>
      <c r="J93" s="51"/>
      <c r="K93" s="51"/>
      <c r="L93" s="51"/>
      <c r="M93" s="51"/>
      <c r="N93" s="51"/>
    </row>
    <row r="94" spans="1:14" x14ac:dyDescent="0.2">
      <c r="A94" s="51"/>
      <c r="B94" s="51"/>
      <c r="C94" s="51"/>
      <c r="D94" s="51"/>
      <c r="E94" s="51"/>
      <c r="F94" s="51"/>
      <c r="G94" s="51"/>
      <c r="H94" s="51"/>
      <c r="I94" s="51"/>
      <c r="J94" s="51"/>
      <c r="K94" s="51"/>
      <c r="L94" s="51"/>
      <c r="M94" s="51"/>
      <c r="N94" s="51"/>
    </row>
    <row r="95" spans="1:14" x14ac:dyDescent="0.2">
      <c r="A95" s="51"/>
      <c r="B95" s="51"/>
      <c r="C95" s="51"/>
      <c r="D95" s="51"/>
      <c r="E95" s="51"/>
      <c r="F95" s="51"/>
      <c r="G95" s="51"/>
      <c r="H95" s="51"/>
      <c r="I95" s="51"/>
      <c r="J95" s="51"/>
      <c r="K95" s="51"/>
      <c r="L95" s="51"/>
      <c r="M95" s="51"/>
      <c r="N95" s="51"/>
    </row>
    <row r="96" spans="1:14" x14ac:dyDescent="0.2">
      <c r="A96" s="51"/>
      <c r="B96" s="51"/>
      <c r="C96" s="51"/>
      <c r="D96" s="51"/>
      <c r="E96" s="51"/>
      <c r="F96" s="51"/>
      <c r="G96" s="51"/>
      <c r="H96" s="51"/>
      <c r="I96" s="51"/>
      <c r="J96" s="51"/>
      <c r="K96" s="51"/>
      <c r="L96" s="51"/>
      <c r="M96" s="51"/>
      <c r="N96" s="51"/>
    </row>
    <row r="97" spans="1:14" x14ac:dyDescent="0.2">
      <c r="A97" s="51"/>
      <c r="B97" s="51"/>
      <c r="C97" s="51"/>
      <c r="D97" s="51"/>
      <c r="E97" s="51"/>
      <c r="F97" s="51"/>
      <c r="G97" s="51"/>
      <c r="H97" s="51"/>
      <c r="I97" s="51"/>
      <c r="J97" s="51"/>
      <c r="K97" s="51"/>
      <c r="L97" s="51"/>
      <c r="M97" s="51"/>
      <c r="N97" s="51"/>
    </row>
    <row r="98" spans="1:14" x14ac:dyDescent="0.2">
      <c r="A98" s="51"/>
      <c r="B98" s="51"/>
      <c r="C98" s="51"/>
      <c r="D98" s="51"/>
      <c r="E98" s="51"/>
      <c r="F98" s="51"/>
      <c r="G98" s="51"/>
      <c r="H98" s="51"/>
      <c r="I98" s="51"/>
      <c r="J98" s="51"/>
      <c r="K98" s="51"/>
      <c r="L98" s="51"/>
      <c r="M98" s="51"/>
      <c r="N98" s="51"/>
    </row>
    <row r="99" spans="1:14" x14ac:dyDescent="0.2">
      <c r="A99" s="51"/>
      <c r="B99" s="51"/>
      <c r="C99" s="51"/>
      <c r="D99" s="51"/>
      <c r="E99" s="51"/>
      <c r="F99" s="51"/>
      <c r="G99" s="51"/>
      <c r="H99" s="51"/>
      <c r="I99" s="51"/>
      <c r="J99" s="51"/>
      <c r="K99" s="51"/>
      <c r="L99" s="51"/>
      <c r="M99" s="51"/>
      <c r="N99" s="51"/>
    </row>
    <row r="100" spans="1:14" x14ac:dyDescent="0.2">
      <c r="A100" s="51"/>
      <c r="B100" s="51"/>
      <c r="C100" s="51"/>
      <c r="D100" s="51"/>
      <c r="E100" s="51"/>
      <c r="F100" s="51"/>
      <c r="G100" s="51"/>
      <c r="H100" s="51"/>
      <c r="I100" s="51"/>
      <c r="J100" s="51"/>
      <c r="K100" s="51"/>
      <c r="L100" s="51"/>
      <c r="M100" s="51"/>
      <c r="N100" s="51"/>
    </row>
    <row r="101" spans="1:14" x14ac:dyDescent="0.2">
      <c r="A101" s="51"/>
      <c r="B101" s="51"/>
      <c r="C101" s="51"/>
      <c r="D101" s="51"/>
      <c r="E101" s="51"/>
      <c r="F101" s="51"/>
      <c r="G101" s="51"/>
      <c r="H101" s="51"/>
      <c r="I101" s="51"/>
      <c r="J101" s="51"/>
      <c r="K101" s="51"/>
      <c r="L101" s="51"/>
      <c r="M101" s="51"/>
      <c r="N101" s="51"/>
    </row>
    <row r="102" spans="1:14" x14ac:dyDescent="0.2">
      <c r="A102" s="51"/>
      <c r="B102" s="51"/>
      <c r="C102" s="51"/>
      <c r="D102" s="51"/>
      <c r="E102" s="51"/>
      <c r="F102" s="51"/>
      <c r="G102" s="51"/>
      <c r="H102" s="51"/>
      <c r="I102" s="51"/>
      <c r="J102" s="51"/>
      <c r="K102" s="51"/>
      <c r="L102" s="51"/>
      <c r="M102" s="51"/>
      <c r="N102" s="51"/>
    </row>
    <row r="103" spans="1:14" x14ac:dyDescent="0.2">
      <c r="A103" s="51"/>
      <c r="B103" s="51"/>
      <c r="C103" s="51"/>
      <c r="D103" s="51"/>
      <c r="E103" s="51"/>
      <c r="F103" s="51"/>
      <c r="G103" s="51"/>
      <c r="H103" s="51"/>
      <c r="I103" s="51"/>
      <c r="J103" s="51"/>
      <c r="K103" s="51"/>
      <c r="L103" s="51"/>
      <c r="M103" s="51"/>
      <c r="N103" s="51"/>
    </row>
    <row r="104" spans="1:14" x14ac:dyDescent="0.2">
      <c r="A104" s="51"/>
      <c r="B104" s="51"/>
      <c r="C104" s="51"/>
      <c r="D104" s="51"/>
      <c r="E104" s="51"/>
      <c r="F104" s="51"/>
      <c r="G104" s="51"/>
      <c r="H104" s="51"/>
      <c r="I104" s="51"/>
      <c r="J104" s="51"/>
      <c r="K104" s="51"/>
      <c r="L104" s="51"/>
      <c r="M104" s="51"/>
      <c r="N104" s="51"/>
    </row>
    <row r="105" spans="1:14" x14ac:dyDescent="0.2">
      <c r="A105" s="51"/>
      <c r="B105" s="51"/>
      <c r="C105" s="51"/>
      <c r="D105" s="51"/>
      <c r="E105" s="51"/>
      <c r="F105" s="51"/>
      <c r="G105" s="51"/>
      <c r="H105" s="51"/>
      <c r="I105" s="51"/>
      <c r="J105" s="51"/>
      <c r="K105" s="51"/>
      <c r="L105" s="51"/>
      <c r="M105" s="51"/>
      <c r="N105" s="51"/>
    </row>
    <row r="106" spans="1:14" x14ac:dyDescent="0.2">
      <c r="A106" s="51"/>
      <c r="B106" s="51"/>
      <c r="C106" s="51"/>
      <c r="D106" s="51"/>
      <c r="E106" s="51"/>
      <c r="F106" s="51"/>
      <c r="G106" s="51"/>
      <c r="H106" s="51"/>
      <c r="I106" s="51"/>
      <c r="J106" s="51"/>
      <c r="K106" s="51"/>
      <c r="L106" s="51"/>
      <c r="M106" s="51"/>
      <c r="N106" s="51"/>
    </row>
    <row r="107" spans="1:14" x14ac:dyDescent="0.2">
      <c r="A107" s="51"/>
      <c r="B107" s="51"/>
      <c r="C107" s="51"/>
      <c r="D107" s="51"/>
      <c r="E107" s="51"/>
      <c r="F107" s="51"/>
      <c r="G107" s="51"/>
      <c r="H107" s="51"/>
      <c r="I107" s="51"/>
      <c r="J107" s="51"/>
      <c r="K107" s="51"/>
      <c r="L107" s="51"/>
      <c r="M107" s="51"/>
      <c r="N107" s="51"/>
    </row>
    <row r="108" spans="1:14" x14ac:dyDescent="0.2">
      <c r="A108" s="51"/>
      <c r="B108" s="51"/>
      <c r="C108" s="51"/>
      <c r="D108" s="51"/>
      <c r="E108" s="51"/>
      <c r="F108" s="51"/>
      <c r="G108" s="51"/>
      <c r="H108" s="51"/>
      <c r="I108" s="51"/>
      <c r="J108" s="51"/>
      <c r="K108" s="51"/>
      <c r="L108" s="51"/>
      <c r="M108" s="51"/>
      <c r="N108" s="51"/>
    </row>
    <row r="109" spans="1:14" x14ac:dyDescent="0.2">
      <c r="A109" s="51"/>
      <c r="B109" s="51"/>
      <c r="C109" s="51"/>
      <c r="D109" s="51"/>
      <c r="E109" s="51"/>
      <c r="F109" s="51"/>
      <c r="G109" s="51"/>
      <c r="H109" s="51"/>
      <c r="I109" s="51"/>
      <c r="J109" s="51"/>
      <c r="K109" s="51"/>
      <c r="L109" s="51"/>
      <c r="M109" s="51"/>
      <c r="N109" s="51"/>
    </row>
    <row r="110" spans="1:14" x14ac:dyDescent="0.2">
      <c r="A110" s="51"/>
      <c r="B110" s="51"/>
      <c r="C110" s="51"/>
      <c r="D110" s="51"/>
      <c r="E110" s="51"/>
      <c r="F110" s="51"/>
      <c r="G110" s="51"/>
      <c r="H110" s="51"/>
      <c r="I110" s="51"/>
      <c r="J110" s="51"/>
      <c r="K110" s="51"/>
      <c r="L110" s="51"/>
      <c r="M110" s="51"/>
      <c r="N110" s="51"/>
    </row>
    <row r="111" spans="1:14" x14ac:dyDescent="0.2">
      <c r="A111" s="51"/>
      <c r="B111" s="51"/>
      <c r="C111" s="51"/>
      <c r="D111" s="51"/>
      <c r="E111" s="51"/>
      <c r="F111" s="51"/>
      <c r="G111" s="51"/>
      <c r="H111" s="51"/>
      <c r="I111" s="51"/>
      <c r="J111" s="51"/>
      <c r="K111" s="51"/>
      <c r="L111" s="51"/>
      <c r="M111" s="51"/>
      <c r="N111" s="51"/>
    </row>
    <row r="112" spans="1:14" x14ac:dyDescent="0.2">
      <c r="A112" s="51"/>
      <c r="B112" s="51"/>
      <c r="C112" s="51"/>
      <c r="D112" s="51"/>
      <c r="E112" s="51"/>
      <c r="F112" s="51"/>
      <c r="G112" s="51"/>
      <c r="H112" s="51"/>
      <c r="I112" s="51"/>
      <c r="J112" s="51"/>
      <c r="K112" s="51"/>
      <c r="L112" s="51"/>
      <c r="M112" s="51"/>
      <c r="N112" s="51"/>
    </row>
    <row r="113" spans="1:14" x14ac:dyDescent="0.2">
      <c r="A113" s="51"/>
      <c r="B113" s="51"/>
      <c r="C113" s="51"/>
      <c r="D113" s="51"/>
      <c r="E113" s="51"/>
      <c r="F113" s="51"/>
      <c r="G113" s="51"/>
      <c r="H113" s="51"/>
      <c r="I113" s="51"/>
      <c r="J113" s="51"/>
      <c r="K113" s="51"/>
      <c r="L113" s="51"/>
      <c r="M113" s="51"/>
      <c r="N113" s="51"/>
    </row>
    <row r="114" spans="1:14" x14ac:dyDescent="0.2">
      <c r="A114" s="51"/>
      <c r="B114" s="51"/>
      <c r="C114" s="51"/>
      <c r="D114" s="51"/>
      <c r="E114" s="51"/>
      <c r="F114" s="51"/>
      <c r="G114" s="51"/>
      <c r="H114" s="51"/>
      <c r="I114" s="51"/>
      <c r="J114" s="51"/>
      <c r="K114" s="51"/>
      <c r="L114" s="51"/>
      <c r="M114" s="51"/>
      <c r="N114" s="51"/>
    </row>
    <row r="115" spans="1:14" x14ac:dyDescent="0.2">
      <c r="A115" s="51"/>
      <c r="B115" s="51"/>
      <c r="C115" s="51"/>
      <c r="D115" s="51"/>
      <c r="E115" s="51"/>
      <c r="F115" s="51"/>
      <c r="G115" s="51"/>
      <c r="H115" s="51"/>
      <c r="I115" s="51"/>
      <c r="J115" s="51"/>
      <c r="K115" s="51"/>
      <c r="L115" s="51"/>
      <c r="M115" s="51"/>
      <c r="N115" s="51"/>
    </row>
    <row r="116" spans="1:14" x14ac:dyDescent="0.2">
      <c r="A116" s="51"/>
      <c r="B116" s="51"/>
      <c r="C116" s="51"/>
      <c r="D116" s="51"/>
      <c r="E116" s="51"/>
      <c r="F116" s="51"/>
      <c r="G116" s="51"/>
      <c r="H116" s="51"/>
      <c r="I116" s="51"/>
      <c r="J116" s="51"/>
      <c r="K116" s="51"/>
      <c r="L116" s="51"/>
      <c r="M116" s="51"/>
      <c r="N116" s="51"/>
    </row>
    <row r="117" spans="1:14" x14ac:dyDescent="0.2">
      <c r="A117" s="51"/>
      <c r="B117" s="51"/>
      <c r="C117" s="51"/>
      <c r="D117" s="51"/>
      <c r="E117" s="51"/>
      <c r="F117" s="51"/>
      <c r="G117" s="51"/>
      <c r="H117" s="51"/>
      <c r="I117" s="51"/>
      <c r="J117" s="51"/>
      <c r="K117" s="51"/>
      <c r="L117" s="51"/>
      <c r="M117" s="51"/>
      <c r="N117" s="51"/>
    </row>
    <row r="118" spans="1:14" x14ac:dyDescent="0.2">
      <c r="A118" s="51"/>
      <c r="B118" s="51"/>
      <c r="C118" s="51"/>
      <c r="D118" s="51"/>
      <c r="E118" s="51"/>
      <c r="F118" s="51"/>
      <c r="G118" s="51"/>
      <c r="H118" s="51"/>
      <c r="I118" s="51"/>
      <c r="J118" s="51"/>
      <c r="K118" s="51"/>
      <c r="L118" s="51"/>
      <c r="M118" s="51"/>
      <c r="N118" s="51"/>
    </row>
  </sheetData>
  <phoneticPr fontId="0" type="noConversion"/>
  <pageMargins left="0.25" right="0.25" top="0.75" bottom="0.75" header="0.3" footer="0.3"/>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0"/>
  <sheetViews>
    <sheetView showGridLines="0" zoomScaleNormal="100" workbookViewId="0"/>
  </sheetViews>
  <sheetFormatPr defaultRowHeight="12.75" x14ac:dyDescent="0.2"/>
  <cols>
    <col min="2" max="2" width="2.28515625" bestFit="1" customWidth="1"/>
    <col min="3" max="12" width="11.7109375" customWidth="1"/>
  </cols>
  <sheetData>
    <row r="1" spans="1:13" x14ac:dyDescent="0.2">
      <c r="A1" s="46" t="str">
        <f>"Commodity Pricing ("&amp;TEXT(A6,"mmmm yyyy")&amp;" through "&amp;TEXT(A17,"mmmm yyyy")&amp;")"</f>
        <v>Commodity Pricing (May 2023 through April 2024)</v>
      </c>
    </row>
    <row r="2" spans="1:13" x14ac:dyDescent="0.2">
      <c r="A2" s="46" t="str">
        <f>Value!A2</f>
        <v>Rabanco Ltd (dba Allied Waste of Seatac)</v>
      </c>
      <c r="B2" s="46"/>
    </row>
    <row r="3" spans="1:13" x14ac:dyDescent="0.2">
      <c r="A3" s="46"/>
      <c r="B3" s="46"/>
    </row>
    <row r="4" spans="1:13" x14ac:dyDescent="0.2">
      <c r="A4" s="46"/>
      <c r="B4" s="46"/>
    </row>
    <row r="5" spans="1:13" x14ac:dyDescent="0.2">
      <c r="B5" s="47"/>
      <c r="C5" s="48" t="s">
        <v>21</v>
      </c>
      <c r="D5" s="48" t="s">
        <v>22</v>
      </c>
      <c r="E5" s="48" t="s">
        <v>88</v>
      </c>
      <c r="F5" s="48" t="s">
        <v>50</v>
      </c>
      <c r="G5" s="48" t="s">
        <v>89</v>
      </c>
      <c r="H5" s="48" t="s">
        <v>24</v>
      </c>
      <c r="I5" s="48" t="s">
        <v>25</v>
      </c>
      <c r="J5" s="48" t="s">
        <v>26</v>
      </c>
      <c r="K5" s="48" t="s">
        <v>27</v>
      </c>
      <c r="L5" s="48" t="s">
        <v>28</v>
      </c>
      <c r="M5" s="48"/>
    </row>
    <row r="6" spans="1:13" ht="15.75" customHeight="1" x14ac:dyDescent="0.2">
      <c r="A6" s="50">
        <f>'Single Family'!$C$6</f>
        <v>45047</v>
      </c>
      <c r="B6" s="51" t="s">
        <v>63</v>
      </c>
      <c r="C6" s="83">
        <f>'Single Family'!C74</f>
        <v>1127.9760000000001</v>
      </c>
      <c r="D6" s="84">
        <f>'Single Family'!C76</f>
        <v>-65.42</v>
      </c>
      <c r="E6" s="84">
        <f>'Single Family'!C77</f>
        <v>0</v>
      </c>
      <c r="F6" s="85">
        <f>'Single Family'!C72</f>
        <v>92.48</v>
      </c>
      <c r="G6" s="83">
        <f>'Single Family'!C75</f>
        <v>108.384</v>
      </c>
      <c r="H6" s="83">
        <f>'Single Family'!C79</f>
        <v>32.744</v>
      </c>
      <c r="I6" s="83">
        <f>'Single Family'!C73</f>
        <v>157.58863247863249</v>
      </c>
      <c r="J6" s="83">
        <f>'Single Family'!C73</f>
        <v>157.58863247863249</v>
      </c>
      <c r="K6" s="83">
        <f>'Single Family'!C70</f>
        <v>80.800000000000011</v>
      </c>
      <c r="L6" s="84">
        <f>'Single Family'!C78</f>
        <v>-172.21</v>
      </c>
      <c r="M6" s="113"/>
    </row>
    <row r="7" spans="1:13" ht="15.75" customHeight="1" x14ac:dyDescent="0.2">
      <c r="A7" s="50">
        <f>+'Commodity Tonnages'!A7</f>
        <v>45107</v>
      </c>
      <c r="B7" s="51" t="s">
        <v>64</v>
      </c>
      <c r="C7" s="83">
        <f>'Single Family'!D74</f>
        <v>1099.104</v>
      </c>
      <c r="D7" s="84">
        <f>'Single Family'!D76</f>
        <v>-77.17</v>
      </c>
      <c r="E7" s="84">
        <f>'Single Family'!D77</f>
        <v>0</v>
      </c>
      <c r="F7" s="85">
        <f>'Single Family'!D72</f>
        <v>74.792000000000002</v>
      </c>
      <c r="G7" s="83">
        <f>'Single Family'!D75</f>
        <v>93.632000000000005</v>
      </c>
      <c r="H7" s="83">
        <f>'Single Family'!D79</f>
        <v>27.007999999999999</v>
      </c>
      <c r="I7" s="83">
        <f>'Single Family'!D73</f>
        <v>84.226324786324795</v>
      </c>
      <c r="J7" s="83">
        <f>'Single Family'!D73</f>
        <v>84.226324786324795</v>
      </c>
      <c r="K7" s="83">
        <f>'Single Family'!D70</f>
        <v>70.512</v>
      </c>
      <c r="L7" s="84">
        <f>'Single Family'!D78</f>
        <v>-172.21</v>
      </c>
      <c r="M7" s="113"/>
    </row>
    <row r="8" spans="1:13" ht="15.75" customHeight="1" x14ac:dyDescent="0.2">
      <c r="A8" s="50">
        <f>+'Commodity Tonnages'!A8</f>
        <v>45138</v>
      </c>
      <c r="B8" s="51" t="s">
        <v>65</v>
      </c>
      <c r="C8" s="83">
        <f>'Single Family'!E74</f>
        <v>1051.7520000000002</v>
      </c>
      <c r="D8" s="84">
        <f>'Single Family'!E76</f>
        <v>-75.66</v>
      </c>
      <c r="E8" s="84">
        <f>'Single Family'!E77</f>
        <v>0</v>
      </c>
      <c r="F8" s="85">
        <f>'Single Family'!E72</f>
        <v>76.84</v>
      </c>
      <c r="G8" s="83">
        <f>'Single Family'!E75</f>
        <v>93.103999999999999</v>
      </c>
      <c r="H8" s="83">
        <f>'Single Family'!E79</f>
        <v>15.408000000000001</v>
      </c>
      <c r="I8" s="83">
        <f>'Single Family'!E73</f>
        <v>18.462829059829055</v>
      </c>
      <c r="J8" s="83">
        <f>'Single Family'!E73</f>
        <v>18.462829059829055</v>
      </c>
      <c r="K8" s="83">
        <f>'Single Family'!E70</f>
        <v>74.88</v>
      </c>
      <c r="L8" s="84">
        <f>'Single Family'!E78</f>
        <v>-171.72</v>
      </c>
      <c r="M8" s="113"/>
    </row>
    <row r="9" spans="1:13" ht="15.75" customHeight="1" x14ac:dyDescent="0.2">
      <c r="A9" s="50">
        <f>+'Commodity Tonnages'!A9</f>
        <v>45169</v>
      </c>
      <c r="B9" s="51" t="s">
        <v>66</v>
      </c>
      <c r="C9" s="83">
        <f>'Single Family'!F74</f>
        <v>1025.08</v>
      </c>
      <c r="D9" s="84">
        <f>'Single Family'!F76</f>
        <v>-73.58</v>
      </c>
      <c r="E9" s="84">
        <f>'Single Family'!F77</f>
        <v>0</v>
      </c>
      <c r="F9" s="85">
        <f>'Single Family'!F72</f>
        <v>67.040000000000006</v>
      </c>
      <c r="G9" s="83">
        <f>'Single Family'!F75</f>
        <v>84.072000000000003</v>
      </c>
      <c r="H9" s="83">
        <f>'Single Family'!F79</f>
        <v>17.463999999999999</v>
      </c>
      <c r="I9" s="83">
        <f>'Single Family'!F73</f>
        <v>9.4209529914529959</v>
      </c>
      <c r="J9" s="83">
        <f>'Single Family'!F73</f>
        <v>9.4209529914529959</v>
      </c>
      <c r="K9" s="83">
        <f>'Single Family'!F70</f>
        <v>73.28</v>
      </c>
      <c r="L9" s="84">
        <f>'Single Family'!F78</f>
        <v>-171.7</v>
      </c>
      <c r="M9" s="113"/>
    </row>
    <row r="10" spans="1:13" ht="15.75" customHeight="1" x14ac:dyDescent="0.2">
      <c r="A10" s="50">
        <f>+'Commodity Tonnages'!A10</f>
        <v>45199</v>
      </c>
      <c r="B10" s="51" t="s">
        <v>67</v>
      </c>
      <c r="C10" s="83">
        <f>'Single Family'!G74</f>
        <v>992.04</v>
      </c>
      <c r="D10" s="84">
        <f>'Single Family'!G76</f>
        <v>-69.739999999999995</v>
      </c>
      <c r="E10" s="84">
        <f>'Single Family'!G77</f>
        <v>0</v>
      </c>
      <c r="F10" s="85">
        <f>'Single Family'!G72</f>
        <v>63.512</v>
      </c>
      <c r="G10" s="83">
        <f>'Single Family'!G75</f>
        <v>87.736000000000004</v>
      </c>
      <c r="H10" s="83">
        <f>'Single Family'!G79</f>
        <v>26.176000000000002</v>
      </c>
      <c r="I10" s="83">
        <f>'Single Family'!G73</f>
        <v>-21.722444444444449</v>
      </c>
      <c r="J10" s="83">
        <f>'Single Family'!G73</f>
        <v>-21.722444444444449</v>
      </c>
      <c r="K10" s="83">
        <f>'Single Family'!G70</f>
        <v>82.848000000000013</v>
      </c>
      <c r="L10" s="84">
        <f>'Single Family'!G78</f>
        <v>-171.77</v>
      </c>
      <c r="M10" s="113"/>
    </row>
    <row r="11" spans="1:13" ht="15.75" customHeight="1" x14ac:dyDescent="0.2">
      <c r="A11" s="50">
        <f>+'Commodity Tonnages'!A11</f>
        <v>45230</v>
      </c>
      <c r="B11" s="51" t="s">
        <v>68</v>
      </c>
      <c r="C11" s="83">
        <f>'Single Family'!H74</f>
        <v>1018.896</v>
      </c>
      <c r="D11" s="84">
        <f>'Single Family'!H76</f>
        <v>-59.02</v>
      </c>
      <c r="E11" s="84">
        <f>'Single Family'!H77</f>
        <v>0</v>
      </c>
      <c r="F11" s="85">
        <f>'Single Family'!H72</f>
        <v>73.512</v>
      </c>
      <c r="G11" s="83">
        <f>'Single Family'!H75</f>
        <v>98.528000000000006</v>
      </c>
      <c r="H11" s="83">
        <f>'Single Family'!H79</f>
        <v>46.2</v>
      </c>
      <c r="I11" s="83">
        <f>'Single Family'!H73</f>
        <v>12.714162393162393</v>
      </c>
      <c r="J11" s="83">
        <f>'Single Family'!H73</f>
        <v>12.714162393162393</v>
      </c>
      <c r="K11" s="83">
        <f>'Single Family'!H70</f>
        <v>100.03200000000001</v>
      </c>
      <c r="L11" s="84">
        <f>'Single Family'!H78</f>
        <v>-172.32</v>
      </c>
      <c r="M11" s="113"/>
    </row>
    <row r="12" spans="1:13" ht="15.75" customHeight="1" x14ac:dyDescent="0.2">
      <c r="A12" s="50">
        <f>+'Commodity Tonnages'!A12</f>
        <v>45260</v>
      </c>
      <c r="B12" s="51" t="s">
        <v>69</v>
      </c>
      <c r="C12" s="83">
        <f>'Single Family'!I74</f>
        <v>1002.088</v>
      </c>
      <c r="D12" s="84">
        <f>'Single Family'!I76</f>
        <v>-65.42</v>
      </c>
      <c r="E12" s="84">
        <f>'Single Family'!I77</f>
        <v>0</v>
      </c>
      <c r="F12" s="85">
        <f>'Single Family'!I72</f>
        <v>83.272000000000006</v>
      </c>
      <c r="G12" s="83">
        <f>'Single Family'!I75</f>
        <v>83.576000000000008</v>
      </c>
      <c r="H12" s="83">
        <f>'Single Family'!I79</f>
        <v>28.6</v>
      </c>
      <c r="I12" s="83">
        <f>'Single Family'!I73</f>
        <v>-18.604649572649581</v>
      </c>
      <c r="J12" s="83">
        <f>'Single Family'!I73</f>
        <v>-18.604649572649581</v>
      </c>
      <c r="K12" s="83">
        <f>'Single Family'!I70</f>
        <v>85.44</v>
      </c>
      <c r="L12" s="84">
        <f>'Single Family'!I78</f>
        <v>-171.84</v>
      </c>
      <c r="M12" s="113"/>
    </row>
    <row r="13" spans="1:13" ht="15.75" customHeight="1" x14ac:dyDescent="0.2">
      <c r="A13" s="50">
        <f>+'Commodity Tonnages'!A13</f>
        <v>45291</v>
      </c>
      <c r="B13" s="51" t="s">
        <v>70</v>
      </c>
      <c r="C13" s="83">
        <f>'Single Family'!J74</f>
        <v>976.10400000000016</v>
      </c>
      <c r="D13" s="84">
        <f>'Single Family'!J76</f>
        <v>-96.35</v>
      </c>
      <c r="E13" s="84">
        <f>'Single Family'!J77</f>
        <v>0</v>
      </c>
      <c r="F13" s="85">
        <f>'Single Family'!J72</f>
        <v>72.072000000000003</v>
      </c>
      <c r="G13" s="83">
        <f>'Single Family'!J75</f>
        <v>89.584000000000003</v>
      </c>
      <c r="H13" s="83">
        <f>'Single Family'!J79</f>
        <v>42.56</v>
      </c>
      <c r="I13" s="83">
        <f>'Single Family'!J73</f>
        <v>12.315025641025645</v>
      </c>
      <c r="J13" s="83">
        <f>'Single Family'!J73</f>
        <v>12.315025641025645</v>
      </c>
      <c r="K13" s="83">
        <f>'Single Family'!J70</f>
        <v>89.496000000000009</v>
      </c>
      <c r="L13" s="84">
        <f>'Single Family'!J78</f>
        <v>-171.71</v>
      </c>
      <c r="M13" s="113"/>
    </row>
    <row r="14" spans="1:13" ht="15.75" customHeight="1" x14ac:dyDescent="0.2">
      <c r="A14" s="50">
        <f>+'Commodity Tonnages'!A14</f>
        <v>45322</v>
      </c>
      <c r="B14" s="51" t="s">
        <v>71</v>
      </c>
      <c r="C14" s="83">
        <f>'Single Family'!K74</f>
        <v>1032.008</v>
      </c>
      <c r="D14" s="84">
        <f>'Single Family'!K76</f>
        <v>-60.42</v>
      </c>
      <c r="E14" s="84">
        <f>'Single Family'!K77</f>
        <v>0</v>
      </c>
      <c r="F14" s="85">
        <f>'Single Family'!K72</f>
        <v>70.968000000000004</v>
      </c>
      <c r="G14" s="83">
        <f>'Single Family'!K75</f>
        <v>90.720000000000013</v>
      </c>
      <c r="H14" s="83">
        <f>'Single Family'!K79</f>
        <v>51.48</v>
      </c>
      <c r="I14" s="83">
        <f>'Single Family'!K73</f>
        <v>23.630869565217392</v>
      </c>
      <c r="J14" s="83">
        <f>'Single Family'!K73</f>
        <v>23.630869565217392</v>
      </c>
      <c r="K14" s="83">
        <f>'Single Family'!K70</f>
        <v>100.12</v>
      </c>
      <c r="L14" s="84">
        <f>'Single Family'!K78</f>
        <v>-171.64</v>
      </c>
      <c r="M14" s="113"/>
    </row>
    <row r="15" spans="1:13" ht="15.75" customHeight="1" x14ac:dyDescent="0.2">
      <c r="A15" s="50">
        <f>+'Commodity Tonnages'!A15</f>
        <v>45351</v>
      </c>
      <c r="B15" s="51" t="s">
        <v>72</v>
      </c>
      <c r="C15" s="83">
        <f>'Single Family'!L74</f>
        <v>1081.8720000000001</v>
      </c>
      <c r="D15" s="84">
        <f>'Single Family'!L76</f>
        <v>-55.51</v>
      </c>
      <c r="E15" s="84">
        <f>'Single Family'!L77</f>
        <v>0</v>
      </c>
      <c r="F15" s="85">
        <f>'Single Family'!L72</f>
        <v>104.80799999999999</v>
      </c>
      <c r="G15" s="83">
        <f>'Single Family'!L75</f>
        <v>90.256</v>
      </c>
      <c r="H15" s="83">
        <f>'Single Family'!L79</f>
        <v>48.488</v>
      </c>
      <c r="I15" s="83">
        <f>'Single Family'!L73</f>
        <v>-115.20189723320159</v>
      </c>
      <c r="J15" s="83">
        <f>'Single Family'!L73</f>
        <v>-115.20189723320159</v>
      </c>
      <c r="K15" s="83">
        <f>'Single Family'!L70</f>
        <v>102.18400000000001</v>
      </c>
      <c r="L15" s="84">
        <f>'Single Family'!L78</f>
        <v>-179.13</v>
      </c>
      <c r="M15" s="113"/>
    </row>
    <row r="16" spans="1:13" ht="15.75" customHeight="1" x14ac:dyDescent="0.2">
      <c r="A16" s="50">
        <f>+'Commodity Tonnages'!A16</f>
        <v>45382</v>
      </c>
      <c r="B16" s="51" t="s">
        <v>73</v>
      </c>
      <c r="C16" s="83">
        <f>'Single Family'!M74</f>
        <v>1100.1200000000001</v>
      </c>
      <c r="D16" s="84">
        <f>'Single Family'!M76</f>
        <v>-53.41</v>
      </c>
      <c r="E16" s="84">
        <f>'Single Family'!M77</f>
        <v>0</v>
      </c>
      <c r="F16" s="85">
        <f>'Single Family'!M72</f>
        <v>90.08</v>
      </c>
      <c r="G16" s="83">
        <f>'Single Family'!M75</f>
        <v>80.168000000000006</v>
      </c>
      <c r="H16" s="83">
        <f>'Single Family'!M79</f>
        <v>50.384</v>
      </c>
      <c r="I16" s="83">
        <f>'Single Family'!M73</f>
        <v>-124.37162055335968</v>
      </c>
      <c r="J16" s="83">
        <f>'Single Family'!M73</f>
        <v>-124.37162055335968</v>
      </c>
      <c r="K16" s="83">
        <f>'Single Family'!M70</f>
        <v>111.48</v>
      </c>
      <c r="L16" s="84">
        <f>'Single Family'!M78</f>
        <v>-182.75</v>
      </c>
      <c r="M16" s="113"/>
    </row>
    <row r="17" spans="1:14" ht="15.75" customHeight="1" x14ac:dyDescent="0.2">
      <c r="A17" s="50">
        <f>+'Commodity Tonnages'!A17</f>
        <v>45412</v>
      </c>
      <c r="B17" s="51" t="s">
        <v>74</v>
      </c>
      <c r="C17" s="83">
        <f>'Single Family'!N74</f>
        <v>1269.3920000000001</v>
      </c>
      <c r="D17" s="84">
        <f>'Single Family'!N76</f>
        <v>-63.02</v>
      </c>
      <c r="E17" s="84">
        <f>'Single Family'!N77</f>
        <v>0</v>
      </c>
      <c r="F17" s="85">
        <f>'Single Family'!N72</f>
        <v>91.544000000000011</v>
      </c>
      <c r="G17" s="83">
        <f>'Single Family'!N75</f>
        <v>79.144000000000005</v>
      </c>
      <c r="H17" s="83">
        <f>'Single Family'!N79</f>
        <v>53.304000000000002</v>
      </c>
      <c r="I17" s="83">
        <f>'Single Family'!N73</f>
        <v>65.924723320158094</v>
      </c>
      <c r="J17" s="83">
        <f>'Single Family'!N73</f>
        <v>65.924723320158094</v>
      </c>
      <c r="K17" s="83">
        <f>'Single Family'!N70</f>
        <v>114.512</v>
      </c>
      <c r="L17" s="84">
        <f>'Single Family'!N78</f>
        <v>-184.4</v>
      </c>
      <c r="M17" s="113"/>
    </row>
    <row r="18" spans="1:14" x14ac:dyDescent="0.2">
      <c r="A18" s="51"/>
      <c r="B18" s="51"/>
      <c r="C18" s="52"/>
      <c r="D18" s="52"/>
      <c r="E18" s="52"/>
      <c r="F18" s="52"/>
      <c r="G18" s="52"/>
      <c r="H18" s="52"/>
      <c r="I18" s="52"/>
      <c r="J18" s="52"/>
      <c r="K18" s="52"/>
      <c r="L18" s="51"/>
      <c r="M18" s="52"/>
    </row>
    <row r="19" spans="1:14" x14ac:dyDescent="0.2">
      <c r="A19" s="54"/>
      <c r="B19" s="51"/>
      <c r="C19" s="52"/>
      <c r="D19" s="52"/>
      <c r="E19" s="52"/>
      <c r="F19" s="52"/>
      <c r="G19" s="52"/>
      <c r="H19" s="52"/>
      <c r="I19" s="52"/>
      <c r="J19" s="52"/>
      <c r="K19" s="52"/>
      <c r="L19" s="52"/>
      <c r="M19" s="52"/>
      <c r="N19" s="52"/>
    </row>
    <row r="20" spans="1:14" x14ac:dyDescent="0.2">
      <c r="A20" s="51"/>
      <c r="B20" s="51"/>
      <c r="C20" s="51"/>
      <c r="D20" s="51"/>
      <c r="E20" s="51"/>
      <c r="F20" s="51"/>
      <c r="G20" s="51"/>
      <c r="H20" s="51"/>
      <c r="I20" s="51"/>
      <c r="J20" s="51"/>
      <c r="K20" s="51"/>
      <c r="L20" s="51"/>
      <c r="M20" s="52"/>
    </row>
    <row r="21" spans="1:14" x14ac:dyDescent="0.2">
      <c r="A21" s="51"/>
      <c r="B21" s="51"/>
      <c r="C21" s="51"/>
      <c r="D21" s="51"/>
      <c r="E21" s="51"/>
      <c r="F21" s="51"/>
      <c r="G21" s="51"/>
      <c r="H21" s="51"/>
      <c r="I21" s="51"/>
      <c r="J21" s="51"/>
      <c r="K21" s="51"/>
      <c r="L21" s="51"/>
      <c r="M21" s="52"/>
    </row>
    <row r="22" spans="1:14" x14ac:dyDescent="0.2">
      <c r="A22" s="51"/>
      <c r="B22" s="51"/>
      <c r="C22" s="51"/>
      <c r="D22" s="51"/>
      <c r="F22" s="51"/>
      <c r="G22" s="51"/>
      <c r="H22" s="51"/>
      <c r="I22" s="51"/>
      <c r="J22" s="51"/>
      <c r="K22" s="51"/>
      <c r="L22" s="51"/>
      <c r="M22" s="52"/>
    </row>
    <row r="23" spans="1:14" x14ac:dyDescent="0.2">
      <c r="A23" s="51"/>
      <c r="B23" s="51"/>
      <c r="C23" s="51"/>
      <c r="D23" s="51"/>
      <c r="F23" s="51"/>
      <c r="G23" s="51"/>
      <c r="H23" s="51"/>
      <c r="I23" s="51"/>
      <c r="J23" s="51"/>
      <c r="K23" s="51"/>
      <c r="L23" s="51"/>
      <c r="M23" s="52"/>
    </row>
    <row r="24" spans="1:14" x14ac:dyDescent="0.2">
      <c r="A24" s="51"/>
      <c r="B24" s="51"/>
      <c r="C24" s="51"/>
      <c r="D24" s="51"/>
      <c r="G24" s="51"/>
      <c r="H24" s="51"/>
      <c r="I24" s="51"/>
      <c r="J24" s="51"/>
      <c r="K24" s="51"/>
      <c r="L24" s="51"/>
      <c r="M24" s="52"/>
    </row>
    <row r="25" spans="1:14" x14ac:dyDescent="0.2">
      <c r="A25" s="51"/>
      <c r="B25" s="51"/>
      <c r="C25" s="51"/>
      <c r="D25" s="51"/>
      <c r="F25" s="51"/>
      <c r="G25" s="51"/>
      <c r="H25" s="51"/>
      <c r="I25" s="51"/>
      <c r="J25" s="51"/>
      <c r="K25" s="51"/>
      <c r="L25" s="51"/>
      <c r="M25" s="52"/>
    </row>
    <row r="26" spans="1:14" x14ac:dyDescent="0.2">
      <c r="A26" s="51"/>
      <c r="B26" s="51"/>
      <c r="C26" s="51"/>
      <c r="D26" s="51"/>
      <c r="F26" s="51"/>
      <c r="G26" s="51"/>
      <c r="H26" s="51"/>
      <c r="I26" s="51"/>
      <c r="J26" s="51"/>
      <c r="K26" s="51"/>
      <c r="L26" s="51"/>
      <c r="M26" s="52"/>
    </row>
    <row r="27" spans="1:14" x14ac:dyDescent="0.2">
      <c r="A27" s="51"/>
      <c r="B27" s="51"/>
      <c r="C27" s="51"/>
      <c r="D27" s="51"/>
      <c r="F27" s="51"/>
      <c r="G27" s="51"/>
      <c r="H27" s="51"/>
      <c r="I27" s="51"/>
      <c r="J27" s="51"/>
      <c r="K27" s="51"/>
      <c r="L27" s="51"/>
      <c r="M27" s="52"/>
    </row>
    <row r="28" spans="1:14" x14ac:dyDescent="0.2">
      <c r="A28" s="51"/>
      <c r="B28" s="51"/>
      <c r="C28" s="51"/>
      <c r="D28" s="51"/>
      <c r="F28" s="51"/>
      <c r="G28" s="51"/>
      <c r="H28" s="51"/>
      <c r="I28" s="51"/>
      <c r="J28" s="51"/>
      <c r="K28" s="51"/>
      <c r="L28" s="51"/>
      <c r="M28" s="52"/>
    </row>
    <row r="29" spans="1:14" x14ac:dyDescent="0.2">
      <c r="A29" s="51"/>
      <c r="B29" s="51"/>
      <c r="C29" s="51"/>
      <c r="D29" s="51"/>
      <c r="F29" s="51"/>
      <c r="G29" s="51"/>
      <c r="H29" s="51"/>
      <c r="I29" s="51"/>
      <c r="J29" s="51"/>
      <c r="K29" s="51"/>
      <c r="L29" s="51"/>
      <c r="M29" s="52"/>
    </row>
    <row r="30" spans="1:14" x14ac:dyDescent="0.2">
      <c r="A30" s="51"/>
      <c r="B30" s="51"/>
      <c r="C30" s="51"/>
      <c r="D30" s="51"/>
      <c r="F30" s="51"/>
      <c r="G30" s="51"/>
      <c r="H30" s="51"/>
      <c r="I30" s="51"/>
      <c r="J30" s="51"/>
      <c r="K30" s="51"/>
      <c r="L30" s="51"/>
      <c r="M30" s="51"/>
    </row>
    <row r="31" spans="1:14" x14ac:dyDescent="0.2">
      <c r="A31" s="51"/>
      <c r="B31" s="51"/>
      <c r="C31" s="51"/>
      <c r="D31" s="51"/>
      <c r="F31" s="51"/>
      <c r="G31" s="51"/>
      <c r="H31" s="51"/>
      <c r="I31" s="51"/>
      <c r="J31" s="51"/>
      <c r="K31" s="51"/>
      <c r="L31" s="51"/>
      <c r="M31" s="51"/>
    </row>
    <row r="32" spans="1:14" x14ac:dyDescent="0.2">
      <c r="A32" s="51"/>
      <c r="B32" s="51"/>
      <c r="C32" s="51"/>
      <c r="D32" s="51"/>
      <c r="F32" s="51"/>
      <c r="G32" s="51"/>
      <c r="H32" s="51"/>
      <c r="I32" s="51"/>
      <c r="J32" s="51"/>
      <c r="K32" s="51"/>
      <c r="L32" s="51"/>
      <c r="M32" s="51"/>
    </row>
    <row r="33" spans="1:13" x14ac:dyDescent="0.2">
      <c r="A33" s="51"/>
      <c r="B33" s="51"/>
      <c r="C33" s="51"/>
      <c r="D33" s="51"/>
      <c r="F33" s="51"/>
      <c r="G33" s="51"/>
      <c r="H33" s="51"/>
      <c r="I33" s="51"/>
      <c r="J33" s="51"/>
      <c r="K33" s="51"/>
      <c r="L33" s="51"/>
      <c r="M33" s="51"/>
    </row>
    <row r="34" spans="1:13" x14ac:dyDescent="0.2">
      <c r="A34" s="51"/>
      <c r="B34" s="51"/>
      <c r="C34" s="51"/>
      <c r="D34" s="51"/>
      <c r="E34" s="51"/>
      <c r="F34" s="51"/>
      <c r="G34" s="51"/>
      <c r="H34" s="51"/>
      <c r="I34" s="51"/>
      <c r="J34" s="51"/>
      <c r="K34" s="51"/>
      <c r="L34" s="51"/>
      <c r="M34" s="51"/>
    </row>
    <row r="35" spans="1:13" x14ac:dyDescent="0.2">
      <c r="A35" s="51"/>
      <c r="B35" s="51"/>
      <c r="C35" s="51"/>
      <c r="D35" s="51"/>
      <c r="E35" s="51"/>
      <c r="F35" s="51"/>
      <c r="G35" s="51"/>
      <c r="H35" s="51"/>
      <c r="I35" s="51"/>
      <c r="J35" s="51"/>
      <c r="K35" s="51"/>
      <c r="L35" s="51"/>
      <c r="M35" s="51"/>
    </row>
    <row r="36" spans="1:13" x14ac:dyDescent="0.2">
      <c r="A36" s="51"/>
      <c r="B36" s="51"/>
      <c r="C36" s="51"/>
      <c r="D36" s="51"/>
      <c r="E36" s="51"/>
      <c r="F36" s="51"/>
      <c r="G36" s="51"/>
      <c r="H36" s="51"/>
      <c r="I36" s="51"/>
      <c r="J36" s="51"/>
      <c r="K36" s="51"/>
      <c r="L36" s="51"/>
      <c r="M36" s="51"/>
    </row>
    <row r="37" spans="1:13" x14ac:dyDescent="0.2">
      <c r="A37" s="51"/>
      <c r="B37" s="51"/>
      <c r="C37" s="51"/>
      <c r="D37" s="51"/>
      <c r="E37" s="51"/>
      <c r="F37" s="51"/>
      <c r="G37" s="51"/>
      <c r="H37" s="51"/>
      <c r="I37" s="51"/>
      <c r="J37" s="51"/>
      <c r="K37" s="51"/>
      <c r="L37" s="51"/>
      <c r="M37" s="51"/>
    </row>
    <row r="38" spans="1:13" x14ac:dyDescent="0.2">
      <c r="A38" s="51"/>
      <c r="B38" s="51"/>
      <c r="C38" s="51"/>
      <c r="D38" s="51"/>
      <c r="E38" s="51"/>
      <c r="F38" s="51"/>
      <c r="G38" s="51"/>
      <c r="H38" s="51"/>
      <c r="I38" s="51"/>
      <c r="J38" s="51"/>
      <c r="K38" s="51"/>
      <c r="L38" s="51"/>
      <c r="M38" s="51"/>
    </row>
    <row r="39" spans="1:13" x14ac:dyDescent="0.2">
      <c r="A39" s="51"/>
      <c r="B39" s="51"/>
      <c r="C39" s="51"/>
      <c r="D39" s="51"/>
      <c r="E39" s="51"/>
      <c r="F39" s="51"/>
      <c r="G39" s="51"/>
      <c r="H39" s="51"/>
      <c r="I39" s="51"/>
      <c r="J39" s="51"/>
      <c r="K39" s="51"/>
      <c r="L39" s="51"/>
      <c r="M39" s="51"/>
    </row>
    <row r="40" spans="1:13" x14ac:dyDescent="0.2">
      <c r="A40" s="51"/>
      <c r="B40" s="51"/>
      <c r="C40" s="51"/>
      <c r="D40" s="51"/>
      <c r="E40" s="51"/>
      <c r="F40" s="51"/>
      <c r="G40" s="51"/>
      <c r="H40" s="51"/>
      <c r="I40" s="51"/>
      <c r="J40" s="51"/>
      <c r="K40" s="51"/>
      <c r="L40" s="51"/>
      <c r="M40" s="51"/>
    </row>
    <row r="41" spans="1:13" x14ac:dyDescent="0.2">
      <c r="A41" s="51"/>
      <c r="B41" s="51"/>
      <c r="C41" s="51"/>
      <c r="D41" s="51"/>
      <c r="E41" s="51"/>
      <c r="F41" s="51"/>
      <c r="G41" s="51"/>
      <c r="H41" s="51"/>
      <c r="I41" s="51"/>
      <c r="J41" s="51"/>
      <c r="K41" s="51"/>
      <c r="L41" s="51"/>
      <c r="M41" s="51"/>
    </row>
    <row r="42" spans="1:13" x14ac:dyDescent="0.2">
      <c r="A42" s="51"/>
      <c r="B42" s="51"/>
      <c r="C42" s="51"/>
      <c r="D42" s="51"/>
      <c r="E42" s="51"/>
      <c r="F42" s="51"/>
      <c r="G42" s="51"/>
      <c r="H42" s="51"/>
      <c r="I42" s="51"/>
      <c r="J42" s="51"/>
      <c r="K42" s="51"/>
      <c r="L42" s="51"/>
      <c r="M42" s="51"/>
    </row>
    <row r="43" spans="1:13" x14ac:dyDescent="0.2">
      <c r="A43" s="51"/>
      <c r="B43" s="51"/>
      <c r="C43" s="51"/>
      <c r="D43" s="51"/>
      <c r="E43" s="51"/>
      <c r="F43" s="51"/>
      <c r="G43" s="51"/>
      <c r="H43" s="51"/>
      <c r="I43" s="51"/>
      <c r="J43" s="51"/>
      <c r="K43" s="51"/>
      <c r="L43" s="51"/>
      <c r="M43" s="51"/>
    </row>
    <row r="44" spans="1:13" x14ac:dyDescent="0.2">
      <c r="A44" s="51"/>
      <c r="B44" s="51"/>
      <c r="C44" s="51"/>
      <c r="D44" s="51"/>
      <c r="E44" s="51"/>
      <c r="F44" s="51"/>
      <c r="G44" s="51"/>
      <c r="H44" s="51"/>
      <c r="I44" s="51"/>
      <c r="J44" s="51"/>
      <c r="K44" s="51"/>
      <c r="L44" s="51"/>
      <c r="M44" s="51"/>
    </row>
    <row r="45" spans="1:13" x14ac:dyDescent="0.2">
      <c r="A45" s="51"/>
      <c r="B45" s="51"/>
      <c r="C45" s="51"/>
      <c r="D45" s="51"/>
      <c r="E45" s="51"/>
      <c r="F45" s="51"/>
      <c r="G45" s="51"/>
      <c r="H45" s="51"/>
      <c r="I45" s="51"/>
      <c r="J45" s="51"/>
      <c r="K45" s="51"/>
      <c r="L45" s="51"/>
      <c r="M45" s="51"/>
    </row>
    <row r="46" spans="1:13" x14ac:dyDescent="0.2">
      <c r="A46" s="51"/>
      <c r="B46" s="51"/>
      <c r="C46" s="51"/>
      <c r="D46" s="51"/>
      <c r="E46" s="51"/>
      <c r="F46" s="51"/>
      <c r="G46" s="51"/>
      <c r="H46" s="51"/>
      <c r="I46" s="51"/>
      <c r="J46" s="51"/>
      <c r="K46" s="51"/>
      <c r="L46" s="51"/>
      <c r="M46" s="51"/>
    </row>
    <row r="47" spans="1:13" x14ac:dyDescent="0.2">
      <c r="A47" s="51"/>
      <c r="B47" s="51"/>
      <c r="C47" s="51"/>
      <c r="D47" s="51"/>
      <c r="E47" s="51"/>
      <c r="F47" s="51"/>
      <c r="G47" s="51"/>
      <c r="H47" s="51"/>
      <c r="I47" s="51"/>
      <c r="J47" s="51"/>
      <c r="K47" s="51"/>
      <c r="L47" s="51"/>
      <c r="M47" s="51"/>
    </row>
    <row r="48" spans="1:13" x14ac:dyDescent="0.2">
      <c r="A48" s="51"/>
      <c r="B48" s="51"/>
      <c r="C48" s="51"/>
      <c r="D48" s="51"/>
      <c r="E48" s="51"/>
      <c r="F48" s="51"/>
      <c r="G48" s="51"/>
      <c r="H48" s="51"/>
      <c r="I48" s="51"/>
      <c r="J48" s="51"/>
      <c r="K48" s="51"/>
      <c r="L48" s="51"/>
      <c r="M48" s="51"/>
    </row>
    <row r="49" spans="1:13" x14ac:dyDescent="0.2">
      <c r="A49" s="51"/>
      <c r="B49" s="51"/>
      <c r="C49" s="51"/>
      <c r="D49" s="51"/>
      <c r="E49" s="51"/>
      <c r="F49" s="51"/>
      <c r="G49" s="51"/>
      <c r="H49" s="51"/>
      <c r="I49" s="51"/>
      <c r="J49" s="51"/>
      <c r="K49" s="51"/>
      <c r="L49" s="51"/>
      <c r="M49" s="51"/>
    </row>
    <row r="50" spans="1:13" x14ac:dyDescent="0.2">
      <c r="A50" s="51"/>
      <c r="B50" s="51"/>
      <c r="C50" s="51"/>
      <c r="D50" s="51"/>
      <c r="E50" s="51"/>
      <c r="F50" s="51"/>
      <c r="G50" s="51"/>
      <c r="H50" s="51"/>
      <c r="I50" s="51"/>
      <c r="J50" s="51"/>
      <c r="K50" s="51"/>
      <c r="L50" s="51"/>
      <c r="M50" s="51"/>
    </row>
    <row r="51" spans="1:13" x14ac:dyDescent="0.2">
      <c r="A51" s="51"/>
      <c r="B51" s="51"/>
      <c r="C51" s="51"/>
      <c r="D51" s="51"/>
      <c r="E51" s="51"/>
      <c r="F51" s="51"/>
      <c r="G51" s="51"/>
      <c r="H51" s="51"/>
      <c r="I51" s="51"/>
      <c r="J51" s="51"/>
      <c r="K51" s="51"/>
      <c r="L51" s="51"/>
      <c r="M51" s="51"/>
    </row>
    <row r="52" spans="1:13" x14ac:dyDescent="0.2">
      <c r="A52" s="51"/>
      <c r="B52" s="51"/>
      <c r="C52" s="51"/>
      <c r="D52" s="51"/>
      <c r="E52" s="51"/>
      <c r="F52" s="51"/>
      <c r="G52" s="51"/>
      <c r="H52" s="51"/>
      <c r="I52" s="51"/>
      <c r="J52" s="51"/>
      <c r="K52" s="51"/>
      <c r="L52" s="51"/>
      <c r="M52" s="51"/>
    </row>
    <row r="53" spans="1:13" x14ac:dyDescent="0.2">
      <c r="A53" s="51"/>
      <c r="B53" s="51"/>
      <c r="C53" s="51"/>
      <c r="D53" s="51"/>
      <c r="E53" s="51"/>
      <c r="F53" s="51"/>
      <c r="G53" s="51"/>
      <c r="H53" s="51"/>
      <c r="I53" s="51"/>
      <c r="J53" s="51"/>
      <c r="K53" s="51"/>
      <c r="L53" s="51"/>
      <c r="M53" s="51"/>
    </row>
    <row r="54" spans="1:13" x14ac:dyDescent="0.2">
      <c r="A54" s="51"/>
      <c r="B54" s="51"/>
      <c r="C54" s="51"/>
      <c r="D54" s="51"/>
      <c r="E54" s="51"/>
      <c r="F54" s="51"/>
      <c r="G54" s="51"/>
      <c r="H54" s="51"/>
      <c r="I54" s="51"/>
      <c r="J54" s="51"/>
      <c r="K54" s="51"/>
      <c r="L54" s="51"/>
      <c r="M54" s="51"/>
    </row>
    <row r="55" spans="1:13" x14ac:dyDescent="0.2">
      <c r="A55" s="51"/>
      <c r="B55" s="51"/>
      <c r="C55" s="51"/>
      <c r="D55" s="51"/>
      <c r="E55" s="51"/>
      <c r="F55" s="51"/>
      <c r="G55" s="51"/>
      <c r="H55" s="51"/>
      <c r="I55" s="51"/>
      <c r="J55" s="51"/>
      <c r="K55" s="51"/>
      <c r="L55" s="51"/>
      <c r="M55" s="51"/>
    </row>
    <row r="56" spans="1:13" x14ac:dyDescent="0.2">
      <c r="A56" s="51"/>
      <c r="B56" s="51"/>
      <c r="C56" s="51"/>
      <c r="D56" s="51"/>
      <c r="E56" s="51"/>
      <c r="F56" s="51"/>
      <c r="G56" s="51"/>
      <c r="H56" s="51"/>
      <c r="I56" s="51"/>
      <c r="J56" s="51"/>
      <c r="K56" s="51"/>
      <c r="L56" s="51"/>
      <c r="M56" s="51"/>
    </row>
    <row r="57" spans="1:13" x14ac:dyDescent="0.2">
      <c r="A57" s="51"/>
      <c r="B57" s="51"/>
      <c r="C57" s="51"/>
      <c r="D57" s="51"/>
      <c r="E57" s="51"/>
      <c r="F57" s="51"/>
      <c r="G57" s="51"/>
      <c r="H57" s="51"/>
      <c r="I57" s="51"/>
      <c r="J57" s="51"/>
      <c r="K57" s="51"/>
      <c r="L57" s="51"/>
      <c r="M57" s="51"/>
    </row>
    <row r="58" spans="1:13" x14ac:dyDescent="0.2">
      <c r="A58" s="51"/>
      <c r="B58" s="51"/>
      <c r="C58" s="51"/>
      <c r="D58" s="51"/>
      <c r="E58" s="51"/>
      <c r="F58" s="51"/>
      <c r="G58" s="51"/>
      <c r="H58" s="51"/>
      <c r="I58" s="51"/>
      <c r="J58" s="51"/>
      <c r="K58" s="51"/>
      <c r="L58" s="51"/>
      <c r="M58" s="51"/>
    </row>
    <row r="59" spans="1:13" x14ac:dyDescent="0.2">
      <c r="A59" s="51"/>
      <c r="B59" s="51"/>
      <c r="C59" s="51"/>
      <c r="D59" s="51"/>
      <c r="E59" s="51"/>
      <c r="F59" s="51"/>
      <c r="G59" s="51"/>
      <c r="H59" s="51"/>
      <c r="I59" s="51"/>
      <c r="J59" s="51"/>
      <c r="K59" s="51"/>
      <c r="L59" s="51"/>
      <c r="M59" s="51"/>
    </row>
    <row r="60" spans="1:13" x14ac:dyDescent="0.2">
      <c r="A60" s="51"/>
      <c r="B60" s="51"/>
      <c r="C60" s="51"/>
      <c r="D60" s="51"/>
      <c r="E60" s="51"/>
      <c r="F60" s="51"/>
      <c r="G60" s="51"/>
      <c r="H60" s="51"/>
      <c r="I60" s="51"/>
      <c r="J60" s="51"/>
      <c r="K60" s="51"/>
      <c r="L60" s="51"/>
      <c r="M60" s="51"/>
    </row>
    <row r="61" spans="1:13" x14ac:dyDescent="0.2">
      <c r="A61" s="51"/>
      <c r="B61" s="51"/>
      <c r="C61" s="51"/>
      <c r="D61" s="51"/>
      <c r="E61" s="51"/>
      <c r="F61" s="51"/>
      <c r="G61" s="51"/>
      <c r="H61" s="51"/>
      <c r="I61" s="51"/>
      <c r="J61" s="51"/>
      <c r="K61" s="51"/>
      <c r="L61" s="51"/>
      <c r="M61" s="51"/>
    </row>
    <row r="62" spans="1:13" x14ac:dyDescent="0.2">
      <c r="A62" s="51"/>
      <c r="B62" s="51"/>
      <c r="C62" s="51"/>
      <c r="D62" s="51"/>
      <c r="E62" s="51"/>
      <c r="F62" s="51"/>
      <c r="G62" s="51"/>
      <c r="H62" s="51"/>
      <c r="I62" s="51"/>
      <c r="J62" s="51"/>
      <c r="K62" s="51"/>
      <c r="L62" s="51"/>
      <c r="M62" s="51"/>
    </row>
    <row r="63" spans="1:13" x14ac:dyDescent="0.2">
      <c r="A63" s="51"/>
      <c r="B63" s="51"/>
      <c r="C63" s="51"/>
      <c r="D63" s="51"/>
      <c r="E63" s="51"/>
      <c r="F63" s="51"/>
      <c r="G63" s="51"/>
      <c r="H63" s="51"/>
      <c r="I63" s="51"/>
      <c r="J63" s="51"/>
      <c r="K63" s="51"/>
      <c r="L63" s="51"/>
      <c r="M63" s="51"/>
    </row>
    <row r="64" spans="1:13" x14ac:dyDescent="0.2">
      <c r="A64" s="51"/>
      <c r="B64" s="51"/>
      <c r="C64" s="51"/>
      <c r="D64" s="51"/>
      <c r="E64" s="51"/>
      <c r="F64" s="51"/>
      <c r="G64" s="51"/>
      <c r="H64" s="51"/>
      <c r="I64" s="51"/>
      <c r="J64" s="51"/>
      <c r="K64" s="51"/>
      <c r="L64" s="51"/>
      <c r="M64" s="51"/>
    </row>
    <row r="65" spans="1:13" x14ac:dyDescent="0.2">
      <c r="A65" s="51"/>
      <c r="B65" s="51"/>
      <c r="C65" s="51"/>
      <c r="D65" s="51"/>
      <c r="E65" s="51"/>
      <c r="F65" s="51"/>
      <c r="G65" s="51"/>
      <c r="H65" s="51"/>
      <c r="I65" s="51"/>
      <c r="J65" s="51"/>
      <c r="K65" s="51"/>
      <c r="L65" s="51"/>
      <c r="M65" s="51"/>
    </row>
    <row r="66" spans="1:13" x14ac:dyDescent="0.2">
      <c r="A66" s="51"/>
      <c r="B66" s="51"/>
      <c r="C66" s="51"/>
      <c r="D66" s="51"/>
      <c r="E66" s="51"/>
      <c r="F66" s="51"/>
      <c r="G66" s="51"/>
      <c r="H66" s="51"/>
      <c r="I66" s="51"/>
      <c r="J66" s="51"/>
      <c r="K66" s="51"/>
      <c r="L66" s="51"/>
      <c r="M66" s="51"/>
    </row>
    <row r="67" spans="1:13" x14ac:dyDescent="0.2">
      <c r="A67" s="51"/>
      <c r="B67" s="51"/>
      <c r="C67" s="51"/>
      <c r="D67" s="51"/>
      <c r="E67" s="51"/>
      <c r="F67" s="51"/>
      <c r="G67" s="51"/>
      <c r="H67" s="51"/>
      <c r="I67" s="51"/>
      <c r="J67" s="51"/>
      <c r="K67" s="51"/>
      <c r="L67" s="51"/>
      <c r="M67" s="51"/>
    </row>
    <row r="68" spans="1:13" x14ac:dyDescent="0.2">
      <c r="A68" s="51"/>
      <c r="B68" s="51"/>
      <c r="C68" s="51"/>
      <c r="D68" s="51"/>
      <c r="E68" s="51"/>
      <c r="F68" s="51"/>
      <c r="G68" s="51"/>
      <c r="H68" s="51"/>
      <c r="I68" s="51"/>
      <c r="J68" s="51"/>
      <c r="K68" s="51"/>
      <c r="L68" s="51"/>
      <c r="M68" s="51"/>
    </row>
    <row r="69" spans="1:13" x14ac:dyDescent="0.2">
      <c r="A69" s="51"/>
      <c r="B69" s="51"/>
      <c r="C69" s="51"/>
      <c r="D69" s="51"/>
      <c r="E69" s="51"/>
      <c r="F69" s="51"/>
      <c r="G69" s="51"/>
      <c r="H69" s="51"/>
      <c r="I69" s="51"/>
      <c r="J69" s="51"/>
      <c r="K69" s="51"/>
      <c r="L69" s="51"/>
      <c r="M69" s="51"/>
    </row>
    <row r="70" spans="1:13" x14ac:dyDescent="0.2">
      <c r="A70" s="51"/>
      <c r="B70" s="51"/>
      <c r="C70" s="51"/>
      <c r="D70" s="51"/>
      <c r="E70" s="51"/>
      <c r="F70" s="51"/>
      <c r="G70" s="51"/>
      <c r="H70" s="51"/>
      <c r="I70" s="51"/>
      <c r="J70" s="51"/>
      <c r="K70" s="51"/>
      <c r="L70" s="51"/>
      <c r="M70" s="51"/>
    </row>
    <row r="71" spans="1:13" x14ac:dyDescent="0.2">
      <c r="A71" s="51"/>
      <c r="B71" s="51"/>
      <c r="C71" s="51"/>
      <c r="D71" s="51"/>
      <c r="E71" s="51"/>
      <c r="F71" s="51"/>
      <c r="G71" s="51"/>
      <c r="H71" s="51"/>
      <c r="I71" s="51"/>
      <c r="J71" s="51"/>
      <c r="K71" s="51"/>
      <c r="L71" s="51"/>
      <c r="M71" s="51"/>
    </row>
    <row r="72" spans="1:13" x14ac:dyDescent="0.2">
      <c r="A72" s="51"/>
      <c r="B72" s="51"/>
      <c r="C72" s="51"/>
      <c r="D72" s="51"/>
      <c r="E72" s="51"/>
      <c r="F72" s="51"/>
      <c r="G72" s="51"/>
      <c r="H72" s="51"/>
      <c r="I72" s="51"/>
      <c r="J72" s="51"/>
      <c r="K72" s="51"/>
      <c r="L72" s="51"/>
      <c r="M72" s="51"/>
    </row>
    <row r="73" spans="1:13" x14ac:dyDescent="0.2">
      <c r="A73" s="51"/>
      <c r="B73" s="51"/>
      <c r="C73" s="51"/>
      <c r="D73" s="51"/>
      <c r="E73" s="51"/>
      <c r="F73" s="51"/>
      <c r="G73" s="51"/>
      <c r="H73" s="51"/>
      <c r="I73" s="51"/>
      <c r="J73" s="51"/>
      <c r="K73" s="51"/>
      <c r="L73" s="51"/>
      <c r="M73" s="51"/>
    </row>
    <row r="74" spans="1:13" x14ac:dyDescent="0.2">
      <c r="A74" s="51"/>
      <c r="B74" s="51"/>
      <c r="C74" s="51"/>
      <c r="D74" s="51"/>
      <c r="E74" s="51"/>
      <c r="F74" s="51"/>
      <c r="G74" s="51"/>
      <c r="H74" s="51"/>
      <c r="I74" s="51"/>
      <c r="J74" s="51"/>
      <c r="K74" s="51"/>
      <c r="L74" s="51"/>
      <c r="M74" s="51"/>
    </row>
    <row r="75" spans="1:13" x14ac:dyDescent="0.2">
      <c r="A75" s="51"/>
      <c r="B75" s="51"/>
      <c r="C75" s="51"/>
      <c r="D75" s="51"/>
      <c r="E75" s="51"/>
      <c r="F75" s="51"/>
      <c r="G75" s="51"/>
      <c r="H75" s="51"/>
      <c r="I75" s="51"/>
      <c r="J75" s="51"/>
      <c r="K75" s="51"/>
      <c r="L75" s="51"/>
      <c r="M75" s="51"/>
    </row>
    <row r="76" spans="1:13" x14ac:dyDescent="0.2">
      <c r="A76" s="51"/>
      <c r="B76" s="51"/>
      <c r="C76" s="51"/>
      <c r="D76" s="51"/>
      <c r="E76" s="51"/>
      <c r="F76" s="51"/>
      <c r="G76" s="51"/>
      <c r="H76" s="51"/>
      <c r="I76" s="51"/>
      <c r="J76" s="51"/>
      <c r="K76" s="51"/>
      <c r="L76" s="51"/>
      <c r="M76" s="51"/>
    </row>
    <row r="77" spans="1:13" x14ac:dyDescent="0.2">
      <c r="A77" s="51"/>
      <c r="B77" s="51"/>
      <c r="C77" s="51"/>
      <c r="D77" s="51"/>
      <c r="E77" s="51"/>
      <c r="F77" s="51"/>
      <c r="G77" s="51"/>
      <c r="H77" s="51"/>
      <c r="I77" s="51"/>
      <c r="J77" s="51"/>
      <c r="K77" s="51"/>
      <c r="L77" s="51"/>
      <c r="M77" s="51"/>
    </row>
    <row r="78" spans="1:13" x14ac:dyDescent="0.2">
      <c r="A78" s="51"/>
      <c r="B78" s="51"/>
      <c r="C78" s="51"/>
      <c r="D78" s="51"/>
      <c r="E78" s="51"/>
      <c r="F78" s="51"/>
      <c r="G78" s="51"/>
      <c r="H78" s="51"/>
      <c r="I78" s="51"/>
      <c r="J78" s="51"/>
      <c r="K78" s="51"/>
      <c r="L78" s="51"/>
      <c r="M78" s="51"/>
    </row>
    <row r="79" spans="1:13" x14ac:dyDescent="0.2">
      <c r="A79" s="51"/>
      <c r="B79" s="51"/>
      <c r="C79" s="51"/>
      <c r="D79" s="51"/>
      <c r="E79" s="51"/>
      <c r="F79" s="51"/>
      <c r="G79" s="51"/>
      <c r="H79" s="51"/>
      <c r="I79" s="51"/>
      <c r="J79" s="51"/>
      <c r="K79" s="51"/>
      <c r="L79" s="51"/>
      <c r="M79" s="51"/>
    </row>
    <row r="80" spans="1:13" x14ac:dyDescent="0.2">
      <c r="A80" s="51"/>
      <c r="B80" s="51"/>
      <c r="C80" s="51"/>
      <c r="D80" s="51"/>
      <c r="E80" s="51"/>
      <c r="F80" s="51"/>
      <c r="G80" s="51"/>
      <c r="H80" s="51"/>
      <c r="I80" s="51"/>
      <c r="J80" s="51"/>
      <c r="K80" s="51"/>
      <c r="L80" s="51"/>
      <c r="M80" s="51"/>
    </row>
    <row r="81" spans="1:13" x14ac:dyDescent="0.2">
      <c r="A81" s="51"/>
      <c r="B81" s="51"/>
      <c r="C81" s="51"/>
      <c r="D81" s="51"/>
      <c r="E81" s="51"/>
      <c r="F81" s="51"/>
      <c r="G81" s="51"/>
      <c r="H81" s="51"/>
      <c r="I81" s="51"/>
      <c r="J81" s="51"/>
      <c r="K81" s="51"/>
      <c r="L81" s="51"/>
      <c r="M81" s="51"/>
    </row>
    <row r="82" spans="1:13" x14ac:dyDescent="0.2">
      <c r="A82" s="51"/>
      <c r="B82" s="51"/>
      <c r="C82" s="51"/>
      <c r="D82" s="51"/>
      <c r="E82" s="51"/>
      <c r="F82" s="51"/>
      <c r="G82" s="51"/>
      <c r="H82" s="51"/>
      <c r="I82" s="51"/>
      <c r="J82" s="51"/>
      <c r="K82" s="51"/>
      <c r="L82" s="51"/>
      <c r="M82" s="51"/>
    </row>
    <row r="83" spans="1:13" x14ac:dyDescent="0.2">
      <c r="A83" s="51"/>
      <c r="B83" s="51"/>
      <c r="C83" s="51"/>
      <c r="D83" s="51"/>
      <c r="E83" s="51"/>
      <c r="F83" s="51"/>
      <c r="G83" s="51"/>
      <c r="H83" s="51"/>
      <c r="I83" s="51"/>
      <c r="J83" s="51"/>
      <c r="K83" s="51"/>
      <c r="L83" s="51"/>
      <c r="M83" s="51"/>
    </row>
    <row r="84" spans="1:13" x14ac:dyDescent="0.2">
      <c r="A84" s="51"/>
      <c r="B84" s="51"/>
      <c r="C84" s="51"/>
      <c r="D84" s="51"/>
      <c r="E84" s="51"/>
      <c r="F84" s="51"/>
      <c r="G84" s="51"/>
      <c r="H84" s="51"/>
      <c r="I84" s="51"/>
      <c r="J84" s="51"/>
      <c r="K84" s="51"/>
      <c r="L84" s="51"/>
      <c r="M84" s="51"/>
    </row>
    <row r="85" spans="1:13" x14ac:dyDescent="0.2">
      <c r="A85" s="51"/>
      <c r="B85" s="51"/>
      <c r="C85" s="51"/>
      <c r="D85" s="51"/>
      <c r="E85" s="51"/>
      <c r="F85" s="51"/>
      <c r="G85" s="51"/>
      <c r="H85" s="51"/>
      <c r="I85" s="51"/>
      <c r="J85" s="51"/>
      <c r="K85" s="51"/>
      <c r="L85" s="51"/>
      <c r="M85" s="51"/>
    </row>
    <row r="86" spans="1:13" x14ac:dyDescent="0.2">
      <c r="A86" s="51"/>
      <c r="B86" s="51"/>
      <c r="C86" s="51"/>
      <c r="D86" s="51"/>
      <c r="E86" s="51"/>
      <c r="F86" s="51"/>
      <c r="G86" s="51"/>
      <c r="H86" s="51"/>
      <c r="I86" s="51"/>
      <c r="J86" s="51"/>
      <c r="K86" s="51"/>
      <c r="L86" s="51"/>
      <c r="M86" s="51"/>
    </row>
    <row r="87" spans="1:13" x14ac:dyDescent="0.2">
      <c r="A87" s="51"/>
      <c r="B87" s="51"/>
      <c r="C87" s="51"/>
      <c r="D87" s="51"/>
      <c r="E87" s="51"/>
      <c r="F87" s="51"/>
      <c r="G87" s="51"/>
      <c r="H87" s="51"/>
      <c r="I87" s="51"/>
      <c r="J87" s="51"/>
      <c r="K87" s="51"/>
      <c r="L87" s="51"/>
      <c r="M87" s="51"/>
    </row>
    <row r="88" spans="1:13" x14ac:dyDescent="0.2">
      <c r="A88" s="51"/>
      <c r="B88" s="51"/>
      <c r="C88" s="51"/>
      <c r="D88" s="51"/>
      <c r="E88" s="51"/>
      <c r="F88" s="51"/>
      <c r="G88" s="51"/>
      <c r="H88" s="51"/>
      <c r="I88" s="51"/>
      <c r="J88" s="51"/>
      <c r="K88" s="51"/>
      <c r="L88" s="51"/>
      <c r="M88" s="51"/>
    </row>
    <row r="89" spans="1:13" x14ac:dyDescent="0.2">
      <c r="A89" s="51"/>
      <c r="B89" s="51"/>
      <c r="C89" s="51"/>
      <c r="D89" s="51"/>
      <c r="E89" s="51"/>
      <c r="F89" s="51"/>
      <c r="G89" s="51"/>
      <c r="H89" s="51"/>
      <c r="I89" s="51"/>
      <c r="J89" s="51"/>
      <c r="K89" s="51"/>
      <c r="L89" s="51"/>
      <c r="M89" s="51"/>
    </row>
    <row r="90" spans="1:13" x14ac:dyDescent="0.2">
      <c r="A90" s="51"/>
      <c r="B90" s="51"/>
      <c r="C90" s="51"/>
      <c r="D90" s="51"/>
      <c r="E90" s="51"/>
      <c r="F90" s="51"/>
      <c r="G90" s="51"/>
      <c r="H90" s="51"/>
      <c r="I90" s="51"/>
      <c r="J90" s="51"/>
      <c r="K90" s="51"/>
      <c r="L90" s="51"/>
      <c r="M90" s="51"/>
    </row>
    <row r="91" spans="1:13" x14ac:dyDescent="0.2">
      <c r="A91" s="51"/>
      <c r="B91" s="51"/>
      <c r="C91" s="51"/>
      <c r="D91" s="51"/>
      <c r="E91" s="51"/>
      <c r="F91" s="51"/>
      <c r="G91" s="51"/>
      <c r="H91" s="51"/>
      <c r="I91" s="51"/>
      <c r="J91" s="51"/>
      <c r="K91" s="51"/>
      <c r="L91" s="51"/>
      <c r="M91" s="51"/>
    </row>
    <row r="92" spans="1:13" x14ac:dyDescent="0.2">
      <c r="A92" s="51"/>
      <c r="B92" s="51"/>
      <c r="C92" s="51"/>
      <c r="D92" s="51"/>
      <c r="E92" s="51"/>
      <c r="F92" s="51"/>
      <c r="G92" s="51"/>
      <c r="H92" s="51"/>
      <c r="I92" s="51"/>
      <c r="J92" s="51"/>
      <c r="K92" s="51"/>
      <c r="L92" s="51"/>
      <c r="M92" s="51"/>
    </row>
    <row r="93" spans="1:13" x14ac:dyDescent="0.2">
      <c r="A93" s="51"/>
      <c r="B93" s="51"/>
      <c r="C93" s="51"/>
      <c r="D93" s="51"/>
      <c r="E93" s="51"/>
      <c r="F93" s="51"/>
      <c r="G93" s="51"/>
      <c r="H93" s="51"/>
      <c r="I93" s="51"/>
      <c r="J93" s="51"/>
      <c r="K93" s="51"/>
      <c r="L93" s="51"/>
      <c r="M93" s="51"/>
    </row>
    <row r="94" spans="1:13" x14ac:dyDescent="0.2">
      <c r="A94" s="51"/>
      <c r="B94" s="51"/>
      <c r="C94" s="51"/>
      <c r="D94" s="51"/>
      <c r="E94" s="51"/>
      <c r="F94" s="51"/>
      <c r="G94" s="51"/>
      <c r="H94" s="51"/>
      <c r="I94" s="51"/>
      <c r="J94" s="51"/>
      <c r="K94" s="51"/>
      <c r="L94" s="51"/>
      <c r="M94" s="51"/>
    </row>
    <row r="95" spans="1:13" x14ac:dyDescent="0.2">
      <c r="A95" s="51"/>
      <c r="B95" s="51"/>
      <c r="C95" s="51"/>
      <c r="D95" s="51"/>
      <c r="E95" s="51"/>
      <c r="F95" s="51"/>
      <c r="G95" s="51"/>
      <c r="H95" s="51"/>
      <c r="I95" s="51"/>
      <c r="J95" s="51"/>
      <c r="K95" s="51"/>
      <c r="L95" s="51"/>
      <c r="M95" s="51"/>
    </row>
    <row r="96" spans="1:13" x14ac:dyDescent="0.2">
      <c r="A96" s="51"/>
      <c r="B96" s="51"/>
      <c r="C96" s="51"/>
      <c r="D96" s="51"/>
      <c r="E96" s="51"/>
      <c r="F96" s="51"/>
      <c r="G96" s="51"/>
      <c r="H96" s="51"/>
      <c r="I96" s="51"/>
      <c r="J96" s="51"/>
      <c r="K96" s="51"/>
      <c r="L96" s="51"/>
      <c r="M96" s="51"/>
    </row>
    <row r="97" spans="1:13" x14ac:dyDescent="0.2">
      <c r="A97" s="51"/>
      <c r="B97" s="51"/>
      <c r="C97" s="51"/>
      <c r="D97" s="51"/>
      <c r="E97" s="51"/>
      <c r="F97" s="51"/>
      <c r="G97" s="51"/>
      <c r="H97" s="51"/>
      <c r="I97" s="51"/>
      <c r="J97" s="51"/>
      <c r="K97" s="51"/>
      <c r="L97" s="51"/>
      <c r="M97" s="51"/>
    </row>
    <row r="98" spans="1:13" x14ac:dyDescent="0.2">
      <c r="A98" s="51"/>
      <c r="B98" s="51"/>
      <c r="C98" s="51"/>
      <c r="D98" s="51"/>
      <c r="E98" s="51"/>
      <c r="F98" s="51"/>
      <c r="G98" s="51"/>
      <c r="H98" s="51"/>
      <c r="I98" s="51"/>
      <c r="J98" s="51"/>
      <c r="K98" s="51"/>
      <c r="L98" s="51"/>
      <c r="M98" s="51"/>
    </row>
    <row r="99" spans="1:13" x14ac:dyDescent="0.2">
      <c r="A99" s="51"/>
      <c r="B99" s="51"/>
      <c r="C99" s="51"/>
      <c r="D99" s="51"/>
      <c r="E99" s="51"/>
      <c r="F99" s="51"/>
      <c r="G99" s="51"/>
      <c r="H99" s="51"/>
      <c r="I99" s="51"/>
      <c r="J99" s="51"/>
      <c r="K99" s="51"/>
      <c r="L99" s="51"/>
      <c r="M99" s="51"/>
    </row>
    <row r="100" spans="1:13" x14ac:dyDescent="0.2">
      <c r="A100" s="51"/>
      <c r="B100" s="51"/>
      <c r="C100" s="51"/>
      <c r="D100" s="51"/>
      <c r="E100" s="51"/>
      <c r="F100" s="51"/>
      <c r="G100" s="51"/>
      <c r="H100" s="51"/>
      <c r="I100" s="51"/>
      <c r="J100" s="51"/>
      <c r="K100" s="51"/>
      <c r="L100" s="51"/>
      <c r="M100" s="51"/>
    </row>
    <row r="101" spans="1:13" x14ac:dyDescent="0.2">
      <c r="A101" s="51"/>
      <c r="B101" s="51"/>
      <c r="C101" s="51"/>
      <c r="D101" s="51"/>
      <c r="E101" s="51"/>
      <c r="F101" s="51"/>
      <c r="G101" s="51"/>
      <c r="H101" s="51"/>
      <c r="I101" s="51"/>
      <c r="J101" s="51"/>
      <c r="K101" s="51"/>
      <c r="L101" s="51"/>
      <c r="M101" s="51"/>
    </row>
    <row r="102" spans="1:13" x14ac:dyDescent="0.2">
      <c r="A102" s="51"/>
      <c r="B102" s="51"/>
      <c r="C102" s="51"/>
      <c r="D102" s="51"/>
      <c r="E102" s="51"/>
      <c r="F102" s="51"/>
      <c r="G102" s="51"/>
      <c r="H102" s="51"/>
      <c r="I102" s="51"/>
      <c r="J102" s="51"/>
      <c r="K102" s="51"/>
      <c r="L102" s="51"/>
      <c r="M102" s="51"/>
    </row>
    <row r="103" spans="1:13" x14ac:dyDescent="0.2">
      <c r="A103" s="51"/>
      <c r="B103" s="51"/>
      <c r="C103" s="51"/>
      <c r="D103" s="51"/>
      <c r="E103" s="51"/>
      <c r="F103" s="51"/>
      <c r="G103" s="51"/>
      <c r="H103" s="51"/>
      <c r="I103" s="51"/>
      <c r="J103" s="51"/>
      <c r="K103" s="51"/>
      <c r="L103" s="51"/>
      <c r="M103" s="51"/>
    </row>
    <row r="104" spans="1:13" x14ac:dyDescent="0.2">
      <c r="A104" s="51"/>
      <c r="B104" s="51"/>
      <c r="C104" s="51"/>
      <c r="D104" s="51"/>
      <c r="E104" s="51"/>
      <c r="F104" s="51"/>
      <c r="G104" s="51"/>
      <c r="H104" s="51"/>
      <c r="I104" s="51"/>
      <c r="J104" s="51"/>
      <c r="K104" s="51"/>
      <c r="L104" s="51"/>
      <c r="M104" s="51"/>
    </row>
    <row r="105" spans="1:13" x14ac:dyDescent="0.2">
      <c r="A105" s="51"/>
      <c r="B105" s="51"/>
      <c r="C105" s="51"/>
      <c r="D105" s="51"/>
      <c r="E105" s="51"/>
      <c r="F105" s="51"/>
      <c r="G105" s="51"/>
      <c r="H105" s="51"/>
      <c r="I105" s="51"/>
      <c r="J105" s="51"/>
      <c r="K105" s="51"/>
      <c r="L105" s="51"/>
      <c r="M105" s="51"/>
    </row>
    <row r="106" spans="1:13" x14ac:dyDescent="0.2">
      <c r="A106" s="51"/>
      <c r="B106" s="51"/>
      <c r="C106" s="51"/>
      <c r="D106" s="51"/>
      <c r="E106" s="51"/>
      <c r="F106" s="51"/>
      <c r="G106" s="51"/>
      <c r="H106" s="51"/>
      <c r="I106" s="51"/>
      <c r="J106" s="51"/>
      <c r="K106" s="51"/>
      <c r="L106" s="51"/>
      <c r="M106" s="51"/>
    </row>
    <row r="107" spans="1:13" x14ac:dyDescent="0.2">
      <c r="A107" s="51"/>
      <c r="B107" s="51"/>
      <c r="C107" s="51"/>
      <c r="D107" s="51"/>
      <c r="E107" s="51"/>
      <c r="F107" s="51"/>
      <c r="G107" s="51"/>
      <c r="H107" s="51"/>
      <c r="I107" s="51"/>
      <c r="J107" s="51"/>
      <c r="K107" s="51"/>
      <c r="L107" s="51"/>
      <c r="M107" s="51"/>
    </row>
    <row r="108" spans="1:13" x14ac:dyDescent="0.2">
      <c r="A108" s="51"/>
      <c r="B108" s="51"/>
      <c r="C108" s="51"/>
      <c r="D108" s="51"/>
      <c r="E108" s="51"/>
      <c r="F108" s="51"/>
      <c r="G108" s="51"/>
      <c r="H108" s="51"/>
      <c r="I108" s="51"/>
      <c r="J108" s="51"/>
      <c r="K108" s="51"/>
      <c r="L108" s="51"/>
      <c r="M108" s="51"/>
    </row>
    <row r="109" spans="1:13" x14ac:dyDescent="0.2">
      <c r="A109" s="51"/>
      <c r="B109" s="51"/>
      <c r="C109" s="51"/>
      <c r="D109" s="51"/>
      <c r="E109" s="51"/>
      <c r="F109" s="51"/>
      <c r="G109" s="51"/>
      <c r="H109" s="51"/>
      <c r="I109" s="51"/>
      <c r="J109" s="51"/>
      <c r="K109" s="51"/>
      <c r="L109" s="51"/>
      <c r="M109" s="51"/>
    </row>
    <row r="110" spans="1:13" x14ac:dyDescent="0.2">
      <c r="A110" s="51"/>
      <c r="B110" s="51"/>
      <c r="C110" s="51"/>
      <c r="D110" s="51"/>
      <c r="E110" s="51"/>
      <c r="F110" s="51"/>
      <c r="G110" s="51"/>
      <c r="H110" s="51"/>
      <c r="I110" s="51"/>
      <c r="J110" s="51"/>
      <c r="K110" s="51"/>
      <c r="L110" s="51"/>
      <c r="M110" s="51"/>
    </row>
    <row r="111" spans="1:13" x14ac:dyDescent="0.2">
      <c r="A111" s="51"/>
      <c r="B111" s="51"/>
      <c r="C111" s="51"/>
      <c r="D111" s="51"/>
      <c r="E111" s="51"/>
      <c r="F111" s="51"/>
      <c r="G111" s="51"/>
      <c r="H111" s="51"/>
      <c r="I111" s="51"/>
      <c r="J111" s="51"/>
      <c r="K111" s="51"/>
      <c r="L111" s="51"/>
      <c r="M111" s="51"/>
    </row>
    <row r="112" spans="1:13" x14ac:dyDescent="0.2">
      <c r="A112" s="51"/>
      <c r="B112" s="51"/>
      <c r="C112" s="51"/>
      <c r="D112" s="51"/>
      <c r="E112" s="51"/>
      <c r="F112" s="51"/>
      <c r="G112" s="51"/>
      <c r="H112" s="51"/>
      <c r="I112" s="51"/>
      <c r="J112" s="51"/>
      <c r="K112" s="51"/>
      <c r="L112" s="51"/>
      <c r="M112" s="51"/>
    </row>
    <row r="113" spans="1:13" x14ac:dyDescent="0.2">
      <c r="A113" s="51"/>
      <c r="B113" s="51"/>
      <c r="C113" s="51"/>
      <c r="D113" s="51"/>
      <c r="E113" s="51"/>
      <c r="F113" s="51"/>
      <c r="G113" s="51"/>
      <c r="H113" s="51"/>
      <c r="I113" s="51"/>
      <c r="J113" s="51"/>
      <c r="K113" s="51"/>
      <c r="L113" s="51"/>
      <c r="M113" s="51"/>
    </row>
    <row r="114" spans="1:13" x14ac:dyDescent="0.2">
      <c r="A114" s="51"/>
      <c r="B114" s="51"/>
      <c r="C114" s="51"/>
      <c r="D114" s="51"/>
      <c r="E114" s="51"/>
      <c r="F114" s="51"/>
      <c r="G114" s="51"/>
      <c r="H114" s="51"/>
      <c r="I114" s="51"/>
      <c r="J114" s="51"/>
      <c r="K114" s="51"/>
      <c r="L114" s="51"/>
      <c r="M114" s="51"/>
    </row>
    <row r="115" spans="1:13" x14ac:dyDescent="0.2">
      <c r="A115" s="51"/>
      <c r="B115" s="51"/>
      <c r="C115" s="51"/>
      <c r="D115" s="51"/>
      <c r="E115" s="51"/>
      <c r="F115" s="51"/>
      <c r="G115" s="51"/>
      <c r="H115" s="51"/>
      <c r="I115" s="51"/>
      <c r="J115" s="51"/>
      <c r="K115" s="51"/>
      <c r="L115" s="51"/>
      <c r="M115" s="51"/>
    </row>
    <row r="116" spans="1:13" x14ac:dyDescent="0.2">
      <c r="A116" s="51"/>
      <c r="B116" s="51"/>
      <c r="C116" s="51"/>
      <c r="D116" s="51"/>
      <c r="E116" s="51"/>
      <c r="F116" s="51"/>
      <c r="G116" s="51"/>
      <c r="H116" s="51"/>
      <c r="I116" s="51"/>
      <c r="J116" s="51"/>
      <c r="K116" s="51"/>
      <c r="L116" s="51"/>
      <c r="M116" s="51"/>
    </row>
    <row r="117" spans="1:13" x14ac:dyDescent="0.2">
      <c r="A117" s="51"/>
      <c r="B117" s="51"/>
      <c r="C117" s="51"/>
      <c r="D117" s="51"/>
      <c r="E117" s="51"/>
      <c r="F117" s="51"/>
      <c r="G117" s="51"/>
      <c r="H117" s="51"/>
      <c r="I117" s="51"/>
      <c r="J117" s="51"/>
      <c r="K117" s="51"/>
      <c r="L117" s="51"/>
      <c r="M117" s="51"/>
    </row>
    <row r="118" spans="1:13" x14ac:dyDescent="0.2">
      <c r="A118" s="51"/>
      <c r="B118" s="51"/>
      <c r="C118" s="51"/>
      <c r="D118" s="51"/>
      <c r="E118" s="51"/>
      <c r="F118" s="51"/>
      <c r="G118" s="51"/>
      <c r="H118" s="51"/>
      <c r="I118" s="51"/>
      <c r="J118" s="51"/>
      <c r="K118" s="51"/>
      <c r="L118" s="51"/>
      <c r="M118" s="51"/>
    </row>
    <row r="119" spans="1:13" x14ac:dyDescent="0.2">
      <c r="A119" s="51"/>
      <c r="B119" s="51"/>
      <c r="C119" s="51"/>
      <c r="D119" s="51"/>
      <c r="E119" s="51"/>
      <c r="F119" s="51"/>
      <c r="G119" s="51"/>
      <c r="H119" s="51"/>
      <c r="I119" s="51"/>
      <c r="J119" s="51"/>
      <c r="K119" s="51"/>
      <c r="L119" s="51"/>
      <c r="M119" s="51"/>
    </row>
    <row r="120" spans="1:13" x14ac:dyDescent="0.2">
      <c r="A120" s="51"/>
      <c r="B120" s="51"/>
      <c r="C120" s="51"/>
      <c r="D120" s="51"/>
      <c r="E120" s="51"/>
      <c r="F120" s="51"/>
      <c r="G120" s="51"/>
      <c r="H120" s="51"/>
      <c r="I120" s="51"/>
      <c r="J120" s="51"/>
      <c r="K120" s="51"/>
      <c r="L120" s="51"/>
      <c r="M120" s="51"/>
    </row>
  </sheetData>
  <phoneticPr fontId="0" type="noConversion"/>
  <pageMargins left="0.5" right="0.5" top="0.75" bottom="0.7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V105"/>
  <sheetViews>
    <sheetView showGridLines="0" zoomScaleNormal="100" workbookViewId="0">
      <pane xSplit="2" ySplit="6" topLeftCell="C60" activePane="bottomRight" state="frozen"/>
      <selection activeCell="G56" sqref="G56"/>
      <selection pane="topRight" activeCell="G56" sqref="G56"/>
      <selection pane="bottomLeft" activeCell="G56" sqref="G56"/>
      <selection pane="bottomRight" activeCell="G68" sqref="G68"/>
    </sheetView>
  </sheetViews>
  <sheetFormatPr defaultColWidth="9.28515625" defaultRowHeight="11.25" x14ac:dyDescent="0.2"/>
  <cols>
    <col min="1" max="1" width="6" style="51" customWidth="1"/>
    <col min="2" max="2" width="17.7109375" style="51" customWidth="1"/>
    <col min="3" max="4" width="9.7109375" style="51" customWidth="1"/>
    <col min="5" max="5" width="11.28515625" style="51" customWidth="1"/>
    <col min="6" max="7" width="9.5703125" style="51" customWidth="1"/>
    <col min="8" max="8" width="9.7109375" style="51" customWidth="1"/>
    <col min="9" max="9" width="10.42578125" style="51" customWidth="1"/>
    <col min="10" max="10" width="10.7109375" style="51" customWidth="1"/>
    <col min="11" max="14" width="11.28515625" style="51" bestFit="1" customWidth="1"/>
    <col min="15" max="15" width="10.7109375" style="51" bestFit="1" customWidth="1"/>
    <col min="16" max="16" width="9.7109375" style="51" bestFit="1" customWidth="1"/>
    <col min="17" max="21" width="9.28515625" style="51"/>
    <col min="22" max="22" width="9.7109375" style="51" bestFit="1" customWidth="1"/>
    <col min="23" max="16384" width="9.28515625" style="51"/>
  </cols>
  <sheetData>
    <row r="2" spans="1:14" x14ac:dyDescent="0.2">
      <c r="B2" s="65" t="s">
        <v>75</v>
      </c>
      <c r="C2" s="54"/>
    </row>
    <row r="3" spans="1:14" x14ac:dyDescent="0.2">
      <c r="C3" s="54"/>
    </row>
    <row r="4" spans="1:14" x14ac:dyDescent="0.2">
      <c r="C4" s="66"/>
      <c r="D4" s="66"/>
      <c r="E4" s="66"/>
      <c r="F4" s="66"/>
      <c r="G4" s="66"/>
      <c r="H4" s="67"/>
      <c r="I4" s="67"/>
      <c r="J4" s="65"/>
    </row>
    <row r="5" spans="1:14" x14ac:dyDescent="0.2">
      <c r="C5" s="66"/>
      <c r="D5" s="66"/>
      <c r="E5" s="66"/>
      <c r="F5" s="66"/>
      <c r="G5" s="66"/>
      <c r="H5" s="67"/>
      <c r="I5" s="67"/>
      <c r="J5" s="66"/>
    </row>
    <row r="6" spans="1:14" ht="10.15" customHeight="1" x14ac:dyDescent="0.2">
      <c r="C6" s="90">
        <v>45047</v>
      </c>
      <c r="D6" s="68">
        <f t="shared" ref="D6:N6" si="0">EOMONTH(C6,1)</f>
        <v>45107</v>
      </c>
      <c r="E6" s="68">
        <f t="shared" si="0"/>
        <v>45138</v>
      </c>
      <c r="F6" s="68">
        <f t="shared" si="0"/>
        <v>45169</v>
      </c>
      <c r="G6" s="68">
        <f t="shared" si="0"/>
        <v>45199</v>
      </c>
      <c r="H6" s="68">
        <f t="shared" si="0"/>
        <v>45230</v>
      </c>
      <c r="I6" s="68">
        <f t="shared" si="0"/>
        <v>45260</v>
      </c>
      <c r="J6" s="68">
        <f t="shared" si="0"/>
        <v>45291</v>
      </c>
      <c r="K6" s="68">
        <f t="shared" si="0"/>
        <v>45322</v>
      </c>
      <c r="L6" s="68">
        <f t="shared" si="0"/>
        <v>45351</v>
      </c>
      <c r="M6" s="68">
        <f t="shared" si="0"/>
        <v>45382</v>
      </c>
      <c r="N6" s="68">
        <f t="shared" si="0"/>
        <v>45412</v>
      </c>
    </row>
    <row r="7" spans="1:14" s="52" customFormat="1" x14ac:dyDescent="0.2">
      <c r="A7" s="69" t="s">
        <v>44</v>
      </c>
      <c r="C7" s="91">
        <v>107.22905489451608</v>
      </c>
      <c r="D7" s="91">
        <v>111.83381713826824</v>
      </c>
      <c r="E7" s="91">
        <v>100.79253846066709</v>
      </c>
      <c r="F7" s="91">
        <v>143.3895586794815</v>
      </c>
      <c r="G7" s="91">
        <v>110.03401899372606</v>
      </c>
      <c r="H7" s="91">
        <v>114.86340718319443</v>
      </c>
      <c r="I7" s="91">
        <v>127.47298632393182</v>
      </c>
      <c r="J7" s="91">
        <v>134.39027313641725</v>
      </c>
      <c r="K7" s="91">
        <v>170.97541605727073</v>
      </c>
      <c r="L7" s="91">
        <v>139.25312588648254</v>
      </c>
      <c r="M7" s="91">
        <v>122.75339358350746</v>
      </c>
      <c r="N7" s="91">
        <v>111.34508400946223</v>
      </c>
    </row>
    <row r="8" spans="1:14" x14ac:dyDescent="0.2">
      <c r="A8" s="51" t="s">
        <v>45</v>
      </c>
      <c r="C8" s="70">
        <v>0</v>
      </c>
      <c r="D8" s="70">
        <v>0</v>
      </c>
      <c r="E8" s="70">
        <v>0</v>
      </c>
      <c r="F8" s="70">
        <v>0</v>
      </c>
      <c r="G8" s="70">
        <v>0</v>
      </c>
      <c r="H8" s="70">
        <v>0</v>
      </c>
      <c r="I8" s="70">
        <v>0</v>
      </c>
      <c r="J8" s="70">
        <v>0</v>
      </c>
      <c r="K8" s="70">
        <v>0</v>
      </c>
      <c r="L8" s="70">
        <v>0</v>
      </c>
      <c r="M8" s="70">
        <v>0</v>
      </c>
      <c r="N8" s="70">
        <v>0</v>
      </c>
    </row>
    <row r="9" spans="1:14" x14ac:dyDescent="0.2">
      <c r="A9" s="51" t="s">
        <v>46</v>
      </c>
      <c r="C9" s="71">
        <f t="shared" ref="C9:N9" si="1">+C7*C8</f>
        <v>0</v>
      </c>
      <c r="D9" s="71">
        <f t="shared" si="1"/>
        <v>0</v>
      </c>
      <c r="E9" s="71">
        <f t="shared" si="1"/>
        <v>0</v>
      </c>
      <c r="F9" s="71">
        <f t="shared" si="1"/>
        <v>0</v>
      </c>
      <c r="G9" s="71">
        <f t="shared" si="1"/>
        <v>0</v>
      </c>
      <c r="H9" s="71">
        <f t="shared" si="1"/>
        <v>0</v>
      </c>
      <c r="I9" s="71">
        <f t="shared" si="1"/>
        <v>0</v>
      </c>
      <c r="J9" s="71">
        <f t="shared" si="1"/>
        <v>0</v>
      </c>
      <c r="K9" s="71">
        <f t="shared" si="1"/>
        <v>0</v>
      </c>
      <c r="L9" s="71">
        <f t="shared" si="1"/>
        <v>0</v>
      </c>
      <c r="M9" s="71">
        <f t="shared" si="1"/>
        <v>0</v>
      </c>
      <c r="N9" s="71">
        <f t="shared" si="1"/>
        <v>0</v>
      </c>
    </row>
    <row r="10" spans="1:14" x14ac:dyDescent="0.2">
      <c r="A10" s="65" t="s">
        <v>47</v>
      </c>
      <c r="C10" s="72">
        <f t="shared" ref="C10:N10" si="2">+C7-C9</f>
        <v>107.22905489451608</v>
      </c>
      <c r="D10" s="72">
        <f t="shared" si="2"/>
        <v>111.83381713826824</v>
      </c>
      <c r="E10" s="72">
        <f t="shared" si="2"/>
        <v>100.79253846066709</v>
      </c>
      <c r="F10" s="72">
        <f t="shared" si="2"/>
        <v>143.3895586794815</v>
      </c>
      <c r="G10" s="72">
        <f t="shared" si="2"/>
        <v>110.03401899372606</v>
      </c>
      <c r="H10" s="72">
        <f t="shared" si="2"/>
        <v>114.86340718319443</v>
      </c>
      <c r="I10" s="72">
        <f t="shared" si="2"/>
        <v>127.47298632393182</v>
      </c>
      <c r="J10" s="72">
        <f t="shared" si="2"/>
        <v>134.39027313641725</v>
      </c>
      <c r="K10" s="72">
        <f t="shared" si="2"/>
        <v>170.97541605727073</v>
      </c>
      <c r="L10" s="72">
        <f t="shared" si="2"/>
        <v>139.25312588648254</v>
      </c>
      <c r="M10" s="72">
        <f t="shared" si="2"/>
        <v>122.75339358350746</v>
      </c>
      <c r="N10" s="72">
        <f t="shared" si="2"/>
        <v>111.34508400946223</v>
      </c>
    </row>
    <row r="12" spans="1:14" x14ac:dyDescent="0.2">
      <c r="A12" s="65" t="s">
        <v>48</v>
      </c>
    </row>
    <row r="13" spans="1:14" x14ac:dyDescent="0.2">
      <c r="B13" s="51" t="s">
        <v>23</v>
      </c>
      <c r="C13" s="89">
        <v>0</v>
      </c>
      <c r="D13" s="89">
        <v>0</v>
      </c>
      <c r="E13" s="89">
        <v>0</v>
      </c>
      <c r="F13" s="89">
        <v>0</v>
      </c>
      <c r="G13" s="89">
        <v>0</v>
      </c>
      <c r="H13" s="89">
        <v>0</v>
      </c>
      <c r="I13" s="89">
        <v>0</v>
      </c>
      <c r="J13" s="89">
        <v>0</v>
      </c>
      <c r="K13" s="89">
        <v>0</v>
      </c>
      <c r="L13" s="89">
        <v>0</v>
      </c>
      <c r="M13" s="89">
        <v>0</v>
      </c>
      <c r="N13" s="89">
        <v>0</v>
      </c>
    </row>
    <row r="14" spans="1:14" x14ac:dyDescent="0.2">
      <c r="B14" s="51" t="s">
        <v>27</v>
      </c>
      <c r="C14" s="89">
        <v>0.2601</v>
      </c>
      <c r="D14" s="89">
        <v>0.2601</v>
      </c>
      <c r="E14" s="89">
        <v>0.2601</v>
      </c>
      <c r="F14" s="89">
        <v>0.2601</v>
      </c>
      <c r="G14" s="89">
        <v>0.2601</v>
      </c>
      <c r="H14" s="89">
        <v>0.2601</v>
      </c>
      <c r="I14" s="89">
        <v>0.2601</v>
      </c>
      <c r="J14" s="89">
        <v>0.2601</v>
      </c>
      <c r="K14" s="89">
        <v>0.2631</v>
      </c>
      <c r="L14" s="89">
        <v>0.2631</v>
      </c>
      <c r="M14" s="89">
        <v>0.2631</v>
      </c>
      <c r="N14" s="89">
        <v>0.2631</v>
      </c>
    </row>
    <row r="15" spans="1:14" x14ac:dyDescent="0.2">
      <c r="B15" s="51" t="s">
        <v>49</v>
      </c>
      <c r="C15" s="89">
        <v>0</v>
      </c>
      <c r="D15" s="89">
        <v>0</v>
      </c>
      <c r="E15" s="89">
        <v>0</v>
      </c>
      <c r="F15" s="89">
        <v>0</v>
      </c>
      <c r="G15" s="89">
        <v>0</v>
      </c>
      <c r="H15" s="89">
        <v>0</v>
      </c>
      <c r="I15" s="89">
        <v>0</v>
      </c>
      <c r="J15" s="89">
        <v>0</v>
      </c>
      <c r="K15" s="89">
        <v>0</v>
      </c>
      <c r="L15" s="89">
        <v>0</v>
      </c>
      <c r="M15" s="89">
        <v>0</v>
      </c>
      <c r="N15" s="89">
        <v>0</v>
      </c>
    </row>
    <row r="16" spans="1:14" x14ac:dyDescent="0.2">
      <c r="B16" s="51" t="s">
        <v>50</v>
      </c>
      <c r="C16" s="89">
        <v>1.5100000000000001E-2</v>
      </c>
      <c r="D16" s="89">
        <v>1.5100000000000001E-2</v>
      </c>
      <c r="E16" s="89">
        <v>1.5100000000000001E-2</v>
      </c>
      <c r="F16" s="89">
        <v>1.5100000000000001E-2</v>
      </c>
      <c r="G16" s="89">
        <v>1.5100000000000001E-2</v>
      </c>
      <c r="H16" s="89">
        <v>1.5100000000000001E-2</v>
      </c>
      <c r="I16" s="89">
        <v>1.5100000000000001E-2</v>
      </c>
      <c r="J16" s="89">
        <v>1.5100000000000001E-2</v>
      </c>
      <c r="K16" s="89">
        <v>1.6199999999999999E-2</v>
      </c>
      <c r="L16" s="89">
        <v>1.6199999999999999E-2</v>
      </c>
      <c r="M16" s="89">
        <v>1.6199999999999999E-2</v>
      </c>
      <c r="N16" s="89">
        <v>1.6199999999999999E-2</v>
      </c>
    </row>
    <row r="17" spans="1:14" x14ac:dyDescent="0.2">
      <c r="B17" s="51" t="s">
        <v>51</v>
      </c>
      <c r="C17" s="89">
        <v>4.6800000000000001E-2</v>
      </c>
      <c r="D17" s="89">
        <v>4.6800000000000001E-2</v>
      </c>
      <c r="E17" s="89">
        <v>4.6800000000000001E-2</v>
      </c>
      <c r="F17" s="89">
        <v>4.6800000000000001E-2</v>
      </c>
      <c r="G17" s="89">
        <v>4.6800000000000001E-2</v>
      </c>
      <c r="H17" s="89">
        <v>4.6800000000000001E-2</v>
      </c>
      <c r="I17" s="89">
        <v>4.6800000000000001E-2</v>
      </c>
      <c r="J17" s="89">
        <v>4.6800000000000001E-2</v>
      </c>
      <c r="K17" s="89">
        <v>5.0600000000000006E-2</v>
      </c>
      <c r="L17" s="89">
        <v>5.0600000000000006E-2</v>
      </c>
      <c r="M17" s="89">
        <v>5.0600000000000006E-2</v>
      </c>
      <c r="N17" s="89">
        <v>5.0600000000000006E-2</v>
      </c>
    </row>
    <row r="18" spans="1:14" x14ac:dyDescent="0.2">
      <c r="B18" s="51" t="s">
        <v>52</v>
      </c>
      <c r="C18" s="89">
        <v>1.67E-2</v>
      </c>
      <c r="D18" s="89">
        <v>1.67E-2</v>
      </c>
      <c r="E18" s="89">
        <v>1.67E-2</v>
      </c>
      <c r="F18" s="89">
        <v>1.67E-2</v>
      </c>
      <c r="G18" s="89">
        <v>1.67E-2</v>
      </c>
      <c r="H18" s="89">
        <v>1.67E-2</v>
      </c>
      <c r="I18" s="89">
        <v>1.67E-2</v>
      </c>
      <c r="J18" s="89">
        <v>1.67E-2</v>
      </c>
      <c r="K18" s="89">
        <v>1.95E-2</v>
      </c>
      <c r="L18" s="89">
        <v>1.95E-2</v>
      </c>
      <c r="M18" s="89">
        <v>1.95E-2</v>
      </c>
      <c r="N18" s="89">
        <v>1.95E-2</v>
      </c>
    </row>
    <row r="19" spans="1:14" x14ac:dyDescent="0.2">
      <c r="B19" s="51" t="s">
        <v>53</v>
      </c>
      <c r="C19" s="89">
        <v>1E-3</v>
      </c>
      <c r="D19" s="89">
        <v>1E-3</v>
      </c>
      <c r="E19" s="89">
        <v>1E-3</v>
      </c>
      <c r="F19" s="89">
        <v>1E-3</v>
      </c>
      <c r="G19" s="89">
        <v>1E-3</v>
      </c>
      <c r="H19" s="89">
        <v>1E-3</v>
      </c>
      <c r="I19" s="89">
        <v>1E-3</v>
      </c>
      <c r="J19" s="89">
        <v>1E-3</v>
      </c>
      <c r="K19" s="89">
        <v>1E-3</v>
      </c>
      <c r="L19" s="89">
        <v>1E-3</v>
      </c>
      <c r="M19" s="89">
        <v>1E-3</v>
      </c>
      <c r="N19" s="89">
        <v>1E-3</v>
      </c>
    </row>
    <row r="20" spans="1:14" x14ac:dyDescent="0.2">
      <c r="B20" s="51" t="s">
        <v>22</v>
      </c>
      <c r="C20" s="89">
        <v>0.159</v>
      </c>
      <c r="D20" s="89">
        <v>0.159</v>
      </c>
      <c r="E20" s="89">
        <v>0.159</v>
      </c>
      <c r="F20" s="89">
        <v>0.159</v>
      </c>
      <c r="G20" s="89">
        <v>0.159</v>
      </c>
      <c r="H20" s="89">
        <v>0.159</v>
      </c>
      <c r="I20" s="89">
        <v>0.159</v>
      </c>
      <c r="J20" s="89">
        <v>0.159</v>
      </c>
      <c r="K20" s="89">
        <v>0.1197</v>
      </c>
      <c r="L20" s="89">
        <v>0.1197</v>
      </c>
      <c r="M20" s="89">
        <v>0.1197</v>
      </c>
      <c r="N20" s="89">
        <v>0.1197</v>
      </c>
    </row>
    <row r="21" spans="1:14" x14ac:dyDescent="0.2">
      <c r="B21" s="51" t="s">
        <v>87</v>
      </c>
      <c r="C21" s="89">
        <v>0</v>
      </c>
      <c r="D21" s="89">
        <v>0</v>
      </c>
      <c r="E21" s="89">
        <v>0</v>
      </c>
      <c r="F21" s="89">
        <v>0</v>
      </c>
      <c r="G21" s="89">
        <v>0</v>
      </c>
      <c r="H21" s="89">
        <v>0</v>
      </c>
      <c r="I21" s="89">
        <v>0</v>
      </c>
      <c r="J21" s="89">
        <v>0</v>
      </c>
      <c r="K21" s="89">
        <v>0</v>
      </c>
      <c r="L21" s="89">
        <v>0</v>
      </c>
      <c r="M21" s="89">
        <v>0</v>
      </c>
      <c r="N21" s="89">
        <v>0</v>
      </c>
    </row>
    <row r="22" spans="1:14" x14ac:dyDescent="0.2">
      <c r="B22" s="51" t="s">
        <v>54</v>
      </c>
      <c r="C22" s="89">
        <v>0.1694</v>
      </c>
      <c r="D22" s="89">
        <v>0.1694</v>
      </c>
      <c r="E22" s="89">
        <v>0.1694</v>
      </c>
      <c r="F22" s="89">
        <v>0.1694</v>
      </c>
      <c r="G22" s="89">
        <v>0.1694</v>
      </c>
      <c r="H22" s="89">
        <v>0.1694</v>
      </c>
      <c r="I22" s="89">
        <v>0.1694</v>
      </c>
      <c r="J22" s="89">
        <v>0.1694</v>
      </c>
      <c r="K22" s="89">
        <v>0.2194162752130806</v>
      </c>
      <c r="L22" s="89">
        <v>0.2194162752130806</v>
      </c>
      <c r="M22" s="89">
        <v>0.2194162752130806</v>
      </c>
      <c r="N22" s="89">
        <v>0.2194162752130806</v>
      </c>
    </row>
    <row r="23" spans="1:14" x14ac:dyDescent="0.2">
      <c r="B23" s="51" t="s">
        <v>55</v>
      </c>
      <c r="C23" s="89">
        <v>0.33189999999999997</v>
      </c>
      <c r="D23" s="89">
        <v>0.33189999999999997</v>
      </c>
      <c r="E23" s="89">
        <v>0.33189999999999997</v>
      </c>
      <c r="F23" s="89">
        <v>0.33189999999999997</v>
      </c>
      <c r="G23" s="89">
        <v>0.33189999999999997</v>
      </c>
      <c r="H23" s="89">
        <v>0.33189999999999997</v>
      </c>
      <c r="I23" s="89">
        <v>0.33189999999999997</v>
      </c>
      <c r="J23" s="89">
        <v>0.33189999999999997</v>
      </c>
      <c r="K23" s="89">
        <v>0.3105</v>
      </c>
      <c r="L23" s="89">
        <v>0.3105</v>
      </c>
      <c r="M23" s="89">
        <v>0.3105</v>
      </c>
      <c r="N23" s="89">
        <v>0.3105</v>
      </c>
    </row>
    <row r="24" spans="1:14" x14ac:dyDescent="0.2">
      <c r="C24" s="73">
        <v>1</v>
      </c>
      <c r="D24" s="73">
        <v>1</v>
      </c>
      <c r="E24" s="73">
        <v>1</v>
      </c>
      <c r="F24" s="73">
        <v>1</v>
      </c>
      <c r="G24" s="73">
        <v>1</v>
      </c>
      <c r="H24" s="73">
        <v>1</v>
      </c>
      <c r="I24" s="73">
        <v>1</v>
      </c>
      <c r="J24" s="73">
        <v>1</v>
      </c>
      <c r="K24" s="73">
        <v>1</v>
      </c>
      <c r="L24" s="73">
        <v>1</v>
      </c>
      <c r="M24" s="73">
        <v>1</v>
      </c>
      <c r="N24" s="73">
        <v>1</v>
      </c>
    </row>
    <row r="26" spans="1:14" x14ac:dyDescent="0.2">
      <c r="A26" s="65" t="s">
        <v>56</v>
      </c>
    </row>
    <row r="27" spans="1:14" x14ac:dyDescent="0.2">
      <c r="B27" s="51" t="s">
        <v>23</v>
      </c>
      <c r="C27" s="59">
        <f t="shared" ref="C27:C37" si="3">+C$10*C13</f>
        <v>0</v>
      </c>
      <c r="D27" s="59">
        <f t="shared" ref="D27:M27" si="4">+D$10*D13</f>
        <v>0</v>
      </c>
      <c r="E27" s="59">
        <f t="shared" si="4"/>
        <v>0</v>
      </c>
      <c r="F27" s="59">
        <f t="shared" si="4"/>
        <v>0</v>
      </c>
      <c r="G27" s="59">
        <f t="shared" si="4"/>
        <v>0</v>
      </c>
      <c r="H27" s="59">
        <f t="shared" si="4"/>
        <v>0</v>
      </c>
      <c r="I27" s="59">
        <f t="shared" si="4"/>
        <v>0</v>
      </c>
      <c r="J27" s="59">
        <f t="shared" si="4"/>
        <v>0</v>
      </c>
      <c r="K27" s="59">
        <f t="shared" si="4"/>
        <v>0</v>
      </c>
      <c r="L27" s="59">
        <f t="shared" si="4"/>
        <v>0</v>
      </c>
      <c r="M27" s="59">
        <f t="shared" si="4"/>
        <v>0</v>
      </c>
      <c r="N27" s="59">
        <f>+N$10*N13</f>
        <v>0</v>
      </c>
    </row>
    <row r="28" spans="1:14" x14ac:dyDescent="0.2">
      <c r="B28" s="51" t="s">
        <v>27</v>
      </c>
      <c r="C28" s="59">
        <f t="shared" si="3"/>
        <v>27.890277178063634</v>
      </c>
      <c r="D28" s="59">
        <f t="shared" ref="D28:M28" si="5">+D$10*D14</f>
        <v>29.087975837663571</v>
      </c>
      <c r="E28" s="59">
        <f>+E$10*E14</f>
        <v>26.216139253619509</v>
      </c>
      <c r="F28" s="59">
        <f t="shared" si="5"/>
        <v>37.295624212533134</v>
      </c>
      <c r="G28" s="59">
        <f t="shared" si="5"/>
        <v>28.619848340268149</v>
      </c>
      <c r="H28" s="59">
        <f t="shared" si="5"/>
        <v>29.87597220834887</v>
      </c>
      <c r="I28" s="59">
        <f t="shared" si="5"/>
        <v>33.155723742854669</v>
      </c>
      <c r="J28" s="59">
        <f t="shared" si="5"/>
        <v>34.954910042782124</v>
      </c>
      <c r="K28" s="59">
        <f t="shared" si="5"/>
        <v>44.983631964667929</v>
      </c>
      <c r="L28" s="59">
        <f t="shared" si="5"/>
        <v>36.637497420733553</v>
      </c>
      <c r="M28" s="59">
        <f t="shared" si="5"/>
        <v>32.296417851820813</v>
      </c>
      <c r="N28" s="59">
        <f>+N$10*N14</f>
        <v>29.294891602889511</v>
      </c>
    </row>
    <row r="29" spans="1:14" x14ac:dyDescent="0.2">
      <c r="B29" s="51" t="s">
        <v>49</v>
      </c>
      <c r="C29" s="59">
        <f t="shared" si="3"/>
        <v>0</v>
      </c>
      <c r="D29" s="59">
        <f t="shared" ref="D29:N29" si="6">+D$10*D15</f>
        <v>0</v>
      </c>
      <c r="E29" s="59">
        <f t="shared" si="6"/>
        <v>0</v>
      </c>
      <c r="F29" s="59">
        <f t="shared" si="6"/>
        <v>0</v>
      </c>
      <c r="G29" s="59">
        <f t="shared" si="6"/>
        <v>0</v>
      </c>
      <c r="H29" s="59">
        <f t="shared" si="6"/>
        <v>0</v>
      </c>
      <c r="I29" s="59">
        <f t="shared" si="6"/>
        <v>0</v>
      </c>
      <c r="J29" s="59">
        <f t="shared" si="6"/>
        <v>0</v>
      </c>
      <c r="K29" s="59">
        <f t="shared" si="6"/>
        <v>0</v>
      </c>
      <c r="L29" s="59">
        <f t="shared" si="6"/>
        <v>0</v>
      </c>
      <c r="M29" s="59">
        <f t="shared" si="6"/>
        <v>0</v>
      </c>
      <c r="N29" s="59">
        <f t="shared" si="6"/>
        <v>0</v>
      </c>
    </row>
    <row r="30" spans="1:14" x14ac:dyDescent="0.2">
      <c r="B30" s="51" t="s">
        <v>50</v>
      </c>
      <c r="C30" s="59">
        <f t="shared" si="3"/>
        <v>1.6191587289071929</v>
      </c>
      <c r="D30" s="59">
        <f t="shared" ref="D30:N30" si="7">+D$10*D16</f>
        <v>1.6886906387878506</v>
      </c>
      <c r="E30" s="59">
        <f t="shared" si="7"/>
        <v>1.521967330756073</v>
      </c>
      <c r="F30" s="59">
        <f t="shared" si="7"/>
        <v>2.1651823360601705</v>
      </c>
      <c r="G30" s="59">
        <f t="shared" si="7"/>
        <v>1.6615136868052636</v>
      </c>
      <c r="H30" s="59">
        <f t="shared" si="7"/>
        <v>1.7344374484662359</v>
      </c>
      <c r="I30" s="59">
        <f t="shared" si="7"/>
        <v>1.9248420934913706</v>
      </c>
      <c r="J30" s="59">
        <f t="shared" si="7"/>
        <v>2.0292931243599006</v>
      </c>
      <c r="K30" s="59">
        <f t="shared" si="7"/>
        <v>2.7698017401277859</v>
      </c>
      <c r="L30" s="59">
        <f t="shared" si="7"/>
        <v>2.255900639361017</v>
      </c>
      <c r="M30" s="59">
        <f t="shared" si="7"/>
        <v>1.9886049760528208</v>
      </c>
      <c r="N30" s="59">
        <f t="shared" si="7"/>
        <v>1.8037903609532879</v>
      </c>
    </row>
    <row r="31" spans="1:14" x14ac:dyDescent="0.2">
      <c r="B31" s="51" t="s">
        <v>51</v>
      </c>
      <c r="C31" s="59">
        <f t="shared" si="3"/>
        <v>5.0183197690633525</v>
      </c>
      <c r="D31" s="59">
        <f t="shared" ref="D31:N31" si="8">+D$10*D17</f>
        <v>5.2338226420709537</v>
      </c>
      <c r="E31" s="59">
        <f t="shared" si="8"/>
        <v>4.7170907999592195</v>
      </c>
      <c r="F31" s="59">
        <f t="shared" si="8"/>
        <v>6.710631346199734</v>
      </c>
      <c r="G31" s="59">
        <f t="shared" si="8"/>
        <v>5.1495920889063802</v>
      </c>
      <c r="H31" s="59">
        <f t="shared" si="8"/>
        <v>5.3756074561734994</v>
      </c>
      <c r="I31" s="59">
        <f t="shared" si="8"/>
        <v>5.9657357599600092</v>
      </c>
      <c r="J31" s="59">
        <f t="shared" si="8"/>
        <v>6.2894647827843277</v>
      </c>
      <c r="K31" s="59">
        <f t="shared" si="8"/>
        <v>8.651356052497901</v>
      </c>
      <c r="L31" s="59">
        <f t="shared" si="8"/>
        <v>7.0462081698560173</v>
      </c>
      <c r="M31" s="59">
        <f t="shared" si="8"/>
        <v>6.2113217153254778</v>
      </c>
      <c r="N31" s="59">
        <f t="shared" si="8"/>
        <v>5.6340612508787897</v>
      </c>
    </row>
    <row r="32" spans="1:14" x14ac:dyDescent="0.2">
      <c r="B32" s="51" t="s">
        <v>52</v>
      </c>
      <c r="C32" s="59">
        <f t="shared" si="3"/>
        <v>1.7907252167384184</v>
      </c>
      <c r="D32" s="59">
        <f t="shared" ref="D32:N32" si="9">+D$10*D18</f>
        <v>1.8676247462090796</v>
      </c>
      <c r="E32" s="59">
        <f t="shared" si="9"/>
        <v>1.6832353922931402</v>
      </c>
      <c r="F32" s="59">
        <f t="shared" si="9"/>
        <v>2.3946056299473408</v>
      </c>
      <c r="G32" s="59">
        <f t="shared" si="9"/>
        <v>1.8375681171952252</v>
      </c>
      <c r="H32" s="59">
        <f t="shared" si="9"/>
        <v>1.9182188999593468</v>
      </c>
      <c r="I32" s="59">
        <f t="shared" si="9"/>
        <v>2.1287988716096615</v>
      </c>
      <c r="J32" s="59">
        <f t="shared" si="9"/>
        <v>2.2443175613781681</v>
      </c>
      <c r="K32" s="59">
        <f t="shared" si="9"/>
        <v>3.3340206131167793</v>
      </c>
      <c r="L32" s="59">
        <f t="shared" si="9"/>
        <v>2.7154359547864093</v>
      </c>
      <c r="M32" s="59">
        <f t="shared" si="9"/>
        <v>2.3936911748783953</v>
      </c>
      <c r="N32" s="59">
        <f t="shared" si="9"/>
        <v>2.1712291381845135</v>
      </c>
    </row>
    <row r="33" spans="1:14" x14ac:dyDescent="0.2">
      <c r="B33" s="51" t="s">
        <v>53</v>
      </c>
      <c r="C33" s="59">
        <f t="shared" si="3"/>
        <v>0.10722905489451609</v>
      </c>
      <c r="D33" s="59">
        <f t="shared" ref="D33:N33" si="10">+D$10*D19</f>
        <v>0.11183381713826825</v>
      </c>
      <c r="E33" s="59">
        <f t="shared" si="10"/>
        <v>0.10079253846066709</v>
      </c>
      <c r="F33" s="59">
        <f t="shared" si="10"/>
        <v>0.1433895586794815</v>
      </c>
      <c r="G33" s="59">
        <f t="shared" si="10"/>
        <v>0.11003401899372607</v>
      </c>
      <c r="H33" s="59">
        <f t="shared" si="10"/>
        <v>0.11486340718319443</v>
      </c>
      <c r="I33" s="59">
        <f t="shared" si="10"/>
        <v>0.12747298632393184</v>
      </c>
      <c r="J33" s="59">
        <f t="shared" si="10"/>
        <v>0.13439027313641724</v>
      </c>
      <c r="K33" s="59">
        <f t="shared" si="10"/>
        <v>0.17097541605727073</v>
      </c>
      <c r="L33" s="59">
        <f t="shared" si="10"/>
        <v>0.13925312588648253</v>
      </c>
      <c r="M33" s="59">
        <f t="shared" si="10"/>
        <v>0.12275339358350747</v>
      </c>
      <c r="N33" s="59">
        <f t="shared" si="10"/>
        <v>0.11134508400946223</v>
      </c>
    </row>
    <row r="34" spans="1:14" x14ac:dyDescent="0.2">
      <c r="B34" s="51" t="s">
        <v>22</v>
      </c>
      <c r="C34" s="59">
        <f t="shared" si="3"/>
        <v>17.049419728228056</v>
      </c>
      <c r="D34" s="59">
        <f t="shared" ref="D34:N34" si="11">+D$10*D20</f>
        <v>17.781576924984652</v>
      </c>
      <c r="E34" s="59">
        <f t="shared" si="11"/>
        <v>16.026013615246068</v>
      </c>
      <c r="F34" s="59">
        <f t="shared" si="11"/>
        <v>22.798939830037558</v>
      </c>
      <c r="G34" s="59">
        <f t="shared" si="11"/>
        <v>17.495409020002445</v>
      </c>
      <c r="H34" s="59">
        <f t="shared" si="11"/>
        <v>18.263281742127916</v>
      </c>
      <c r="I34" s="59">
        <f t="shared" si="11"/>
        <v>20.268204825505158</v>
      </c>
      <c r="J34" s="59">
        <f t="shared" si="11"/>
        <v>21.368053428690342</v>
      </c>
      <c r="K34" s="59">
        <f t="shared" si="11"/>
        <v>20.465757302055309</v>
      </c>
      <c r="L34" s="59">
        <f t="shared" si="11"/>
        <v>16.668599168611959</v>
      </c>
      <c r="M34" s="59">
        <f t="shared" si="11"/>
        <v>14.693581211945842</v>
      </c>
      <c r="N34" s="59">
        <f t="shared" si="11"/>
        <v>13.328006555932628</v>
      </c>
    </row>
    <row r="35" spans="1:14" x14ac:dyDescent="0.2">
      <c r="B35" s="51" t="s">
        <v>87</v>
      </c>
      <c r="C35" s="59">
        <f t="shared" si="3"/>
        <v>0</v>
      </c>
      <c r="D35" s="59">
        <f t="shared" ref="D35:N35" si="12">+D$10*D21</f>
        <v>0</v>
      </c>
      <c r="E35" s="59">
        <f t="shared" si="12"/>
        <v>0</v>
      </c>
      <c r="F35" s="59">
        <f t="shared" si="12"/>
        <v>0</v>
      </c>
      <c r="G35" s="59">
        <f t="shared" si="12"/>
        <v>0</v>
      </c>
      <c r="H35" s="59">
        <f t="shared" si="12"/>
        <v>0</v>
      </c>
      <c r="I35" s="59">
        <f t="shared" si="12"/>
        <v>0</v>
      </c>
      <c r="J35" s="59">
        <f t="shared" si="12"/>
        <v>0</v>
      </c>
      <c r="K35" s="59">
        <f t="shared" si="12"/>
        <v>0</v>
      </c>
      <c r="L35" s="59">
        <f t="shared" si="12"/>
        <v>0</v>
      </c>
      <c r="M35" s="59">
        <f t="shared" si="12"/>
        <v>0</v>
      </c>
      <c r="N35" s="59">
        <f t="shared" si="12"/>
        <v>0</v>
      </c>
    </row>
    <row r="36" spans="1:14" x14ac:dyDescent="0.2">
      <c r="B36" s="51" t="s">
        <v>54</v>
      </c>
      <c r="C36" s="59">
        <f t="shared" si="3"/>
        <v>18.164601899131025</v>
      </c>
      <c r="D36" s="59">
        <f t="shared" ref="D36:N36" si="13">+D$10*D22</f>
        <v>18.944648623222641</v>
      </c>
      <c r="E36" s="59">
        <f t="shared" si="13"/>
        <v>17.074256015237005</v>
      </c>
      <c r="F36" s="59">
        <f t="shared" si="13"/>
        <v>24.290191240304164</v>
      </c>
      <c r="G36" s="59">
        <f t="shared" si="13"/>
        <v>18.639762817537196</v>
      </c>
      <c r="H36" s="59">
        <f t="shared" si="13"/>
        <v>19.457861176833134</v>
      </c>
      <c r="I36" s="59">
        <f t="shared" si="13"/>
        <v>21.593923883274051</v>
      </c>
      <c r="J36" s="59">
        <f t="shared" si="13"/>
        <v>22.765712269309081</v>
      </c>
      <c r="K36" s="59">
        <f t="shared" si="13"/>
        <v>37.514788944293073</v>
      </c>
      <c r="L36" s="59">
        <f t="shared" si="13"/>
        <v>30.55440219379021</v>
      </c>
      <c r="M36" s="59">
        <f t="shared" si="13"/>
        <v>26.934092389858474</v>
      </c>
      <c r="N36" s="59">
        <f t="shared" si="13"/>
        <v>24.430923596643744</v>
      </c>
    </row>
    <row r="37" spans="1:14" x14ac:dyDescent="0.2">
      <c r="B37" s="51" t="s">
        <v>55</v>
      </c>
      <c r="C37" s="71">
        <f t="shared" si="3"/>
        <v>35.589323319489885</v>
      </c>
      <c r="D37" s="71">
        <f t="shared" ref="D37:N37" si="14">+D$10*D23</f>
        <v>37.117643908191226</v>
      </c>
      <c r="E37" s="71">
        <f t="shared" si="14"/>
        <v>33.453043515095402</v>
      </c>
      <c r="F37" s="71">
        <f t="shared" si="14"/>
        <v>47.590994525719907</v>
      </c>
      <c r="G37" s="71">
        <f t="shared" si="14"/>
        <v>36.520290904017678</v>
      </c>
      <c r="H37" s="71">
        <f t="shared" si="14"/>
        <v>38.123164844102227</v>
      </c>
      <c r="I37" s="71">
        <f t="shared" si="14"/>
        <v>42.308284160912969</v>
      </c>
      <c r="J37" s="71">
        <f t="shared" si="14"/>
        <v>44.604131653976879</v>
      </c>
      <c r="K37" s="71">
        <f t="shared" si="14"/>
        <v>53.087866685782565</v>
      </c>
      <c r="L37" s="71">
        <f t="shared" si="14"/>
        <v>43.238095587752824</v>
      </c>
      <c r="M37" s="71">
        <f t="shared" si="14"/>
        <v>38.114928707679063</v>
      </c>
      <c r="N37" s="71">
        <f t="shared" si="14"/>
        <v>34.572648584938023</v>
      </c>
    </row>
    <row r="38" spans="1:14" x14ac:dyDescent="0.2">
      <c r="C38" s="59">
        <f>SUM(C27:C37)</f>
        <v>107.22905489451608</v>
      </c>
      <c r="D38" s="59">
        <f t="shared" ref="D38:N38" si="15">SUM(D27:D37)</f>
        <v>111.83381713826823</v>
      </c>
      <c r="E38" s="59">
        <f t="shared" si="15"/>
        <v>100.79253846066709</v>
      </c>
      <c r="F38" s="59">
        <f t="shared" si="15"/>
        <v>143.3895586794815</v>
      </c>
      <c r="G38" s="59">
        <f t="shared" si="15"/>
        <v>110.03401899372608</v>
      </c>
      <c r="H38" s="59">
        <f t="shared" si="15"/>
        <v>114.86340718319443</v>
      </c>
      <c r="I38" s="59">
        <f t="shared" si="15"/>
        <v>127.47298632393182</v>
      </c>
      <c r="J38" s="59">
        <f t="shared" si="15"/>
        <v>134.39027313641725</v>
      </c>
      <c r="K38" s="59">
        <f t="shared" si="15"/>
        <v>170.97819871859861</v>
      </c>
      <c r="L38" s="59">
        <f t="shared" si="15"/>
        <v>139.25539226077848</v>
      </c>
      <c r="M38" s="59">
        <f t="shared" si="15"/>
        <v>122.7553914211444</v>
      </c>
      <c r="N38" s="59">
        <f t="shared" si="15"/>
        <v>111.34689617442997</v>
      </c>
    </row>
    <row r="40" spans="1:14" x14ac:dyDescent="0.2">
      <c r="A40" s="65" t="s">
        <v>57</v>
      </c>
    </row>
    <row r="41" spans="1:14" x14ac:dyDescent="0.2">
      <c r="B41" s="51" t="s">
        <v>23</v>
      </c>
      <c r="C41" s="74">
        <v>1</v>
      </c>
      <c r="D41" s="75">
        <v>1</v>
      </c>
      <c r="E41" s="75">
        <v>1</v>
      </c>
      <c r="F41" s="75">
        <v>1</v>
      </c>
      <c r="G41" s="75">
        <v>1</v>
      </c>
      <c r="H41" s="75">
        <v>1</v>
      </c>
      <c r="I41" s="75">
        <v>1</v>
      </c>
      <c r="J41" s="75">
        <v>1</v>
      </c>
      <c r="K41" s="75">
        <v>1</v>
      </c>
      <c r="L41" s="75">
        <v>1</v>
      </c>
      <c r="M41" s="75">
        <v>1</v>
      </c>
      <c r="N41" s="75">
        <v>1</v>
      </c>
    </row>
    <row r="42" spans="1:14" x14ac:dyDescent="0.2">
      <c r="B42" s="51" t="s">
        <v>27</v>
      </c>
      <c r="C42" s="74">
        <v>1</v>
      </c>
      <c r="D42" s="75">
        <v>1</v>
      </c>
      <c r="E42" s="75">
        <v>1</v>
      </c>
      <c r="F42" s="75">
        <v>1</v>
      </c>
      <c r="G42" s="75">
        <v>1</v>
      </c>
      <c r="H42" s="75">
        <v>1</v>
      </c>
      <c r="I42" s="75">
        <v>1</v>
      </c>
      <c r="J42" s="75">
        <v>1</v>
      </c>
      <c r="K42" s="75">
        <v>1</v>
      </c>
      <c r="L42" s="75">
        <v>1</v>
      </c>
      <c r="M42" s="75">
        <v>1</v>
      </c>
      <c r="N42" s="75">
        <v>1</v>
      </c>
    </row>
    <row r="43" spans="1:14" x14ac:dyDescent="0.2">
      <c r="B43" s="51" t="s">
        <v>49</v>
      </c>
      <c r="C43" s="74">
        <v>1</v>
      </c>
      <c r="D43" s="75">
        <v>1</v>
      </c>
      <c r="E43" s="75">
        <v>1</v>
      </c>
      <c r="F43" s="75">
        <v>1</v>
      </c>
      <c r="G43" s="75">
        <v>1</v>
      </c>
      <c r="H43" s="75">
        <v>1</v>
      </c>
      <c r="I43" s="75">
        <v>1</v>
      </c>
      <c r="J43" s="75">
        <v>1</v>
      </c>
      <c r="K43" s="75">
        <v>1</v>
      </c>
      <c r="L43" s="75">
        <v>1</v>
      </c>
      <c r="M43" s="75">
        <v>1</v>
      </c>
      <c r="N43" s="75">
        <v>1</v>
      </c>
    </row>
    <row r="44" spans="1:14" x14ac:dyDescent="0.2">
      <c r="B44" s="51" t="s">
        <v>50</v>
      </c>
      <c r="C44" s="74">
        <v>1</v>
      </c>
      <c r="D44" s="75">
        <v>1</v>
      </c>
      <c r="E44" s="75">
        <v>1</v>
      </c>
      <c r="F44" s="75">
        <v>1</v>
      </c>
      <c r="G44" s="75">
        <v>1</v>
      </c>
      <c r="H44" s="75">
        <v>1</v>
      </c>
      <c r="I44" s="75">
        <v>1</v>
      </c>
      <c r="J44" s="75">
        <v>1</v>
      </c>
      <c r="K44" s="75">
        <v>1</v>
      </c>
      <c r="L44" s="75">
        <v>1</v>
      </c>
      <c r="M44" s="75">
        <v>1</v>
      </c>
      <c r="N44" s="75">
        <v>1</v>
      </c>
    </row>
    <row r="45" spans="1:14" x14ac:dyDescent="0.2">
      <c r="B45" s="51" t="s">
        <v>51</v>
      </c>
      <c r="C45" s="74">
        <v>1</v>
      </c>
      <c r="D45" s="75">
        <v>1</v>
      </c>
      <c r="E45" s="75">
        <v>1</v>
      </c>
      <c r="F45" s="75">
        <v>1</v>
      </c>
      <c r="G45" s="75">
        <v>1</v>
      </c>
      <c r="H45" s="75">
        <v>1</v>
      </c>
      <c r="I45" s="75">
        <v>1</v>
      </c>
      <c r="J45" s="75">
        <v>1</v>
      </c>
      <c r="K45" s="75">
        <v>1</v>
      </c>
      <c r="L45" s="75">
        <v>1</v>
      </c>
      <c r="M45" s="75">
        <v>1</v>
      </c>
      <c r="N45" s="75">
        <v>1</v>
      </c>
    </row>
    <row r="46" spans="1:14" x14ac:dyDescent="0.2">
      <c r="B46" s="51" t="s">
        <v>52</v>
      </c>
      <c r="C46" s="74">
        <v>1</v>
      </c>
      <c r="D46" s="75">
        <v>1</v>
      </c>
      <c r="E46" s="75">
        <v>1</v>
      </c>
      <c r="F46" s="75">
        <v>1</v>
      </c>
      <c r="G46" s="75">
        <v>1</v>
      </c>
      <c r="H46" s="75">
        <v>1</v>
      </c>
      <c r="I46" s="75">
        <v>1</v>
      </c>
      <c r="J46" s="75">
        <v>1</v>
      </c>
      <c r="K46" s="75">
        <v>1</v>
      </c>
      <c r="L46" s="75">
        <v>1</v>
      </c>
      <c r="M46" s="75">
        <v>1</v>
      </c>
      <c r="N46" s="75">
        <v>1</v>
      </c>
    </row>
    <row r="47" spans="1:14" x14ac:dyDescent="0.2">
      <c r="B47" s="51" t="s">
        <v>53</v>
      </c>
      <c r="C47" s="74">
        <v>1</v>
      </c>
      <c r="D47" s="75">
        <v>1</v>
      </c>
      <c r="E47" s="75">
        <v>1</v>
      </c>
      <c r="F47" s="75">
        <v>1</v>
      </c>
      <c r="G47" s="75">
        <v>1</v>
      </c>
      <c r="H47" s="75">
        <v>1</v>
      </c>
      <c r="I47" s="75">
        <v>1</v>
      </c>
      <c r="J47" s="75">
        <v>1</v>
      </c>
      <c r="K47" s="75">
        <v>1</v>
      </c>
      <c r="L47" s="75">
        <v>1</v>
      </c>
      <c r="M47" s="75">
        <v>1</v>
      </c>
      <c r="N47" s="75">
        <v>1</v>
      </c>
    </row>
    <row r="48" spans="1:14" x14ac:dyDescent="0.2">
      <c r="B48" s="51" t="s">
        <v>22</v>
      </c>
      <c r="C48" s="74">
        <v>1</v>
      </c>
      <c r="D48" s="75">
        <v>1</v>
      </c>
      <c r="E48" s="75">
        <v>1</v>
      </c>
      <c r="F48" s="75">
        <v>1</v>
      </c>
      <c r="G48" s="75">
        <v>1</v>
      </c>
      <c r="H48" s="75">
        <v>1</v>
      </c>
      <c r="I48" s="75">
        <v>1</v>
      </c>
      <c r="J48" s="75">
        <v>1</v>
      </c>
      <c r="K48" s="75">
        <v>1</v>
      </c>
      <c r="L48" s="75">
        <v>1</v>
      </c>
      <c r="M48" s="75">
        <v>1</v>
      </c>
      <c r="N48" s="75">
        <v>1</v>
      </c>
    </row>
    <row r="49" spans="1:14" x14ac:dyDescent="0.2">
      <c r="B49" s="51" t="s">
        <v>87</v>
      </c>
      <c r="C49" s="74">
        <v>1</v>
      </c>
      <c r="D49" s="75">
        <v>1</v>
      </c>
      <c r="E49" s="75">
        <v>1</v>
      </c>
      <c r="F49" s="75">
        <v>1</v>
      </c>
      <c r="G49" s="75">
        <v>1</v>
      </c>
      <c r="H49" s="75">
        <v>1</v>
      </c>
      <c r="I49" s="75">
        <v>1</v>
      </c>
      <c r="J49" s="75">
        <v>1</v>
      </c>
      <c r="K49" s="75">
        <v>1</v>
      </c>
      <c r="L49" s="75">
        <v>1</v>
      </c>
      <c r="M49" s="75">
        <v>1</v>
      </c>
      <c r="N49" s="75">
        <v>1</v>
      </c>
    </row>
    <row r="50" spans="1:14" x14ac:dyDescent="0.2">
      <c r="B50" s="51" t="s">
        <v>54</v>
      </c>
      <c r="C50" s="74">
        <v>1</v>
      </c>
      <c r="D50" s="75">
        <v>1</v>
      </c>
      <c r="E50" s="75">
        <v>1</v>
      </c>
      <c r="F50" s="75">
        <v>1</v>
      </c>
      <c r="G50" s="75">
        <v>1</v>
      </c>
      <c r="H50" s="75">
        <v>1</v>
      </c>
      <c r="I50" s="75">
        <v>1</v>
      </c>
      <c r="J50" s="75">
        <v>1</v>
      </c>
      <c r="K50" s="75">
        <v>1</v>
      </c>
      <c r="L50" s="75">
        <v>1</v>
      </c>
      <c r="M50" s="75">
        <v>1</v>
      </c>
      <c r="N50" s="75">
        <v>1</v>
      </c>
    </row>
    <row r="51" spans="1:14" ht="14.25" customHeight="1" x14ac:dyDescent="0.2">
      <c r="C51" s="73"/>
      <c r="D51" s="75"/>
      <c r="E51" s="75"/>
      <c r="F51" s="75"/>
      <c r="G51" s="75"/>
      <c r="H51" s="75"/>
      <c r="I51" s="75"/>
      <c r="J51" s="75"/>
      <c r="K51" s="75"/>
      <c r="L51" s="75"/>
      <c r="M51" s="75"/>
      <c r="N51" s="75"/>
    </row>
    <row r="52" spans="1:14" x14ac:dyDescent="0.2">
      <c r="A52" s="51" t="s">
        <v>55</v>
      </c>
      <c r="C52" s="73">
        <f>+C65/C37</f>
        <v>0.99999999999999978</v>
      </c>
      <c r="D52" s="75">
        <v>1</v>
      </c>
      <c r="E52" s="75">
        <v>1</v>
      </c>
      <c r="F52" s="75">
        <v>1</v>
      </c>
      <c r="G52" s="75">
        <v>1</v>
      </c>
      <c r="H52" s="75">
        <v>1</v>
      </c>
      <c r="I52" s="75">
        <v>1</v>
      </c>
      <c r="J52" s="75">
        <v>1</v>
      </c>
      <c r="K52" s="75">
        <v>1</v>
      </c>
      <c r="L52" s="75">
        <v>1</v>
      </c>
      <c r="M52" s="75">
        <v>1</v>
      </c>
      <c r="N52" s="75">
        <v>1</v>
      </c>
    </row>
    <row r="53" spans="1:14" x14ac:dyDescent="0.2">
      <c r="L53" s="73"/>
      <c r="N53" s="75"/>
    </row>
    <row r="54" spans="1:14" x14ac:dyDescent="0.2">
      <c r="A54" s="65" t="s">
        <v>58</v>
      </c>
      <c r="L54" s="73"/>
      <c r="N54" s="75"/>
    </row>
    <row r="55" spans="1:14" x14ac:dyDescent="0.2">
      <c r="B55" s="51" t="s">
        <v>23</v>
      </c>
      <c r="C55" s="59">
        <f t="shared" ref="C55:C64" si="16">+C27*C41</f>
        <v>0</v>
      </c>
      <c r="D55" s="59">
        <f t="shared" ref="D55:N55" si="17">+D27*D41</f>
        <v>0</v>
      </c>
      <c r="E55" s="59">
        <f>+E27*E41</f>
        <v>0</v>
      </c>
      <c r="F55" s="59">
        <f t="shared" si="17"/>
        <v>0</v>
      </c>
      <c r="G55" s="59">
        <f t="shared" si="17"/>
        <v>0</v>
      </c>
      <c r="H55" s="59">
        <f t="shared" si="17"/>
        <v>0</v>
      </c>
      <c r="I55" s="59">
        <f t="shared" si="17"/>
        <v>0</v>
      </c>
      <c r="J55" s="59">
        <f t="shared" si="17"/>
        <v>0</v>
      </c>
      <c r="K55" s="59">
        <f t="shared" si="17"/>
        <v>0</v>
      </c>
      <c r="L55" s="59">
        <f t="shared" si="17"/>
        <v>0</v>
      </c>
      <c r="M55" s="59">
        <f t="shared" si="17"/>
        <v>0</v>
      </c>
      <c r="N55" s="59">
        <f t="shared" si="17"/>
        <v>0</v>
      </c>
    </row>
    <row r="56" spans="1:14" x14ac:dyDescent="0.2">
      <c r="B56" s="51" t="s">
        <v>27</v>
      </c>
      <c r="C56" s="59">
        <f t="shared" si="16"/>
        <v>27.890277178063634</v>
      </c>
      <c r="D56" s="59">
        <f t="shared" ref="D56:N56" si="18">+D28*D42</f>
        <v>29.087975837663571</v>
      </c>
      <c r="E56" s="59">
        <f t="shared" si="18"/>
        <v>26.216139253619509</v>
      </c>
      <c r="F56" s="59">
        <f t="shared" si="18"/>
        <v>37.295624212533134</v>
      </c>
      <c r="G56" s="59">
        <f t="shared" si="18"/>
        <v>28.619848340268149</v>
      </c>
      <c r="H56" s="59">
        <f t="shared" si="18"/>
        <v>29.87597220834887</v>
      </c>
      <c r="I56" s="59">
        <f t="shared" si="18"/>
        <v>33.155723742854669</v>
      </c>
      <c r="J56" s="59">
        <f t="shared" si="18"/>
        <v>34.954910042782124</v>
      </c>
      <c r="K56" s="59">
        <f t="shared" si="18"/>
        <v>44.983631964667929</v>
      </c>
      <c r="L56" s="59">
        <f t="shared" si="18"/>
        <v>36.637497420733553</v>
      </c>
      <c r="M56" s="59">
        <f t="shared" si="18"/>
        <v>32.296417851820813</v>
      </c>
      <c r="N56" s="59">
        <f t="shared" si="18"/>
        <v>29.294891602889511</v>
      </c>
    </row>
    <row r="57" spans="1:14" x14ac:dyDescent="0.2">
      <c r="B57" s="51" t="s">
        <v>49</v>
      </c>
      <c r="C57" s="59">
        <f t="shared" si="16"/>
        <v>0</v>
      </c>
      <c r="D57" s="59">
        <f t="shared" ref="D57:N57" si="19">+D29*D43</f>
        <v>0</v>
      </c>
      <c r="E57" s="59">
        <f t="shared" si="19"/>
        <v>0</v>
      </c>
      <c r="F57" s="59">
        <f t="shared" si="19"/>
        <v>0</v>
      </c>
      <c r="G57" s="59">
        <f t="shared" si="19"/>
        <v>0</v>
      </c>
      <c r="H57" s="59">
        <f t="shared" si="19"/>
        <v>0</v>
      </c>
      <c r="I57" s="59">
        <f t="shared" si="19"/>
        <v>0</v>
      </c>
      <c r="J57" s="59">
        <f t="shared" si="19"/>
        <v>0</v>
      </c>
      <c r="K57" s="59">
        <f t="shared" si="19"/>
        <v>0</v>
      </c>
      <c r="L57" s="59">
        <f t="shared" si="19"/>
        <v>0</v>
      </c>
      <c r="M57" s="59">
        <f t="shared" si="19"/>
        <v>0</v>
      </c>
      <c r="N57" s="59">
        <f t="shared" si="19"/>
        <v>0</v>
      </c>
    </row>
    <row r="58" spans="1:14" x14ac:dyDescent="0.2">
      <c r="B58" s="51" t="s">
        <v>50</v>
      </c>
      <c r="C58" s="59">
        <f t="shared" si="16"/>
        <v>1.6191587289071929</v>
      </c>
      <c r="D58" s="59">
        <f t="shared" ref="D58:N58" si="20">+D30*D44</f>
        <v>1.6886906387878506</v>
      </c>
      <c r="E58" s="59">
        <f t="shared" si="20"/>
        <v>1.521967330756073</v>
      </c>
      <c r="F58" s="59">
        <f t="shared" si="20"/>
        <v>2.1651823360601705</v>
      </c>
      <c r="G58" s="59">
        <f t="shared" si="20"/>
        <v>1.6615136868052636</v>
      </c>
      <c r="H58" s="59">
        <f t="shared" si="20"/>
        <v>1.7344374484662359</v>
      </c>
      <c r="I58" s="59">
        <f t="shared" si="20"/>
        <v>1.9248420934913706</v>
      </c>
      <c r="J58" s="59">
        <f t="shared" si="20"/>
        <v>2.0292931243599006</v>
      </c>
      <c r="K58" s="59">
        <f t="shared" si="20"/>
        <v>2.7698017401277859</v>
      </c>
      <c r="L58" s="59">
        <f t="shared" si="20"/>
        <v>2.255900639361017</v>
      </c>
      <c r="M58" s="59">
        <f t="shared" si="20"/>
        <v>1.9886049760528208</v>
      </c>
      <c r="N58" s="59">
        <f t="shared" si="20"/>
        <v>1.8037903609532879</v>
      </c>
    </row>
    <row r="59" spans="1:14" x14ac:dyDescent="0.2">
      <c r="B59" s="51" t="s">
        <v>51</v>
      </c>
      <c r="C59" s="59">
        <f t="shared" si="16"/>
        <v>5.0183197690633525</v>
      </c>
      <c r="D59" s="59">
        <f t="shared" ref="D59:N59" si="21">+D31*D45</f>
        <v>5.2338226420709537</v>
      </c>
      <c r="E59" s="59">
        <f t="shared" si="21"/>
        <v>4.7170907999592195</v>
      </c>
      <c r="F59" s="59">
        <f t="shared" si="21"/>
        <v>6.710631346199734</v>
      </c>
      <c r="G59" s="59">
        <f t="shared" si="21"/>
        <v>5.1495920889063802</v>
      </c>
      <c r="H59" s="59">
        <f t="shared" si="21"/>
        <v>5.3756074561734994</v>
      </c>
      <c r="I59" s="59">
        <f t="shared" si="21"/>
        <v>5.9657357599600092</v>
      </c>
      <c r="J59" s="59">
        <f t="shared" si="21"/>
        <v>6.2894647827843277</v>
      </c>
      <c r="K59" s="59">
        <f t="shared" si="21"/>
        <v>8.651356052497901</v>
      </c>
      <c r="L59" s="59">
        <f t="shared" si="21"/>
        <v>7.0462081698560173</v>
      </c>
      <c r="M59" s="59">
        <f t="shared" si="21"/>
        <v>6.2113217153254778</v>
      </c>
      <c r="N59" s="59">
        <f t="shared" si="21"/>
        <v>5.6340612508787897</v>
      </c>
    </row>
    <row r="60" spans="1:14" x14ac:dyDescent="0.2">
      <c r="B60" s="51" t="s">
        <v>52</v>
      </c>
      <c r="C60" s="59">
        <f t="shared" si="16"/>
        <v>1.7907252167384184</v>
      </c>
      <c r="D60" s="59">
        <f t="shared" ref="D60:N60" si="22">+D32*D46</f>
        <v>1.8676247462090796</v>
      </c>
      <c r="E60" s="59">
        <f t="shared" si="22"/>
        <v>1.6832353922931402</v>
      </c>
      <c r="F60" s="59">
        <f t="shared" si="22"/>
        <v>2.3946056299473408</v>
      </c>
      <c r="G60" s="59">
        <f t="shared" si="22"/>
        <v>1.8375681171952252</v>
      </c>
      <c r="H60" s="59">
        <f t="shared" si="22"/>
        <v>1.9182188999593468</v>
      </c>
      <c r="I60" s="59">
        <f t="shared" si="22"/>
        <v>2.1287988716096615</v>
      </c>
      <c r="J60" s="59">
        <f t="shared" si="22"/>
        <v>2.2443175613781681</v>
      </c>
      <c r="K60" s="59">
        <f t="shared" si="22"/>
        <v>3.3340206131167793</v>
      </c>
      <c r="L60" s="59">
        <f t="shared" si="22"/>
        <v>2.7154359547864093</v>
      </c>
      <c r="M60" s="59">
        <f t="shared" si="22"/>
        <v>2.3936911748783953</v>
      </c>
      <c r="N60" s="59">
        <f t="shared" si="22"/>
        <v>2.1712291381845135</v>
      </c>
    </row>
    <row r="61" spans="1:14" x14ac:dyDescent="0.2">
      <c r="B61" s="51" t="s">
        <v>53</v>
      </c>
      <c r="C61" s="59">
        <f t="shared" si="16"/>
        <v>0.10722905489451609</v>
      </c>
      <c r="D61" s="59">
        <f t="shared" ref="D61:N61" si="23">+D33*D47</f>
        <v>0.11183381713826825</v>
      </c>
      <c r="E61" s="59">
        <f t="shared" si="23"/>
        <v>0.10079253846066709</v>
      </c>
      <c r="F61" s="59">
        <f t="shared" si="23"/>
        <v>0.1433895586794815</v>
      </c>
      <c r="G61" s="59">
        <f t="shared" si="23"/>
        <v>0.11003401899372607</v>
      </c>
      <c r="H61" s="59">
        <f t="shared" si="23"/>
        <v>0.11486340718319443</v>
      </c>
      <c r="I61" s="59">
        <f t="shared" si="23"/>
        <v>0.12747298632393184</v>
      </c>
      <c r="J61" s="59">
        <f t="shared" si="23"/>
        <v>0.13439027313641724</v>
      </c>
      <c r="K61" s="59">
        <f t="shared" si="23"/>
        <v>0.17097541605727073</v>
      </c>
      <c r="L61" s="59">
        <f t="shared" si="23"/>
        <v>0.13925312588648253</v>
      </c>
      <c r="M61" s="59">
        <f t="shared" si="23"/>
        <v>0.12275339358350747</v>
      </c>
      <c r="N61" s="59">
        <f t="shared" si="23"/>
        <v>0.11134508400946223</v>
      </c>
    </row>
    <row r="62" spans="1:14" x14ac:dyDescent="0.2">
      <c r="B62" s="51" t="s">
        <v>46</v>
      </c>
      <c r="C62" s="59">
        <f t="shared" si="16"/>
        <v>17.049419728228056</v>
      </c>
      <c r="D62" s="59">
        <f t="shared" ref="D62:N62" si="24">+D34*D48</f>
        <v>17.781576924984652</v>
      </c>
      <c r="E62" s="59">
        <f t="shared" si="24"/>
        <v>16.026013615246068</v>
      </c>
      <c r="F62" s="59">
        <f t="shared" si="24"/>
        <v>22.798939830037558</v>
      </c>
      <c r="G62" s="59">
        <f t="shared" si="24"/>
        <v>17.495409020002445</v>
      </c>
      <c r="H62" s="59">
        <f t="shared" si="24"/>
        <v>18.263281742127916</v>
      </c>
      <c r="I62" s="59">
        <f t="shared" si="24"/>
        <v>20.268204825505158</v>
      </c>
      <c r="J62" s="59">
        <f t="shared" si="24"/>
        <v>21.368053428690342</v>
      </c>
      <c r="K62" s="59">
        <f t="shared" si="24"/>
        <v>20.465757302055309</v>
      </c>
      <c r="L62" s="59">
        <f t="shared" si="24"/>
        <v>16.668599168611959</v>
      </c>
      <c r="M62" s="59">
        <f t="shared" si="24"/>
        <v>14.693581211945842</v>
      </c>
      <c r="N62" s="59">
        <f t="shared" si="24"/>
        <v>13.328006555932628</v>
      </c>
    </row>
    <row r="63" spans="1:14" x14ac:dyDescent="0.2">
      <c r="B63" s="51" t="s">
        <v>87</v>
      </c>
      <c r="C63" s="59">
        <f t="shared" si="16"/>
        <v>0</v>
      </c>
      <c r="D63" s="59">
        <f t="shared" ref="D63:N63" si="25">+D35*D49</f>
        <v>0</v>
      </c>
      <c r="E63" s="59">
        <f t="shared" si="25"/>
        <v>0</v>
      </c>
      <c r="F63" s="59">
        <f t="shared" si="25"/>
        <v>0</v>
      </c>
      <c r="G63" s="59">
        <f t="shared" si="25"/>
        <v>0</v>
      </c>
      <c r="H63" s="59">
        <f t="shared" si="25"/>
        <v>0</v>
      </c>
      <c r="I63" s="59">
        <f t="shared" si="25"/>
        <v>0</v>
      </c>
      <c r="J63" s="59">
        <f t="shared" si="25"/>
        <v>0</v>
      </c>
      <c r="K63" s="59">
        <f t="shared" si="25"/>
        <v>0</v>
      </c>
      <c r="L63" s="59">
        <f t="shared" si="25"/>
        <v>0</v>
      </c>
      <c r="M63" s="59">
        <f t="shared" si="25"/>
        <v>0</v>
      </c>
      <c r="N63" s="59">
        <f t="shared" si="25"/>
        <v>0</v>
      </c>
    </row>
    <row r="64" spans="1:14" x14ac:dyDescent="0.2">
      <c r="B64" s="51" t="s">
        <v>54</v>
      </c>
      <c r="C64" s="59">
        <f t="shared" si="16"/>
        <v>18.164601899131025</v>
      </c>
      <c r="D64" s="59">
        <f t="shared" ref="D64:N64" si="26">+D36*D50</f>
        <v>18.944648623222641</v>
      </c>
      <c r="E64" s="59">
        <f t="shared" si="26"/>
        <v>17.074256015237005</v>
      </c>
      <c r="F64" s="59">
        <f t="shared" si="26"/>
        <v>24.290191240304164</v>
      </c>
      <c r="G64" s="59">
        <f t="shared" si="26"/>
        <v>18.639762817537196</v>
      </c>
      <c r="H64" s="59">
        <f t="shared" si="26"/>
        <v>19.457861176833134</v>
      </c>
      <c r="I64" s="59">
        <f t="shared" si="26"/>
        <v>21.593923883274051</v>
      </c>
      <c r="J64" s="59">
        <f t="shared" si="26"/>
        <v>22.765712269309081</v>
      </c>
      <c r="K64" s="59">
        <f t="shared" si="26"/>
        <v>37.514788944293073</v>
      </c>
      <c r="L64" s="59">
        <f t="shared" si="26"/>
        <v>30.55440219379021</v>
      </c>
      <c r="M64" s="59">
        <f t="shared" si="26"/>
        <v>26.934092389858474</v>
      </c>
      <c r="N64" s="59">
        <f t="shared" si="26"/>
        <v>24.430923596643744</v>
      </c>
    </row>
    <row r="65" spans="1:22" x14ac:dyDescent="0.2">
      <c r="B65" s="51" t="s">
        <v>55</v>
      </c>
      <c r="C65" s="71">
        <f>+C7-SUM(C55:C64)</f>
        <v>35.589323319489878</v>
      </c>
      <c r="D65" s="71">
        <f t="shared" ref="D65:N65" si="27">+D7-SUM(D55:D64)</f>
        <v>37.117643908191241</v>
      </c>
      <c r="E65" s="71">
        <f t="shared" si="27"/>
        <v>33.453043515095402</v>
      </c>
      <c r="F65" s="71">
        <f t="shared" si="27"/>
        <v>47.590994525719907</v>
      </c>
      <c r="G65" s="71">
        <f t="shared" si="27"/>
        <v>36.520290904017671</v>
      </c>
      <c r="H65" s="71">
        <f t="shared" si="27"/>
        <v>38.123164844102234</v>
      </c>
      <c r="I65" s="71">
        <f t="shared" si="27"/>
        <v>42.308284160912962</v>
      </c>
      <c r="J65" s="71">
        <f t="shared" si="27"/>
        <v>44.604131653976893</v>
      </c>
      <c r="K65" s="71">
        <f t="shared" si="27"/>
        <v>53.085084024454687</v>
      </c>
      <c r="L65" s="71">
        <f t="shared" si="27"/>
        <v>43.235829213456896</v>
      </c>
      <c r="M65" s="71">
        <f t="shared" si="27"/>
        <v>38.112930870042135</v>
      </c>
      <c r="N65" s="71">
        <f t="shared" si="27"/>
        <v>34.570836419970277</v>
      </c>
    </row>
    <row r="66" spans="1:22" x14ac:dyDescent="0.2">
      <c r="C66" s="59">
        <f>SUM(C55:C65)</f>
        <v>107.22905489451608</v>
      </c>
      <c r="D66" s="59">
        <f t="shared" ref="D66:N66" si="28">SUM(D55:D65)</f>
        <v>111.83381713826824</v>
      </c>
      <c r="E66" s="59">
        <f t="shared" si="28"/>
        <v>100.79253846066709</v>
      </c>
      <c r="F66" s="59">
        <f t="shared" si="28"/>
        <v>143.3895586794815</v>
      </c>
      <c r="G66" s="59">
        <f t="shared" si="28"/>
        <v>110.03401899372606</v>
      </c>
      <c r="H66" s="59">
        <f t="shared" si="28"/>
        <v>114.86340718319443</v>
      </c>
      <c r="I66" s="59">
        <f t="shared" si="28"/>
        <v>127.47298632393182</v>
      </c>
      <c r="J66" s="59">
        <f t="shared" si="28"/>
        <v>134.39027313641725</v>
      </c>
      <c r="K66" s="59">
        <f t="shared" si="28"/>
        <v>170.97541605727073</v>
      </c>
      <c r="L66" s="59">
        <f t="shared" si="28"/>
        <v>139.25312588648254</v>
      </c>
      <c r="M66" s="59">
        <f t="shared" si="28"/>
        <v>122.75339358350746</v>
      </c>
      <c r="N66" s="59">
        <f t="shared" si="28"/>
        <v>111.34508400946223</v>
      </c>
    </row>
    <row r="67" spans="1:22" ht="8.1" customHeight="1" x14ac:dyDescent="0.2"/>
    <row r="68" spans="1:22" ht="15" x14ac:dyDescent="0.25">
      <c r="A68" s="76" t="s">
        <v>59</v>
      </c>
      <c r="S68" s="108"/>
      <c r="T68" s="108"/>
    </row>
    <row r="69" spans="1:22" ht="12.75" x14ac:dyDescent="0.2">
      <c r="B69" s="51" t="s">
        <v>23</v>
      </c>
      <c r="C69" s="131">
        <v>0</v>
      </c>
      <c r="D69" s="131">
        <v>0</v>
      </c>
      <c r="E69" s="131">
        <v>0</v>
      </c>
      <c r="F69" s="131">
        <v>0</v>
      </c>
      <c r="G69" s="131">
        <v>0</v>
      </c>
      <c r="H69" s="131">
        <v>0</v>
      </c>
      <c r="I69" s="131">
        <v>0</v>
      </c>
      <c r="J69" s="131">
        <v>0</v>
      </c>
      <c r="K69" s="131">
        <v>0</v>
      </c>
      <c r="L69" s="131">
        <v>0</v>
      </c>
      <c r="M69" s="131">
        <v>0</v>
      </c>
      <c r="N69" s="131">
        <v>0</v>
      </c>
      <c r="Q69" s="110"/>
      <c r="R69"/>
      <c r="S69" s="111"/>
      <c r="T69" s="111"/>
      <c r="U69" s="111"/>
      <c r="V69" s="111"/>
    </row>
    <row r="70" spans="1:22" ht="12.75" x14ac:dyDescent="0.2">
      <c r="B70" s="51" t="s">
        <v>27</v>
      </c>
      <c r="C70" s="131">
        <v>80.800000000000011</v>
      </c>
      <c r="D70" s="131">
        <v>70.512</v>
      </c>
      <c r="E70" s="131">
        <v>74.88</v>
      </c>
      <c r="F70" s="131">
        <v>73.28</v>
      </c>
      <c r="G70" s="131">
        <v>82.848000000000013</v>
      </c>
      <c r="H70" s="131">
        <v>100.03200000000001</v>
      </c>
      <c r="I70" s="131">
        <v>85.44</v>
      </c>
      <c r="J70" s="131">
        <v>89.496000000000009</v>
      </c>
      <c r="K70" s="131">
        <v>100.12</v>
      </c>
      <c r="L70" s="131">
        <v>102.18400000000001</v>
      </c>
      <c r="M70" s="131">
        <v>111.48</v>
      </c>
      <c r="N70" s="131">
        <v>114.512</v>
      </c>
      <c r="Q70" s="110"/>
      <c r="R70"/>
      <c r="S70" s="111"/>
      <c r="T70" s="111"/>
      <c r="U70" s="111"/>
      <c r="V70" s="111"/>
    </row>
    <row r="71" spans="1:22" ht="12.75" x14ac:dyDescent="0.2">
      <c r="B71" s="51" t="s">
        <v>49</v>
      </c>
      <c r="C71" s="131"/>
      <c r="D71" s="131"/>
      <c r="E71" s="131"/>
      <c r="F71" s="131"/>
      <c r="G71" s="131"/>
      <c r="H71" s="131"/>
      <c r="I71" s="131"/>
      <c r="J71" s="131"/>
      <c r="K71" s="131"/>
      <c r="L71" s="131"/>
      <c r="M71" s="131"/>
      <c r="N71" s="131"/>
      <c r="Q71" s="110"/>
      <c r="R71"/>
      <c r="S71" s="111"/>
      <c r="T71" s="111"/>
      <c r="U71" s="111"/>
      <c r="V71" s="111"/>
    </row>
    <row r="72" spans="1:22" ht="12.75" x14ac:dyDescent="0.2">
      <c r="B72" s="51" t="s">
        <v>50</v>
      </c>
      <c r="C72" s="131">
        <v>92.48</v>
      </c>
      <c r="D72" s="131">
        <v>74.792000000000002</v>
      </c>
      <c r="E72" s="131">
        <v>76.84</v>
      </c>
      <c r="F72" s="131">
        <v>67.040000000000006</v>
      </c>
      <c r="G72" s="131">
        <v>63.512</v>
      </c>
      <c r="H72" s="131">
        <v>73.512</v>
      </c>
      <c r="I72" s="131">
        <v>83.272000000000006</v>
      </c>
      <c r="J72" s="131">
        <v>72.072000000000003</v>
      </c>
      <c r="K72" s="131">
        <v>70.968000000000004</v>
      </c>
      <c r="L72" s="131">
        <v>104.80799999999999</v>
      </c>
      <c r="M72" s="131">
        <v>90.08</v>
      </c>
      <c r="N72" s="131">
        <v>91.544000000000011</v>
      </c>
      <c r="Q72" s="110"/>
      <c r="R72"/>
      <c r="S72" s="111"/>
      <c r="T72" s="111"/>
      <c r="U72" s="111"/>
      <c r="V72" s="111"/>
    </row>
    <row r="73" spans="1:22" ht="12.75" x14ac:dyDescent="0.2">
      <c r="B73" s="51" t="s">
        <v>51</v>
      </c>
      <c r="C73" s="131">
        <v>157.58863247863249</v>
      </c>
      <c r="D73" s="131">
        <v>84.226324786324795</v>
      </c>
      <c r="E73" s="131">
        <v>18.462829059829055</v>
      </c>
      <c r="F73" s="131">
        <v>9.4209529914529959</v>
      </c>
      <c r="G73" s="131">
        <v>-21.722444444444449</v>
      </c>
      <c r="H73" s="131">
        <v>12.714162393162393</v>
      </c>
      <c r="I73" s="131">
        <v>-18.604649572649581</v>
      </c>
      <c r="J73" s="131">
        <v>12.315025641025645</v>
      </c>
      <c r="K73" s="131">
        <v>23.630869565217392</v>
      </c>
      <c r="L73" s="131">
        <v>-115.20189723320159</v>
      </c>
      <c r="M73" s="131">
        <v>-124.37162055335968</v>
      </c>
      <c r="N73" s="131">
        <v>65.924723320158094</v>
      </c>
      <c r="Q73" s="110"/>
      <c r="R73"/>
      <c r="S73" s="111"/>
      <c r="T73" s="111"/>
      <c r="U73" s="111"/>
      <c r="V73" s="111"/>
    </row>
    <row r="74" spans="1:22" ht="12.75" x14ac:dyDescent="0.2">
      <c r="B74" s="51" t="s">
        <v>52</v>
      </c>
      <c r="C74" s="131">
        <v>1127.9760000000001</v>
      </c>
      <c r="D74" s="131">
        <v>1099.104</v>
      </c>
      <c r="E74" s="131">
        <v>1051.7520000000002</v>
      </c>
      <c r="F74" s="131">
        <v>1025.08</v>
      </c>
      <c r="G74" s="131">
        <v>992.04</v>
      </c>
      <c r="H74" s="131">
        <v>1018.896</v>
      </c>
      <c r="I74" s="131">
        <v>1002.088</v>
      </c>
      <c r="J74" s="131">
        <v>976.10400000000016</v>
      </c>
      <c r="K74" s="131">
        <v>1032.008</v>
      </c>
      <c r="L74" s="131">
        <v>1081.8720000000001</v>
      </c>
      <c r="M74" s="131">
        <v>1100.1200000000001</v>
      </c>
      <c r="N74" s="131">
        <v>1269.3920000000001</v>
      </c>
      <c r="Q74" s="110"/>
      <c r="R74"/>
      <c r="S74" s="111"/>
      <c r="T74" s="111"/>
      <c r="U74" s="111"/>
      <c r="V74" s="111"/>
    </row>
    <row r="75" spans="1:22" ht="12.75" x14ac:dyDescent="0.2">
      <c r="B75" s="51" t="s">
        <v>53</v>
      </c>
      <c r="C75" s="131">
        <v>108.384</v>
      </c>
      <c r="D75" s="131">
        <v>93.632000000000005</v>
      </c>
      <c r="E75" s="131">
        <v>93.103999999999999</v>
      </c>
      <c r="F75" s="131">
        <v>84.072000000000003</v>
      </c>
      <c r="G75" s="131">
        <v>87.736000000000004</v>
      </c>
      <c r="H75" s="131">
        <v>98.528000000000006</v>
      </c>
      <c r="I75" s="131">
        <v>83.576000000000008</v>
      </c>
      <c r="J75" s="131">
        <v>89.584000000000003</v>
      </c>
      <c r="K75" s="131">
        <v>90.720000000000013</v>
      </c>
      <c r="L75" s="131">
        <v>90.256</v>
      </c>
      <c r="M75" s="131">
        <v>80.168000000000006</v>
      </c>
      <c r="N75" s="131">
        <v>79.144000000000005</v>
      </c>
      <c r="R75"/>
      <c r="S75" s="111"/>
      <c r="T75" s="111"/>
      <c r="U75" s="111"/>
      <c r="V75" s="111"/>
    </row>
    <row r="76" spans="1:22" ht="15" x14ac:dyDescent="0.25">
      <c r="B76" s="51" t="s">
        <v>46</v>
      </c>
      <c r="C76" s="131">
        <v>-65.42</v>
      </c>
      <c r="D76" s="131">
        <v>-77.17</v>
      </c>
      <c r="E76" s="131">
        <v>-75.66</v>
      </c>
      <c r="F76" s="131">
        <v>-73.58</v>
      </c>
      <c r="G76" s="131">
        <v>-69.739999999999995</v>
      </c>
      <c r="H76" s="131">
        <v>-59.02</v>
      </c>
      <c r="I76" s="131">
        <v>-65.42</v>
      </c>
      <c r="J76" s="131">
        <v>-96.35</v>
      </c>
      <c r="K76" s="131">
        <v>-60.42</v>
      </c>
      <c r="L76" s="131">
        <v>-55.51</v>
      </c>
      <c r="M76" s="131">
        <v>-53.41</v>
      </c>
      <c r="N76" s="131">
        <v>-63.02</v>
      </c>
      <c r="Q76" s="108"/>
      <c r="R76"/>
      <c r="S76" s="111"/>
      <c r="T76" s="111"/>
      <c r="U76" s="111"/>
      <c r="V76" s="111"/>
    </row>
    <row r="77" spans="1:22" x14ac:dyDescent="0.2">
      <c r="B77" s="51" t="s">
        <v>87</v>
      </c>
      <c r="C77" s="132">
        <v>0</v>
      </c>
      <c r="D77" s="132">
        <v>0</v>
      </c>
      <c r="E77" s="132">
        <v>0</v>
      </c>
      <c r="F77" s="132">
        <v>0</v>
      </c>
      <c r="G77" s="133">
        <v>0</v>
      </c>
      <c r="H77" s="133">
        <v>0</v>
      </c>
      <c r="I77" s="132">
        <v>0</v>
      </c>
      <c r="J77" s="132">
        <v>0</v>
      </c>
      <c r="K77" s="132">
        <v>0</v>
      </c>
      <c r="L77" s="132">
        <v>0</v>
      </c>
      <c r="M77" s="132">
        <v>0</v>
      </c>
      <c r="N77" s="132">
        <v>0</v>
      </c>
    </row>
    <row r="78" spans="1:22" x14ac:dyDescent="0.2">
      <c r="B78" s="51" t="s">
        <v>54</v>
      </c>
      <c r="C78" s="132">
        <v>-172.21</v>
      </c>
      <c r="D78" s="132">
        <v>-172.21</v>
      </c>
      <c r="E78" s="132">
        <v>-171.72</v>
      </c>
      <c r="F78" s="132">
        <v>-171.7</v>
      </c>
      <c r="G78" s="133">
        <v>-171.77</v>
      </c>
      <c r="H78" s="133">
        <v>-172.32</v>
      </c>
      <c r="I78" s="132">
        <v>-171.84</v>
      </c>
      <c r="J78" s="132">
        <v>-171.71</v>
      </c>
      <c r="K78" s="132">
        <v>-171.64</v>
      </c>
      <c r="L78" s="132">
        <v>-179.13</v>
      </c>
      <c r="M78" s="132">
        <v>-182.75</v>
      </c>
      <c r="N78" s="132">
        <v>-184.4</v>
      </c>
    </row>
    <row r="79" spans="1:22" ht="15" x14ac:dyDescent="0.25">
      <c r="B79" s="51" t="s">
        <v>55</v>
      </c>
      <c r="C79" s="131">
        <v>32.744</v>
      </c>
      <c r="D79" s="131">
        <v>27.007999999999999</v>
      </c>
      <c r="E79" s="131">
        <v>15.408000000000001</v>
      </c>
      <c r="F79" s="131">
        <v>17.463999999999999</v>
      </c>
      <c r="G79" s="131">
        <v>26.176000000000002</v>
      </c>
      <c r="H79" s="131">
        <v>46.2</v>
      </c>
      <c r="I79" s="131">
        <v>28.6</v>
      </c>
      <c r="J79" s="131">
        <v>42.56</v>
      </c>
      <c r="K79" s="131">
        <v>51.48</v>
      </c>
      <c r="L79" s="131">
        <v>48.488</v>
      </c>
      <c r="M79" s="131">
        <v>50.384</v>
      </c>
      <c r="N79" s="131">
        <v>53.304000000000002</v>
      </c>
      <c r="O79" s="87">
        <f>SUM(C69:N79)</f>
        <v>13537.918908432146</v>
      </c>
      <c r="Q79" s="108"/>
      <c r="R79" s="108"/>
      <c r="S79" s="109"/>
      <c r="T79" s="109"/>
    </row>
    <row r="80" spans="1:22" ht="8.1" customHeight="1" x14ac:dyDescent="0.2"/>
    <row r="81" spans="1:16" x14ac:dyDescent="0.2">
      <c r="A81" s="65" t="s">
        <v>60</v>
      </c>
    </row>
    <row r="82" spans="1:16" x14ac:dyDescent="0.2">
      <c r="B82" s="51" t="s">
        <v>23</v>
      </c>
      <c r="C82" s="77">
        <f>+C69*C55</f>
        <v>0</v>
      </c>
      <c r="D82" s="59">
        <f t="shared" ref="D82:M82" si="29">+D69*D55</f>
        <v>0</v>
      </c>
      <c r="E82" s="59">
        <f>+E69*E55</f>
        <v>0</v>
      </c>
      <c r="F82" s="59">
        <f>+F69*F55</f>
        <v>0</v>
      </c>
      <c r="G82" s="59">
        <f t="shared" si="29"/>
        <v>0</v>
      </c>
      <c r="H82" s="59">
        <f t="shared" si="29"/>
        <v>0</v>
      </c>
      <c r="I82" s="59">
        <f>+I69*I55</f>
        <v>0</v>
      </c>
      <c r="J82" s="59">
        <f t="shared" si="29"/>
        <v>0</v>
      </c>
      <c r="K82" s="59">
        <f t="shared" si="29"/>
        <v>0</v>
      </c>
      <c r="L82" s="59">
        <f t="shared" si="29"/>
        <v>0</v>
      </c>
      <c r="M82" s="59">
        <f t="shared" si="29"/>
        <v>0</v>
      </c>
      <c r="N82" s="59">
        <f>+N69*N55</f>
        <v>0</v>
      </c>
    </row>
    <row r="83" spans="1:16" x14ac:dyDescent="0.2">
      <c r="B83" s="51" t="s">
        <v>27</v>
      </c>
      <c r="C83" s="77">
        <f t="shared" ref="C83:N83" si="30">+C70*C56</f>
        <v>2253.5343959875418</v>
      </c>
      <c r="D83" s="59">
        <f t="shared" si="30"/>
        <v>2051.0513522653337</v>
      </c>
      <c r="E83" s="59">
        <f t="shared" si="30"/>
        <v>1963.0645073110288</v>
      </c>
      <c r="F83" s="59">
        <f t="shared" si="30"/>
        <v>2733.0233422944279</v>
      </c>
      <c r="G83" s="59">
        <f t="shared" si="30"/>
        <v>2371.097195294536</v>
      </c>
      <c r="H83" s="59">
        <f>+H70*H56</f>
        <v>2988.5532519455546</v>
      </c>
      <c r="I83" s="59">
        <f t="shared" si="30"/>
        <v>2832.8250365895028</v>
      </c>
      <c r="J83" s="59">
        <f t="shared" si="30"/>
        <v>3128.3246291888295</v>
      </c>
      <c r="K83" s="59">
        <f t="shared" si="30"/>
        <v>4503.7612323025533</v>
      </c>
      <c r="L83" s="59">
        <f t="shared" si="30"/>
        <v>3743.7660364402377</v>
      </c>
      <c r="M83" s="59">
        <f t="shared" si="30"/>
        <v>3600.4046621209845</v>
      </c>
      <c r="N83" s="59">
        <f t="shared" si="30"/>
        <v>3354.6166272300839</v>
      </c>
    </row>
    <row r="84" spans="1:16" x14ac:dyDescent="0.2">
      <c r="B84" s="51" t="s">
        <v>49</v>
      </c>
      <c r="C84" s="77">
        <f t="shared" ref="C84:N84" si="31">+C71*C57</f>
        <v>0</v>
      </c>
      <c r="D84" s="59">
        <f t="shared" si="31"/>
        <v>0</v>
      </c>
      <c r="E84" s="59">
        <f t="shared" si="31"/>
        <v>0</v>
      </c>
      <c r="F84" s="59">
        <f t="shared" si="31"/>
        <v>0</v>
      </c>
      <c r="G84" s="59">
        <f t="shared" si="31"/>
        <v>0</v>
      </c>
      <c r="H84" s="59">
        <f t="shared" si="31"/>
        <v>0</v>
      </c>
      <c r="I84" s="59"/>
      <c r="J84" s="59">
        <f t="shared" si="31"/>
        <v>0</v>
      </c>
      <c r="K84" s="59">
        <f t="shared" si="31"/>
        <v>0</v>
      </c>
      <c r="L84" s="59">
        <f t="shared" si="31"/>
        <v>0</v>
      </c>
      <c r="M84" s="59">
        <f t="shared" si="31"/>
        <v>0</v>
      </c>
      <c r="N84" s="59">
        <f t="shared" si="31"/>
        <v>0</v>
      </c>
    </row>
    <row r="85" spans="1:16" x14ac:dyDescent="0.2">
      <c r="B85" s="51" t="s">
        <v>50</v>
      </c>
      <c r="C85" s="77">
        <f t="shared" ref="C85:N85" si="32">+C72*C58</f>
        <v>149.73979924933721</v>
      </c>
      <c r="D85" s="59">
        <f t="shared" si="32"/>
        <v>126.30055025622093</v>
      </c>
      <c r="E85" s="59">
        <f t="shared" si="32"/>
        <v>116.94796969529666</v>
      </c>
      <c r="F85" s="59">
        <f t="shared" si="32"/>
        <v>145.15382380947383</v>
      </c>
      <c r="G85" s="59">
        <f t="shared" si="32"/>
        <v>105.52605727637589</v>
      </c>
      <c r="H85" s="59">
        <f t="shared" si="32"/>
        <v>127.50196571164993</v>
      </c>
      <c r="I85" s="59">
        <f t="shared" si="32"/>
        <v>160.28545080921342</v>
      </c>
      <c r="J85" s="59">
        <f t="shared" si="32"/>
        <v>146.25521405886676</v>
      </c>
      <c r="K85" s="59">
        <f t="shared" si="32"/>
        <v>196.56728989338873</v>
      </c>
      <c r="L85" s="59">
        <f t="shared" si="32"/>
        <v>236.43643421014946</v>
      </c>
      <c r="M85" s="59">
        <f t="shared" si="32"/>
        <v>179.13353624283809</v>
      </c>
      <c r="N85" s="59">
        <f t="shared" si="32"/>
        <v>165.1261848031078</v>
      </c>
    </row>
    <row r="86" spans="1:16" x14ac:dyDescent="0.2">
      <c r="B86" s="51" t="s">
        <v>51</v>
      </c>
      <c r="C86" s="77">
        <f t="shared" ref="C86:N86" si="33">+C73*C59</f>
        <v>790.83014974718049</v>
      </c>
      <c r="D86" s="59">
        <f t="shared" si="33"/>
        <v>440.82564572508869</v>
      </c>
      <c r="E86" s="59">
        <f t="shared" si="33"/>
        <v>87.090841099339357</v>
      </c>
      <c r="F86" s="59">
        <f t="shared" si="33"/>
        <v>63.220542455518633</v>
      </c>
      <c r="G86" s="59">
        <f t="shared" si="33"/>
        <v>-111.86172806281948</v>
      </c>
      <c r="H86" s="59">
        <f t="shared" si="33"/>
        <v>68.346346159684458</v>
      </c>
      <c r="I86" s="59">
        <f t="shared" si="33"/>
        <v>-110.99042325708031</v>
      </c>
      <c r="J86" s="59">
        <f t="shared" si="33"/>
        <v>77.454920068316781</v>
      </c>
      <c r="K86" s="59">
        <f t="shared" si="33"/>
        <v>204.43906643883193</v>
      </c>
      <c r="L86" s="59">
        <f t="shared" si="33"/>
        <v>-811.73654946749832</v>
      </c>
      <c r="M86" s="59">
        <f t="shared" si="33"/>
        <v>-772.51214751330349</v>
      </c>
      <c r="N86" s="59">
        <f t="shared" si="33"/>
        <v>371.42392913300802</v>
      </c>
    </row>
    <row r="87" spans="1:16" x14ac:dyDescent="0.2">
      <c r="B87" s="51" t="s">
        <v>52</v>
      </c>
      <c r="C87" s="77">
        <f t="shared" ref="C87:N87" si="34">+C74*C60</f>
        <v>2019.8950670757345</v>
      </c>
      <c r="D87" s="59">
        <f t="shared" si="34"/>
        <v>2052.7138290573844</v>
      </c>
      <c r="E87" s="59">
        <f t="shared" si="34"/>
        <v>1770.3461903150951</v>
      </c>
      <c r="F87" s="59">
        <f t="shared" si="34"/>
        <v>2454.66233914642</v>
      </c>
      <c r="G87" s="59">
        <f t="shared" si="34"/>
        <v>1822.9410749823512</v>
      </c>
      <c r="H87" s="59">
        <f t="shared" si="34"/>
        <v>1954.4655642929786</v>
      </c>
      <c r="I87" s="59">
        <f t="shared" si="34"/>
        <v>2133.2438036535823</v>
      </c>
      <c r="J87" s="59">
        <f t="shared" si="34"/>
        <v>2190.6873489314758</v>
      </c>
      <c r="K87" s="59">
        <f t="shared" si="34"/>
        <v>3440.7359449014211</v>
      </c>
      <c r="L87" s="59">
        <f t="shared" si="34"/>
        <v>2937.7541272766825</v>
      </c>
      <c r="M87" s="59">
        <f t="shared" si="34"/>
        <v>2633.3475353072204</v>
      </c>
      <c r="N87" s="59">
        <f t="shared" si="34"/>
        <v>2756.1408981783161</v>
      </c>
    </row>
    <row r="88" spans="1:16" x14ac:dyDescent="0.2">
      <c r="B88" s="51" t="s">
        <v>53</v>
      </c>
      <c r="C88" s="77">
        <f t="shared" ref="C88:N88" si="35">+C75*C61</f>
        <v>11.621913885687231</v>
      </c>
      <c r="D88" s="59">
        <f t="shared" si="35"/>
        <v>10.471223966290333</v>
      </c>
      <c r="E88" s="59">
        <f t="shared" si="35"/>
        <v>9.3841885008419492</v>
      </c>
      <c r="F88" s="59">
        <f t="shared" si="35"/>
        <v>12.05504697730137</v>
      </c>
      <c r="G88" s="59">
        <f t="shared" si="35"/>
        <v>9.6539446904335513</v>
      </c>
      <c r="H88" s="59">
        <f t="shared" si="35"/>
        <v>11.317261782945781</v>
      </c>
      <c r="I88" s="59">
        <f t="shared" si="35"/>
        <v>10.653682305008928</v>
      </c>
      <c r="J88" s="59">
        <f t="shared" si="35"/>
        <v>12.039218228652803</v>
      </c>
      <c r="K88" s="59">
        <f t="shared" si="35"/>
        <v>15.510889744715604</v>
      </c>
      <c r="L88" s="59">
        <f t="shared" si="35"/>
        <v>12.568430130010368</v>
      </c>
      <c r="M88" s="59">
        <f t="shared" si="35"/>
        <v>9.8408940568026271</v>
      </c>
      <c r="N88" s="59">
        <f t="shared" si="35"/>
        <v>8.8122953288448791</v>
      </c>
    </row>
    <row r="89" spans="1:16" x14ac:dyDescent="0.2">
      <c r="B89" s="51" t="s">
        <v>46</v>
      </c>
      <c r="C89" s="77">
        <f t="shared" ref="C89:N89" si="36">+C76*C62</f>
        <v>-1115.3730386206794</v>
      </c>
      <c r="D89" s="59">
        <f t="shared" si="36"/>
        <v>-1372.2042913010657</v>
      </c>
      <c r="E89" s="59">
        <f t="shared" si="36"/>
        <v>-1212.5281901295175</v>
      </c>
      <c r="F89" s="59">
        <f t="shared" si="36"/>
        <v>-1677.5459926941635</v>
      </c>
      <c r="G89" s="59">
        <f t="shared" si="36"/>
        <v>-1220.1298250549703</v>
      </c>
      <c r="H89" s="59">
        <f t="shared" si="36"/>
        <v>-1077.8988884203895</v>
      </c>
      <c r="I89" s="59">
        <f t="shared" si="36"/>
        <v>-1325.9459596845475</v>
      </c>
      <c r="J89" s="59">
        <f t="shared" si="36"/>
        <v>-2058.8119478543144</v>
      </c>
      <c r="K89" s="59">
        <f t="shared" si="36"/>
        <v>-1236.5410561901817</v>
      </c>
      <c r="L89" s="59">
        <f t="shared" si="36"/>
        <v>-925.27393984964976</v>
      </c>
      <c r="M89" s="59">
        <f t="shared" si="36"/>
        <v>-784.78417253002738</v>
      </c>
      <c r="N89" s="59">
        <f t="shared" si="36"/>
        <v>-839.93097315487432</v>
      </c>
    </row>
    <row r="90" spans="1:16" x14ac:dyDescent="0.2">
      <c r="B90" s="51" t="s">
        <v>87</v>
      </c>
      <c r="C90" s="77">
        <f t="shared" ref="C90:N90" si="37">+C77*C63</f>
        <v>0</v>
      </c>
      <c r="D90" s="59">
        <f t="shared" si="37"/>
        <v>0</v>
      </c>
      <c r="E90" s="59">
        <f t="shared" si="37"/>
        <v>0</v>
      </c>
      <c r="F90" s="59">
        <f t="shared" si="37"/>
        <v>0</v>
      </c>
      <c r="G90" s="59">
        <f t="shared" si="37"/>
        <v>0</v>
      </c>
      <c r="H90" s="59">
        <f t="shared" si="37"/>
        <v>0</v>
      </c>
      <c r="I90" s="59">
        <f t="shared" si="37"/>
        <v>0</v>
      </c>
      <c r="J90" s="59">
        <f t="shared" si="37"/>
        <v>0</v>
      </c>
      <c r="K90" s="59">
        <f t="shared" si="37"/>
        <v>0</v>
      </c>
      <c r="L90" s="59">
        <f t="shared" si="37"/>
        <v>0</v>
      </c>
      <c r="M90" s="59">
        <f t="shared" si="37"/>
        <v>0</v>
      </c>
      <c r="N90" s="59">
        <f t="shared" si="37"/>
        <v>0</v>
      </c>
    </row>
    <row r="91" spans="1:16" x14ac:dyDescent="0.2">
      <c r="B91" s="51" t="s">
        <v>54</v>
      </c>
      <c r="C91" s="77">
        <f t="shared" ref="C91:N91" si="38">+C78*C64</f>
        <v>-3128.126093049354</v>
      </c>
      <c r="D91" s="59">
        <f t="shared" si="38"/>
        <v>-3262.4579394051711</v>
      </c>
      <c r="E91" s="59">
        <f t="shared" si="38"/>
        <v>-2931.9912429364986</v>
      </c>
      <c r="F91" s="59">
        <f t="shared" si="38"/>
        <v>-4170.6258359602243</v>
      </c>
      <c r="G91" s="59">
        <f t="shared" si="38"/>
        <v>-3201.7520591683642</v>
      </c>
      <c r="H91" s="59">
        <f t="shared" si="38"/>
        <v>-3352.9786379918855</v>
      </c>
      <c r="I91" s="59">
        <f t="shared" si="38"/>
        <v>-3710.6998801018131</v>
      </c>
      <c r="J91" s="59">
        <f t="shared" si="38"/>
        <v>-3909.1004537630624</v>
      </c>
      <c r="K91" s="59">
        <f t="shared" si="38"/>
        <v>-6439.038374398463</v>
      </c>
      <c r="L91" s="59">
        <f t="shared" si="38"/>
        <v>-5473.2100649736403</v>
      </c>
      <c r="M91" s="59">
        <f t="shared" si="38"/>
        <v>-4922.2053842466357</v>
      </c>
      <c r="N91" s="59">
        <f t="shared" si="38"/>
        <v>-4505.0623112211069</v>
      </c>
    </row>
    <row r="92" spans="1:16" x14ac:dyDescent="0.2">
      <c r="B92" s="51" t="s">
        <v>55</v>
      </c>
      <c r="C92" s="78">
        <f t="shared" ref="C92:N92" si="39">+C79*C65</f>
        <v>1165.3368027733766</v>
      </c>
      <c r="D92" s="71">
        <f t="shared" si="39"/>
        <v>1002.473326672429</v>
      </c>
      <c r="E92" s="71">
        <f t="shared" si="39"/>
        <v>515.44449448059004</v>
      </c>
      <c r="F92" s="71">
        <f t="shared" si="39"/>
        <v>831.12912839717239</v>
      </c>
      <c r="G92" s="71">
        <f t="shared" si="39"/>
        <v>955.95513470356661</v>
      </c>
      <c r="H92" s="71">
        <f t="shared" si="39"/>
        <v>1761.2902157975234</v>
      </c>
      <c r="I92" s="71">
        <f t="shared" si="39"/>
        <v>1210.0169270021108</v>
      </c>
      <c r="J92" s="71">
        <f t="shared" si="39"/>
        <v>1898.3518431932566</v>
      </c>
      <c r="K92" s="59">
        <f t="shared" si="39"/>
        <v>2732.8201255789272</v>
      </c>
      <c r="L92" s="59">
        <f t="shared" si="39"/>
        <v>2096.4188869020977</v>
      </c>
      <c r="M92" s="59">
        <f t="shared" si="39"/>
        <v>1920.2819089562029</v>
      </c>
      <c r="N92" s="59">
        <f t="shared" si="39"/>
        <v>1842.7638645300958</v>
      </c>
    </row>
    <row r="93" spans="1:16" x14ac:dyDescent="0.2">
      <c r="A93" s="65" t="s">
        <v>61</v>
      </c>
      <c r="B93" s="65"/>
      <c r="C93" s="79">
        <f t="shared" ref="C93:N93" si="40">SUM(C82:C92)</f>
        <v>2147.4589970488232</v>
      </c>
      <c r="D93" s="80">
        <f t="shared" si="40"/>
        <v>1049.1736972365104</v>
      </c>
      <c r="E93" s="80">
        <f t="shared" si="40"/>
        <v>317.75875833617556</v>
      </c>
      <c r="F93" s="80">
        <f t="shared" si="40"/>
        <v>391.07239442592675</v>
      </c>
      <c r="G93" s="80">
        <f t="shared" si="40"/>
        <v>731.42979466110899</v>
      </c>
      <c r="H93" s="80">
        <f t="shared" si="40"/>
        <v>2480.5970792780618</v>
      </c>
      <c r="I93" s="80">
        <f t="shared" si="40"/>
        <v>1199.3886373159783</v>
      </c>
      <c r="J93" s="80">
        <f t="shared" si="40"/>
        <v>1485.2007720520223</v>
      </c>
      <c r="K93" s="86">
        <f t="shared" si="40"/>
        <v>3418.2551182711932</v>
      </c>
      <c r="L93" s="86">
        <f t="shared" si="40"/>
        <v>1816.7233606683899</v>
      </c>
      <c r="M93" s="86">
        <f t="shared" si="40"/>
        <v>1863.5068323940807</v>
      </c>
      <c r="N93" s="86">
        <f t="shared" si="40"/>
        <v>3153.8905148274744</v>
      </c>
      <c r="O93" s="87">
        <f>SUM(C93:N93)</f>
        <v>20054.455956515747</v>
      </c>
      <c r="P93" s="87">
        <f>O93/2</f>
        <v>10027.227978257873</v>
      </c>
    </row>
    <row r="94" spans="1:16" x14ac:dyDescent="0.2">
      <c r="A94" s="65" t="s">
        <v>62</v>
      </c>
      <c r="B94" s="65"/>
      <c r="C94" s="79">
        <f>+C93/C66</f>
        <v>20.026838799999986</v>
      </c>
      <c r="D94" s="80">
        <f t="shared" ref="D94:M94" si="41">+D93/D66</f>
        <v>9.3815424000000025</v>
      </c>
      <c r="E94" s="80">
        <f>+E93/E66</f>
        <v>3.1526019999999959</v>
      </c>
      <c r="F94" s="80">
        <f t="shared" si="41"/>
        <v>2.7273422000000043</v>
      </c>
      <c r="G94" s="80">
        <f t="shared" si="41"/>
        <v>6.6473059999999977</v>
      </c>
      <c r="H94" s="80">
        <f t="shared" si="41"/>
        <v>21.59606040000001</v>
      </c>
      <c r="I94" s="80">
        <f t="shared" si="41"/>
        <v>9.4089632000000041</v>
      </c>
      <c r="J94" s="80">
        <f t="shared" si="41"/>
        <v>11.051400800000017</v>
      </c>
      <c r="K94" s="59">
        <f t="shared" si="41"/>
        <v>19.99267027445746</v>
      </c>
      <c r="L94" s="59">
        <f t="shared" si="41"/>
        <v>13.046194468549027</v>
      </c>
      <c r="M94" s="59">
        <f t="shared" si="41"/>
        <v>15.180898694473667</v>
      </c>
      <c r="N94" s="59">
        <f>+N93/N66</f>
        <v>28.325368316749874</v>
      </c>
    </row>
    <row r="95" spans="1:16" ht="8.1" customHeight="1" x14ac:dyDescent="0.2"/>
    <row r="96" spans="1:16" x14ac:dyDescent="0.2">
      <c r="A96" s="65"/>
      <c r="C96" s="87">
        <v>39.83</v>
      </c>
      <c r="D96" s="87">
        <v>57.16</v>
      </c>
      <c r="E96" s="87">
        <v>62.92</v>
      </c>
      <c r="F96" s="87">
        <v>69.34</v>
      </c>
      <c r="G96" s="87">
        <v>69.72</v>
      </c>
      <c r="H96" s="87">
        <v>67.239999999999995</v>
      </c>
      <c r="I96" s="87">
        <v>46.98</v>
      </c>
      <c r="J96" s="87">
        <v>29.91</v>
      </c>
      <c r="K96" s="87">
        <v>18.45</v>
      </c>
      <c r="L96" s="87">
        <v>27.54</v>
      </c>
      <c r="M96" s="87">
        <v>32.53</v>
      </c>
      <c r="N96" s="87">
        <v>41.6</v>
      </c>
    </row>
    <row r="97" spans="1:14" x14ac:dyDescent="0.2">
      <c r="C97" s="77">
        <f>C94-C96</f>
        <v>-19.803161200000012</v>
      </c>
      <c r="D97" s="77">
        <f t="shared" ref="D97:N97" si="42">D94-D96</f>
        <v>-47.778457599999996</v>
      </c>
      <c r="E97" s="77">
        <f t="shared" si="42"/>
        <v>-59.767398000000007</v>
      </c>
      <c r="F97" s="77">
        <f t="shared" si="42"/>
        <v>-66.612657799999994</v>
      </c>
      <c r="G97" s="77">
        <f t="shared" si="42"/>
        <v>-63.072693999999998</v>
      </c>
      <c r="H97" s="77">
        <f t="shared" si="42"/>
        <v>-45.643939599999982</v>
      </c>
      <c r="I97" s="77">
        <f t="shared" si="42"/>
        <v>-37.571036799999995</v>
      </c>
      <c r="J97" s="77">
        <f t="shared" si="42"/>
        <v>-18.858599199999983</v>
      </c>
      <c r="K97" s="77">
        <f t="shared" si="42"/>
        <v>1.5426702744574605</v>
      </c>
      <c r="L97" s="77">
        <f t="shared" si="42"/>
        <v>-14.493805531450972</v>
      </c>
      <c r="M97" s="77">
        <f t="shared" si="42"/>
        <v>-17.349101305526332</v>
      </c>
      <c r="N97" s="77">
        <f t="shared" si="42"/>
        <v>-13.274631683250128</v>
      </c>
    </row>
    <row r="98" spans="1:14" x14ac:dyDescent="0.2">
      <c r="A98" s="65"/>
      <c r="B98" s="65"/>
      <c r="C98" s="79"/>
      <c r="D98" s="79"/>
      <c r="E98" s="79"/>
      <c r="F98" s="79"/>
      <c r="G98" s="79"/>
      <c r="H98" s="79"/>
      <c r="I98" s="79"/>
      <c r="J98" s="82"/>
    </row>
    <row r="99" spans="1:14" x14ac:dyDescent="0.2">
      <c r="C99" s="87"/>
      <c r="D99" s="87"/>
      <c r="E99" s="87"/>
      <c r="F99" s="87"/>
      <c r="G99" s="87"/>
      <c r="H99" s="87"/>
      <c r="I99" s="87"/>
      <c r="J99" s="87"/>
      <c r="K99" s="87"/>
      <c r="L99" s="87"/>
      <c r="M99" s="87"/>
      <c r="N99" s="87"/>
    </row>
    <row r="100" spans="1:14" x14ac:dyDescent="0.2">
      <c r="A100" s="65"/>
      <c r="B100" s="65"/>
      <c r="C100" s="77"/>
      <c r="D100" s="77"/>
      <c r="E100" s="77"/>
      <c r="F100" s="77"/>
      <c r="G100" s="77"/>
      <c r="H100" s="77"/>
      <c r="I100" s="77"/>
      <c r="J100" s="77"/>
      <c r="K100" s="77"/>
      <c r="L100" s="77"/>
      <c r="M100" s="77"/>
      <c r="N100" s="77"/>
    </row>
    <row r="101" spans="1:14" ht="8.1" customHeight="1" x14ac:dyDescent="0.2"/>
    <row r="102" spans="1:14" x14ac:dyDescent="0.2">
      <c r="A102" s="65"/>
      <c r="C102" s="81"/>
      <c r="D102" s="81"/>
      <c r="E102" s="81"/>
      <c r="F102" s="81"/>
      <c r="G102" s="81"/>
      <c r="H102" s="81"/>
      <c r="I102" s="81"/>
      <c r="J102" s="81"/>
    </row>
    <row r="105" spans="1:14" x14ac:dyDescent="0.2">
      <c r="B105" s="51" t="str">
        <f ca="1">CELL("filename")</f>
        <v>X:\Division\Accounting II\WUTC Filings\Commodity Credits\Filing June 2024\SeaTac\[SeaTac Single Family Commodity Credit Template - June 2024.xlsx]RSA</v>
      </c>
    </row>
  </sheetData>
  <phoneticPr fontId="0" type="noConversion"/>
  <pageMargins left="0.5" right="0.5" top="0.75" bottom="0.75" header="0.5" footer="0.5"/>
  <pageSetup scale="60" fitToWidth="0" orientation="portrait" r:id="rId1"/>
  <headerFooter alignWithMargins="0"/>
  <rowBreaks count="1" manualBreakCount="1">
    <brk id="53"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25"/>
  <sheetViews>
    <sheetView tabSelected="1" workbookViewId="0">
      <selection activeCell="E24" sqref="E24:F25"/>
    </sheetView>
  </sheetViews>
  <sheetFormatPr defaultRowHeight="12.75" x14ac:dyDescent="0.2"/>
  <cols>
    <col min="1" max="1" width="29" customWidth="1"/>
    <col min="2" max="2" width="12.28515625" bestFit="1" customWidth="1"/>
    <col min="3" max="3" width="11.28515625" bestFit="1" customWidth="1"/>
    <col min="4" max="4" width="12.28515625" bestFit="1" customWidth="1"/>
    <col min="5" max="5" width="10.7109375" bestFit="1" customWidth="1"/>
  </cols>
  <sheetData>
    <row r="3" spans="1:6" ht="13.5" thickBot="1" x14ac:dyDescent="0.25"/>
    <row r="4" spans="1:6" ht="13.5" thickBot="1" x14ac:dyDescent="0.25">
      <c r="A4" s="122" t="s">
        <v>90</v>
      </c>
      <c r="B4" s="123"/>
      <c r="C4" s="124">
        <f>+Recap!D16</f>
        <v>6852.4614999999903</v>
      </c>
      <c r="D4" s="135"/>
    </row>
    <row r="5" spans="1:6" x14ac:dyDescent="0.2">
      <c r="C5" s="125"/>
      <c r="D5" s="125"/>
    </row>
    <row r="6" spans="1:6" x14ac:dyDescent="0.2">
      <c r="A6" s="46" t="s">
        <v>91</v>
      </c>
      <c r="E6" s="46" t="s">
        <v>92</v>
      </c>
      <c r="F6" s="46" t="s">
        <v>93</v>
      </c>
    </row>
    <row r="7" spans="1:6" x14ac:dyDescent="0.2">
      <c r="A7" s="128" t="s">
        <v>94</v>
      </c>
      <c r="C7" s="125">
        <f>$C$4*(D12/$D$15)</f>
        <v>2066.6149946634382</v>
      </c>
      <c r="D7" s="125"/>
      <c r="E7" s="126">
        <f>C7*E12</f>
        <v>1845.5239941835316</v>
      </c>
      <c r="F7" s="127">
        <f>C7*F12</f>
        <v>221.09100047990677</v>
      </c>
    </row>
    <row r="8" spans="1:6" x14ac:dyDescent="0.2">
      <c r="A8" s="128" t="s">
        <v>95</v>
      </c>
      <c r="C8" s="125">
        <f>$C$4*(D13/$D$15)</f>
        <v>3868.7077239747878</v>
      </c>
      <c r="D8" s="125"/>
      <c r="E8" s="126">
        <f>C8*E13</f>
        <v>3838.7141186738827</v>
      </c>
      <c r="F8" s="127">
        <f>C8*F13</f>
        <v>29.993605300904672</v>
      </c>
    </row>
    <row r="9" spans="1:6" x14ac:dyDescent="0.2">
      <c r="A9" s="128" t="s">
        <v>96</v>
      </c>
      <c r="C9" s="125">
        <f>$C$4*(D14/$D$15)</f>
        <v>917.13878136176459</v>
      </c>
      <c r="D9" s="125"/>
      <c r="E9" s="126">
        <f>C9*E14</f>
        <v>853.65275664288549</v>
      </c>
      <c r="F9" s="127">
        <f>C9*F14</f>
        <v>63.486024718879086</v>
      </c>
    </row>
    <row r="11" spans="1:6" x14ac:dyDescent="0.2">
      <c r="A11" t="s">
        <v>97</v>
      </c>
      <c r="B11" t="s">
        <v>98</v>
      </c>
      <c r="C11" t="s">
        <v>99</v>
      </c>
      <c r="D11" t="s">
        <v>29</v>
      </c>
      <c r="E11" t="s">
        <v>100</v>
      </c>
      <c r="F11" t="s">
        <v>101</v>
      </c>
    </row>
    <row r="12" spans="1:6" x14ac:dyDescent="0.2">
      <c r="A12">
        <v>4172</v>
      </c>
      <c r="B12" s="136">
        <f>Recap!Q5</f>
        <v>21679.070000000003</v>
      </c>
      <c r="C12" s="136">
        <f>Recap!Q6</f>
        <v>2597.12</v>
      </c>
      <c r="D12" s="136">
        <f>B12+C12</f>
        <v>24276.190000000002</v>
      </c>
      <c r="E12" s="137">
        <f>B12/$D$12</f>
        <v>0.89301780880772486</v>
      </c>
      <c r="F12" s="137">
        <f>C12/$D$12</f>
        <v>0.10698219119227521</v>
      </c>
    </row>
    <row r="13" spans="1:6" x14ac:dyDescent="0.2">
      <c r="A13">
        <v>4176</v>
      </c>
      <c r="B13" s="138">
        <f>Recap!Q8</f>
        <v>45092.75</v>
      </c>
      <c r="C13" s="138">
        <f>Recap!Q9</f>
        <v>352.33</v>
      </c>
      <c r="D13" s="136">
        <f>B13+C13</f>
        <v>45445.08</v>
      </c>
      <c r="E13" s="137">
        <f>B13/$D$13</f>
        <v>0.99224712554142269</v>
      </c>
      <c r="F13" s="137">
        <f>C13/$D$13</f>
        <v>7.7528744585772533E-3</v>
      </c>
    </row>
    <row r="14" spans="1:6" x14ac:dyDescent="0.2">
      <c r="A14">
        <v>4183</v>
      </c>
      <c r="B14" s="138">
        <f>Recap!Q11</f>
        <v>10027.719999999999</v>
      </c>
      <c r="C14" s="138">
        <f>Recap!Q12</f>
        <v>745.75999999999988</v>
      </c>
      <c r="D14" s="136">
        <f>B14+C14</f>
        <v>10773.48</v>
      </c>
      <c r="E14" s="137">
        <f>B14/$D$14</f>
        <v>0.93077817009916941</v>
      </c>
      <c r="F14" s="137">
        <f>C14/$D$14</f>
        <v>6.9221829900830548E-2</v>
      </c>
    </row>
    <row r="15" spans="1:6" x14ac:dyDescent="0.2">
      <c r="D15" s="139">
        <f>SUM(D12:D14)</f>
        <v>80494.75</v>
      </c>
      <c r="E15" s="129"/>
      <c r="F15" s="129"/>
    </row>
    <row r="20" spans="1:6" x14ac:dyDescent="0.2">
      <c r="A20" s="128" t="s">
        <v>149</v>
      </c>
      <c r="E20" s="125">
        <f>+E9</f>
        <v>853.65275664288549</v>
      </c>
    </row>
    <row r="22" spans="1:6" x14ac:dyDescent="0.2">
      <c r="A22" s="128" t="s">
        <v>20</v>
      </c>
      <c r="E22" s="130">
        <f>+'WUTC_AW of Kent (SeaTac)_SF'!B26</f>
        <v>63583</v>
      </c>
    </row>
    <row r="24" spans="1:6" x14ac:dyDescent="0.2">
      <c r="A24" s="128" t="s">
        <v>102</v>
      </c>
      <c r="E24" s="140">
        <v>0</v>
      </c>
      <c r="F24" t="s">
        <v>157</v>
      </c>
    </row>
    <row r="25" spans="1:6" x14ac:dyDescent="0.2">
      <c r="F25" t="s">
        <v>158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6499-236A-41BE-A9D1-EE1EFF27DEB3}">
  <dimension ref="A1:S42"/>
  <sheetViews>
    <sheetView topLeftCell="A4" workbookViewId="0">
      <selection activeCell="L25" sqref="L25"/>
    </sheetView>
  </sheetViews>
  <sheetFormatPr defaultRowHeight="12.75" x14ac:dyDescent="0.2"/>
  <cols>
    <col min="1" max="1" width="20.28515625" customWidth="1"/>
    <col min="2" max="2" width="13.28515625" bestFit="1" customWidth="1"/>
    <col min="3" max="3" width="12.5703125" bestFit="1" customWidth="1"/>
    <col min="4" max="4" width="25.7109375" customWidth="1"/>
    <col min="5" max="5" width="13.42578125" style="142" customWidth="1"/>
    <col min="9" max="9" width="34.5703125" bestFit="1" customWidth="1"/>
    <col min="10" max="10" width="12.28515625" bestFit="1" customWidth="1"/>
    <col min="12" max="12" width="18.42578125" bestFit="1" customWidth="1"/>
    <col min="14" max="14" width="24.7109375" bestFit="1" customWidth="1"/>
    <col min="17" max="17" width="19.42578125" style="143" bestFit="1" customWidth="1"/>
    <col min="19" max="19" width="11.28515625" bestFit="1" customWidth="1"/>
    <col min="257" max="257" width="20.28515625" customWidth="1"/>
    <col min="258" max="259" width="12.5703125" bestFit="1" customWidth="1"/>
    <col min="260" max="260" width="25.7109375" customWidth="1"/>
    <col min="261" max="261" width="13.42578125" customWidth="1"/>
    <col min="265" max="265" width="34.5703125" bestFit="1" customWidth="1"/>
    <col min="266" max="266" width="12.28515625" bestFit="1" customWidth="1"/>
    <col min="268" max="268" width="18.42578125" bestFit="1" customWidth="1"/>
    <col min="270" max="270" width="24.7109375" bestFit="1" customWidth="1"/>
    <col min="273" max="273" width="19.42578125" bestFit="1" customWidth="1"/>
    <col min="275" max="275" width="11.28515625" bestFit="1" customWidth="1"/>
    <col min="513" max="513" width="20.28515625" customWidth="1"/>
    <col min="514" max="515" width="12.5703125" bestFit="1" customWidth="1"/>
    <col min="516" max="516" width="25.7109375" customWidth="1"/>
    <col min="517" max="517" width="13.42578125" customWidth="1"/>
    <col min="521" max="521" width="34.5703125" bestFit="1" customWidth="1"/>
    <col min="522" max="522" width="12.28515625" bestFit="1" customWidth="1"/>
    <col min="524" max="524" width="18.42578125" bestFit="1" customWidth="1"/>
    <col min="526" max="526" width="24.7109375" bestFit="1" customWidth="1"/>
    <col min="529" max="529" width="19.42578125" bestFit="1" customWidth="1"/>
    <col min="531" max="531" width="11.28515625" bestFit="1" customWidth="1"/>
    <col min="769" max="769" width="20.28515625" customWidth="1"/>
    <col min="770" max="771" width="12.5703125" bestFit="1" customWidth="1"/>
    <col min="772" max="772" width="25.7109375" customWidth="1"/>
    <col min="773" max="773" width="13.42578125" customWidth="1"/>
    <col min="777" max="777" width="34.5703125" bestFit="1" customWidth="1"/>
    <col min="778" max="778" width="12.28515625" bestFit="1" customWidth="1"/>
    <col min="780" max="780" width="18.42578125" bestFit="1" customWidth="1"/>
    <col min="782" max="782" width="24.7109375" bestFit="1" customWidth="1"/>
    <col min="785" max="785" width="19.42578125" bestFit="1" customWidth="1"/>
    <col min="787" max="787" width="11.28515625" bestFit="1" customWidth="1"/>
    <col min="1025" max="1025" width="20.28515625" customWidth="1"/>
    <col min="1026" max="1027" width="12.5703125" bestFit="1" customWidth="1"/>
    <col min="1028" max="1028" width="25.7109375" customWidth="1"/>
    <col min="1029" max="1029" width="13.42578125" customWidth="1"/>
    <col min="1033" max="1033" width="34.5703125" bestFit="1" customWidth="1"/>
    <col min="1034" max="1034" width="12.28515625" bestFit="1" customWidth="1"/>
    <col min="1036" max="1036" width="18.42578125" bestFit="1" customWidth="1"/>
    <col min="1038" max="1038" width="24.7109375" bestFit="1" customWidth="1"/>
    <col min="1041" max="1041" width="19.42578125" bestFit="1" customWidth="1"/>
    <col min="1043" max="1043" width="11.28515625" bestFit="1" customWidth="1"/>
    <col min="1281" max="1281" width="20.28515625" customWidth="1"/>
    <col min="1282" max="1283" width="12.5703125" bestFit="1" customWidth="1"/>
    <col min="1284" max="1284" width="25.7109375" customWidth="1"/>
    <col min="1285" max="1285" width="13.42578125" customWidth="1"/>
    <col min="1289" max="1289" width="34.5703125" bestFit="1" customWidth="1"/>
    <col min="1290" max="1290" width="12.28515625" bestFit="1" customWidth="1"/>
    <col min="1292" max="1292" width="18.42578125" bestFit="1" customWidth="1"/>
    <col min="1294" max="1294" width="24.7109375" bestFit="1" customWidth="1"/>
    <col min="1297" max="1297" width="19.42578125" bestFit="1" customWidth="1"/>
    <col min="1299" max="1299" width="11.28515625" bestFit="1" customWidth="1"/>
    <col min="1537" max="1537" width="20.28515625" customWidth="1"/>
    <col min="1538" max="1539" width="12.5703125" bestFit="1" customWidth="1"/>
    <col min="1540" max="1540" width="25.7109375" customWidth="1"/>
    <col min="1541" max="1541" width="13.42578125" customWidth="1"/>
    <col min="1545" max="1545" width="34.5703125" bestFit="1" customWidth="1"/>
    <col min="1546" max="1546" width="12.28515625" bestFit="1" customWidth="1"/>
    <col min="1548" max="1548" width="18.42578125" bestFit="1" customWidth="1"/>
    <col min="1550" max="1550" width="24.7109375" bestFit="1" customWidth="1"/>
    <col min="1553" max="1553" width="19.42578125" bestFit="1" customWidth="1"/>
    <col min="1555" max="1555" width="11.28515625" bestFit="1" customWidth="1"/>
    <col min="1793" max="1793" width="20.28515625" customWidth="1"/>
    <col min="1794" max="1795" width="12.5703125" bestFit="1" customWidth="1"/>
    <col min="1796" max="1796" width="25.7109375" customWidth="1"/>
    <col min="1797" max="1797" width="13.42578125" customWidth="1"/>
    <col min="1801" max="1801" width="34.5703125" bestFit="1" customWidth="1"/>
    <col min="1802" max="1802" width="12.28515625" bestFit="1" customWidth="1"/>
    <col min="1804" max="1804" width="18.42578125" bestFit="1" customWidth="1"/>
    <col min="1806" max="1806" width="24.7109375" bestFit="1" customWidth="1"/>
    <col min="1809" max="1809" width="19.42578125" bestFit="1" customWidth="1"/>
    <col min="1811" max="1811" width="11.28515625" bestFit="1" customWidth="1"/>
    <col min="2049" max="2049" width="20.28515625" customWidth="1"/>
    <col min="2050" max="2051" width="12.5703125" bestFit="1" customWidth="1"/>
    <col min="2052" max="2052" width="25.7109375" customWidth="1"/>
    <col min="2053" max="2053" width="13.42578125" customWidth="1"/>
    <col min="2057" max="2057" width="34.5703125" bestFit="1" customWidth="1"/>
    <col min="2058" max="2058" width="12.28515625" bestFit="1" customWidth="1"/>
    <col min="2060" max="2060" width="18.42578125" bestFit="1" customWidth="1"/>
    <col min="2062" max="2062" width="24.7109375" bestFit="1" customWidth="1"/>
    <col min="2065" max="2065" width="19.42578125" bestFit="1" customWidth="1"/>
    <col min="2067" max="2067" width="11.28515625" bestFit="1" customWidth="1"/>
    <col min="2305" max="2305" width="20.28515625" customWidth="1"/>
    <col min="2306" max="2307" width="12.5703125" bestFit="1" customWidth="1"/>
    <col min="2308" max="2308" width="25.7109375" customWidth="1"/>
    <col min="2309" max="2309" width="13.42578125" customWidth="1"/>
    <col min="2313" max="2313" width="34.5703125" bestFit="1" customWidth="1"/>
    <col min="2314" max="2314" width="12.28515625" bestFit="1" customWidth="1"/>
    <col min="2316" max="2316" width="18.42578125" bestFit="1" customWidth="1"/>
    <col min="2318" max="2318" width="24.7109375" bestFit="1" customWidth="1"/>
    <col min="2321" max="2321" width="19.42578125" bestFit="1" customWidth="1"/>
    <col min="2323" max="2323" width="11.28515625" bestFit="1" customWidth="1"/>
    <col min="2561" max="2561" width="20.28515625" customWidth="1"/>
    <col min="2562" max="2563" width="12.5703125" bestFit="1" customWidth="1"/>
    <col min="2564" max="2564" width="25.7109375" customWidth="1"/>
    <col min="2565" max="2565" width="13.42578125" customWidth="1"/>
    <col min="2569" max="2569" width="34.5703125" bestFit="1" customWidth="1"/>
    <col min="2570" max="2570" width="12.28515625" bestFit="1" customWidth="1"/>
    <col min="2572" max="2572" width="18.42578125" bestFit="1" customWidth="1"/>
    <col min="2574" max="2574" width="24.7109375" bestFit="1" customWidth="1"/>
    <col min="2577" max="2577" width="19.42578125" bestFit="1" customWidth="1"/>
    <col min="2579" max="2579" width="11.28515625" bestFit="1" customWidth="1"/>
    <col min="2817" max="2817" width="20.28515625" customWidth="1"/>
    <col min="2818" max="2819" width="12.5703125" bestFit="1" customWidth="1"/>
    <col min="2820" max="2820" width="25.7109375" customWidth="1"/>
    <col min="2821" max="2821" width="13.42578125" customWidth="1"/>
    <col min="2825" max="2825" width="34.5703125" bestFit="1" customWidth="1"/>
    <col min="2826" max="2826" width="12.28515625" bestFit="1" customWidth="1"/>
    <col min="2828" max="2828" width="18.42578125" bestFit="1" customWidth="1"/>
    <col min="2830" max="2830" width="24.7109375" bestFit="1" customWidth="1"/>
    <col min="2833" max="2833" width="19.42578125" bestFit="1" customWidth="1"/>
    <col min="2835" max="2835" width="11.28515625" bestFit="1" customWidth="1"/>
    <col min="3073" max="3073" width="20.28515625" customWidth="1"/>
    <col min="3074" max="3075" width="12.5703125" bestFit="1" customWidth="1"/>
    <col min="3076" max="3076" width="25.7109375" customWidth="1"/>
    <col min="3077" max="3077" width="13.42578125" customWidth="1"/>
    <col min="3081" max="3081" width="34.5703125" bestFit="1" customWidth="1"/>
    <col min="3082" max="3082" width="12.28515625" bestFit="1" customWidth="1"/>
    <col min="3084" max="3084" width="18.42578125" bestFit="1" customWidth="1"/>
    <col min="3086" max="3086" width="24.7109375" bestFit="1" customWidth="1"/>
    <col min="3089" max="3089" width="19.42578125" bestFit="1" customWidth="1"/>
    <col min="3091" max="3091" width="11.28515625" bestFit="1" customWidth="1"/>
    <col min="3329" max="3329" width="20.28515625" customWidth="1"/>
    <col min="3330" max="3331" width="12.5703125" bestFit="1" customWidth="1"/>
    <col min="3332" max="3332" width="25.7109375" customWidth="1"/>
    <col min="3333" max="3333" width="13.42578125" customWidth="1"/>
    <col min="3337" max="3337" width="34.5703125" bestFit="1" customWidth="1"/>
    <col min="3338" max="3338" width="12.28515625" bestFit="1" customWidth="1"/>
    <col min="3340" max="3340" width="18.42578125" bestFit="1" customWidth="1"/>
    <col min="3342" max="3342" width="24.7109375" bestFit="1" customWidth="1"/>
    <col min="3345" max="3345" width="19.42578125" bestFit="1" customWidth="1"/>
    <col min="3347" max="3347" width="11.28515625" bestFit="1" customWidth="1"/>
    <col min="3585" max="3585" width="20.28515625" customWidth="1"/>
    <col min="3586" max="3587" width="12.5703125" bestFit="1" customWidth="1"/>
    <col min="3588" max="3588" width="25.7109375" customWidth="1"/>
    <col min="3589" max="3589" width="13.42578125" customWidth="1"/>
    <col min="3593" max="3593" width="34.5703125" bestFit="1" customWidth="1"/>
    <col min="3594" max="3594" width="12.28515625" bestFit="1" customWidth="1"/>
    <col min="3596" max="3596" width="18.42578125" bestFit="1" customWidth="1"/>
    <col min="3598" max="3598" width="24.7109375" bestFit="1" customWidth="1"/>
    <col min="3601" max="3601" width="19.42578125" bestFit="1" customWidth="1"/>
    <col min="3603" max="3603" width="11.28515625" bestFit="1" customWidth="1"/>
    <col min="3841" max="3841" width="20.28515625" customWidth="1"/>
    <col min="3842" max="3843" width="12.5703125" bestFit="1" customWidth="1"/>
    <col min="3844" max="3844" width="25.7109375" customWidth="1"/>
    <col min="3845" max="3845" width="13.42578125" customWidth="1"/>
    <col min="3849" max="3849" width="34.5703125" bestFit="1" customWidth="1"/>
    <col min="3850" max="3850" width="12.28515625" bestFit="1" customWidth="1"/>
    <col min="3852" max="3852" width="18.42578125" bestFit="1" customWidth="1"/>
    <col min="3854" max="3854" width="24.7109375" bestFit="1" customWidth="1"/>
    <col min="3857" max="3857" width="19.42578125" bestFit="1" customWidth="1"/>
    <col min="3859" max="3859" width="11.28515625" bestFit="1" customWidth="1"/>
    <col min="4097" max="4097" width="20.28515625" customWidth="1"/>
    <col min="4098" max="4099" width="12.5703125" bestFit="1" customWidth="1"/>
    <col min="4100" max="4100" width="25.7109375" customWidth="1"/>
    <col min="4101" max="4101" width="13.42578125" customWidth="1"/>
    <col min="4105" max="4105" width="34.5703125" bestFit="1" customWidth="1"/>
    <col min="4106" max="4106" width="12.28515625" bestFit="1" customWidth="1"/>
    <col min="4108" max="4108" width="18.42578125" bestFit="1" customWidth="1"/>
    <col min="4110" max="4110" width="24.7109375" bestFit="1" customWidth="1"/>
    <col min="4113" max="4113" width="19.42578125" bestFit="1" customWidth="1"/>
    <col min="4115" max="4115" width="11.28515625" bestFit="1" customWidth="1"/>
    <col min="4353" max="4353" width="20.28515625" customWidth="1"/>
    <col min="4354" max="4355" width="12.5703125" bestFit="1" customWidth="1"/>
    <col min="4356" max="4356" width="25.7109375" customWidth="1"/>
    <col min="4357" max="4357" width="13.42578125" customWidth="1"/>
    <col min="4361" max="4361" width="34.5703125" bestFit="1" customWidth="1"/>
    <col min="4362" max="4362" width="12.28515625" bestFit="1" customWidth="1"/>
    <col min="4364" max="4364" width="18.42578125" bestFit="1" customWidth="1"/>
    <col min="4366" max="4366" width="24.7109375" bestFit="1" customWidth="1"/>
    <col min="4369" max="4369" width="19.42578125" bestFit="1" customWidth="1"/>
    <col min="4371" max="4371" width="11.28515625" bestFit="1" customWidth="1"/>
    <col min="4609" max="4609" width="20.28515625" customWidth="1"/>
    <col min="4610" max="4611" width="12.5703125" bestFit="1" customWidth="1"/>
    <col min="4612" max="4612" width="25.7109375" customWidth="1"/>
    <col min="4613" max="4613" width="13.42578125" customWidth="1"/>
    <col min="4617" max="4617" width="34.5703125" bestFit="1" customWidth="1"/>
    <col min="4618" max="4618" width="12.28515625" bestFit="1" customWidth="1"/>
    <col min="4620" max="4620" width="18.42578125" bestFit="1" customWidth="1"/>
    <col min="4622" max="4622" width="24.7109375" bestFit="1" customWidth="1"/>
    <col min="4625" max="4625" width="19.42578125" bestFit="1" customWidth="1"/>
    <col min="4627" max="4627" width="11.28515625" bestFit="1" customWidth="1"/>
    <col min="4865" max="4865" width="20.28515625" customWidth="1"/>
    <col min="4866" max="4867" width="12.5703125" bestFit="1" customWidth="1"/>
    <col min="4868" max="4868" width="25.7109375" customWidth="1"/>
    <col min="4869" max="4869" width="13.42578125" customWidth="1"/>
    <col min="4873" max="4873" width="34.5703125" bestFit="1" customWidth="1"/>
    <col min="4874" max="4874" width="12.28515625" bestFit="1" customWidth="1"/>
    <col min="4876" max="4876" width="18.42578125" bestFit="1" customWidth="1"/>
    <col min="4878" max="4878" width="24.7109375" bestFit="1" customWidth="1"/>
    <col min="4881" max="4881" width="19.42578125" bestFit="1" customWidth="1"/>
    <col min="4883" max="4883" width="11.28515625" bestFit="1" customWidth="1"/>
    <col min="5121" max="5121" width="20.28515625" customWidth="1"/>
    <col min="5122" max="5123" width="12.5703125" bestFit="1" customWidth="1"/>
    <col min="5124" max="5124" width="25.7109375" customWidth="1"/>
    <col min="5125" max="5125" width="13.42578125" customWidth="1"/>
    <col min="5129" max="5129" width="34.5703125" bestFit="1" customWidth="1"/>
    <col min="5130" max="5130" width="12.28515625" bestFit="1" customWidth="1"/>
    <col min="5132" max="5132" width="18.42578125" bestFit="1" customWidth="1"/>
    <col min="5134" max="5134" width="24.7109375" bestFit="1" customWidth="1"/>
    <col min="5137" max="5137" width="19.42578125" bestFit="1" customWidth="1"/>
    <col min="5139" max="5139" width="11.28515625" bestFit="1" customWidth="1"/>
    <col min="5377" max="5377" width="20.28515625" customWidth="1"/>
    <col min="5378" max="5379" width="12.5703125" bestFit="1" customWidth="1"/>
    <col min="5380" max="5380" width="25.7109375" customWidth="1"/>
    <col min="5381" max="5381" width="13.42578125" customWidth="1"/>
    <col min="5385" max="5385" width="34.5703125" bestFit="1" customWidth="1"/>
    <col min="5386" max="5386" width="12.28515625" bestFit="1" customWidth="1"/>
    <col min="5388" max="5388" width="18.42578125" bestFit="1" customWidth="1"/>
    <col min="5390" max="5390" width="24.7109375" bestFit="1" customWidth="1"/>
    <col min="5393" max="5393" width="19.42578125" bestFit="1" customWidth="1"/>
    <col min="5395" max="5395" width="11.28515625" bestFit="1" customWidth="1"/>
    <col min="5633" max="5633" width="20.28515625" customWidth="1"/>
    <col min="5634" max="5635" width="12.5703125" bestFit="1" customWidth="1"/>
    <col min="5636" max="5636" width="25.7109375" customWidth="1"/>
    <col min="5637" max="5637" width="13.42578125" customWidth="1"/>
    <col min="5641" max="5641" width="34.5703125" bestFit="1" customWidth="1"/>
    <col min="5642" max="5642" width="12.28515625" bestFit="1" customWidth="1"/>
    <col min="5644" max="5644" width="18.42578125" bestFit="1" customWidth="1"/>
    <col min="5646" max="5646" width="24.7109375" bestFit="1" customWidth="1"/>
    <col min="5649" max="5649" width="19.42578125" bestFit="1" customWidth="1"/>
    <col min="5651" max="5651" width="11.28515625" bestFit="1" customWidth="1"/>
    <col min="5889" max="5889" width="20.28515625" customWidth="1"/>
    <col min="5890" max="5891" width="12.5703125" bestFit="1" customWidth="1"/>
    <col min="5892" max="5892" width="25.7109375" customWidth="1"/>
    <col min="5893" max="5893" width="13.42578125" customWidth="1"/>
    <col min="5897" max="5897" width="34.5703125" bestFit="1" customWidth="1"/>
    <col min="5898" max="5898" width="12.28515625" bestFit="1" customWidth="1"/>
    <col min="5900" max="5900" width="18.42578125" bestFit="1" customWidth="1"/>
    <col min="5902" max="5902" width="24.7109375" bestFit="1" customWidth="1"/>
    <col min="5905" max="5905" width="19.42578125" bestFit="1" customWidth="1"/>
    <col min="5907" max="5907" width="11.28515625" bestFit="1" customWidth="1"/>
    <col min="6145" max="6145" width="20.28515625" customWidth="1"/>
    <col min="6146" max="6147" width="12.5703125" bestFit="1" customWidth="1"/>
    <col min="6148" max="6148" width="25.7109375" customWidth="1"/>
    <col min="6149" max="6149" width="13.42578125" customWidth="1"/>
    <col min="6153" max="6153" width="34.5703125" bestFit="1" customWidth="1"/>
    <col min="6154" max="6154" width="12.28515625" bestFit="1" customWidth="1"/>
    <col min="6156" max="6156" width="18.42578125" bestFit="1" customWidth="1"/>
    <col min="6158" max="6158" width="24.7109375" bestFit="1" customWidth="1"/>
    <col min="6161" max="6161" width="19.42578125" bestFit="1" customWidth="1"/>
    <col min="6163" max="6163" width="11.28515625" bestFit="1" customWidth="1"/>
    <col min="6401" max="6401" width="20.28515625" customWidth="1"/>
    <col min="6402" max="6403" width="12.5703125" bestFit="1" customWidth="1"/>
    <col min="6404" max="6404" width="25.7109375" customWidth="1"/>
    <col min="6405" max="6405" width="13.42578125" customWidth="1"/>
    <col min="6409" max="6409" width="34.5703125" bestFit="1" customWidth="1"/>
    <col min="6410" max="6410" width="12.28515625" bestFit="1" customWidth="1"/>
    <col min="6412" max="6412" width="18.42578125" bestFit="1" customWidth="1"/>
    <col min="6414" max="6414" width="24.7109375" bestFit="1" customWidth="1"/>
    <col min="6417" max="6417" width="19.42578125" bestFit="1" customWidth="1"/>
    <col min="6419" max="6419" width="11.28515625" bestFit="1" customWidth="1"/>
    <col min="6657" max="6657" width="20.28515625" customWidth="1"/>
    <col min="6658" max="6659" width="12.5703125" bestFit="1" customWidth="1"/>
    <col min="6660" max="6660" width="25.7109375" customWidth="1"/>
    <col min="6661" max="6661" width="13.42578125" customWidth="1"/>
    <col min="6665" max="6665" width="34.5703125" bestFit="1" customWidth="1"/>
    <col min="6666" max="6666" width="12.28515625" bestFit="1" customWidth="1"/>
    <col min="6668" max="6668" width="18.42578125" bestFit="1" customWidth="1"/>
    <col min="6670" max="6670" width="24.7109375" bestFit="1" customWidth="1"/>
    <col min="6673" max="6673" width="19.42578125" bestFit="1" customWidth="1"/>
    <col min="6675" max="6675" width="11.28515625" bestFit="1" customWidth="1"/>
    <col min="6913" max="6913" width="20.28515625" customWidth="1"/>
    <col min="6914" max="6915" width="12.5703125" bestFit="1" customWidth="1"/>
    <col min="6916" max="6916" width="25.7109375" customWidth="1"/>
    <col min="6917" max="6917" width="13.42578125" customWidth="1"/>
    <col min="6921" max="6921" width="34.5703125" bestFit="1" customWidth="1"/>
    <col min="6922" max="6922" width="12.28515625" bestFit="1" customWidth="1"/>
    <col min="6924" max="6924" width="18.42578125" bestFit="1" customWidth="1"/>
    <col min="6926" max="6926" width="24.7109375" bestFit="1" customWidth="1"/>
    <col min="6929" max="6929" width="19.42578125" bestFit="1" customWidth="1"/>
    <col min="6931" max="6931" width="11.28515625" bestFit="1" customWidth="1"/>
    <col min="7169" max="7169" width="20.28515625" customWidth="1"/>
    <col min="7170" max="7171" width="12.5703125" bestFit="1" customWidth="1"/>
    <col min="7172" max="7172" width="25.7109375" customWidth="1"/>
    <col min="7173" max="7173" width="13.42578125" customWidth="1"/>
    <col min="7177" max="7177" width="34.5703125" bestFit="1" customWidth="1"/>
    <col min="7178" max="7178" width="12.28515625" bestFit="1" customWidth="1"/>
    <col min="7180" max="7180" width="18.42578125" bestFit="1" customWidth="1"/>
    <col min="7182" max="7182" width="24.7109375" bestFit="1" customWidth="1"/>
    <col min="7185" max="7185" width="19.42578125" bestFit="1" customWidth="1"/>
    <col min="7187" max="7187" width="11.28515625" bestFit="1" customWidth="1"/>
    <col min="7425" max="7425" width="20.28515625" customWidth="1"/>
    <col min="7426" max="7427" width="12.5703125" bestFit="1" customWidth="1"/>
    <col min="7428" max="7428" width="25.7109375" customWidth="1"/>
    <col min="7429" max="7429" width="13.42578125" customWidth="1"/>
    <col min="7433" max="7433" width="34.5703125" bestFit="1" customWidth="1"/>
    <col min="7434" max="7434" width="12.28515625" bestFit="1" customWidth="1"/>
    <col min="7436" max="7436" width="18.42578125" bestFit="1" customWidth="1"/>
    <col min="7438" max="7438" width="24.7109375" bestFit="1" customWidth="1"/>
    <col min="7441" max="7441" width="19.42578125" bestFit="1" customWidth="1"/>
    <col min="7443" max="7443" width="11.28515625" bestFit="1" customWidth="1"/>
    <col min="7681" max="7681" width="20.28515625" customWidth="1"/>
    <col min="7682" max="7683" width="12.5703125" bestFit="1" customWidth="1"/>
    <col min="7684" max="7684" width="25.7109375" customWidth="1"/>
    <col min="7685" max="7685" width="13.42578125" customWidth="1"/>
    <col min="7689" max="7689" width="34.5703125" bestFit="1" customWidth="1"/>
    <col min="7690" max="7690" width="12.28515625" bestFit="1" customWidth="1"/>
    <col min="7692" max="7692" width="18.42578125" bestFit="1" customWidth="1"/>
    <col min="7694" max="7694" width="24.7109375" bestFit="1" customWidth="1"/>
    <col min="7697" max="7697" width="19.42578125" bestFit="1" customWidth="1"/>
    <col min="7699" max="7699" width="11.28515625" bestFit="1" customWidth="1"/>
    <col min="7937" max="7937" width="20.28515625" customWidth="1"/>
    <col min="7938" max="7939" width="12.5703125" bestFit="1" customWidth="1"/>
    <col min="7940" max="7940" width="25.7109375" customWidth="1"/>
    <col min="7941" max="7941" width="13.42578125" customWidth="1"/>
    <col min="7945" max="7945" width="34.5703125" bestFit="1" customWidth="1"/>
    <col min="7946" max="7946" width="12.28515625" bestFit="1" customWidth="1"/>
    <col min="7948" max="7948" width="18.42578125" bestFit="1" customWidth="1"/>
    <col min="7950" max="7950" width="24.7109375" bestFit="1" customWidth="1"/>
    <col min="7953" max="7953" width="19.42578125" bestFit="1" customWidth="1"/>
    <col min="7955" max="7955" width="11.28515625" bestFit="1" customWidth="1"/>
    <col min="8193" max="8193" width="20.28515625" customWidth="1"/>
    <col min="8194" max="8195" width="12.5703125" bestFit="1" customWidth="1"/>
    <col min="8196" max="8196" width="25.7109375" customWidth="1"/>
    <col min="8197" max="8197" width="13.42578125" customWidth="1"/>
    <col min="8201" max="8201" width="34.5703125" bestFit="1" customWidth="1"/>
    <col min="8202" max="8202" width="12.28515625" bestFit="1" customWidth="1"/>
    <col min="8204" max="8204" width="18.42578125" bestFit="1" customWidth="1"/>
    <col min="8206" max="8206" width="24.7109375" bestFit="1" customWidth="1"/>
    <col min="8209" max="8209" width="19.42578125" bestFit="1" customWidth="1"/>
    <col min="8211" max="8211" width="11.28515625" bestFit="1" customWidth="1"/>
    <col min="8449" max="8449" width="20.28515625" customWidth="1"/>
    <col min="8450" max="8451" width="12.5703125" bestFit="1" customWidth="1"/>
    <col min="8452" max="8452" width="25.7109375" customWidth="1"/>
    <col min="8453" max="8453" width="13.42578125" customWidth="1"/>
    <col min="8457" max="8457" width="34.5703125" bestFit="1" customWidth="1"/>
    <col min="8458" max="8458" width="12.28515625" bestFit="1" customWidth="1"/>
    <col min="8460" max="8460" width="18.42578125" bestFit="1" customWidth="1"/>
    <col min="8462" max="8462" width="24.7109375" bestFit="1" customWidth="1"/>
    <col min="8465" max="8465" width="19.42578125" bestFit="1" customWidth="1"/>
    <col min="8467" max="8467" width="11.28515625" bestFit="1" customWidth="1"/>
    <col min="8705" max="8705" width="20.28515625" customWidth="1"/>
    <col min="8706" max="8707" width="12.5703125" bestFit="1" customWidth="1"/>
    <col min="8708" max="8708" width="25.7109375" customWidth="1"/>
    <col min="8709" max="8709" width="13.42578125" customWidth="1"/>
    <col min="8713" max="8713" width="34.5703125" bestFit="1" customWidth="1"/>
    <col min="8714" max="8714" width="12.28515625" bestFit="1" customWidth="1"/>
    <col min="8716" max="8716" width="18.42578125" bestFit="1" customWidth="1"/>
    <col min="8718" max="8718" width="24.7109375" bestFit="1" customWidth="1"/>
    <col min="8721" max="8721" width="19.42578125" bestFit="1" customWidth="1"/>
    <col min="8723" max="8723" width="11.28515625" bestFit="1" customWidth="1"/>
    <col min="8961" max="8961" width="20.28515625" customWidth="1"/>
    <col min="8962" max="8963" width="12.5703125" bestFit="1" customWidth="1"/>
    <col min="8964" max="8964" width="25.7109375" customWidth="1"/>
    <col min="8965" max="8965" width="13.42578125" customWidth="1"/>
    <col min="8969" max="8969" width="34.5703125" bestFit="1" customWidth="1"/>
    <col min="8970" max="8970" width="12.28515625" bestFit="1" customWidth="1"/>
    <col min="8972" max="8972" width="18.42578125" bestFit="1" customWidth="1"/>
    <col min="8974" max="8974" width="24.7109375" bestFit="1" customWidth="1"/>
    <col min="8977" max="8977" width="19.42578125" bestFit="1" customWidth="1"/>
    <col min="8979" max="8979" width="11.28515625" bestFit="1" customWidth="1"/>
    <col min="9217" max="9217" width="20.28515625" customWidth="1"/>
    <col min="9218" max="9219" width="12.5703125" bestFit="1" customWidth="1"/>
    <col min="9220" max="9220" width="25.7109375" customWidth="1"/>
    <col min="9221" max="9221" width="13.42578125" customWidth="1"/>
    <col min="9225" max="9225" width="34.5703125" bestFit="1" customWidth="1"/>
    <col min="9226" max="9226" width="12.28515625" bestFit="1" customWidth="1"/>
    <col min="9228" max="9228" width="18.42578125" bestFit="1" customWidth="1"/>
    <col min="9230" max="9230" width="24.7109375" bestFit="1" customWidth="1"/>
    <col min="9233" max="9233" width="19.42578125" bestFit="1" customWidth="1"/>
    <col min="9235" max="9235" width="11.28515625" bestFit="1" customWidth="1"/>
    <col min="9473" max="9473" width="20.28515625" customWidth="1"/>
    <col min="9474" max="9475" width="12.5703125" bestFit="1" customWidth="1"/>
    <col min="9476" max="9476" width="25.7109375" customWidth="1"/>
    <col min="9477" max="9477" width="13.42578125" customWidth="1"/>
    <col min="9481" max="9481" width="34.5703125" bestFit="1" customWidth="1"/>
    <col min="9482" max="9482" width="12.28515625" bestFit="1" customWidth="1"/>
    <col min="9484" max="9484" width="18.42578125" bestFit="1" customWidth="1"/>
    <col min="9486" max="9486" width="24.7109375" bestFit="1" customWidth="1"/>
    <col min="9489" max="9489" width="19.42578125" bestFit="1" customWidth="1"/>
    <col min="9491" max="9491" width="11.28515625" bestFit="1" customWidth="1"/>
    <col min="9729" max="9729" width="20.28515625" customWidth="1"/>
    <col min="9730" max="9731" width="12.5703125" bestFit="1" customWidth="1"/>
    <col min="9732" max="9732" width="25.7109375" customWidth="1"/>
    <col min="9733" max="9733" width="13.42578125" customWidth="1"/>
    <col min="9737" max="9737" width="34.5703125" bestFit="1" customWidth="1"/>
    <col min="9738" max="9738" width="12.28515625" bestFit="1" customWidth="1"/>
    <col min="9740" max="9740" width="18.42578125" bestFit="1" customWidth="1"/>
    <col min="9742" max="9742" width="24.7109375" bestFit="1" customWidth="1"/>
    <col min="9745" max="9745" width="19.42578125" bestFit="1" customWidth="1"/>
    <col min="9747" max="9747" width="11.28515625" bestFit="1" customWidth="1"/>
    <col min="9985" max="9985" width="20.28515625" customWidth="1"/>
    <col min="9986" max="9987" width="12.5703125" bestFit="1" customWidth="1"/>
    <col min="9988" max="9988" width="25.7109375" customWidth="1"/>
    <col min="9989" max="9989" width="13.42578125" customWidth="1"/>
    <col min="9993" max="9993" width="34.5703125" bestFit="1" customWidth="1"/>
    <col min="9994" max="9994" width="12.28515625" bestFit="1" customWidth="1"/>
    <col min="9996" max="9996" width="18.42578125" bestFit="1" customWidth="1"/>
    <col min="9998" max="9998" width="24.7109375" bestFit="1" customWidth="1"/>
    <col min="10001" max="10001" width="19.42578125" bestFit="1" customWidth="1"/>
    <col min="10003" max="10003" width="11.28515625" bestFit="1" customWidth="1"/>
    <col min="10241" max="10241" width="20.28515625" customWidth="1"/>
    <col min="10242" max="10243" width="12.5703125" bestFit="1" customWidth="1"/>
    <col min="10244" max="10244" width="25.7109375" customWidth="1"/>
    <col min="10245" max="10245" width="13.42578125" customWidth="1"/>
    <col min="10249" max="10249" width="34.5703125" bestFit="1" customWidth="1"/>
    <col min="10250" max="10250" width="12.28515625" bestFit="1" customWidth="1"/>
    <col min="10252" max="10252" width="18.42578125" bestFit="1" customWidth="1"/>
    <col min="10254" max="10254" width="24.7109375" bestFit="1" customWidth="1"/>
    <col min="10257" max="10257" width="19.42578125" bestFit="1" customWidth="1"/>
    <col min="10259" max="10259" width="11.28515625" bestFit="1" customWidth="1"/>
    <col min="10497" max="10497" width="20.28515625" customWidth="1"/>
    <col min="10498" max="10499" width="12.5703125" bestFit="1" customWidth="1"/>
    <col min="10500" max="10500" width="25.7109375" customWidth="1"/>
    <col min="10501" max="10501" width="13.42578125" customWidth="1"/>
    <col min="10505" max="10505" width="34.5703125" bestFit="1" customWidth="1"/>
    <col min="10506" max="10506" width="12.28515625" bestFit="1" customWidth="1"/>
    <col min="10508" max="10508" width="18.42578125" bestFit="1" customWidth="1"/>
    <col min="10510" max="10510" width="24.7109375" bestFit="1" customWidth="1"/>
    <col min="10513" max="10513" width="19.42578125" bestFit="1" customWidth="1"/>
    <col min="10515" max="10515" width="11.28515625" bestFit="1" customWidth="1"/>
    <col min="10753" max="10753" width="20.28515625" customWidth="1"/>
    <col min="10754" max="10755" width="12.5703125" bestFit="1" customWidth="1"/>
    <col min="10756" max="10756" width="25.7109375" customWidth="1"/>
    <col min="10757" max="10757" width="13.42578125" customWidth="1"/>
    <col min="10761" max="10761" width="34.5703125" bestFit="1" customWidth="1"/>
    <col min="10762" max="10762" width="12.28515625" bestFit="1" customWidth="1"/>
    <col min="10764" max="10764" width="18.42578125" bestFit="1" customWidth="1"/>
    <col min="10766" max="10766" width="24.7109375" bestFit="1" customWidth="1"/>
    <col min="10769" max="10769" width="19.42578125" bestFit="1" customWidth="1"/>
    <col min="10771" max="10771" width="11.28515625" bestFit="1" customWidth="1"/>
    <col min="11009" max="11009" width="20.28515625" customWidth="1"/>
    <col min="11010" max="11011" width="12.5703125" bestFit="1" customWidth="1"/>
    <col min="11012" max="11012" width="25.7109375" customWidth="1"/>
    <col min="11013" max="11013" width="13.42578125" customWidth="1"/>
    <col min="11017" max="11017" width="34.5703125" bestFit="1" customWidth="1"/>
    <col min="11018" max="11018" width="12.28515625" bestFit="1" customWidth="1"/>
    <col min="11020" max="11020" width="18.42578125" bestFit="1" customWidth="1"/>
    <col min="11022" max="11022" width="24.7109375" bestFit="1" customWidth="1"/>
    <col min="11025" max="11025" width="19.42578125" bestFit="1" customWidth="1"/>
    <col min="11027" max="11027" width="11.28515625" bestFit="1" customWidth="1"/>
    <col min="11265" max="11265" width="20.28515625" customWidth="1"/>
    <col min="11266" max="11267" width="12.5703125" bestFit="1" customWidth="1"/>
    <col min="11268" max="11268" width="25.7109375" customWidth="1"/>
    <col min="11269" max="11269" width="13.42578125" customWidth="1"/>
    <col min="11273" max="11273" width="34.5703125" bestFit="1" customWidth="1"/>
    <col min="11274" max="11274" width="12.28515625" bestFit="1" customWidth="1"/>
    <col min="11276" max="11276" width="18.42578125" bestFit="1" customWidth="1"/>
    <col min="11278" max="11278" width="24.7109375" bestFit="1" customWidth="1"/>
    <col min="11281" max="11281" width="19.42578125" bestFit="1" customWidth="1"/>
    <col min="11283" max="11283" width="11.28515625" bestFit="1" customWidth="1"/>
    <col min="11521" max="11521" width="20.28515625" customWidth="1"/>
    <col min="11522" max="11523" width="12.5703125" bestFit="1" customWidth="1"/>
    <col min="11524" max="11524" width="25.7109375" customWidth="1"/>
    <col min="11525" max="11525" width="13.42578125" customWidth="1"/>
    <col min="11529" max="11529" width="34.5703125" bestFit="1" customWidth="1"/>
    <col min="11530" max="11530" width="12.28515625" bestFit="1" customWidth="1"/>
    <col min="11532" max="11532" width="18.42578125" bestFit="1" customWidth="1"/>
    <col min="11534" max="11534" width="24.7109375" bestFit="1" customWidth="1"/>
    <col min="11537" max="11537" width="19.42578125" bestFit="1" customWidth="1"/>
    <col min="11539" max="11539" width="11.28515625" bestFit="1" customWidth="1"/>
    <col min="11777" max="11777" width="20.28515625" customWidth="1"/>
    <col min="11778" max="11779" width="12.5703125" bestFit="1" customWidth="1"/>
    <col min="11780" max="11780" width="25.7109375" customWidth="1"/>
    <col min="11781" max="11781" width="13.42578125" customWidth="1"/>
    <col min="11785" max="11785" width="34.5703125" bestFit="1" customWidth="1"/>
    <col min="11786" max="11786" width="12.28515625" bestFit="1" customWidth="1"/>
    <col min="11788" max="11788" width="18.42578125" bestFit="1" customWidth="1"/>
    <col min="11790" max="11790" width="24.7109375" bestFit="1" customWidth="1"/>
    <col min="11793" max="11793" width="19.42578125" bestFit="1" customWidth="1"/>
    <col min="11795" max="11795" width="11.28515625" bestFit="1" customWidth="1"/>
    <col min="12033" max="12033" width="20.28515625" customWidth="1"/>
    <col min="12034" max="12035" width="12.5703125" bestFit="1" customWidth="1"/>
    <col min="12036" max="12036" width="25.7109375" customWidth="1"/>
    <col min="12037" max="12037" width="13.42578125" customWidth="1"/>
    <col min="12041" max="12041" width="34.5703125" bestFit="1" customWidth="1"/>
    <col min="12042" max="12042" width="12.28515625" bestFit="1" customWidth="1"/>
    <col min="12044" max="12044" width="18.42578125" bestFit="1" customWidth="1"/>
    <col min="12046" max="12046" width="24.7109375" bestFit="1" customWidth="1"/>
    <col min="12049" max="12049" width="19.42578125" bestFit="1" customWidth="1"/>
    <col min="12051" max="12051" width="11.28515625" bestFit="1" customWidth="1"/>
    <col min="12289" max="12289" width="20.28515625" customWidth="1"/>
    <col min="12290" max="12291" width="12.5703125" bestFit="1" customWidth="1"/>
    <col min="12292" max="12292" width="25.7109375" customWidth="1"/>
    <col min="12293" max="12293" width="13.42578125" customWidth="1"/>
    <col min="12297" max="12297" width="34.5703125" bestFit="1" customWidth="1"/>
    <col min="12298" max="12298" width="12.28515625" bestFit="1" customWidth="1"/>
    <col min="12300" max="12300" width="18.42578125" bestFit="1" customWidth="1"/>
    <col min="12302" max="12302" width="24.7109375" bestFit="1" customWidth="1"/>
    <col min="12305" max="12305" width="19.42578125" bestFit="1" customWidth="1"/>
    <col min="12307" max="12307" width="11.28515625" bestFit="1" customWidth="1"/>
    <col min="12545" max="12545" width="20.28515625" customWidth="1"/>
    <col min="12546" max="12547" width="12.5703125" bestFit="1" customWidth="1"/>
    <col min="12548" max="12548" width="25.7109375" customWidth="1"/>
    <col min="12549" max="12549" width="13.42578125" customWidth="1"/>
    <col min="12553" max="12553" width="34.5703125" bestFit="1" customWidth="1"/>
    <col min="12554" max="12554" width="12.28515625" bestFit="1" customWidth="1"/>
    <col min="12556" max="12556" width="18.42578125" bestFit="1" customWidth="1"/>
    <col min="12558" max="12558" width="24.7109375" bestFit="1" customWidth="1"/>
    <col min="12561" max="12561" width="19.42578125" bestFit="1" customWidth="1"/>
    <col min="12563" max="12563" width="11.28515625" bestFit="1" customWidth="1"/>
    <col min="12801" max="12801" width="20.28515625" customWidth="1"/>
    <col min="12802" max="12803" width="12.5703125" bestFit="1" customWidth="1"/>
    <col min="12804" max="12804" width="25.7109375" customWidth="1"/>
    <col min="12805" max="12805" width="13.42578125" customWidth="1"/>
    <col min="12809" max="12809" width="34.5703125" bestFit="1" customWidth="1"/>
    <col min="12810" max="12810" width="12.28515625" bestFit="1" customWidth="1"/>
    <col min="12812" max="12812" width="18.42578125" bestFit="1" customWidth="1"/>
    <col min="12814" max="12814" width="24.7109375" bestFit="1" customWidth="1"/>
    <col min="12817" max="12817" width="19.42578125" bestFit="1" customWidth="1"/>
    <col min="12819" max="12819" width="11.28515625" bestFit="1" customWidth="1"/>
    <col min="13057" max="13057" width="20.28515625" customWidth="1"/>
    <col min="13058" max="13059" width="12.5703125" bestFit="1" customWidth="1"/>
    <col min="13060" max="13060" width="25.7109375" customWidth="1"/>
    <col min="13061" max="13061" width="13.42578125" customWidth="1"/>
    <col min="13065" max="13065" width="34.5703125" bestFit="1" customWidth="1"/>
    <col min="13066" max="13066" width="12.28515625" bestFit="1" customWidth="1"/>
    <col min="13068" max="13068" width="18.42578125" bestFit="1" customWidth="1"/>
    <col min="13070" max="13070" width="24.7109375" bestFit="1" customWidth="1"/>
    <col min="13073" max="13073" width="19.42578125" bestFit="1" customWidth="1"/>
    <col min="13075" max="13075" width="11.28515625" bestFit="1" customWidth="1"/>
    <col min="13313" max="13313" width="20.28515625" customWidth="1"/>
    <col min="13314" max="13315" width="12.5703125" bestFit="1" customWidth="1"/>
    <col min="13316" max="13316" width="25.7109375" customWidth="1"/>
    <col min="13317" max="13317" width="13.42578125" customWidth="1"/>
    <col min="13321" max="13321" width="34.5703125" bestFit="1" customWidth="1"/>
    <col min="13322" max="13322" width="12.28515625" bestFit="1" customWidth="1"/>
    <col min="13324" max="13324" width="18.42578125" bestFit="1" customWidth="1"/>
    <col min="13326" max="13326" width="24.7109375" bestFit="1" customWidth="1"/>
    <col min="13329" max="13329" width="19.42578125" bestFit="1" customWidth="1"/>
    <col min="13331" max="13331" width="11.28515625" bestFit="1" customWidth="1"/>
    <col min="13569" max="13569" width="20.28515625" customWidth="1"/>
    <col min="13570" max="13571" width="12.5703125" bestFit="1" customWidth="1"/>
    <col min="13572" max="13572" width="25.7109375" customWidth="1"/>
    <col min="13573" max="13573" width="13.42578125" customWidth="1"/>
    <col min="13577" max="13577" width="34.5703125" bestFit="1" customWidth="1"/>
    <col min="13578" max="13578" width="12.28515625" bestFit="1" customWidth="1"/>
    <col min="13580" max="13580" width="18.42578125" bestFit="1" customWidth="1"/>
    <col min="13582" max="13582" width="24.7109375" bestFit="1" customWidth="1"/>
    <col min="13585" max="13585" width="19.42578125" bestFit="1" customWidth="1"/>
    <col min="13587" max="13587" width="11.28515625" bestFit="1" customWidth="1"/>
    <col min="13825" max="13825" width="20.28515625" customWidth="1"/>
    <col min="13826" max="13827" width="12.5703125" bestFit="1" customWidth="1"/>
    <col min="13828" max="13828" width="25.7109375" customWidth="1"/>
    <col min="13829" max="13829" width="13.42578125" customWidth="1"/>
    <col min="13833" max="13833" width="34.5703125" bestFit="1" customWidth="1"/>
    <col min="13834" max="13834" width="12.28515625" bestFit="1" customWidth="1"/>
    <col min="13836" max="13836" width="18.42578125" bestFit="1" customWidth="1"/>
    <col min="13838" max="13838" width="24.7109375" bestFit="1" customWidth="1"/>
    <col min="13841" max="13841" width="19.42578125" bestFit="1" customWidth="1"/>
    <col min="13843" max="13843" width="11.28515625" bestFit="1" customWidth="1"/>
    <col min="14081" max="14081" width="20.28515625" customWidth="1"/>
    <col min="14082" max="14083" width="12.5703125" bestFit="1" customWidth="1"/>
    <col min="14084" max="14084" width="25.7109375" customWidth="1"/>
    <col min="14085" max="14085" width="13.42578125" customWidth="1"/>
    <col min="14089" max="14089" width="34.5703125" bestFit="1" customWidth="1"/>
    <col min="14090" max="14090" width="12.28515625" bestFit="1" customWidth="1"/>
    <col min="14092" max="14092" width="18.42578125" bestFit="1" customWidth="1"/>
    <col min="14094" max="14094" width="24.7109375" bestFit="1" customWidth="1"/>
    <col min="14097" max="14097" width="19.42578125" bestFit="1" customWidth="1"/>
    <col min="14099" max="14099" width="11.28515625" bestFit="1" customWidth="1"/>
    <col min="14337" max="14337" width="20.28515625" customWidth="1"/>
    <col min="14338" max="14339" width="12.5703125" bestFit="1" customWidth="1"/>
    <col min="14340" max="14340" width="25.7109375" customWidth="1"/>
    <col min="14341" max="14341" width="13.42578125" customWidth="1"/>
    <col min="14345" max="14345" width="34.5703125" bestFit="1" customWidth="1"/>
    <col min="14346" max="14346" width="12.28515625" bestFit="1" customWidth="1"/>
    <col min="14348" max="14348" width="18.42578125" bestFit="1" customWidth="1"/>
    <col min="14350" max="14350" width="24.7109375" bestFit="1" customWidth="1"/>
    <col min="14353" max="14353" width="19.42578125" bestFit="1" customWidth="1"/>
    <col min="14355" max="14355" width="11.28515625" bestFit="1" customWidth="1"/>
    <col min="14593" max="14593" width="20.28515625" customWidth="1"/>
    <col min="14594" max="14595" width="12.5703125" bestFit="1" customWidth="1"/>
    <col min="14596" max="14596" width="25.7109375" customWidth="1"/>
    <col min="14597" max="14597" width="13.42578125" customWidth="1"/>
    <col min="14601" max="14601" width="34.5703125" bestFit="1" customWidth="1"/>
    <col min="14602" max="14602" width="12.28515625" bestFit="1" customWidth="1"/>
    <col min="14604" max="14604" width="18.42578125" bestFit="1" customWidth="1"/>
    <col min="14606" max="14606" width="24.7109375" bestFit="1" customWidth="1"/>
    <col min="14609" max="14609" width="19.42578125" bestFit="1" customWidth="1"/>
    <col min="14611" max="14611" width="11.28515625" bestFit="1" customWidth="1"/>
    <col min="14849" max="14849" width="20.28515625" customWidth="1"/>
    <col min="14850" max="14851" width="12.5703125" bestFit="1" customWidth="1"/>
    <col min="14852" max="14852" width="25.7109375" customWidth="1"/>
    <col min="14853" max="14853" width="13.42578125" customWidth="1"/>
    <col min="14857" max="14857" width="34.5703125" bestFit="1" customWidth="1"/>
    <col min="14858" max="14858" width="12.28515625" bestFit="1" customWidth="1"/>
    <col min="14860" max="14860" width="18.42578125" bestFit="1" customWidth="1"/>
    <col min="14862" max="14862" width="24.7109375" bestFit="1" customWidth="1"/>
    <col min="14865" max="14865" width="19.42578125" bestFit="1" customWidth="1"/>
    <col min="14867" max="14867" width="11.28515625" bestFit="1" customWidth="1"/>
    <col min="15105" max="15105" width="20.28515625" customWidth="1"/>
    <col min="15106" max="15107" width="12.5703125" bestFit="1" customWidth="1"/>
    <col min="15108" max="15108" width="25.7109375" customWidth="1"/>
    <col min="15109" max="15109" width="13.42578125" customWidth="1"/>
    <col min="15113" max="15113" width="34.5703125" bestFit="1" customWidth="1"/>
    <col min="15114" max="15114" width="12.28515625" bestFit="1" customWidth="1"/>
    <col min="15116" max="15116" width="18.42578125" bestFit="1" customWidth="1"/>
    <col min="15118" max="15118" width="24.7109375" bestFit="1" customWidth="1"/>
    <col min="15121" max="15121" width="19.42578125" bestFit="1" customWidth="1"/>
    <col min="15123" max="15123" width="11.28515625" bestFit="1" customWidth="1"/>
    <col min="15361" max="15361" width="20.28515625" customWidth="1"/>
    <col min="15362" max="15363" width="12.5703125" bestFit="1" customWidth="1"/>
    <col min="15364" max="15364" width="25.7109375" customWidth="1"/>
    <col min="15365" max="15365" width="13.42578125" customWidth="1"/>
    <col min="15369" max="15369" width="34.5703125" bestFit="1" customWidth="1"/>
    <col min="15370" max="15370" width="12.28515625" bestFit="1" customWidth="1"/>
    <col min="15372" max="15372" width="18.42578125" bestFit="1" customWidth="1"/>
    <col min="15374" max="15374" width="24.7109375" bestFit="1" customWidth="1"/>
    <col min="15377" max="15377" width="19.42578125" bestFit="1" customWidth="1"/>
    <col min="15379" max="15379" width="11.28515625" bestFit="1" customWidth="1"/>
    <col min="15617" max="15617" width="20.28515625" customWidth="1"/>
    <col min="15618" max="15619" width="12.5703125" bestFit="1" customWidth="1"/>
    <col min="15620" max="15620" width="25.7109375" customWidth="1"/>
    <col min="15621" max="15621" width="13.42578125" customWidth="1"/>
    <col min="15625" max="15625" width="34.5703125" bestFit="1" customWidth="1"/>
    <col min="15626" max="15626" width="12.28515625" bestFit="1" customWidth="1"/>
    <col min="15628" max="15628" width="18.42578125" bestFit="1" customWidth="1"/>
    <col min="15630" max="15630" width="24.7109375" bestFit="1" customWidth="1"/>
    <col min="15633" max="15633" width="19.42578125" bestFit="1" customWidth="1"/>
    <col min="15635" max="15635" width="11.28515625" bestFit="1" customWidth="1"/>
    <col min="15873" max="15873" width="20.28515625" customWidth="1"/>
    <col min="15874" max="15875" width="12.5703125" bestFit="1" customWidth="1"/>
    <col min="15876" max="15876" width="25.7109375" customWidth="1"/>
    <col min="15877" max="15877" width="13.42578125" customWidth="1"/>
    <col min="15881" max="15881" width="34.5703125" bestFit="1" customWidth="1"/>
    <col min="15882" max="15882" width="12.28515625" bestFit="1" customWidth="1"/>
    <col min="15884" max="15884" width="18.42578125" bestFit="1" customWidth="1"/>
    <col min="15886" max="15886" width="24.7109375" bestFit="1" customWidth="1"/>
    <col min="15889" max="15889" width="19.42578125" bestFit="1" customWidth="1"/>
    <col min="15891" max="15891" width="11.28515625" bestFit="1" customWidth="1"/>
    <col min="16129" max="16129" width="20.28515625" customWidth="1"/>
    <col min="16130" max="16131" width="12.5703125" bestFit="1" customWidth="1"/>
    <col min="16132" max="16132" width="25.7109375" customWidth="1"/>
    <col min="16133" max="16133" width="13.42578125" customWidth="1"/>
    <col min="16137" max="16137" width="34.5703125" bestFit="1" customWidth="1"/>
    <col min="16138" max="16138" width="12.28515625" bestFit="1" customWidth="1"/>
    <col min="16140" max="16140" width="18.42578125" bestFit="1" customWidth="1"/>
    <col min="16142" max="16142" width="24.7109375" bestFit="1" customWidth="1"/>
    <col min="16145" max="16145" width="19.42578125" bestFit="1" customWidth="1"/>
    <col min="16147" max="16147" width="11.28515625" bestFit="1" customWidth="1"/>
  </cols>
  <sheetData>
    <row r="1" spans="1:19" x14ac:dyDescent="0.2">
      <c r="A1" s="141" t="s">
        <v>151</v>
      </c>
      <c r="B1" s="141"/>
      <c r="C1" s="141"/>
      <c r="H1" t="s">
        <v>110</v>
      </c>
      <c r="Q1" s="143" t="s">
        <v>111</v>
      </c>
      <c r="S1" t="s">
        <v>112</v>
      </c>
    </row>
    <row r="2" spans="1:19" ht="15.75" x14ac:dyDescent="0.25">
      <c r="A2" s="141" t="s">
        <v>113</v>
      </c>
      <c r="B2" s="144">
        <v>45047</v>
      </c>
      <c r="C2" s="144">
        <v>45748</v>
      </c>
      <c r="H2" t="s">
        <v>29</v>
      </c>
      <c r="I2" s="202" t="str">
        <f>"Revenue Retained "</f>
        <v xml:space="preserve">Revenue Retained </v>
      </c>
      <c r="J2" s="145"/>
      <c r="K2" s="146"/>
      <c r="L2" s="145"/>
      <c r="M2" s="146"/>
      <c r="N2" s="146"/>
      <c r="O2" s="147"/>
    </row>
    <row r="3" spans="1:19" x14ac:dyDescent="0.2">
      <c r="I3" s="203" t="s">
        <v>152</v>
      </c>
      <c r="J3" s="148"/>
      <c r="K3" s="149"/>
      <c r="L3" s="148"/>
      <c r="M3" s="149"/>
      <c r="N3" s="149"/>
      <c r="O3" s="150"/>
    </row>
    <row r="4" spans="1:19" ht="13.5" thickBot="1" x14ac:dyDescent="0.25">
      <c r="B4" s="207" t="s">
        <v>114</v>
      </c>
      <c r="C4" s="207"/>
      <c r="D4" s="208"/>
      <c r="I4" s="128"/>
      <c r="J4" s="151" t="s">
        <v>29</v>
      </c>
      <c r="K4" s="128"/>
      <c r="L4" s="152" t="s">
        <v>115</v>
      </c>
      <c r="M4" s="128"/>
      <c r="N4" s="153" t="s">
        <v>116</v>
      </c>
      <c r="O4" s="128"/>
      <c r="Q4" s="143" t="s">
        <v>117</v>
      </c>
      <c r="S4" t="s">
        <v>112</v>
      </c>
    </row>
    <row r="5" spans="1:19" x14ac:dyDescent="0.2">
      <c r="B5" s="154" t="s">
        <v>153</v>
      </c>
      <c r="C5" s="154" t="s">
        <v>154</v>
      </c>
      <c r="D5" s="154" t="s">
        <v>29</v>
      </c>
      <c r="F5" s="155"/>
      <c r="G5" s="155"/>
      <c r="I5" t="s">
        <v>118</v>
      </c>
      <c r="J5" s="156">
        <f>L5*2</f>
        <v>44995.513999999996</v>
      </c>
      <c r="K5" s="128"/>
      <c r="L5" s="157">
        <f>L19+L33</f>
        <v>22497.756999999998</v>
      </c>
      <c r="M5" s="128"/>
      <c r="N5" s="157">
        <f>L5</f>
        <v>22497.756999999998</v>
      </c>
      <c r="O5" s="128"/>
      <c r="Q5" s="143">
        <f>Q19+Q33</f>
        <v>21679.070000000003</v>
      </c>
      <c r="S5" s="139">
        <f>L5-Q5</f>
        <v>818.68699999999444</v>
      </c>
    </row>
    <row r="6" spans="1:19" x14ac:dyDescent="0.2">
      <c r="A6" s="154" t="s">
        <v>119</v>
      </c>
      <c r="B6" s="158">
        <v>59357.57</v>
      </c>
      <c r="C6" s="158">
        <v>0</v>
      </c>
      <c r="D6" s="158">
        <v>59357.57</v>
      </c>
      <c r="E6" s="159"/>
      <c r="F6" s="141"/>
      <c r="G6" s="141"/>
      <c r="I6" t="s">
        <v>120</v>
      </c>
      <c r="J6" s="156">
        <f>L6*2</f>
        <v>5056.9559999999992</v>
      </c>
      <c r="K6" s="128"/>
      <c r="L6" s="157">
        <f>L20+L34</f>
        <v>2528.4779999999996</v>
      </c>
      <c r="M6" s="128"/>
      <c r="N6" s="157">
        <f t="shared" ref="N6:N12" si="0">L6</f>
        <v>2528.4779999999996</v>
      </c>
      <c r="O6" s="128"/>
      <c r="Q6" s="143">
        <f t="shared" ref="Q6:Q12" si="1">Q20+Q34</f>
        <v>2597.12</v>
      </c>
      <c r="S6" s="139">
        <f t="shared" ref="S6:S14" si="2">L6-Q6</f>
        <v>-68.64200000000028</v>
      </c>
    </row>
    <row r="7" spans="1:19" x14ac:dyDescent="0.2">
      <c r="A7" s="154" t="s">
        <v>121</v>
      </c>
      <c r="B7" s="158">
        <v>11000</v>
      </c>
      <c r="C7" s="158">
        <v>0</v>
      </c>
      <c r="D7" s="158">
        <v>11000</v>
      </c>
      <c r="E7" s="204"/>
      <c r="F7" s="141"/>
      <c r="G7" s="141"/>
      <c r="I7" s="128"/>
      <c r="J7" s="156"/>
      <c r="K7" s="128"/>
      <c r="L7" s="157"/>
      <c r="M7" s="128"/>
      <c r="N7" s="157"/>
      <c r="O7" s="128"/>
      <c r="S7" s="139">
        <f t="shared" si="2"/>
        <v>0</v>
      </c>
    </row>
    <row r="8" spans="1:19" x14ac:dyDescent="0.2">
      <c r="A8" s="154" t="s">
        <v>122</v>
      </c>
      <c r="B8" s="158">
        <v>0</v>
      </c>
      <c r="C8" s="158">
        <v>0</v>
      </c>
      <c r="D8" s="158">
        <v>0</v>
      </c>
      <c r="I8" t="s">
        <v>123</v>
      </c>
      <c r="J8" s="156">
        <f>L8*2</f>
        <v>90103.752000000008</v>
      </c>
      <c r="K8" s="128"/>
      <c r="L8" s="157">
        <f>L22+L36</f>
        <v>45051.876000000004</v>
      </c>
      <c r="M8" s="128"/>
      <c r="N8" s="157">
        <f t="shared" si="0"/>
        <v>45051.876000000004</v>
      </c>
      <c r="O8" s="128"/>
      <c r="Q8" s="143">
        <f t="shared" si="1"/>
        <v>45092.75</v>
      </c>
      <c r="S8" s="139">
        <f t="shared" si="2"/>
        <v>-40.873999999996158</v>
      </c>
    </row>
    <row r="9" spans="1:19" x14ac:dyDescent="0.2">
      <c r="A9" s="154" t="s">
        <v>29</v>
      </c>
      <c r="B9" s="160">
        <v>70357.570000000007</v>
      </c>
      <c r="C9" s="160">
        <v>0</v>
      </c>
      <c r="D9" s="160">
        <v>70357.570000000007</v>
      </c>
      <c r="I9" t="s">
        <v>124</v>
      </c>
      <c r="J9" s="156">
        <f>L9*2</f>
        <v>697.36199999999997</v>
      </c>
      <c r="K9" s="128"/>
      <c r="L9" s="157">
        <f>L23+L37</f>
        <v>348.68099999999998</v>
      </c>
      <c r="M9" s="128"/>
      <c r="N9" s="157">
        <f t="shared" si="0"/>
        <v>348.68099999999998</v>
      </c>
      <c r="O9" s="128"/>
      <c r="Q9" s="143">
        <f t="shared" si="1"/>
        <v>352.33</v>
      </c>
      <c r="S9" s="139">
        <f t="shared" si="2"/>
        <v>-3.6490000000000009</v>
      </c>
    </row>
    <row r="10" spans="1:19" x14ac:dyDescent="0.2">
      <c r="A10" s="161" t="s">
        <v>125</v>
      </c>
      <c r="B10" s="139">
        <v>3517.8785000000007</v>
      </c>
      <c r="C10" s="139">
        <v>0</v>
      </c>
      <c r="D10" s="139">
        <v>73875.448500000013</v>
      </c>
      <c r="F10" s="162"/>
      <c r="G10" s="162"/>
      <c r="I10" s="128"/>
      <c r="J10" s="156"/>
      <c r="K10" s="128"/>
      <c r="L10" s="157"/>
      <c r="M10" s="128"/>
      <c r="N10" s="157"/>
      <c r="O10" s="128"/>
      <c r="S10" s="139">
        <f t="shared" si="2"/>
        <v>0</v>
      </c>
    </row>
    <row r="11" spans="1:19" x14ac:dyDescent="0.2">
      <c r="B11" s="207" t="s">
        <v>126</v>
      </c>
      <c r="C11" s="207"/>
      <c r="D11" s="208"/>
      <c r="I11" t="s">
        <v>127</v>
      </c>
      <c r="J11" s="156">
        <f>L11*2</f>
        <v>19965.062000000002</v>
      </c>
      <c r="K11" s="128"/>
      <c r="L11" s="157">
        <f>L25+L39</f>
        <v>9982.5310000000009</v>
      </c>
      <c r="M11" s="128"/>
      <c r="N11" s="157">
        <f t="shared" si="0"/>
        <v>9982.5310000000009</v>
      </c>
      <c r="O11" s="128"/>
      <c r="Q11" s="143">
        <f t="shared" si="1"/>
        <v>10027.719999999999</v>
      </c>
      <c r="S11" s="139">
        <f t="shared" si="2"/>
        <v>-45.188999999998487</v>
      </c>
    </row>
    <row r="12" spans="1:19" x14ac:dyDescent="0.2">
      <c r="B12" s="154" t="s">
        <v>153</v>
      </c>
      <c r="C12" s="154" t="s">
        <v>154</v>
      </c>
      <c r="D12" s="154" t="s">
        <v>29</v>
      </c>
      <c r="I12" t="s">
        <v>128</v>
      </c>
      <c r="J12" s="156">
        <f>L12*2</f>
        <v>1487.6399999999999</v>
      </c>
      <c r="K12" s="128"/>
      <c r="L12" s="157">
        <f>L26+L40</f>
        <v>743.81999999999994</v>
      </c>
      <c r="M12" s="128"/>
      <c r="N12" s="157">
        <f t="shared" si="0"/>
        <v>743.81999999999994</v>
      </c>
      <c r="O12" s="128"/>
      <c r="Q12" s="143">
        <f t="shared" si="1"/>
        <v>745.75999999999988</v>
      </c>
      <c r="S12" s="139">
        <f t="shared" si="2"/>
        <v>-1.9399999999999409</v>
      </c>
    </row>
    <row r="13" spans="1:19" x14ac:dyDescent="0.2">
      <c r="A13" s="139"/>
      <c r="B13" s="158">
        <v>80727.91</v>
      </c>
      <c r="C13" s="158">
        <v>0</v>
      </c>
      <c r="D13" s="158">
        <v>80727.91</v>
      </c>
      <c r="I13" s="128"/>
      <c r="J13" s="156"/>
      <c r="K13" s="128"/>
      <c r="M13" s="128"/>
      <c r="N13" s="157"/>
      <c r="O13" s="128"/>
      <c r="S13" s="139">
        <f t="shared" si="2"/>
        <v>0</v>
      </c>
    </row>
    <row r="14" spans="1:19" ht="13.5" thickBot="1" x14ac:dyDescent="0.25">
      <c r="I14" s="163" t="s">
        <v>129</v>
      </c>
      <c r="J14" s="164">
        <f>SUM(J5,J6,J8,J9,J11,J12)</f>
        <v>162306.28600000002</v>
      </c>
      <c r="K14" s="128"/>
      <c r="L14" s="164">
        <f>SUM(L5:L12)</f>
        <v>81153.143000000011</v>
      </c>
      <c r="M14" s="165"/>
      <c r="N14" s="166">
        <f>L14</f>
        <v>81153.143000000011</v>
      </c>
      <c r="O14" s="128"/>
      <c r="Q14" s="164">
        <f>SUM(Q5:Q12)</f>
        <v>80494.75</v>
      </c>
      <c r="S14" s="164">
        <f t="shared" si="2"/>
        <v>658.39300000001094</v>
      </c>
    </row>
    <row r="15" spans="1:19" x14ac:dyDescent="0.2">
      <c r="B15" s="209" t="s">
        <v>130</v>
      </c>
      <c r="C15" s="209"/>
      <c r="D15" s="209"/>
    </row>
    <row r="16" spans="1:19" ht="15.75" x14ac:dyDescent="0.25">
      <c r="B16" s="167"/>
      <c r="C16" s="167"/>
      <c r="D16" s="158">
        <f>D13-(B9+B10)</f>
        <v>6852.4614999999903</v>
      </c>
      <c r="H16" t="s">
        <v>131</v>
      </c>
      <c r="I16" s="202" t="str">
        <f>"Revenue Retained "</f>
        <v xml:space="preserve">Revenue Retained </v>
      </c>
      <c r="J16" s="145"/>
      <c r="K16" s="146"/>
      <c r="L16" s="145"/>
      <c r="M16" s="146"/>
      <c r="N16" s="146"/>
      <c r="O16" s="147"/>
    </row>
    <row r="17" spans="1:19" x14ac:dyDescent="0.2">
      <c r="I17" s="203" t="s">
        <v>155</v>
      </c>
      <c r="J17" s="148"/>
      <c r="K17" s="149"/>
      <c r="L17" s="148"/>
      <c r="M17" s="149"/>
      <c r="N17" s="149"/>
      <c r="O17" s="150"/>
    </row>
    <row r="18" spans="1:19" ht="15.75" thickBot="1" x14ac:dyDescent="0.3">
      <c r="A18" s="168"/>
      <c r="B18" s="210" t="s">
        <v>132</v>
      </c>
      <c r="C18" s="211"/>
      <c r="D18" s="212"/>
      <c r="I18" s="128"/>
      <c r="J18" s="151" t="s">
        <v>29</v>
      </c>
      <c r="K18" s="128"/>
      <c r="L18" s="152" t="s">
        <v>115</v>
      </c>
      <c r="M18" s="128"/>
      <c r="N18" s="153" t="s">
        <v>116</v>
      </c>
      <c r="O18" s="128"/>
      <c r="Q18" s="143" t="s">
        <v>117</v>
      </c>
      <c r="S18" t="s">
        <v>112</v>
      </c>
    </row>
    <row r="19" spans="1:19" ht="15" x14ac:dyDescent="0.25">
      <c r="A19" s="168"/>
      <c r="B19" s="169" t="s">
        <v>153</v>
      </c>
      <c r="C19" s="170" t="s">
        <v>154</v>
      </c>
      <c r="D19" s="171" t="s">
        <v>29</v>
      </c>
      <c r="I19" t="s">
        <v>118</v>
      </c>
      <c r="J19" s="156">
        <f>L19*2</f>
        <v>44995.513999999996</v>
      </c>
      <c r="K19" s="128"/>
      <c r="L19" s="172">
        <f>124297*0.181</f>
        <v>22497.756999999998</v>
      </c>
      <c r="M19" s="128"/>
      <c r="N19" s="157">
        <f>L19</f>
        <v>22497.756999999998</v>
      </c>
      <c r="O19" s="128"/>
      <c r="Q19" s="201">
        <v>21679.070000000003</v>
      </c>
      <c r="S19" s="139">
        <f>L19-Q19</f>
        <v>818.68699999999444</v>
      </c>
    </row>
    <row r="20" spans="1:19" x14ac:dyDescent="0.2">
      <c r="A20" s="200">
        <v>4172</v>
      </c>
      <c r="B20" s="173">
        <v>21333.272400000002</v>
      </c>
      <c r="C20" s="173">
        <v>0</v>
      </c>
      <c r="D20" s="173">
        <v>21333.272400000002</v>
      </c>
      <c r="I20" t="s">
        <v>120</v>
      </c>
      <c r="J20" s="156">
        <f>L20*2</f>
        <v>5056.9559999999992</v>
      </c>
      <c r="K20" s="128"/>
      <c r="L20" s="172">
        <f>24789*0.102</f>
        <v>2528.4779999999996</v>
      </c>
      <c r="M20" s="128"/>
      <c r="N20" s="157">
        <f t="shared" ref="N20:N26" si="3">L20</f>
        <v>2528.4779999999996</v>
      </c>
      <c r="O20" s="128"/>
      <c r="Q20" s="201">
        <v>2597.12</v>
      </c>
      <c r="S20" s="139">
        <f t="shared" ref="S20:S28" si="4">L20-Q20</f>
        <v>-68.64200000000028</v>
      </c>
    </row>
    <row r="21" spans="1:19" x14ac:dyDescent="0.2">
      <c r="A21" s="170">
        <v>4176</v>
      </c>
      <c r="B21" s="173">
        <v>30814.7268</v>
      </c>
      <c r="C21" s="173">
        <v>0</v>
      </c>
      <c r="D21" s="173">
        <v>30814.7268</v>
      </c>
      <c r="I21" s="128"/>
      <c r="J21" s="156"/>
      <c r="K21" s="128"/>
      <c r="L21" s="157"/>
      <c r="M21" s="128"/>
      <c r="N21" s="157"/>
      <c r="O21" s="128"/>
      <c r="S21" s="139">
        <f t="shared" si="4"/>
        <v>0</v>
      </c>
    </row>
    <row r="22" spans="1:19" x14ac:dyDescent="0.2">
      <c r="A22" s="200">
        <v>4183</v>
      </c>
      <c r="B22" s="173">
        <v>7261.7794080000003</v>
      </c>
      <c r="C22" s="173">
        <v>0</v>
      </c>
      <c r="D22" s="173">
        <v>7261.7794080000003</v>
      </c>
      <c r="I22" t="s">
        <v>123</v>
      </c>
      <c r="J22" s="156">
        <f>L22*2</f>
        <v>90103.752000000008</v>
      </c>
      <c r="K22" s="128"/>
      <c r="L22" s="172">
        <f>278098*0.162</f>
        <v>45051.876000000004</v>
      </c>
      <c r="M22" s="128"/>
      <c r="N22" s="157">
        <f t="shared" si="3"/>
        <v>45051.876000000004</v>
      </c>
      <c r="O22" s="128"/>
      <c r="Q22" s="201">
        <v>45092.75</v>
      </c>
      <c r="S22" s="139">
        <f t="shared" si="4"/>
        <v>-40.873999999996158</v>
      </c>
    </row>
    <row r="23" spans="1:19" ht="15" x14ac:dyDescent="0.25">
      <c r="A23" s="168"/>
      <c r="B23" s="174">
        <v>59409.778608000008</v>
      </c>
      <c r="C23" s="175">
        <v>0</v>
      </c>
      <c r="D23" s="176">
        <v>59409.778608000008</v>
      </c>
      <c r="I23" t="s">
        <v>124</v>
      </c>
      <c r="J23" s="156">
        <f>L23*2</f>
        <v>697.36199999999997</v>
      </c>
      <c r="K23" s="128"/>
      <c r="L23" s="172">
        <f>4911*0.071</f>
        <v>348.68099999999998</v>
      </c>
      <c r="M23" s="128"/>
      <c r="N23" s="157">
        <f t="shared" si="3"/>
        <v>348.68099999999998</v>
      </c>
      <c r="O23" s="128"/>
      <c r="Q23" s="201">
        <v>352.33</v>
      </c>
      <c r="S23" s="139">
        <f t="shared" si="4"/>
        <v>-3.6490000000000009</v>
      </c>
    </row>
    <row r="24" spans="1:19" x14ac:dyDescent="0.2">
      <c r="I24" s="128"/>
      <c r="J24" s="156"/>
      <c r="K24" s="128"/>
      <c r="L24" s="157"/>
      <c r="M24" s="128"/>
      <c r="N24" s="157"/>
      <c r="O24" s="128"/>
      <c r="S24" s="139">
        <f t="shared" si="4"/>
        <v>0</v>
      </c>
    </row>
    <row r="25" spans="1:19" x14ac:dyDescent="0.2">
      <c r="I25" t="s">
        <v>127</v>
      </c>
      <c r="J25" s="156">
        <f>L25*2</f>
        <v>19965.062000000002</v>
      </c>
      <c r="K25" s="128"/>
      <c r="L25" s="172">
        <f>63583*0.157</f>
        <v>9982.5310000000009</v>
      </c>
      <c r="M25" s="128"/>
      <c r="N25" s="157">
        <f t="shared" si="3"/>
        <v>9982.5310000000009</v>
      </c>
      <c r="O25" s="128"/>
      <c r="Q25" s="201">
        <v>10027.719999999999</v>
      </c>
      <c r="S25" s="139">
        <f t="shared" si="4"/>
        <v>-45.188999999998487</v>
      </c>
    </row>
    <row r="26" spans="1:19" x14ac:dyDescent="0.2">
      <c r="I26" t="s">
        <v>128</v>
      </c>
      <c r="J26" s="156">
        <f>L26*2</f>
        <v>1487.6399999999999</v>
      </c>
      <c r="K26" s="128"/>
      <c r="L26" s="172">
        <f>7084*0.105</f>
        <v>743.81999999999994</v>
      </c>
      <c r="M26" s="128"/>
      <c r="N26" s="157">
        <f t="shared" si="3"/>
        <v>743.81999999999994</v>
      </c>
      <c r="O26" s="128"/>
      <c r="Q26" s="201">
        <v>745.75999999999988</v>
      </c>
      <c r="S26" s="139">
        <f t="shared" si="4"/>
        <v>-1.9399999999999409</v>
      </c>
    </row>
    <row r="27" spans="1:19" x14ac:dyDescent="0.2">
      <c r="A27" s="177" t="s">
        <v>133</v>
      </c>
      <c r="B27" s="178"/>
      <c r="C27" s="179"/>
      <c r="D27" s="180" t="s">
        <v>143</v>
      </c>
      <c r="E27" s="181"/>
      <c r="I27" s="128"/>
      <c r="J27" s="156"/>
      <c r="K27" s="128"/>
      <c r="M27" s="128"/>
      <c r="N27" s="182"/>
      <c r="O27" s="128"/>
      <c r="S27" s="139">
        <f t="shared" si="4"/>
        <v>0</v>
      </c>
    </row>
    <row r="28" spans="1:19" ht="15.75" thickBot="1" x14ac:dyDescent="0.3">
      <c r="A28" s="183" t="s">
        <v>134</v>
      </c>
      <c r="B28" s="184">
        <v>6.6916666666666664</v>
      </c>
      <c r="D28" s="199" t="s">
        <v>134</v>
      </c>
      <c r="E28" s="185">
        <v>1</v>
      </c>
      <c r="I28" s="163" t="s">
        <v>129</v>
      </c>
      <c r="J28" s="164">
        <f>SUM(J19,J20,J22,J23,J25,J26)</f>
        <v>162306.28600000002</v>
      </c>
      <c r="K28" s="128"/>
      <c r="L28" s="164">
        <f>SUM(L19:L26)</f>
        <v>81153.143000000011</v>
      </c>
      <c r="M28" s="165"/>
      <c r="N28" s="166">
        <f>L28</f>
        <v>81153.143000000011</v>
      </c>
      <c r="O28" s="128"/>
      <c r="Q28" s="164">
        <f>SUM(Q19:Q26)</f>
        <v>80494.75</v>
      </c>
      <c r="S28" s="164">
        <f t="shared" si="4"/>
        <v>658.39300000001094</v>
      </c>
    </row>
    <row r="29" spans="1:19" x14ac:dyDescent="0.2">
      <c r="A29" s="186" t="s">
        <v>135</v>
      </c>
      <c r="B29" s="187">
        <v>1033.3160628770577</v>
      </c>
      <c r="D29" s="199" t="s">
        <v>135</v>
      </c>
      <c r="E29" s="188">
        <v>0</v>
      </c>
    </row>
    <row r="30" spans="1:19" ht="15.75" x14ac:dyDescent="0.25">
      <c r="A30" s="183" t="s">
        <v>136</v>
      </c>
      <c r="B30" s="189">
        <v>0</v>
      </c>
      <c r="D30" s="199" t="s">
        <v>136</v>
      </c>
      <c r="E30" s="190">
        <v>12</v>
      </c>
      <c r="H30" t="s">
        <v>137</v>
      </c>
      <c r="I30" s="202" t="str">
        <f>"Revenue Retained "</f>
        <v xml:space="preserve">Revenue Retained </v>
      </c>
      <c r="J30" s="145"/>
      <c r="K30" s="146"/>
      <c r="L30" s="145"/>
      <c r="M30" s="146"/>
      <c r="N30" s="146"/>
      <c r="O30" s="147"/>
    </row>
    <row r="31" spans="1:19" x14ac:dyDescent="0.2">
      <c r="A31" s="191" t="s">
        <v>138</v>
      </c>
      <c r="B31" s="192">
        <v>80727.91</v>
      </c>
      <c r="D31" s="199" t="s">
        <v>139</v>
      </c>
      <c r="E31" s="193">
        <v>0</v>
      </c>
      <c r="I31" s="203" t="s">
        <v>156</v>
      </c>
      <c r="J31" s="148"/>
      <c r="K31" s="149"/>
      <c r="L31" s="148"/>
      <c r="M31" s="149"/>
      <c r="N31" s="149"/>
      <c r="O31" s="150"/>
    </row>
    <row r="32" spans="1:19" ht="15.75" thickBot="1" x14ac:dyDescent="0.3">
      <c r="A32" s="194" t="s">
        <v>140</v>
      </c>
      <c r="B32" s="139">
        <v>73875.448500000013</v>
      </c>
      <c r="D32" s="195" t="s">
        <v>144</v>
      </c>
      <c r="E32" t="e">
        <v>#DIV/0!</v>
      </c>
      <c r="I32" s="128"/>
      <c r="J32" s="151" t="s">
        <v>29</v>
      </c>
      <c r="K32" s="128"/>
      <c r="L32" s="152" t="s">
        <v>115</v>
      </c>
      <c r="M32" s="128"/>
      <c r="N32" s="153" t="s">
        <v>116</v>
      </c>
      <c r="O32" s="128"/>
      <c r="Q32" s="143" t="s">
        <v>117</v>
      </c>
      <c r="S32" t="s">
        <v>112</v>
      </c>
    </row>
    <row r="33" spans="1:19" ht="26.25" x14ac:dyDescent="0.25">
      <c r="A33" s="196" t="s">
        <v>145</v>
      </c>
      <c r="B33" s="139">
        <v>6852.4614999999903</v>
      </c>
      <c r="D33" s="197" t="s">
        <v>141</v>
      </c>
      <c r="E33" s="205">
        <v>6852.4614999999903</v>
      </c>
      <c r="I33" t="s">
        <v>118</v>
      </c>
      <c r="J33" s="156">
        <f>L33*2</f>
        <v>0</v>
      </c>
      <c r="K33" s="128"/>
      <c r="L33" s="172"/>
      <c r="M33" s="128"/>
      <c r="N33" s="157">
        <f>L33</f>
        <v>0</v>
      </c>
      <c r="O33" s="128"/>
      <c r="Q33" s="201"/>
      <c r="S33" s="139">
        <f>L33-Q33</f>
        <v>0</v>
      </c>
    </row>
    <row r="34" spans="1:19" ht="15" x14ac:dyDescent="0.25">
      <c r="A34" s="142"/>
      <c r="D34" s="197"/>
      <c r="E34" s="205"/>
      <c r="I34" t="s">
        <v>120</v>
      </c>
      <c r="J34" s="156">
        <f>L34*2</f>
        <v>0</v>
      </c>
      <c r="K34" s="128"/>
      <c r="L34" s="172"/>
      <c r="M34" s="128"/>
      <c r="N34" s="157">
        <f t="shared" ref="N34:N40" si="5">L34</f>
        <v>0</v>
      </c>
      <c r="O34" s="128"/>
      <c r="Q34" s="201"/>
      <c r="S34" s="139">
        <f t="shared" ref="S34:S42" si="6">L34-Q34</f>
        <v>0</v>
      </c>
    </row>
    <row r="35" spans="1:19" ht="15" x14ac:dyDescent="0.25">
      <c r="A35" s="194" t="s">
        <v>146</v>
      </c>
      <c r="B35" s="139">
        <v>73875.448500000013</v>
      </c>
      <c r="D35" s="197"/>
      <c r="E35" s="205"/>
      <c r="I35" s="128"/>
      <c r="J35" s="156"/>
      <c r="K35" s="128"/>
      <c r="L35" s="157"/>
      <c r="M35" s="128"/>
      <c r="N35" s="157"/>
      <c r="O35" s="128"/>
      <c r="S35" s="139">
        <f t="shared" si="6"/>
        <v>0</v>
      </c>
    </row>
    <row r="36" spans="1:19" ht="25.5" x14ac:dyDescent="0.2">
      <c r="A36" s="196" t="s">
        <v>147</v>
      </c>
      <c r="B36" s="139">
        <v>6852.4614999999903</v>
      </c>
      <c r="D36" s="155" t="s">
        <v>148</v>
      </c>
      <c r="E36" s="198" t="e">
        <v>#DIV/0!</v>
      </c>
      <c r="I36" t="s">
        <v>123</v>
      </c>
      <c r="J36" s="156">
        <f>L36*2</f>
        <v>0</v>
      </c>
      <c r="K36" s="128"/>
      <c r="L36" s="172"/>
      <c r="M36" s="128"/>
      <c r="N36" s="157">
        <f t="shared" si="5"/>
        <v>0</v>
      </c>
      <c r="O36" s="128"/>
      <c r="Q36" s="201"/>
      <c r="S36" s="139">
        <f t="shared" si="6"/>
        <v>0</v>
      </c>
    </row>
    <row r="37" spans="1:19" x14ac:dyDescent="0.2">
      <c r="D37" s="155"/>
      <c r="E37" s="198"/>
      <c r="I37" t="s">
        <v>124</v>
      </c>
      <c r="J37" s="156">
        <f>L37*2</f>
        <v>0</v>
      </c>
      <c r="K37" s="128"/>
      <c r="L37" s="172"/>
      <c r="M37" s="128"/>
      <c r="N37" s="157">
        <f t="shared" si="5"/>
        <v>0</v>
      </c>
      <c r="O37" s="128"/>
      <c r="Q37" s="201"/>
      <c r="S37" s="139">
        <f t="shared" si="6"/>
        <v>0</v>
      </c>
    </row>
    <row r="38" spans="1:19" x14ac:dyDescent="0.2">
      <c r="I38" s="128"/>
      <c r="J38" s="156"/>
      <c r="K38" s="128"/>
      <c r="L38" s="157"/>
      <c r="M38" s="128"/>
      <c r="N38" s="157"/>
      <c r="O38" s="128"/>
      <c r="S38" s="139">
        <f t="shared" si="6"/>
        <v>0</v>
      </c>
    </row>
    <row r="39" spans="1:19" x14ac:dyDescent="0.2">
      <c r="E39" s="206"/>
      <c r="I39" t="s">
        <v>127</v>
      </c>
      <c r="J39" s="156">
        <f>L39*2</f>
        <v>0</v>
      </c>
      <c r="K39" s="128"/>
      <c r="L39" s="172"/>
      <c r="M39" s="128"/>
      <c r="N39" s="157">
        <f t="shared" si="5"/>
        <v>0</v>
      </c>
      <c r="O39" s="128"/>
      <c r="Q39" s="201"/>
      <c r="S39" s="139">
        <f t="shared" si="6"/>
        <v>0</v>
      </c>
    </row>
    <row r="40" spans="1:19" x14ac:dyDescent="0.2">
      <c r="I40" t="s">
        <v>128</v>
      </c>
      <c r="J40" s="156">
        <f>L40*2</f>
        <v>0</v>
      </c>
      <c r="K40" s="128"/>
      <c r="L40" s="172"/>
      <c r="M40" s="128"/>
      <c r="N40" s="157">
        <f t="shared" si="5"/>
        <v>0</v>
      </c>
      <c r="O40" s="128"/>
      <c r="Q40" s="201"/>
      <c r="S40" s="139">
        <f t="shared" si="6"/>
        <v>0</v>
      </c>
    </row>
    <row r="41" spans="1:19" x14ac:dyDescent="0.2">
      <c r="I41" s="128"/>
      <c r="J41" s="156"/>
      <c r="K41" s="128"/>
      <c r="M41" s="128"/>
      <c r="N41" s="182"/>
      <c r="O41" s="128"/>
      <c r="S41" s="139">
        <f t="shared" si="6"/>
        <v>0</v>
      </c>
    </row>
    <row r="42" spans="1:19" ht="13.5" thickBot="1" x14ac:dyDescent="0.25">
      <c r="I42" s="163" t="s">
        <v>129</v>
      </c>
      <c r="J42" s="164">
        <f>SUM(J33,J34,J36,J37,J39,J40)</f>
        <v>0</v>
      </c>
      <c r="K42" s="128"/>
      <c r="L42" s="164">
        <f>SUM(L33:L40)</f>
        <v>0</v>
      </c>
      <c r="M42" s="165"/>
      <c r="N42" s="166">
        <f>L42</f>
        <v>0</v>
      </c>
      <c r="O42" s="128"/>
      <c r="Q42" s="164">
        <f>SUM(Q33:Q40)</f>
        <v>0</v>
      </c>
      <c r="S42" s="164">
        <f t="shared" si="6"/>
        <v>0</v>
      </c>
    </row>
  </sheetData>
  <mergeCells count="4">
    <mergeCell ref="B4:D4"/>
    <mergeCell ref="B11:D11"/>
    <mergeCell ref="B15:D15"/>
    <mergeCell ref="B18:D18"/>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6CEB54CC695B545828AEEB0188EFB4C" ma:contentTypeVersion="12" ma:contentTypeDescription="" ma:contentTypeScope="" ma:versionID="bacd78dc4f0fbe27109e0d260d686f0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2024-06-07T07:00:00+00:00</OpenedDate>
    <SignificantOrder xmlns="dc463f71-b30c-4ab2-9473-d307f9d35888">false</SignificantOrder>
    <Date1 xmlns="dc463f71-b30c-4ab2-9473-d307f9d35888">2024-06-07T07:00:00+00:00</Date1>
    <IsDocumentOrder xmlns="dc463f71-b30c-4ab2-9473-d307f9d35888">false</IsDocumentOrder>
    <IsHighlyConfidential xmlns="dc463f71-b30c-4ab2-9473-d307f9d35888">false</IsHighlyConfidential>
    <CaseCompanyNames xmlns="dc463f71-b30c-4ab2-9473-d307f9d35888">RABANCO LTD.            </CaseCompanyNames>
    <Nickname xmlns="http://schemas.microsoft.com/sharepoint/v3" xsi:nil="true"/>
    <DocketNumber xmlns="dc463f71-b30c-4ab2-9473-d307f9d35888">240524</DocketNumber>
    <DelegatedOrder xmlns="dc463f71-b30c-4ab2-9473-d307f9d35888">false</DelegatedOrder>
  </documentManagement>
</p:properties>
</file>

<file path=customXml/itemProps1.xml><?xml version="1.0" encoding="utf-8"?>
<ds:datastoreItem xmlns:ds="http://schemas.openxmlformats.org/officeDocument/2006/customXml" ds:itemID="{8AB2FBEB-B584-428F-9410-F543F30D219C}"/>
</file>

<file path=customXml/itemProps2.xml><?xml version="1.0" encoding="utf-8"?>
<ds:datastoreItem xmlns:ds="http://schemas.openxmlformats.org/officeDocument/2006/customXml" ds:itemID="{47533FE6-68C2-4590-9BE3-D6976349B1F8}"/>
</file>

<file path=customXml/itemProps3.xml><?xml version="1.0" encoding="utf-8"?>
<ds:datastoreItem xmlns:ds="http://schemas.openxmlformats.org/officeDocument/2006/customXml" ds:itemID="{155D648B-3D50-4428-958E-601003C40B02}"/>
</file>

<file path=customXml/itemProps4.xml><?xml version="1.0" encoding="utf-8"?>
<ds:datastoreItem xmlns:ds="http://schemas.openxmlformats.org/officeDocument/2006/customXml" ds:itemID="{7D3C8FF4-F1E2-4B04-87EB-0382C805AB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WUTC_LYNNWOOD_SF</vt:lpstr>
      <vt:lpstr>WUTC_AW of Kent (SeaTac)_SF</vt:lpstr>
      <vt:lpstr>Value</vt:lpstr>
      <vt:lpstr>Commodity Tonnages</vt:lpstr>
      <vt:lpstr>Pricing</vt:lpstr>
      <vt:lpstr>Single Family</vt:lpstr>
      <vt:lpstr>RSA</vt:lpstr>
      <vt:lpstr>Recap</vt:lpstr>
      <vt:lpstr>Pricing!Print_Area</vt:lpstr>
      <vt:lpstr>'Single Family'!Print_Area</vt:lpstr>
      <vt:lpstr>'WUTC_AW of Kent (SeaTac)_SF'!Print_Area</vt:lpstr>
      <vt:lpstr>WUTC_LYNNWOOD_SF!Print_Area</vt:lpstr>
      <vt:lpstr>'Single Family'!Print_Titles</vt:lpstr>
    </vt:vector>
  </TitlesOfParts>
  <Company>Allied Waste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JG00116</dc:creator>
  <cp:lastModifiedBy>Robinson, Kristen</cp:lastModifiedBy>
  <cp:lastPrinted>2019-06-14T19:27:42Z</cp:lastPrinted>
  <dcterms:created xsi:type="dcterms:W3CDTF">2008-05-23T15:47:44Z</dcterms:created>
  <dcterms:modified xsi:type="dcterms:W3CDTF">2024-05-21T18:00:21Z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0x0101006E56B4D1795A2E4DB2F0B01679ED314A0036CEB54CC695B545828AEEB0188EFB4C</vt:lpwstr>
  </property>
  <property fmtid="{D5CDD505-2E9C-101B-9397-08002B2CF9AE}" pid="5" name="_docset_NoMedatataSyncRequired">
    <vt:lpwstr>False</vt:lpwstr>
  </property>
</Properties>
</file>