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32" windowWidth="18960" windowHeight="8448"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 name="RSA" sheetId="7" r:id="rId7"/>
    <sheet name="Recap" sheetId="8" r:id="rId8"/>
  </sheets>
  <externalReferences>
    <externalReference r:id="rId11"/>
    <externalReference r:id="rId12"/>
  </externalReferences>
  <definedNames>
    <definedName name="_xlfn.IFERROR" hidden="1">#NAME?</definedName>
    <definedName name="_xlfn.SINGLE" hidden="1">#NAME?</definedName>
    <definedName name="color">#REF!</definedName>
    <definedName name="_xlnm.Print_Area" localSheetId="4">'Pricing'!$A$1:$L$19</definedName>
    <definedName name="_xlnm.Print_Area" localSheetId="5">'Single Family'!$A$7:$N$102</definedName>
    <definedName name="_xlnm.Print_Area" localSheetId="1">'WUTC_AW of Bellevue_SF'!$A$1:$I$66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 Use after 80%</t>
        </r>
      </text>
    </comment>
    <comment ref="C7" authorId="1">
      <text>
        <r>
          <rPr>
            <b/>
            <sz val="9"/>
            <rFont val="Tahoma"/>
            <family val="2"/>
          </rPr>
          <t>Johnson, Carla:</t>
        </r>
        <r>
          <rPr>
            <sz val="9"/>
            <rFont val="Tahoma"/>
            <family val="2"/>
          </rPr>
          <t xml:space="preserve">
RSA Workbook/Single Family/4172 Tons column E</t>
        </r>
      </text>
    </comment>
  </commentList>
</comments>
</file>

<file path=xl/comments8.xml><?xml version="1.0" encoding="utf-8"?>
<comments xmlns="http://schemas.openxmlformats.org/spreadsheetml/2006/main">
  <authors>
    <author>Jody Reid</author>
    <author>Johnson, Carla</author>
    <author>Cramer, Diane</author>
  </authors>
  <commentList>
    <comment ref="L32" authorId="0">
      <text>
        <r>
          <rPr>
            <sz val="8"/>
            <rFont val="Tahoma"/>
            <family val="2"/>
          </rPr>
          <t xml:space="preserve">Customer Count Today x 12 months x Base Pass Back Rate
</t>
        </r>
      </text>
    </comment>
    <comment ref="J32" authorId="0">
      <text>
        <r>
          <rPr>
            <sz val="8"/>
            <rFont val="Tahoma"/>
            <family val="2"/>
          </rPr>
          <t>TTM Commodity value per customer x # of Customers x 12 months</t>
        </r>
      </text>
    </comment>
    <comment ref="L18" authorId="0">
      <text>
        <r>
          <rPr>
            <sz val="8"/>
            <rFont val="Tahoma"/>
            <family val="2"/>
          </rPr>
          <t xml:space="preserve">Customer Count Today x 12 months x Base Pass Back Rate
</t>
        </r>
      </text>
    </comment>
    <comment ref="J18"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4" authorId="0">
      <text>
        <r>
          <rPr>
            <sz val="8"/>
            <rFont val="Tahoma"/>
            <family val="2"/>
          </rPr>
          <t>TTM Commodity value per customer x # of Customers x 12 months</t>
        </r>
      </text>
    </comment>
    <comment ref="D13" authorId="1">
      <text>
        <r>
          <rPr>
            <b/>
            <sz val="9"/>
            <rFont val="Tahoma"/>
            <family val="2"/>
          </rPr>
          <t>Johnson, Carla:</t>
        </r>
        <r>
          <rPr>
            <sz val="9"/>
            <rFont val="Tahoma"/>
            <family val="2"/>
          </rPr>
          <t xml:space="preserve">
Total 2 yr Plan based on 50% of revenue from customers and tons</t>
        </r>
      </text>
    </comment>
    <comment ref="D16" authorId="1">
      <text>
        <r>
          <rPr>
            <b/>
            <sz val="9"/>
            <rFont val="Tahoma"/>
            <family val="2"/>
          </rPr>
          <t>Johnson, Carla:</t>
        </r>
        <r>
          <rPr>
            <sz val="9"/>
            <rFont val="Tahoma"/>
            <family val="2"/>
          </rPr>
          <t xml:space="preserve">
= Plan Spend subtracted from Plan Value.</t>
        </r>
      </text>
    </comment>
    <comment ref="B28" authorId="1">
      <text>
        <r>
          <rPr>
            <b/>
            <sz val="9"/>
            <rFont val="Tahoma"/>
            <family val="2"/>
          </rPr>
          <t>Johnson, Carla:</t>
        </r>
        <r>
          <rPr>
            <sz val="9"/>
            <rFont val="Tahoma"/>
            <family val="2"/>
          </rPr>
          <t xml:space="preserve">
50% value of 172, 176, 183 averge</t>
        </r>
      </text>
    </comment>
    <comment ref="B29" authorId="2">
      <text>
        <r>
          <rPr>
            <b/>
            <sz val="9"/>
            <rFont val="Tahoma"/>
            <family val="2"/>
          </rPr>
          <t>Cramer, Diane:</t>
        </r>
        <r>
          <rPr>
            <sz val="9"/>
            <rFont val="Tahoma"/>
            <family val="2"/>
          </rPr>
          <t xml:space="preserve">
Change formula to calculate # of actual months to get avg tons</t>
        </r>
      </text>
    </comment>
    <comment ref="E29" authorId="2">
      <text>
        <r>
          <rPr>
            <b/>
            <sz val="9"/>
            <rFont val="Tahoma"/>
            <family val="2"/>
          </rPr>
          <t>Cramer, Diane:</t>
        </r>
        <r>
          <rPr>
            <sz val="9"/>
            <rFont val="Tahoma"/>
            <family val="2"/>
          </rPr>
          <t xml:space="preserve">
Change formula to calculate # of actual months to get avg tons</t>
        </r>
      </text>
    </comment>
    <comment ref="B30" authorId="1">
      <text>
        <r>
          <rPr>
            <b/>
            <sz val="9"/>
            <rFont val="Tahoma"/>
            <family val="2"/>
          </rPr>
          <t>Johnson, Carla:</t>
        </r>
        <r>
          <rPr>
            <sz val="9"/>
            <rFont val="Tahoma"/>
            <family val="2"/>
          </rPr>
          <t xml:space="preserve">
# of months left in yr</t>
        </r>
      </text>
    </comment>
    <comment ref="E30" authorId="1">
      <text>
        <r>
          <rPr>
            <b/>
            <sz val="9"/>
            <rFont val="Tahoma"/>
            <family val="2"/>
          </rPr>
          <t>Johnson, Carla:</t>
        </r>
        <r>
          <rPr>
            <sz val="9"/>
            <rFont val="Tahoma"/>
            <family val="2"/>
          </rPr>
          <t xml:space="preserve">
# of months left in yr</t>
        </r>
      </text>
    </comment>
    <comment ref="E31" authorId="1">
      <text>
        <r>
          <rPr>
            <b/>
            <sz val="9"/>
            <rFont val="Tahoma"/>
            <family val="2"/>
          </rPr>
          <t>Johnson, Carla:</t>
        </r>
        <r>
          <rPr>
            <sz val="9"/>
            <rFont val="Tahoma"/>
            <family val="2"/>
          </rPr>
          <t xml:space="preserve">
Forecast of expected total budget at end of  for 2 yr plan less expenses already entered.</t>
        </r>
      </text>
    </comment>
  </commentList>
</comments>
</file>

<file path=xl/sharedStrings.xml><?xml version="1.0" encoding="utf-8"?>
<sst xmlns="http://schemas.openxmlformats.org/spreadsheetml/2006/main" count="325" uniqueCount="159">
  <si>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</si>
  <si>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</si>
  <si>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</si>
  <si>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</si>
  <si>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</si>
  <si>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</si>
  <si>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</si>
  <si>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</si>
  <si>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</si>
  <si>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</si>
  <si>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</si>
  <si>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</si>
  <si>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</si>
  <si>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</si>
  <si>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</si>
  <si>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</si>
  <si>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</si>
  <si>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</si>
  <si>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</si>
  <si>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</si>
  <si>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</si>
  <si>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</si>
  <si>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</si>
  <si>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</si>
  <si>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</si>
  <si>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</si>
  <si>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</si>
  <si>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</si>
  <si>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</si>
  <si>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</si>
  <si>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</si>
  <si>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</si>
  <si>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</si>
  <si>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</si>
  <si>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</si>
  <si>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</si>
  <si>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</si>
  <si>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</si>
  <si>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</si>
  <si>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</si>
  <si>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</si>
  <si>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</si>
  <si>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</si>
  <si>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</si>
  <si>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</si>
  <si>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</si>
  <si>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</si>
  <si>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</si>
  <si>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</si>
  <si>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</si>
  <si>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</si>
  <si>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</si>
  <si>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</si>
  <si>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</si>
  <si>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</si>
  <si>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</si>
  <si>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</si>
  <si>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</si>
  <si>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</si>
  <si>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</si>
  <si>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</si>
  <si>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</si>
  <si>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</si>
  <si>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</si>
  <si>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</si>
  <si>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</si>
  <si>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</si>
  <si>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</si>
  <si>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</si>
  <si>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</si>
  <si>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</si>
  <si>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</si>
  <si>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</si>
  <si>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</si>
  <si>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</si>
  <si>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</si>
  <si>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</si>
  <si>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TG-12______</t>
  </si>
  <si>
    <t>% of Revenue Passed Back</t>
  </si>
  <si>
    <t>% Passed Back</t>
  </si>
  <si>
    <t>Check and change values</t>
  </si>
  <si>
    <t>Rabanco Ltd (dba Republic Services)</t>
  </si>
  <si>
    <t xml:space="preserve"> True-up Computation</t>
  </si>
  <si>
    <t xml:space="preserve"> Projected Credit</t>
  </si>
  <si>
    <t>Material Shrinkage</t>
  </si>
  <si>
    <t>Shrinkage</t>
  </si>
  <si>
    <t>Metal</t>
  </si>
  <si>
    <t>Excess Commodity Value</t>
  </si>
  <si>
    <t>Total twelve months</t>
  </si>
  <si>
    <t xml:space="preserve">12 month running average "BASE CREDIT" </t>
  </si>
  <si>
    <t>Allocation to Divisions:</t>
  </si>
  <si>
    <t>SF portion</t>
  </si>
  <si>
    <t>MF portion</t>
  </si>
  <si>
    <t>RSA Rev breakdown:</t>
  </si>
  <si>
    <t>SF $</t>
  </si>
  <si>
    <t>MF $</t>
  </si>
  <si>
    <t>SF %</t>
  </si>
  <si>
    <t>MF %</t>
  </si>
  <si>
    <t>Bellevue</t>
  </si>
  <si>
    <t>Kent</t>
  </si>
  <si>
    <t>SeaTac</t>
  </si>
  <si>
    <t>Underspent RSA per King County report</t>
  </si>
  <si>
    <t>Bellevue SF RSA Unspent</t>
  </si>
  <si>
    <t>Credit per customer</t>
  </si>
  <si>
    <t>Commodity Value versus Credits</t>
  </si>
  <si>
    <t>Unspent RSA dollars</t>
  </si>
  <si>
    <t>Commodity Value Timeframe:  May - April</t>
  </si>
  <si>
    <t>Current Month</t>
  </si>
  <si>
    <t>Plan Spend</t>
  </si>
  <si>
    <t>Invoices</t>
  </si>
  <si>
    <t>Monthly Reporting</t>
  </si>
  <si>
    <t>Labor</t>
  </si>
  <si>
    <t>5% Incentive</t>
  </si>
  <si>
    <t>Plan Value</t>
  </si>
  <si>
    <t>Actual Available Spend</t>
  </si>
  <si>
    <t>Division Spend</t>
  </si>
  <si>
    <t>Forecasted Yr 1</t>
  </si>
  <si>
    <t>Commodity Value</t>
  </si>
  <si>
    <t>Avg Tons / month</t>
  </si>
  <si>
    <t># months forecast</t>
  </si>
  <si>
    <t>Forecasted Yr2 Value</t>
  </si>
  <si>
    <t>Rollover Amount from Yr 1</t>
  </si>
  <si>
    <t>50% RSA Retained</t>
  </si>
  <si>
    <t>50% Passed to Customers</t>
  </si>
  <si>
    <t xml:space="preserve">172 Eastside Single-Family Value </t>
  </si>
  <si>
    <t xml:space="preserve">Eastside Multi-Family Value </t>
  </si>
  <si>
    <t xml:space="preserve">176 Kent-Meridian Single-Family Value </t>
  </si>
  <si>
    <t xml:space="preserve">Kent-Meridian Multi-Family Value </t>
  </si>
  <si>
    <t xml:space="preserve">183 SeaTac Single-Family Value </t>
  </si>
  <si>
    <t xml:space="preserve">SeaTac Multi-Family Value </t>
  </si>
  <si>
    <t>Total Revenue Retained</t>
  </si>
  <si>
    <t>Year 1</t>
  </si>
  <si>
    <t>Year 2</t>
  </si>
  <si>
    <t>Per RSA File</t>
  </si>
  <si>
    <t>Per UTC Filing</t>
  </si>
  <si>
    <t>Commodity Revenue</t>
  </si>
  <si>
    <t>Variance</t>
  </si>
  <si>
    <t>Prior three months</t>
  </si>
  <si>
    <t>Current nine months</t>
  </si>
  <si>
    <t>Forecasted Yr 1 Value</t>
  </si>
  <si>
    <t>Forecasted Yr 1 Spend</t>
  </si>
  <si>
    <t>Forecast Yr 2 Total</t>
  </si>
  <si>
    <t>To Date Yr2 Spend</t>
  </si>
  <si>
    <t>Forecasted Rollover Amount to Yr 2</t>
  </si>
  <si>
    <t>Actual Yr 1 Spend</t>
  </si>
  <si>
    <t>Rollover Amount to Yr 2</t>
  </si>
  <si>
    <t>Forecasted Available</t>
  </si>
  <si>
    <t>See RSA Tab</t>
  </si>
  <si>
    <t>King County RSA Plan 2023 - 2025</t>
  </si>
  <si>
    <t>2023-2024</t>
  </si>
  <si>
    <t>2024-2025</t>
  </si>
  <si>
    <t>2023 - 2025</t>
  </si>
  <si>
    <t>2023 - 2024</t>
  </si>
  <si>
    <t>2024 - 2025</t>
  </si>
  <si>
    <t>2023/2024 Monthly True-up Amount</t>
  </si>
  <si>
    <t>8/1/23 - 7/31/24 Adjusted Credit</t>
  </si>
  <si>
    <t>Rollover in Plan year 2</t>
  </si>
  <si>
    <t>Only used at end of plan year 2</t>
  </si>
  <si>
    <t>Total Passback at end of plan year 2025</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</si>
</sst>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quot;$&quot;#,##0.00"/>
    <numFmt numFmtId="183" formatCode="_(&quot;$&quot;* #,##0.000_);_(&quot;$&quot;* \(#,##0.000\);_(&quot;$&quot;* &quot;-&quot;??_);_(@_)"/>
    <numFmt numFmtId="184" formatCode="_(&quot;$&quot;* #,##0.0000_);_(&quot;$&quot;* \(#,##0.0000\);_(&quot;$&quot;* &quot;-&quot;??_);_(@_)"/>
    <numFmt numFmtId="185" formatCode="[$-409]mmm\-yy;@"/>
    <numFmt numFmtId="186" formatCode="0.000000"/>
    <numFmt numFmtId="187" formatCode="0.00000"/>
    <numFmt numFmtId="188" formatCode="0.0000"/>
    <numFmt numFmtId="189" formatCode="0.000"/>
    <numFmt numFmtId="190" formatCode="#,##0.000_);\(#,##0.000\)"/>
    <numFmt numFmtId="191" formatCode="_(&quot;$&quot;* #,##0.00000_);_(&quot;$&quot;* \(#,##0.00000\);_(&quot;$&quot;* &quot;-&quot;??_);_(@_)"/>
    <numFmt numFmtId="192" formatCode="#,##0.0_);\(#,##0.0\)"/>
    <numFmt numFmtId="193" formatCode="#,##0.0000_);\(#,##0.0000\)"/>
    <numFmt numFmtId="194" formatCode="#,##0.00000_);\(#,##0.00000\)"/>
  </numFmts>
  <fonts count="67">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sz val="11"/>
      <color indexed="12"/>
      <name val="Calibri"/>
      <family val="2"/>
    </font>
    <font>
      <sz val="11"/>
      <color indexed="63"/>
      <name val="Calibri"/>
      <family val="2"/>
    </font>
    <font>
      <sz val="10"/>
      <color indexed="63"/>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sz val="8"/>
      <color rgb="FF0000FF"/>
      <name val="Arial"/>
      <family val="2"/>
    </font>
    <font>
      <sz val="11"/>
      <color rgb="FF0000FF"/>
      <name val="Calibri"/>
      <family val="2"/>
    </font>
    <font>
      <sz val="11"/>
      <color theme="1" tint="0.34999001026153564"/>
      <name val="Calibri"/>
      <family val="2"/>
    </font>
    <font>
      <sz val="10"/>
      <color theme="1" tint="0.34999001026153564"/>
      <name val="Arial"/>
      <family val="2"/>
    </font>
    <font>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hair"/>
      <top style="thin"/>
      <bottom style="hair"/>
    </border>
    <border>
      <left style="thin"/>
      <right style="hair"/>
      <top style="thin"/>
      <bottom style="thin"/>
    </border>
    <border>
      <left style="hair"/>
      <right style="thin"/>
      <top style="thin"/>
      <bottom style="thin"/>
    </border>
    <border>
      <left style="thin"/>
      <right/>
      <top style="thin"/>
      <bottom/>
    </border>
    <border>
      <left/>
      <right style="thin"/>
      <top style="thin"/>
      <bottom/>
    </border>
    <border>
      <left style="thin"/>
      <right>
        <color indexed="63"/>
      </right>
      <top style="thin"/>
      <bottom style="thin"/>
    </border>
    <border>
      <left style="thin"/>
      <right style="hair"/>
      <top style="thin"/>
      <bottom style="hair"/>
    </border>
    <border>
      <left style="thin"/>
      <right style="medium"/>
      <top style="thin"/>
      <bottom style="thin"/>
    </border>
    <border>
      <left style="hair"/>
      <right style="thin"/>
      <top style="hair"/>
      <bottom style="hair"/>
    </border>
    <border>
      <left style="thin"/>
      <right/>
      <top/>
      <bottom/>
    </border>
    <border>
      <left>
        <color indexed="63"/>
      </left>
      <right style="thin"/>
      <top style="thin"/>
      <bottom style="thin"/>
    </border>
    <border>
      <left/>
      <right/>
      <top/>
      <bottom style="medium"/>
    </border>
    <border>
      <left/>
      <right/>
      <top style="thin"/>
      <bottom style="medium"/>
    </border>
    <border>
      <left/>
      <right/>
      <top style="thin"/>
      <bottom style="hair"/>
    </border>
    <border>
      <left style="thin"/>
      <right style="thin"/>
      <top style="thin"/>
      <bottom style="hair"/>
    </border>
    <border>
      <left style="thin"/>
      <right>
        <color indexed="63"/>
      </right>
      <top>
        <color indexed="63"/>
      </top>
      <bottom style="thin"/>
    </border>
    <border>
      <left/>
      <right style="hair"/>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4"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44" fillId="0" borderId="0">
      <alignment/>
      <protection/>
    </xf>
    <xf numFmtId="0" fontId="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7">
    <xf numFmtId="0" fontId="0" fillId="0" borderId="0" xfId="0" applyAlignment="1">
      <alignment/>
    </xf>
    <xf numFmtId="0" fontId="1" fillId="0" borderId="0" xfId="62" applyFont="1">
      <alignment/>
      <protection/>
    </xf>
    <xf numFmtId="0" fontId="7" fillId="0" borderId="0" xfId="62" applyFont="1">
      <alignment/>
      <protection/>
    </xf>
    <xf numFmtId="0" fontId="7" fillId="0" borderId="0" xfId="62" applyFont="1" applyAlignment="1">
      <alignment horizontal="center"/>
      <protection/>
    </xf>
    <xf numFmtId="0" fontId="8" fillId="0" borderId="0" xfId="62" applyFont="1" applyAlignment="1">
      <alignment horizontal="center"/>
      <protection/>
    </xf>
    <xf numFmtId="0" fontId="6" fillId="0" borderId="0" xfId="62">
      <alignment/>
      <protection/>
    </xf>
    <xf numFmtId="0" fontId="9" fillId="0" borderId="0" xfId="62" applyFont="1">
      <alignment/>
      <protection/>
    </xf>
    <xf numFmtId="14" fontId="7" fillId="0" borderId="0" xfId="62" applyNumberFormat="1" applyFont="1" applyAlignment="1">
      <alignment horizontal="center"/>
      <protection/>
    </xf>
    <xf numFmtId="0" fontId="10" fillId="0" borderId="0" xfId="62" applyFont="1">
      <alignment/>
      <protection/>
    </xf>
    <xf numFmtId="0" fontId="11" fillId="0" borderId="0" xfId="62" applyFont="1">
      <alignment/>
      <protection/>
    </xf>
    <xf numFmtId="0" fontId="11" fillId="0" borderId="0" xfId="62" applyFont="1" applyAlignment="1">
      <alignment horizontal="center"/>
      <protection/>
    </xf>
    <xf numFmtId="0" fontId="9" fillId="0" borderId="0" xfId="62" applyFont="1" applyAlignment="1">
      <alignment horizontal="center"/>
      <protection/>
    </xf>
    <xf numFmtId="167" fontId="9" fillId="0" borderId="0" xfId="62" applyNumberFormat="1" applyFont="1" applyAlignment="1">
      <alignment horizontal="center"/>
      <protection/>
    </xf>
    <xf numFmtId="1" fontId="7" fillId="0" borderId="0" xfId="62" applyNumberFormat="1" applyFont="1">
      <alignment/>
      <protection/>
    </xf>
    <xf numFmtId="41" fontId="7" fillId="0" borderId="0" xfId="62" applyNumberFormat="1" applyFont="1">
      <alignment/>
      <protection/>
    </xf>
    <xf numFmtId="167" fontId="9" fillId="0" borderId="0" xfId="62" applyNumberFormat="1" applyFont="1">
      <alignment/>
      <protection/>
    </xf>
    <xf numFmtId="167" fontId="7" fillId="0" borderId="0" xfId="62" applyNumberFormat="1" applyFont="1">
      <alignment/>
      <protection/>
    </xf>
    <xf numFmtId="169" fontId="7" fillId="0" borderId="0" xfId="62" applyNumberFormat="1" applyFont="1" applyAlignment="1">
      <alignment horizontal="right"/>
      <protection/>
    </xf>
    <xf numFmtId="167" fontId="7" fillId="0" borderId="0" xfId="62" applyNumberFormat="1" applyFont="1" applyFill="1" applyAlignment="1">
      <alignment horizontal="center"/>
      <protection/>
    </xf>
    <xf numFmtId="41" fontId="12" fillId="0" borderId="0" xfId="62" applyNumberFormat="1" applyFont="1">
      <alignment/>
      <protection/>
    </xf>
    <xf numFmtId="41" fontId="13" fillId="0" borderId="0" xfId="62" applyNumberFormat="1" applyFont="1" applyAlignment="1">
      <alignment horizontal="left"/>
      <protection/>
    </xf>
    <xf numFmtId="41" fontId="7" fillId="0" borderId="10" xfId="62" applyNumberFormat="1" applyFont="1" applyBorder="1">
      <alignment/>
      <protection/>
    </xf>
    <xf numFmtId="167" fontId="7" fillId="0" borderId="10" xfId="62" applyNumberFormat="1" applyFont="1" applyBorder="1">
      <alignment/>
      <protection/>
    </xf>
    <xf numFmtId="168" fontId="7" fillId="0" borderId="0" xfId="62" applyNumberFormat="1" applyFont="1">
      <alignment/>
      <protection/>
    </xf>
    <xf numFmtId="17" fontId="7" fillId="0" borderId="0" xfId="62" applyNumberFormat="1" applyFont="1" applyAlignment="1">
      <alignment horizontal="right"/>
      <protection/>
    </xf>
    <xf numFmtId="167" fontId="6" fillId="0" borderId="0" xfId="62" applyNumberFormat="1">
      <alignment/>
      <protection/>
    </xf>
    <xf numFmtId="169" fontId="7" fillId="0" borderId="0" xfId="62" applyNumberFormat="1" applyFont="1">
      <alignment/>
      <protection/>
    </xf>
    <xf numFmtId="41" fontId="7" fillId="0" borderId="11" xfId="62" applyNumberFormat="1" applyFont="1" applyBorder="1">
      <alignment/>
      <protection/>
    </xf>
    <xf numFmtId="167" fontId="7" fillId="0" borderId="11" xfId="62" applyNumberFormat="1" applyFont="1" applyBorder="1">
      <alignment/>
      <protection/>
    </xf>
    <xf numFmtId="41" fontId="9" fillId="0" borderId="12" xfId="62" applyNumberFormat="1" applyFont="1" applyBorder="1">
      <alignment/>
      <protection/>
    </xf>
    <xf numFmtId="41" fontId="7" fillId="0" borderId="12" xfId="62" applyNumberFormat="1" applyFont="1" applyBorder="1">
      <alignment/>
      <protection/>
    </xf>
    <xf numFmtId="41" fontId="10" fillId="0" borderId="0" xfId="62" applyNumberFormat="1" applyFont="1">
      <alignment/>
      <protection/>
    </xf>
    <xf numFmtId="41" fontId="7" fillId="0" borderId="0" xfId="62" applyNumberFormat="1" applyFont="1" applyAlignment="1">
      <alignment horizontal="right"/>
      <protection/>
    </xf>
    <xf numFmtId="1" fontId="10" fillId="0" borderId="0" xfId="62" applyNumberFormat="1" applyFont="1">
      <alignment/>
      <protection/>
    </xf>
    <xf numFmtId="168" fontId="12" fillId="0" borderId="0" xfId="62" applyNumberFormat="1" applyFont="1">
      <alignment/>
      <protection/>
    </xf>
    <xf numFmtId="41" fontId="7" fillId="0" borderId="0" xfId="62" applyNumberFormat="1" applyFont="1" applyBorder="1">
      <alignment/>
      <protection/>
    </xf>
    <xf numFmtId="41" fontId="7" fillId="0" borderId="13" xfId="62" applyNumberFormat="1" applyFont="1" applyBorder="1">
      <alignment/>
      <protection/>
    </xf>
    <xf numFmtId="41" fontId="7" fillId="0" borderId="14" xfId="62" applyNumberFormat="1" applyFont="1" applyBorder="1">
      <alignment/>
      <protection/>
    </xf>
    <xf numFmtId="41" fontId="7" fillId="0" borderId="15" xfId="62" applyNumberFormat="1" applyFont="1" applyBorder="1">
      <alignment/>
      <protection/>
    </xf>
    <xf numFmtId="168" fontId="7" fillId="0" borderId="11" xfId="62" applyNumberFormat="1" applyFont="1" applyBorder="1">
      <alignment/>
      <protection/>
    </xf>
    <xf numFmtId="168" fontId="7" fillId="0" borderId="15" xfId="62" applyNumberFormat="1" applyFont="1" applyBorder="1">
      <alignment/>
      <protection/>
    </xf>
    <xf numFmtId="167" fontId="7" fillId="0" borderId="0" xfId="62" applyNumberFormat="1" applyFont="1" applyFill="1" applyBorder="1">
      <alignment/>
      <protection/>
    </xf>
    <xf numFmtId="167" fontId="14" fillId="0" borderId="0" xfId="62" applyNumberFormat="1" applyFont="1" applyFill="1" applyBorder="1" applyAlignment="1">
      <alignment horizontal="centerContinuous"/>
      <protection/>
    </xf>
    <xf numFmtId="167" fontId="7" fillId="0" borderId="0" xfId="62" applyNumberFormat="1" applyFont="1" applyFill="1" applyBorder="1" applyAlignment="1">
      <alignment horizontal="centerContinuous"/>
      <protection/>
    </xf>
    <xf numFmtId="167" fontId="7" fillId="0" borderId="0" xfId="62" applyNumberFormat="1" applyFont="1" applyAlignment="1">
      <alignment horizontal="centerContinuous"/>
      <protection/>
    </xf>
    <xf numFmtId="169" fontId="7" fillId="0" borderId="0" xfId="62" applyNumberFormat="1" applyFont="1" applyFill="1" applyBorder="1" applyAlignment="1">
      <alignment horizontal="right"/>
      <protection/>
    </xf>
    <xf numFmtId="41" fontId="12" fillId="0" borderId="0" xfId="62" applyNumberFormat="1" applyFont="1" applyFill="1" applyBorder="1" applyAlignment="1">
      <alignment horizontal="center"/>
      <protection/>
    </xf>
    <xf numFmtId="167" fontId="7" fillId="0" borderId="0" xfId="62" applyNumberFormat="1" applyFont="1" applyFill="1" applyBorder="1" applyAlignment="1">
      <alignment horizontal="center"/>
      <protection/>
    </xf>
    <xf numFmtId="41" fontId="13" fillId="0" borderId="0" xfId="62" applyNumberFormat="1" applyFont="1" applyFill="1" applyBorder="1" applyAlignment="1">
      <alignment horizontal="left"/>
      <protection/>
    </xf>
    <xf numFmtId="41" fontId="7" fillId="0" borderId="0" xfId="62" applyNumberFormat="1" applyFont="1" applyFill="1" applyBorder="1">
      <alignment/>
      <protection/>
    </xf>
    <xf numFmtId="41" fontId="12" fillId="0" borderId="0" xfId="62" applyNumberFormat="1" applyFont="1" applyFill="1" applyBorder="1">
      <alignment/>
      <protection/>
    </xf>
    <xf numFmtId="1" fontId="7" fillId="0" borderId="0" xfId="62" applyNumberFormat="1" applyFont="1" applyFill="1" applyBorder="1">
      <alignment/>
      <protection/>
    </xf>
    <xf numFmtId="0" fontId="6" fillId="0" borderId="0" xfId="62" applyFill="1" applyBorder="1">
      <alignment/>
      <protection/>
    </xf>
    <xf numFmtId="167" fontId="6" fillId="0" borderId="0" xfId="62" applyNumberFormat="1" applyFill="1" applyBorder="1">
      <alignment/>
      <protection/>
    </xf>
    <xf numFmtId="169" fontId="7" fillId="0" borderId="0" xfId="62" applyNumberFormat="1" applyFont="1" applyFill="1" applyBorder="1">
      <alignment/>
      <protection/>
    </xf>
    <xf numFmtId="168" fontId="7" fillId="0" borderId="0" xfId="62" applyNumberFormat="1" applyFont="1" applyFill="1" applyBorder="1">
      <alignment/>
      <protection/>
    </xf>
    <xf numFmtId="167" fontId="7" fillId="0" borderId="13" xfId="62" applyNumberFormat="1" applyFont="1" applyBorder="1">
      <alignment/>
      <protection/>
    </xf>
    <xf numFmtId="167" fontId="7" fillId="0" borderId="15" xfId="62" applyNumberFormat="1" applyFont="1" applyBorder="1">
      <alignment/>
      <protection/>
    </xf>
    <xf numFmtId="2" fontId="6" fillId="0" borderId="0" xfId="62"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62" applyNumberFormat="1" applyFont="1" applyAlignment="1">
      <alignment horizontal="right"/>
      <protection/>
    </xf>
    <xf numFmtId="169" fontId="7" fillId="0" borderId="0" xfId="62" applyNumberFormat="1" applyFont="1" applyAlignment="1">
      <alignment horizontal="right" wrapText="1"/>
      <protection/>
    </xf>
    <xf numFmtId="17" fontId="7" fillId="0" borderId="0" xfId="62" applyNumberFormat="1" applyFont="1" applyFill="1" applyBorder="1" applyAlignment="1">
      <alignment horizontal="right"/>
      <protection/>
    </xf>
    <xf numFmtId="169" fontId="7" fillId="0" borderId="0" xfId="62"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5"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5"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5" applyNumberFormat="1" applyFont="1" applyAlignment="1">
      <alignment/>
    </xf>
    <xf numFmtId="10" fontId="9" fillId="33" borderId="0" xfId="65" applyNumberFormat="1" applyFont="1" applyFill="1" applyAlignment="1">
      <alignment/>
    </xf>
    <xf numFmtId="9" fontId="7" fillId="0" borderId="0" xfId="65"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62" applyNumberFormat="1" applyFont="1" applyBorder="1">
      <alignment/>
      <protection/>
    </xf>
    <xf numFmtId="167" fontId="7" fillId="0" borderId="0" xfId="62" applyNumberFormat="1" applyFont="1" applyAlignment="1">
      <alignment horizontal="center"/>
      <protection/>
    </xf>
    <xf numFmtId="167" fontId="12" fillId="0" borderId="0" xfId="62" applyNumberFormat="1" applyFont="1" applyFill="1" applyAlignment="1">
      <alignment horizontal="center"/>
      <protection/>
    </xf>
    <xf numFmtId="169" fontId="7" fillId="0" borderId="0" xfId="62" applyNumberFormat="1" applyFont="1" applyBorder="1" applyAlignment="1">
      <alignment horizontal="right"/>
      <protection/>
    </xf>
    <xf numFmtId="41" fontId="12" fillId="0" borderId="0" xfId="62" applyNumberFormat="1" applyFont="1" applyBorder="1">
      <alignment/>
      <protection/>
    </xf>
    <xf numFmtId="41" fontId="13" fillId="0" borderId="0" xfId="62" applyNumberFormat="1" applyFont="1" applyBorder="1" applyAlignment="1">
      <alignment horizontal="left"/>
      <protection/>
    </xf>
    <xf numFmtId="1" fontId="7" fillId="0" borderId="0" xfId="62" applyNumberFormat="1" applyFont="1" applyBorder="1">
      <alignment/>
      <protection/>
    </xf>
    <xf numFmtId="0" fontId="6" fillId="0" borderId="0" xfId="62" applyBorder="1">
      <alignment/>
      <protection/>
    </xf>
    <xf numFmtId="167" fontId="6" fillId="0" borderId="0" xfId="62" applyNumberFormat="1" applyBorder="1">
      <alignment/>
      <protection/>
    </xf>
    <xf numFmtId="169" fontId="7" fillId="0" borderId="0" xfId="62" applyNumberFormat="1" applyFont="1" applyBorder="1">
      <alignment/>
      <protection/>
    </xf>
    <xf numFmtId="168" fontId="7" fillId="0" borderId="0" xfId="62" applyNumberFormat="1" applyFont="1" applyBorder="1">
      <alignment/>
      <protection/>
    </xf>
    <xf numFmtId="10" fontId="7" fillId="34" borderId="0" xfId="0"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69" fontId="7" fillId="0" borderId="0" xfId="62"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62" applyNumberFormat="1" applyFont="1" applyAlignment="1">
      <alignment horizontal="right"/>
      <protection/>
    </xf>
    <xf numFmtId="165" fontId="1" fillId="0" borderId="0" xfId="65" applyNumberFormat="1" applyFont="1" applyAlignment="1">
      <alignment/>
    </xf>
    <xf numFmtId="0" fontId="17" fillId="0" borderId="16" xfId="62" applyFont="1" applyBorder="1" applyAlignment="1">
      <alignment horizontal="center"/>
      <protection/>
    </xf>
    <xf numFmtId="0" fontId="7" fillId="0" borderId="0" xfId="62" applyFont="1" applyBorder="1">
      <alignment/>
      <protection/>
    </xf>
    <xf numFmtId="167" fontId="17" fillId="0" borderId="17" xfId="62" applyNumberFormat="1" applyFont="1" applyBorder="1" applyAlignment="1">
      <alignment horizontal="center"/>
      <protection/>
    </xf>
    <xf numFmtId="167" fontId="18" fillId="0" borderId="17" xfId="62" applyNumberFormat="1" applyFont="1" applyFill="1" applyBorder="1" applyAlignment="1">
      <alignment horizontal="center"/>
      <protection/>
    </xf>
    <xf numFmtId="165" fontId="7" fillId="0" borderId="0" xfId="65" applyNumberFormat="1" applyFont="1" applyAlignment="1">
      <alignment/>
    </xf>
    <xf numFmtId="167" fontId="7" fillId="35" borderId="0" xfId="62" applyNumberFormat="1" applyFont="1" applyFill="1">
      <alignment/>
      <protection/>
    </xf>
    <xf numFmtId="9" fontId="7" fillId="35" borderId="18" xfId="65" applyFont="1" applyFill="1" applyBorder="1" applyAlignment="1">
      <alignment/>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0" borderId="0" xfId="44" applyNumberFormat="1" applyFont="1" applyAlignment="1">
      <alignment/>
    </xf>
    <xf numFmtId="7" fontId="0" fillId="0" borderId="0" xfId="46" applyNumberFormat="1" applyBorder="1" applyAlignment="1">
      <alignment/>
    </xf>
    <xf numFmtId="165" fontId="61" fillId="36" borderId="19" xfId="65" applyNumberFormat="1" applyFont="1" applyFill="1" applyBorder="1" applyAlignment="1">
      <alignment horizontal="center"/>
    </xf>
    <xf numFmtId="41" fontId="62" fillId="36" borderId="19" xfId="62" applyNumberFormat="1" applyFont="1" applyFill="1" applyBorder="1" applyAlignment="1">
      <alignment horizontal="center"/>
      <protection/>
    </xf>
    <xf numFmtId="41" fontId="62" fillId="36" borderId="19" xfId="62" applyNumberFormat="1" applyFont="1" applyFill="1" applyBorder="1">
      <alignment/>
      <protection/>
    </xf>
    <xf numFmtId="168" fontId="62" fillId="36" borderId="19" xfId="62" applyNumberFormat="1" applyFont="1" applyFill="1" applyBorder="1">
      <alignment/>
      <protection/>
    </xf>
    <xf numFmtId="165" fontId="7" fillId="0" borderId="0" xfId="65" applyNumberFormat="1" applyFont="1" applyBorder="1" applyAlignment="1">
      <alignment/>
    </xf>
    <xf numFmtId="44" fontId="7" fillId="0" borderId="0" xfId="0" applyNumberFormat="1" applyFont="1" applyBorder="1" applyAlignment="1">
      <alignment/>
    </xf>
    <xf numFmtId="43" fontId="7" fillId="0" borderId="0" xfId="0" applyNumberFormat="1" applyFont="1" applyBorder="1" applyAlignment="1">
      <alignment/>
    </xf>
    <xf numFmtId="182" fontId="0" fillId="0" borderId="0" xfId="0" applyNumberFormat="1" applyAlignment="1">
      <alignment/>
    </xf>
    <xf numFmtId="10" fontId="0" fillId="0" borderId="0" xfId="0" applyNumberFormat="1" applyAlignment="1">
      <alignment/>
    </xf>
    <xf numFmtId="0" fontId="0" fillId="0" borderId="0" xfId="0" applyFont="1" applyAlignment="1">
      <alignment/>
    </xf>
    <xf numFmtId="0" fontId="1" fillId="0" borderId="20" xfId="0" applyFont="1" applyBorder="1" applyAlignment="1">
      <alignment/>
    </xf>
    <xf numFmtId="0" fontId="1" fillId="0" borderId="21" xfId="0" applyFont="1" applyBorder="1" applyAlignment="1">
      <alignment/>
    </xf>
    <xf numFmtId="182" fontId="1" fillId="0" borderId="22" xfId="0" applyNumberFormat="1" applyFont="1" applyBorder="1" applyAlignment="1">
      <alignment/>
    </xf>
    <xf numFmtId="0" fontId="1" fillId="0" borderId="0" xfId="0" applyFont="1" applyAlignment="1">
      <alignment/>
    </xf>
    <xf numFmtId="182" fontId="0" fillId="0" borderId="18" xfId="0" applyNumberFormat="1" applyBorder="1" applyAlignment="1">
      <alignment/>
    </xf>
    <xf numFmtId="182" fontId="0" fillId="32" borderId="18" xfId="0" applyNumberFormat="1" applyFill="1" applyBorder="1" applyAlignment="1">
      <alignment/>
    </xf>
    <xf numFmtId="41" fontId="0" fillId="0" borderId="0" xfId="0" applyNumberFormat="1" applyAlignment="1">
      <alignment/>
    </xf>
    <xf numFmtId="39" fontId="7" fillId="37" borderId="11" xfId="62" applyNumberFormat="1" applyFont="1" applyFill="1" applyBorder="1">
      <alignment/>
      <protection/>
    </xf>
    <xf numFmtId="44" fontId="0" fillId="0" borderId="0" xfId="44" applyFont="1" applyAlignment="1">
      <alignment/>
    </xf>
    <xf numFmtId="182" fontId="1" fillId="0" borderId="0" xfId="0" applyNumberFormat="1" applyFont="1" applyBorder="1" applyAlignment="1">
      <alignment/>
    </xf>
    <xf numFmtId="44" fontId="0" fillId="0" borderId="0" xfId="0" applyNumberFormat="1" applyAlignment="1">
      <alignment/>
    </xf>
    <xf numFmtId="172" fontId="61" fillId="0" borderId="0" xfId="46" applyNumberFormat="1" applyFont="1" applyFill="1" applyBorder="1" applyAlignment="1">
      <alignment/>
    </xf>
    <xf numFmtId="0" fontId="0" fillId="0" borderId="0" xfId="0" applyAlignment="1">
      <alignment wrapText="1"/>
    </xf>
    <xf numFmtId="185" fontId="63" fillId="36" borderId="19" xfId="0" applyNumberFormat="1" applyFont="1" applyFill="1" applyBorder="1" applyAlignment="1">
      <alignment/>
    </xf>
    <xf numFmtId="0" fontId="61" fillId="38" borderId="23" xfId="59" applyFont="1" applyFill="1" applyBorder="1" applyAlignment="1">
      <alignment horizontal="center"/>
      <protection/>
    </xf>
    <xf numFmtId="0" fontId="61" fillId="0" borderId="0" xfId="59" applyFont="1" applyAlignment="1">
      <alignment horizontal="center"/>
      <protection/>
    </xf>
    <xf numFmtId="172" fontId="61" fillId="0" borderId="18" xfId="46" applyNumberFormat="1" applyFont="1" applyFill="1" applyBorder="1" applyAlignment="1">
      <alignment/>
    </xf>
    <xf numFmtId="0" fontId="0" fillId="0" borderId="0" xfId="0" applyAlignment="1">
      <alignment horizontal="center" wrapText="1"/>
    </xf>
    <xf numFmtId="0" fontId="61" fillId="38" borderId="0" xfId="59" applyFont="1" applyFill="1" applyAlignment="1">
      <alignment horizontal="center"/>
      <protection/>
    </xf>
    <xf numFmtId="172" fontId="0" fillId="0" borderId="0" xfId="0" applyNumberFormat="1" applyAlignment="1">
      <alignment/>
    </xf>
    <xf numFmtId="0" fontId="0" fillId="38" borderId="18" xfId="0" applyFill="1" applyBorder="1" applyAlignment="1">
      <alignment/>
    </xf>
    <xf numFmtId="0" fontId="64" fillId="0" borderId="0" xfId="0" applyFont="1" applyAlignment="1">
      <alignment/>
    </xf>
    <xf numFmtId="0" fontId="65" fillId="2" borderId="24" xfId="59" applyFont="1" applyFill="1" applyBorder="1" applyAlignment="1">
      <alignment horizontal="center"/>
      <protection/>
    </xf>
    <xf numFmtId="0" fontId="65" fillId="2" borderId="23" xfId="59" applyFont="1" applyFill="1" applyBorder="1" applyAlignment="1">
      <alignment horizontal="center"/>
      <protection/>
    </xf>
    <xf numFmtId="0" fontId="65" fillId="2" borderId="25" xfId="59" applyFont="1" applyFill="1" applyBorder="1" applyAlignment="1">
      <alignment horizontal="center"/>
      <protection/>
    </xf>
    <xf numFmtId="172" fontId="65" fillId="2" borderId="18" xfId="46" applyNumberFormat="1" applyFont="1" applyFill="1" applyBorder="1" applyAlignment="1">
      <alignment/>
    </xf>
    <xf numFmtId="0" fontId="61" fillId="38" borderId="26" xfId="59" applyFont="1" applyFill="1" applyBorder="1">
      <alignment/>
      <protection/>
    </xf>
    <xf numFmtId="0" fontId="61" fillId="38" borderId="27" xfId="59" applyFont="1" applyFill="1" applyBorder="1">
      <alignment/>
      <protection/>
    </xf>
    <xf numFmtId="0" fontId="61" fillId="0" borderId="0" xfId="59" applyFont="1">
      <alignment/>
      <protection/>
    </xf>
    <xf numFmtId="0" fontId="61" fillId="38" borderId="18" xfId="59" applyFont="1" applyFill="1" applyBorder="1">
      <alignment/>
      <protection/>
    </xf>
    <xf numFmtId="0" fontId="61" fillId="38" borderId="18" xfId="59" applyFont="1" applyFill="1" applyBorder="1" applyAlignment="1">
      <alignment wrapText="1"/>
      <protection/>
    </xf>
    <xf numFmtId="0" fontId="61" fillId="38" borderId="28" xfId="59" applyFont="1" applyFill="1" applyBorder="1" applyAlignment="1">
      <alignment horizontal="center"/>
      <protection/>
    </xf>
    <xf numFmtId="0" fontId="61" fillId="38" borderId="29" xfId="59" applyFont="1" applyFill="1" applyBorder="1" applyAlignment="1">
      <alignment horizontal="center"/>
      <protection/>
    </xf>
    <xf numFmtId="164" fontId="61" fillId="0" borderId="18" xfId="42" applyNumberFormat="1" applyFont="1" applyFill="1" applyBorder="1" applyAlignment="1">
      <alignment/>
    </xf>
    <xf numFmtId="164" fontId="61" fillId="0" borderId="30" xfId="42" applyNumberFormat="1" applyFont="1" applyFill="1" applyBorder="1" applyAlignment="1">
      <alignment wrapText="1"/>
    </xf>
    <xf numFmtId="0" fontId="63" fillId="36" borderId="31" xfId="0" applyFont="1" applyFill="1" applyBorder="1" applyAlignment="1">
      <alignment/>
    </xf>
    <xf numFmtId="0" fontId="63" fillId="36" borderId="18" xfId="0" applyFont="1" applyFill="1" applyBorder="1" applyAlignment="1">
      <alignment wrapText="1"/>
    </xf>
    <xf numFmtId="0" fontId="61" fillId="38" borderId="24" xfId="59" applyFont="1" applyFill="1" applyBorder="1" applyAlignment="1">
      <alignment horizontal="center"/>
      <protection/>
    </xf>
    <xf numFmtId="0" fontId="61" fillId="38" borderId="32" xfId="59" applyFont="1" applyFill="1" applyBorder="1" applyAlignment="1">
      <alignment horizontal="center"/>
      <protection/>
    </xf>
    <xf numFmtId="0" fontId="63" fillId="38" borderId="17" xfId="59" applyFont="1" applyFill="1" applyBorder="1" applyAlignment="1">
      <alignment horizontal="center"/>
      <protection/>
    </xf>
    <xf numFmtId="0" fontId="63" fillId="38" borderId="0" xfId="59" applyFont="1" applyFill="1" applyAlignment="1">
      <alignment horizontal="center"/>
      <protection/>
    </xf>
    <xf numFmtId="0" fontId="21" fillId="39" borderId="28" xfId="61" applyFont="1" applyFill="1" applyBorder="1">
      <alignment/>
      <protection/>
    </xf>
    <xf numFmtId="172" fontId="0" fillId="39" borderId="10" xfId="61" applyNumberFormat="1" applyFont="1" applyFill="1" applyBorder="1">
      <alignment/>
      <protection/>
    </xf>
    <xf numFmtId="0" fontId="0" fillId="39" borderId="10" xfId="61" applyFont="1" applyFill="1" applyBorder="1">
      <alignment/>
      <protection/>
    </xf>
    <xf numFmtId="172" fontId="0" fillId="39" borderId="33" xfId="47" applyNumberFormat="1" applyFont="1" applyFill="1" applyBorder="1" applyAlignment="1">
      <alignment/>
    </xf>
    <xf numFmtId="172" fontId="0" fillId="0" borderId="0" xfId="61" applyNumberFormat="1" applyFont="1">
      <alignment/>
      <protection/>
    </xf>
    <xf numFmtId="0" fontId="0" fillId="0" borderId="0" xfId="61" applyFont="1">
      <alignment/>
      <protection/>
    </xf>
    <xf numFmtId="172" fontId="0" fillId="0" borderId="0" xfId="47" applyNumberFormat="1" applyFont="1" applyAlignment="1">
      <alignment/>
    </xf>
    <xf numFmtId="172" fontId="0" fillId="0" borderId="34" xfId="0" applyNumberFormat="1" applyFont="1" applyBorder="1" applyAlignment="1">
      <alignment horizontal="center"/>
    </xf>
    <xf numFmtId="172" fontId="0" fillId="0" borderId="34" xfId="0" applyNumberFormat="1" applyBorder="1" applyAlignment="1">
      <alignment/>
    </xf>
    <xf numFmtId="172" fontId="0" fillId="0" borderId="34" xfId="44" applyNumberFormat="1" applyFont="1" applyBorder="1" applyAlignment="1">
      <alignment horizontal="center"/>
    </xf>
    <xf numFmtId="44" fontId="0" fillId="0" borderId="0" xfId="0" applyNumberFormat="1" applyFont="1" applyAlignment="1">
      <alignment/>
    </xf>
    <xf numFmtId="44" fontId="0" fillId="0" borderId="0" xfId="0" applyNumberFormat="1" applyFont="1" applyAlignment="1">
      <alignment horizontal="right"/>
    </xf>
    <xf numFmtId="172" fontId="0" fillId="0" borderId="0" xfId="44" applyNumberFormat="1" applyFont="1" applyBorder="1" applyAlignment="1">
      <alignment/>
    </xf>
    <xf numFmtId="0" fontId="1" fillId="0" borderId="0" xfId="0" applyFont="1" applyAlignment="1">
      <alignment horizontal="left"/>
    </xf>
    <xf numFmtId="44" fontId="1" fillId="0" borderId="35" xfId="44" applyFont="1" applyBorder="1" applyAlignment="1">
      <alignment/>
    </xf>
    <xf numFmtId="0" fontId="0" fillId="0" borderId="0" xfId="0" applyFont="1" applyAlignment="1">
      <alignment horizontal="right"/>
    </xf>
    <xf numFmtId="44" fontId="1" fillId="0" borderId="35" xfId="0" applyNumberFormat="1" applyFont="1" applyBorder="1" applyAlignment="1">
      <alignment horizontal="right"/>
    </xf>
    <xf numFmtId="172" fontId="61" fillId="38" borderId="23" xfId="47" applyNumberFormat="1" applyFont="1" applyFill="1" applyBorder="1" applyAlignment="1">
      <alignment horizontal="center"/>
    </xf>
    <xf numFmtId="172" fontId="65" fillId="2" borderId="29" xfId="47" applyNumberFormat="1" applyFont="1" applyFill="1" applyBorder="1" applyAlignment="1">
      <alignment horizontal="center"/>
    </xf>
    <xf numFmtId="172" fontId="65" fillId="2" borderId="36" xfId="47" applyNumberFormat="1" applyFont="1" applyFill="1" applyBorder="1" applyAlignment="1">
      <alignment horizontal="center"/>
    </xf>
    <xf numFmtId="172" fontId="65" fillId="2" borderId="37" xfId="47" applyNumberFormat="1" applyFont="1" applyFill="1" applyBorder="1" applyAlignment="1">
      <alignment horizontal="center"/>
    </xf>
    <xf numFmtId="172" fontId="63" fillId="36" borderId="31" xfId="47" applyNumberFormat="1" applyFont="1" applyFill="1" applyBorder="1" applyAlignment="1">
      <alignment/>
    </xf>
    <xf numFmtId="172" fontId="63" fillId="36" borderId="18" xfId="47" applyNumberFormat="1" applyFont="1" applyFill="1" applyBorder="1" applyAlignment="1">
      <alignment wrapText="1"/>
    </xf>
    <xf numFmtId="172" fontId="61" fillId="38" borderId="33" xfId="47" applyNumberFormat="1" applyFont="1" applyFill="1" applyBorder="1" applyAlignment="1">
      <alignment horizontal="center"/>
    </xf>
    <xf numFmtId="172" fontId="61" fillId="38" borderId="18" xfId="47" applyNumberFormat="1" applyFont="1" applyFill="1" applyBorder="1" applyAlignment="1">
      <alignment horizontal="center" wrapText="1"/>
    </xf>
    <xf numFmtId="172" fontId="44" fillId="0" borderId="0" xfId="47" applyNumberFormat="1" applyFont="1" applyFill="1" applyBorder="1" applyAlignment="1">
      <alignment horizontal="center" wrapText="1"/>
    </xf>
    <xf numFmtId="172" fontId="61" fillId="0" borderId="0" xfId="47" applyNumberFormat="1" applyFont="1" applyFill="1" applyBorder="1" applyAlignment="1">
      <alignment horizontal="center" wrapText="1"/>
    </xf>
    <xf numFmtId="44" fontId="0" fillId="36" borderId="0" xfId="0" applyNumberFormat="1" applyFont="1" applyFill="1" applyAlignment="1">
      <alignment horizontal="right"/>
    </xf>
    <xf numFmtId="44" fontId="0" fillId="36" borderId="0" xfId="44" applyFont="1" applyFill="1" applyAlignment="1">
      <alignment/>
    </xf>
    <xf numFmtId="182" fontId="0" fillId="0" borderId="0" xfId="0" applyNumberFormat="1" applyBorder="1" applyAlignment="1">
      <alignment/>
    </xf>
    <xf numFmtId="0" fontId="0" fillId="0" borderId="0" xfId="0" applyFont="1" applyBorder="1" applyAlignment="1">
      <alignment/>
    </xf>
    <xf numFmtId="44" fontId="0" fillId="0" borderId="18" xfId="44" applyFont="1" applyBorder="1" applyAlignment="1">
      <alignment/>
    </xf>
    <xf numFmtId="10" fontId="0" fillId="0" borderId="18" xfId="0" applyNumberFormat="1" applyBorder="1" applyAlignment="1">
      <alignment/>
    </xf>
    <xf numFmtId="44" fontId="0" fillId="0" borderId="18" xfId="0" applyNumberFormat="1" applyBorder="1" applyAlignment="1">
      <alignment/>
    </xf>
    <xf numFmtId="189" fontId="0" fillId="0" borderId="0" xfId="0" applyNumberFormat="1" applyAlignment="1">
      <alignment/>
    </xf>
    <xf numFmtId="167" fontId="18" fillId="0" borderId="32" xfId="62" applyNumberFormat="1" applyFont="1" applyFill="1" applyBorder="1" applyAlignment="1">
      <alignment horizontal="center"/>
      <protection/>
    </xf>
    <xf numFmtId="41" fontId="13" fillId="0" borderId="32" xfId="62" applyNumberFormat="1" applyFont="1" applyBorder="1">
      <alignment/>
      <protection/>
    </xf>
    <xf numFmtId="168" fontId="9" fillId="0" borderId="32" xfId="62" applyNumberFormat="1" applyFont="1" applyBorder="1">
      <alignment/>
      <protection/>
    </xf>
    <xf numFmtId="41" fontId="7" fillId="0" borderId="38" xfId="62" applyNumberFormat="1" applyFont="1" applyBorder="1">
      <alignment/>
      <protection/>
    </xf>
    <xf numFmtId="0" fontId="61" fillId="38" borderId="32" xfId="59" applyFont="1" applyFill="1" applyBorder="1" applyAlignment="1">
      <alignment horizontal="center" wrapText="1"/>
      <protection/>
    </xf>
    <xf numFmtId="44" fontId="0" fillId="0" borderId="0" xfId="0" applyNumberFormat="1" applyAlignment="1">
      <alignment wrapText="1"/>
    </xf>
    <xf numFmtId="43" fontId="0" fillId="0" borderId="0" xfId="0" applyNumberFormat="1" applyAlignment="1">
      <alignment/>
    </xf>
    <xf numFmtId="0" fontId="65" fillId="2" borderId="10" xfId="59" applyFont="1" applyFill="1" applyBorder="1" applyAlignment="1">
      <alignment horizontal="center"/>
      <protection/>
    </xf>
    <xf numFmtId="0" fontId="0" fillId="0" borderId="0" xfId="0" applyAlignment="1">
      <alignment horizontal="left"/>
    </xf>
    <xf numFmtId="44" fontId="0" fillId="36" borderId="0" xfId="44" applyFont="1" applyFill="1" applyAlignment="1">
      <alignment/>
    </xf>
    <xf numFmtId="44" fontId="7" fillId="34" borderId="18" xfId="44" applyFont="1" applyFill="1" applyBorder="1" applyAlignment="1">
      <alignment/>
    </xf>
    <xf numFmtId="44" fontId="66" fillId="34" borderId="18" xfId="44" applyFont="1" applyFill="1" applyBorder="1" applyAlignment="1">
      <alignment/>
    </xf>
    <xf numFmtId="44" fontId="66" fillId="34" borderId="18" xfId="44" applyFont="1" applyFill="1" applyBorder="1" applyAlignment="1">
      <alignment horizontal="center"/>
    </xf>
    <xf numFmtId="0" fontId="61" fillId="38" borderId="18" xfId="59" applyFont="1" applyFill="1" applyBorder="1" applyAlignment="1">
      <alignment horizontal="center"/>
      <protection/>
    </xf>
    <xf numFmtId="7" fontId="7" fillId="0" borderId="0" xfId="0" applyNumberFormat="1" applyFont="1" applyBorder="1" applyAlignment="1">
      <alignment/>
    </xf>
    <xf numFmtId="0" fontId="61" fillId="38" borderId="10" xfId="59" applyFont="1" applyFill="1" applyBorder="1" applyAlignment="1">
      <alignment horizontal="center"/>
      <protection/>
    </xf>
    <xf numFmtId="0" fontId="61" fillId="38" borderId="39" xfId="59" applyFont="1" applyFill="1" applyBorder="1" applyAlignment="1">
      <alignment horizontal="center"/>
      <protection/>
    </xf>
    <xf numFmtId="0" fontId="61" fillId="38" borderId="18" xfId="59" applyFont="1" applyFill="1" applyBorder="1" applyAlignment="1">
      <alignment horizontal="center"/>
      <protection/>
    </xf>
    <xf numFmtId="0" fontId="65" fillId="2" borderId="28" xfId="59" applyFont="1" applyFill="1" applyBorder="1" applyAlignment="1">
      <alignment horizontal="center"/>
      <protection/>
    </xf>
    <xf numFmtId="0" fontId="65" fillId="2" borderId="10" xfId="59" applyFont="1" applyFill="1" applyBorder="1" applyAlignment="1">
      <alignment horizontal="center"/>
      <protection/>
    </xf>
    <xf numFmtId="0" fontId="65" fillId="2" borderId="33" xfId="59" applyFont="1" applyFill="1" applyBorder="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3 2" xfId="59"/>
    <cellStyle name="Normal 2" xfId="60"/>
    <cellStyle name="Normal 2 3" xfId="61"/>
    <cellStyle name="Normal_98REC_CR" xfId="62"/>
    <cellStyle name="Note" xfId="63"/>
    <cellStyle name="Output" xfId="64"/>
    <cellStyle name="Percen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114300</xdr:rowOff>
    </xdr:from>
    <xdr:to>
      <xdr:col>7</xdr:col>
      <xdr:colOff>28575</xdr:colOff>
      <xdr:row>35</xdr:row>
      <xdr:rowOff>123825</xdr:rowOff>
    </xdr:to>
    <xdr:sp>
      <xdr:nvSpPr>
        <xdr:cNvPr id="1" name="Straight Arrow Connector 2"/>
        <xdr:cNvSpPr>
          <a:spLocks/>
        </xdr:cNvSpPr>
      </xdr:nvSpPr>
      <xdr:spPr>
        <a:xfrm flipH="1" flipV="1">
          <a:off x="4791075" y="4981575"/>
          <a:ext cx="51435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36</xdr:row>
      <xdr:rowOff>76200</xdr:rowOff>
    </xdr:from>
    <xdr:to>
      <xdr:col>7</xdr:col>
      <xdr:colOff>19050</xdr:colOff>
      <xdr:row>37</xdr:row>
      <xdr:rowOff>76200</xdr:rowOff>
    </xdr:to>
    <xdr:sp>
      <xdr:nvSpPr>
        <xdr:cNvPr id="2" name="Straight Arrow Connector 4"/>
        <xdr:cNvSpPr>
          <a:spLocks/>
        </xdr:cNvSpPr>
      </xdr:nvSpPr>
      <xdr:spPr>
        <a:xfrm flipH="1">
          <a:off x="4743450" y="5372100"/>
          <a:ext cx="552450"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0.5" thickTop="1">
      <c r="B42" s="14"/>
      <c r="C42" s="14"/>
      <c r="D42" s="14"/>
      <c r="E42" s="14"/>
      <c r="F42" s="14"/>
      <c r="G42" s="14"/>
      <c r="H42" s="14"/>
      <c r="I42" s="14"/>
      <c r="J42" s="14"/>
      <c r="K42" s="14"/>
    </row>
    <row r="43" spans="2:11" s="16" customFormat="1" ht="9.75">
      <c r="B43" s="14"/>
      <c r="C43" s="14"/>
      <c r="D43" s="14"/>
      <c r="E43" s="14"/>
      <c r="F43" s="14"/>
      <c r="G43" s="14"/>
      <c r="H43" s="14"/>
      <c r="I43" s="14"/>
      <c r="J43" s="14"/>
      <c r="K43" s="14"/>
    </row>
    <row r="44" spans="2:11" s="16" customFormat="1" ht="10.5" thickBot="1">
      <c r="B44" s="14"/>
      <c r="C44" s="14"/>
      <c r="D44" s="14"/>
      <c r="E44" s="14"/>
      <c r="F44" s="32" t="s">
        <v>18</v>
      </c>
      <c r="G44" s="38">
        <f>+G31-G41</f>
        <v>108069</v>
      </c>
      <c r="H44" s="14"/>
      <c r="I44" s="14"/>
      <c r="J44" s="14"/>
      <c r="K44" s="14"/>
    </row>
    <row r="45" spans="2:25" s="16" customFormat="1" ht="10.5" thickTop="1">
      <c r="B45" s="14"/>
      <c r="C45" s="14"/>
      <c r="D45" s="14"/>
      <c r="E45" s="14"/>
      <c r="F45" s="14"/>
      <c r="G45" s="14"/>
      <c r="H45" s="14"/>
      <c r="I45" s="14"/>
      <c r="J45" s="14"/>
      <c r="K45" s="14"/>
      <c r="Y45" s="14"/>
    </row>
    <row r="46" spans="2:11" s="16" customFormat="1" ht="9.75">
      <c r="B46" s="14"/>
      <c r="C46" s="14"/>
      <c r="D46" s="14"/>
      <c r="E46" s="14"/>
      <c r="F46" s="14"/>
      <c r="G46" s="14"/>
      <c r="H46" s="14"/>
      <c r="I46" s="14"/>
      <c r="J46" s="14"/>
      <c r="K46" s="14"/>
    </row>
    <row r="47" spans="2:11" s="16" customFormat="1" ht="10.5" thickBot="1">
      <c r="B47" s="29" t="s">
        <v>39</v>
      </c>
      <c r="C47" s="30"/>
      <c r="D47" s="30"/>
      <c r="E47" s="30"/>
      <c r="F47" s="30"/>
      <c r="G47" s="14"/>
      <c r="H47" s="14"/>
      <c r="I47" s="14"/>
      <c r="J47" s="14"/>
      <c r="K47" s="14"/>
    </row>
    <row r="48" spans="2:27" s="16" customFormat="1" ht="10.5"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9.75">
      <c r="B49" s="14" t="s">
        <v>19</v>
      </c>
      <c r="C49" s="14"/>
      <c r="D49" s="14"/>
      <c r="E49" s="14"/>
      <c r="F49" s="14"/>
      <c r="G49" s="14"/>
      <c r="H49" s="14"/>
      <c r="I49" s="14"/>
      <c r="J49" s="14"/>
      <c r="K49" s="14"/>
    </row>
    <row r="50" spans="2:11" s="16" customFormat="1" ht="9.75">
      <c r="B50" s="14"/>
      <c r="C50" s="14"/>
      <c r="D50" s="14"/>
      <c r="E50" s="14"/>
      <c r="F50" s="32" t="s">
        <v>20</v>
      </c>
      <c r="G50" s="14">
        <f>+J26</f>
        <v>200360</v>
      </c>
      <c r="H50" s="20" t="s">
        <v>12</v>
      </c>
      <c r="I50" s="14"/>
      <c r="J50" s="14"/>
      <c r="K50" s="14"/>
    </row>
    <row r="51" spans="2:11" s="16" customFormat="1" ht="9.75">
      <c r="B51" s="14"/>
      <c r="C51" s="14"/>
      <c r="D51" s="14"/>
      <c r="E51" s="14"/>
      <c r="F51" s="32" t="s">
        <v>18</v>
      </c>
      <c r="G51" s="14">
        <f>+G44</f>
        <v>108069</v>
      </c>
      <c r="H51" s="14"/>
      <c r="I51" s="14"/>
      <c r="J51" s="14"/>
      <c r="K51" s="14"/>
    </row>
    <row r="52" spans="2:11" s="16" customFormat="1" ht="9.75">
      <c r="B52" s="14"/>
      <c r="C52" s="14"/>
      <c r="D52" s="14"/>
      <c r="E52" s="14"/>
      <c r="F52" s="32"/>
      <c r="G52" s="14"/>
      <c r="H52" s="14"/>
      <c r="I52" s="14"/>
      <c r="J52" s="14"/>
      <c r="K52" s="14"/>
    </row>
    <row r="53" spans="2:11" s="16" customFormat="1" ht="10.5" thickBot="1">
      <c r="B53" s="14"/>
      <c r="C53" s="14"/>
      <c r="D53" s="14"/>
      <c r="E53" s="14"/>
      <c r="F53" s="32" t="s">
        <v>40</v>
      </c>
      <c r="G53" s="39">
        <f>ROUND(G51/G50,3)</f>
        <v>0.539</v>
      </c>
      <c r="H53" s="14"/>
      <c r="I53" s="23">
        <f>+G53</f>
        <v>0.539</v>
      </c>
      <c r="J53" s="14"/>
      <c r="K53" s="14"/>
    </row>
    <row r="54" spans="2:25" s="16" customFormat="1" ht="10.5" thickTop="1">
      <c r="B54" s="14"/>
      <c r="C54" s="14"/>
      <c r="D54" s="14"/>
      <c r="E54" s="14"/>
      <c r="F54" s="32"/>
      <c r="G54" s="14"/>
      <c r="H54" s="14"/>
      <c r="I54" s="23"/>
      <c r="J54" s="14"/>
      <c r="K54" s="14"/>
      <c r="Y54" s="14"/>
    </row>
    <row r="55" spans="2:11" s="16" customFormat="1" ht="9.75">
      <c r="B55" s="14" t="s">
        <v>42</v>
      </c>
      <c r="C55" s="14"/>
      <c r="D55" s="14"/>
      <c r="E55" s="14"/>
      <c r="F55" s="32"/>
      <c r="G55" s="14"/>
      <c r="H55" s="14"/>
      <c r="I55" s="23"/>
      <c r="J55" s="14"/>
      <c r="K55" s="14"/>
    </row>
    <row r="56" spans="2:11" s="16" customFormat="1" ht="10.5" thickBot="1">
      <c r="B56" s="31"/>
      <c r="C56" s="14"/>
      <c r="D56" s="14"/>
      <c r="E56" s="14"/>
      <c r="F56" s="32" t="s">
        <v>41</v>
      </c>
      <c r="G56" s="40">
        <f>+F26</f>
        <v>2.313</v>
      </c>
      <c r="H56" s="14"/>
      <c r="I56" s="23">
        <f>+G56</f>
        <v>2.313</v>
      </c>
      <c r="J56" s="20" t="s">
        <v>11</v>
      </c>
      <c r="K56" s="14"/>
    </row>
    <row r="57" spans="2:25" s="14" customFormat="1" ht="10.5" thickTop="1">
      <c r="B57" s="31"/>
      <c r="I57" s="23"/>
      <c r="X57" s="16"/>
      <c r="Y57" s="16"/>
    </row>
    <row r="58" spans="2:11" s="16" customFormat="1" ht="10.5" thickBot="1">
      <c r="B58" s="14"/>
      <c r="C58" s="14"/>
      <c r="D58" s="14"/>
      <c r="E58" s="14"/>
      <c r="F58" s="14"/>
      <c r="G58" s="32" t="s">
        <v>43</v>
      </c>
      <c r="H58" s="27"/>
      <c r="I58" s="39">
        <f>+I53+I56</f>
        <v>2.8520000000000003</v>
      </c>
      <c r="J58" s="14"/>
      <c r="K58" s="14"/>
    </row>
    <row r="59" s="16" customFormat="1" ht="10.5" thickTop="1">
      <c r="I59" s="23"/>
    </row>
    <row r="60" s="16" customFormat="1" ht="9.75"/>
    <row r="61" s="16" customFormat="1" ht="9.75"/>
    <row r="62" spans="1:6" s="16" customFormat="1" ht="9.75">
      <c r="A62" s="41"/>
      <c r="B62" s="41"/>
      <c r="C62" s="41"/>
      <c r="D62" s="41"/>
      <c r="E62" s="41"/>
      <c r="F62" s="41"/>
    </row>
    <row r="63" spans="1:25" s="16" customFormat="1" ht="17.25">
      <c r="A63" s="42"/>
      <c r="B63" s="43"/>
      <c r="C63" s="43"/>
      <c r="D63" s="43"/>
      <c r="E63" s="42"/>
      <c r="F63" s="43"/>
      <c r="G63" s="44"/>
      <c r="H63" s="44"/>
      <c r="I63" s="44"/>
      <c r="J63" s="44"/>
      <c r="K63" s="44"/>
      <c r="Y63" s="14"/>
    </row>
    <row r="64" spans="1:6" s="16" customFormat="1" ht="9.75">
      <c r="A64" s="78"/>
      <c r="B64" s="46"/>
      <c r="C64" s="48"/>
      <c r="D64" s="47"/>
      <c r="E64" s="41"/>
      <c r="F64" s="41"/>
    </row>
    <row r="65" spans="1:6" s="16" customFormat="1" ht="9.75">
      <c r="A65" s="78"/>
      <c r="B65" s="46"/>
      <c r="C65" s="49"/>
      <c r="D65" s="47"/>
      <c r="E65" s="41"/>
      <c r="F65" s="41"/>
    </row>
    <row r="66" spans="1:25" s="14" customFormat="1" ht="9.75">
      <c r="A66" s="78"/>
      <c r="B66" s="49"/>
      <c r="C66" s="49"/>
      <c r="D66" s="41"/>
      <c r="E66" s="49"/>
      <c r="F66" s="41"/>
      <c r="X66" s="16"/>
      <c r="Y66" s="16"/>
    </row>
    <row r="67" spans="1:6" s="16" customFormat="1" ht="9.75">
      <c r="A67" s="78"/>
      <c r="B67" s="49"/>
      <c r="C67" s="48"/>
      <c r="D67" s="41"/>
      <c r="E67" s="41"/>
      <c r="F67" s="41"/>
    </row>
    <row r="68" spans="1:6" s="16" customFormat="1" ht="9.75">
      <c r="A68" s="78"/>
      <c r="B68" s="49"/>
      <c r="C68" s="49"/>
      <c r="D68" s="41"/>
      <c r="E68" s="41"/>
      <c r="F68" s="41"/>
    </row>
    <row r="69" spans="1:6" s="16" customFormat="1" ht="9.75">
      <c r="A69" s="78"/>
      <c r="B69" s="50"/>
      <c r="C69" s="49"/>
      <c r="D69" s="41"/>
      <c r="E69" s="41"/>
      <c r="F69" s="41"/>
    </row>
    <row r="70" spans="1:6" s="16" customFormat="1" ht="9.75">
      <c r="A70" s="78"/>
      <c r="B70" s="50"/>
      <c r="C70" s="49"/>
      <c r="D70" s="41"/>
      <c r="E70" s="41"/>
      <c r="F70" s="41"/>
    </row>
    <row r="71" spans="1:6" s="16" customFormat="1" ht="9.75">
      <c r="A71" s="78"/>
      <c r="B71" s="50"/>
      <c r="C71" s="49"/>
      <c r="D71" s="41"/>
      <c r="E71" s="41"/>
      <c r="F71" s="41"/>
    </row>
    <row r="72" spans="1:6" s="16" customFormat="1" ht="9.75">
      <c r="A72" s="78"/>
      <c r="B72" s="50"/>
      <c r="C72" s="49"/>
      <c r="D72" s="41"/>
      <c r="E72" s="41"/>
      <c r="F72" s="41"/>
    </row>
    <row r="73" spans="1:25" s="16" customFormat="1" ht="9.75">
      <c r="A73" s="78"/>
      <c r="B73" s="50"/>
      <c r="C73" s="49"/>
      <c r="D73" s="41"/>
      <c r="E73" s="41"/>
      <c r="F73" s="41"/>
      <c r="Y73" s="14"/>
    </row>
    <row r="74" spans="1:6" s="16" customFormat="1" ht="9.75">
      <c r="A74" s="78"/>
      <c r="B74" s="50"/>
      <c r="C74" s="49"/>
      <c r="D74" s="41"/>
      <c r="E74" s="41"/>
      <c r="F74" s="41"/>
    </row>
    <row r="75" spans="1:6" s="16" customFormat="1" ht="9.75">
      <c r="A75" s="78"/>
      <c r="B75" s="50"/>
      <c r="C75" s="49"/>
      <c r="D75" s="41"/>
      <c r="E75" s="41"/>
      <c r="F75" s="41"/>
    </row>
    <row r="76" spans="1:6" s="16" customFormat="1" ht="9.75">
      <c r="A76" s="78"/>
      <c r="B76" s="50"/>
      <c r="C76" s="49"/>
      <c r="D76" s="41"/>
      <c r="E76" s="41"/>
      <c r="F76" s="41"/>
    </row>
    <row r="77" spans="1:27" s="16" customFormat="1" ht="9.7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9.75">
      <c r="A78" s="78"/>
      <c r="B78" s="50"/>
      <c r="C78" s="49"/>
      <c r="D78" s="41"/>
      <c r="E78" s="41"/>
      <c r="F78" s="41"/>
    </row>
    <row r="79" spans="1:6" s="16" customFormat="1" ht="9.75">
      <c r="A79" s="45"/>
      <c r="B79" s="49"/>
      <c r="C79" s="49"/>
      <c r="D79" s="41"/>
      <c r="E79" s="41"/>
      <c r="F79" s="41"/>
    </row>
    <row r="80" spans="1:6" s="16" customFormat="1" ht="9.75">
      <c r="A80" s="79"/>
      <c r="B80" s="49"/>
      <c r="C80" s="48"/>
      <c r="D80" s="41"/>
      <c r="E80" s="41"/>
      <c r="F80" s="41"/>
    </row>
    <row r="81" spans="1:6" s="16" customFormat="1" ht="12">
      <c r="A81" s="52"/>
      <c r="B81" s="52"/>
      <c r="C81" s="52"/>
      <c r="D81" s="53"/>
      <c r="E81" s="41"/>
      <c r="F81" s="52"/>
    </row>
    <row r="82" spans="1:25" s="16" customFormat="1" ht="9.75">
      <c r="A82" s="54"/>
      <c r="B82" s="49"/>
      <c r="C82" s="48"/>
      <c r="D82" s="41"/>
      <c r="E82" s="41"/>
      <c r="F82" s="55"/>
      <c r="Y82" s="14"/>
    </row>
    <row r="83" s="16" customFormat="1" ht="9.75"/>
    <row r="84" s="16" customFormat="1" ht="9.75"/>
    <row r="85" s="16" customFormat="1" ht="9.75"/>
    <row r="86" s="16" customFormat="1" ht="9.75">
      <c r="B86" s="8"/>
    </row>
    <row r="87" spans="2:25" s="14" customFormat="1" ht="9.75">
      <c r="B87" s="31"/>
      <c r="X87" s="16"/>
      <c r="Y87" s="16"/>
    </row>
    <row r="88" s="16" customFormat="1" ht="9.75"/>
    <row r="89" s="16" customFormat="1" ht="9.75"/>
    <row r="90" s="16" customFormat="1" ht="9.75"/>
    <row r="91" s="16" customFormat="1" ht="9.75"/>
    <row r="92" s="16" customFormat="1" ht="9.75"/>
    <row r="93" s="16" customFormat="1" ht="9.75"/>
    <row r="94" s="16" customFormat="1" ht="9.75"/>
    <row r="95" s="16" customFormat="1" ht="9.75"/>
    <row r="96" s="16" customFormat="1" ht="9.75">
      <c r="A96" s="6"/>
    </row>
    <row r="97" s="16" customFormat="1" ht="12">
      <c r="AA97" s="5"/>
    </row>
    <row r="98" s="16" customFormat="1" ht="12">
      <c r="AA98" s="5"/>
    </row>
    <row r="99" s="16" customFormat="1" ht="12">
      <c r="AA99" s="5"/>
    </row>
    <row r="100" s="16" customFormat="1" ht="12">
      <c r="AA100" s="5"/>
    </row>
    <row r="101" spans="7:27" s="16" customFormat="1" ht="12">
      <c r="G101" s="56"/>
      <c r="I101" s="56"/>
      <c r="J101" s="56"/>
      <c r="L101" s="56"/>
      <c r="M101" s="56"/>
      <c r="N101" s="56"/>
      <c r="O101" s="56"/>
      <c r="P101" s="56"/>
      <c r="Q101" s="56"/>
      <c r="R101" s="56"/>
      <c r="S101" s="56"/>
      <c r="T101" s="56"/>
      <c r="U101" s="56"/>
      <c r="V101" s="56"/>
      <c r="W101" s="56"/>
      <c r="X101" s="56"/>
      <c r="Y101" s="56"/>
      <c r="AA101" s="5"/>
    </row>
    <row r="102" s="16" customFormat="1" ht="12">
      <c r="AA102" s="5"/>
    </row>
    <row r="103" spans="7:27" s="16" customFormat="1" ht="12.75" thickBot="1">
      <c r="G103" s="57"/>
      <c r="I103" s="57"/>
      <c r="J103" s="57"/>
      <c r="L103" s="57"/>
      <c r="M103" s="57"/>
      <c r="N103" s="57"/>
      <c r="O103" s="57"/>
      <c r="P103" s="57"/>
      <c r="Q103" s="57"/>
      <c r="R103" s="57"/>
      <c r="S103" s="57"/>
      <c r="T103" s="57"/>
      <c r="U103" s="57"/>
      <c r="V103" s="57"/>
      <c r="W103" s="57"/>
      <c r="X103" s="57"/>
      <c r="Y103" s="57"/>
      <c r="AA103" s="5"/>
    </row>
    <row r="104" ht="12.75" thickTop="1"/>
    <row r="105" spans="23:25" ht="12">
      <c r="W105" s="58"/>
      <c r="X105" s="58"/>
      <c r="Y105" s="58"/>
    </row>
    <row r="106" spans="23:27" ht="12">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0"/>
  <sheetViews>
    <sheetView showGridLines="0" tabSelected="1" zoomScaleSheetLayoutView="100" zoomScalePageLayoutView="0" workbookViewId="0" topLeftCell="A1">
      <pane ySplit="4" topLeftCell="A56" activePane="bottomLeft" state="frozen"/>
      <selection pane="topLeft" activeCell="G25" sqref="G25"/>
      <selection pane="bottomLeft" activeCell="F62" sqref="F62"/>
    </sheetView>
  </sheetViews>
  <sheetFormatPr defaultColWidth="9.140625" defaultRowHeight="12.75"/>
  <cols>
    <col min="1" max="1" width="20.7109375" style="5" customWidth="1"/>
    <col min="2" max="2" width="14.0039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2" width="8.57421875" style="5" customWidth="1"/>
    <col min="13" max="13" width="9.57421875" style="5" customWidth="1"/>
    <col min="14" max="14" width="9.57421875" style="5" hidden="1" customWidth="1"/>
    <col min="15" max="15" width="15.28125" style="5" hidden="1"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81</v>
      </c>
      <c r="B1" s="2"/>
      <c r="C1" s="2"/>
      <c r="D1" s="2"/>
      <c r="E1" s="2"/>
      <c r="F1" s="2"/>
      <c r="G1" s="3"/>
      <c r="H1" s="2"/>
      <c r="I1" s="2"/>
      <c r="J1" s="1" t="s">
        <v>77</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2024</v>
      </c>
      <c r="B3" s="2"/>
      <c r="C3" s="2"/>
      <c r="D3" s="2"/>
      <c r="E3" s="2"/>
      <c r="F3" s="3"/>
      <c r="G3" s="3"/>
      <c r="H3" s="2"/>
      <c r="I3" s="2"/>
      <c r="J3" s="2"/>
      <c r="K3" s="2"/>
      <c r="L3" s="2"/>
      <c r="M3" s="2"/>
      <c r="N3" s="2"/>
      <c r="O3" s="2"/>
      <c r="P3" s="2"/>
      <c r="Q3" s="2"/>
      <c r="R3" s="2"/>
      <c r="S3" s="2"/>
      <c r="T3" s="2"/>
      <c r="U3" s="2"/>
      <c r="V3" s="2"/>
      <c r="W3" s="3"/>
      <c r="X3" s="3"/>
      <c r="Y3" s="3"/>
      <c r="Z3" s="3"/>
      <c r="AA3" s="3"/>
    </row>
    <row r="4" spans="1:22" ht="12.75">
      <c r="A4" s="6"/>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8" t="str">
        <f>"Total "&amp;F5</f>
        <v>Total Commodity</v>
      </c>
      <c r="P5" s="139"/>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0" t="str">
        <f>+F6</f>
        <v>Revenue</v>
      </c>
      <c r="P6" s="112"/>
    </row>
    <row r="7" spans="1:16" s="16" customFormat="1" ht="11.25">
      <c r="A7" s="15" t="s">
        <v>5</v>
      </c>
      <c r="B7" s="12" t="s">
        <v>6</v>
      </c>
      <c r="C7" s="12"/>
      <c r="D7" s="12" t="s">
        <v>3</v>
      </c>
      <c r="E7" s="12"/>
      <c r="F7" s="12" t="s">
        <v>7</v>
      </c>
      <c r="G7" s="12"/>
      <c r="H7" s="12"/>
      <c r="I7" s="12"/>
      <c r="J7" s="12" t="s">
        <v>6</v>
      </c>
      <c r="K7" s="12"/>
      <c r="O7" s="140" t="str">
        <f>+F7</f>
        <v>per Customer</v>
      </c>
      <c r="P7" s="112"/>
    </row>
    <row r="8" spans="1:16" s="16" customFormat="1" ht="11.25">
      <c r="A8" s="126">
        <f>'Single Family'!$C$6</f>
        <v>45047</v>
      </c>
      <c r="B8" s="151">
        <v>11382</v>
      </c>
      <c r="C8" s="113"/>
      <c r="D8" s="114">
        <f>VLOOKUP(A8,Value!$A$6:$O$17,15,)</f>
        <v>3468.0004208132596</v>
      </c>
      <c r="E8" s="113"/>
      <c r="F8" s="16">
        <f aca="true" t="shared" si="0" ref="F8:F16">ROUND(D8/B8,2)</f>
        <v>0.3</v>
      </c>
      <c r="G8" s="113"/>
      <c r="H8" s="113"/>
      <c r="I8" s="113"/>
      <c r="J8" s="14">
        <f aca="true" t="shared" si="1" ref="J8:J18">+B8</f>
        <v>11382</v>
      </c>
      <c r="K8" s="13">
        <f aca="true" t="shared" si="2" ref="K8:K18">YEAR(A8)</f>
        <v>2023</v>
      </c>
      <c r="O8" s="141">
        <f>VLOOKUP(A8,Value!$A$6:$O$17,13,FALSE)</f>
        <v>6936.000841626519</v>
      </c>
      <c r="P8" s="112"/>
    </row>
    <row r="9" spans="1:16" s="16" customFormat="1" ht="11.25">
      <c r="A9" s="17">
        <f aca="true" t="shared" si="3" ref="A9:A18">EOMONTH(A8,1)</f>
        <v>45107</v>
      </c>
      <c r="B9" s="152">
        <v>11363</v>
      </c>
      <c r="C9" s="20"/>
      <c r="D9" s="114">
        <f>VLOOKUP(A9,Value!$A$6:$O$17,15,)</f>
        <v>1479.9414345359082</v>
      </c>
      <c r="E9" s="14"/>
      <c r="F9" s="16">
        <f t="shared" si="0"/>
        <v>0.13</v>
      </c>
      <c r="G9" s="14"/>
      <c r="H9" s="14"/>
      <c r="I9" s="14"/>
      <c r="J9" s="14">
        <f t="shared" si="1"/>
        <v>11363</v>
      </c>
      <c r="K9" s="13">
        <f t="shared" si="2"/>
        <v>2023</v>
      </c>
      <c r="O9" s="141">
        <f>VLOOKUP(A9,Value!$A$6:$O$17,13,FALSE)</f>
        <v>2959.8828690718165</v>
      </c>
      <c r="P9" s="112"/>
    </row>
    <row r="10" spans="1:16" s="16" customFormat="1" ht="11.25">
      <c r="A10" s="17">
        <f t="shared" si="3"/>
        <v>45138</v>
      </c>
      <c r="B10" s="152">
        <v>11397</v>
      </c>
      <c r="C10" s="14"/>
      <c r="D10" s="114">
        <f>VLOOKUP(A10,Value!$A$6:$O$17,15,)</f>
        <v>459.5380820569826</v>
      </c>
      <c r="E10" s="14"/>
      <c r="F10" s="16">
        <f t="shared" si="0"/>
        <v>0.04</v>
      </c>
      <c r="G10" s="14"/>
      <c r="H10" s="14"/>
      <c r="I10" s="14"/>
      <c r="J10" s="14">
        <f t="shared" si="1"/>
        <v>11397</v>
      </c>
      <c r="K10" s="13">
        <f t="shared" si="2"/>
        <v>2023</v>
      </c>
      <c r="O10" s="141">
        <f>VLOOKUP(A10,Value!$A$6:$O$17,13,FALSE)</f>
        <v>919.0761641139652</v>
      </c>
      <c r="P10" s="112"/>
    </row>
    <row r="11" spans="1:16" s="16" customFormat="1" ht="11.25">
      <c r="A11" s="17"/>
      <c r="B11" s="14"/>
      <c r="C11" s="14"/>
      <c r="D11" s="114"/>
      <c r="E11" s="14"/>
      <c r="G11" s="23"/>
      <c r="H11" s="14"/>
      <c r="I11" s="14"/>
      <c r="J11" s="14"/>
      <c r="K11" s="13"/>
      <c r="O11" s="141"/>
      <c r="P11" s="112"/>
    </row>
    <row r="12" spans="1:16" s="16" customFormat="1" ht="11.25">
      <c r="A12" s="17" t="s">
        <v>137</v>
      </c>
      <c r="B12" s="14">
        <f>SUM(B8:B10)</f>
        <v>34142</v>
      </c>
      <c r="C12" s="14"/>
      <c r="D12" s="14">
        <f>SUM(D8:D10)</f>
        <v>5407.47993740615</v>
      </c>
      <c r="E12" s="14"/>
      <c r="G12" s="23"/>
      <c r="H12" s="14"/>
      <c r="I12" s="14"/>
      <c r="J12" s="14"/>
      <c r="K12" s="13"/>
      <c r="O12" s="141"/>
      <c r="P12" s="112"/>
    </row>
    <row r="13" spans="1:16" s="16" customFormat="1" ht="11.25">
      <c r="A13" s="17"/>
      <c r="B13" s="14"/>
      <c r="C13" s="14"/>
      <c r="D13" s="114"/>
      <c r="E13" s="14"/>
      <c r="G13" s="23"/>
      <c r="H13" s="14"/>
      <c r="I13" s="14"/>
      <c r="J13" s="14"/>
      <c r="K13" s="13"/>
      <c r="O13" s="141"/>
      <c r="P13" s="112"/>
    </row>
    <row r="14" spans="1:16" s="16" customFormat="1" ht="11.25">
      <c r="A14" s="17">
        <f>EOMONTH(A10,1)</f>
        <v>45169</v>
      </c>
      <c r="B14" s="152">
        <v>11407</v>
      </c>
      <c r="C14" s="14"/>
      <c r="D14" s="114">
        <f>VLOOKUP(A14,Value!$A$6:$O$17,15,)</f>
        <v>480.7745237504496</v>
      </c>
      <c r="E14" s="14"/>
      <c r="F14" s="16">
        <f t="shared" si="0"/>
        <v>0.04</v>
      </c>
      <c r="G14" s="23"/>
      <c r="H14" s="14"/>
      <c r="I14" s="14"/>
      <c r="J14" s="14">
        <f t="shared" si="1"/>
        <v>11407</v>
      </c>
      <c r="K14" s="13">
        <f t="shared" si="2"/>
        <v>2023</v>
      </c>
      <c r="O14" s="141">
        <f>VLOOKUP(A14,Value!$A$6:$O$17,13,FALSE)</f>
        <v>961.5490475008992</v>
      </c>
      <c r="P14" s="112"/>
    </row>
    <row r="15" spans="1:16" s="16" customFormat="1" ht="11.25">
      <c r="A15" s="17">
        <f t="shared" si="3"/>
        <v>45199</v>
      </c>
      <c r="B15" s="152">
        <v>11420</v>
      </c>
      <c r="C15" s="14"/>
      <c r="D15" s="114">
        <f>VLOOKUP(A15,Value!$A$6:$O$17,15,)</f>
        <v>925.3591176313062</v>
      </c>
      <c r="E15" s="14"/>
      <c r="F15" s="16">
        <f t="shared" si="0"/>
        <v>0.08</v>
      </c>
      <c r="G15" s="23"/>
      <c r="H15" s="14"/>
      <c r="I15" s="14"/>
      <c r="J15" s="14">
        <f t="shared" si="1"/>
        <v>11420</v>
      </c>
      <c r="K15" s="13">
        <f t="shared" si="2"/>
        <v>2023</v>
      </c>
      <c r="O15" s="141">
        <f>VLOOKUP(A15,Value!$A$6:$O$17,13,FALSE)</f>
        <v>1850.7182352626123</v>
      </c>
      <c r="P15" s="112"/>
    </row>
    <row r="16" spans="1:16" s="16" customFormat="1" ht="11.25">
      <c r="A16" s="17">
        <f t="shared" si="3"/>
        <v>45230</v>
      </c>
      <c r="B16" s="152">
        <v>11422</v>
      </c>
      <c r="C16" s="14"/>
      <c r="D16" s="114">
        <f>VLOOKUP(A16,Value!$A$6:$O$17,15,)</f>
        <v>3475.7556603895564</v>
      </c>
      <c r="E16" s="14"/>
      <c r="F16" s="16">
        <f t="shared" si="0"/>
        <v>0.3</v>
      </c>
      <c r="G16" s="23"/>
      <c r="H16" s="14"/>
      <c r="I16" s="14"/>
      <c r="J16" s="14">
        <f t="shared" si="1"/>
        <v>11422</v>
      </c>
      <c r="K16" s="13">
        <f t="shared" si="2"/>
        <v>2023</v>
      </c>
      <c r="O16" s="141">
        <f>VLOOKUP(A16,Value!$A$6:$O$17,13,FALSE)</f>
        <v>6951.511320779113</v>
      </c>
      <c r="P16" s="112"/>
    </row>
    <row r="17" spans="1:16" s="16" customFormat="1" ht="11.25">
      <c r="A17" s="17">
        <f>EOMONTH(A16,1)</f>
        <v>45260</v>
      </c>
      <c r="B17" s="152">
        <v>11448</v>
      </c>
      <c r="C17" s="14"/>
      <c r="D17" s="114">
        <f>VLOOKUP(A17,Value!$A$6:$O$17,15,)</f>
        <v>1576.1682912320439</v>
      </c>
      <c r="E17" s="14"/>
      <c r="F17" s="16">
        <f aca="true" t="shared" si="4" ref="F17:F22">ROUND(D17/B17,2)</f>
        <v>0.14</v>
      </c>
      <c r="G17" s="23"/>
      <c r="H17" s="14"/>
      <c r="I17" s="14"/>
      <c r="J17" s="14">
        <f t="shared" si="1"/>
        <v>11448</v>
      </c>
      <c r="K17" s="13">
        <f t="shared" si="2"/>
        <v>2023</v>
      </c>
      <c r="O17" s="141">
        <f>VLOOKUP(A17,Value!$A$6:$O$17,13,FALSE)</f>
        <v>3152.3365824640878</v>
      </c>
      <c r="P17" s="112"/>
    </row>
    <row r="18" spans="1:16" s="16" customFormat="1" ht="11.25">
      <c r="A18" s="17">
        <f t="shared" si="3"/>
        <v>45291</v>
      </c>
      <c r="B18" s="152">
        <v>11459</v>
      </c>
      <c r="C18" s="14"/>
      <c r="D18" s="114">
        <f>VLOOKUP(A18,Value!$A$6:$O$17,15,)</f>
        <v>1792.4486404356248</v>
      </c>
      <c r="E18" s="14"/>
      <c r="F18" s="16">
        <f t="shared" si="4"/>
        <v>0.16</v>
      </c>
      <c r="G18" s="23"/>
      <c r="H18" s="14"/>
      <c r="I18" s="14"/>
      <c r="J18" s="14">
        <f t="shared" si="1"/>
        <v>11459</v>
      </c>
      <c r="K18" s="13">
        <f t="shared" si="2"/>
        <v>2023</v>
      </c>
      <c r="O18" s="141">
        <f>VLOOKUP(A18,Value!$A$6:$O$17,13,FALSE)</f>
        <v>3584.8972808712497</v>
      </c>
      <c r="P18" s="112"/>
    </row>
    <row r="19" spans="1:25" s="16" customFormat="1" ht="11.25">
      <c r="A19" s="17">
        <f>EOMONTH(A18,1)</f>
        <v>45322</v>
      </c>
      <c r="B19" s="152">
        <v>8246</v>
      </c>
      <c r="C19" s="14"/>
      <c r="D19" s="114">
        <f>VLOOKUP(A19,Value!$A$6:$O$17,15,)</f>
        <v>2140.540786382471</v>
      </c>
      <c r="E19" s="14"/>
      <c r="F19" s="16">
        <f t="shared" si="4"/>
        <v>0.26</v>
      </c>
      <c r="G19" s="23"/>
      <c r="H19" s="14"/>
      <c r="I19" s="14"/>
      <c r="J19" s="14">
        <f>+B19</f>
        <v>8246</v>
      </c>
      <c r="K19" s="13">
        <f>YEAR(A19)</f>
        <v>2024</v>
      </c>
      <c r="O19" s="141">
        <f>VLOOKUP(A19,Value!$A$6:$O$17,13,FALSE)</f>
        <v>4281.081572764942</v>
      </c>
      <c r="P19" s="112"/>
      <c r="X19" s="14"/>
      <c r="Y19" s="14"/>
    </row>
    <row r="20" spans="1:27" s="16" customFormat="1" ht="11.25">
      <c r="A20" s="17">
        <f>EOMONTH(A19,1)</f>
        <v>45351</v>
      </c>
      <c r="B20" s="152">
        <v>8249</v>
      </c>
      <c r="C20" s="14"/>
      <c r="D20" s="114">
        <f>VLOOKUP(A20,Value!$A$6:$O$17,15,)</f>
        <v>1418.6920482003843</v>
      </c>
      <c r="E20" s="14"/>
      <c r="F20" s="16">
        <f t="shared" si="4"/>
        <v>0.17</v>
      </c>
      <c r="G20" s="23"/>
      <c r="H20" s="14"/>
      <c r="I20" s="14"/>
      <c r="J20" s="14">
        <f>+B20</f>
        <v>8249</v>
      </c>
      <c r="K20" s="13">
        <f>YEAR(A20)</f>
        <v>2024</v>
      </c>
      <c r="L20" s="14"/>
      <c r="M20" s="14"/>
      <c r="N20" s="14"/>
      <c r="O20" s="236">
        <f>VLOOKUP(A20,Value!$A$6:$O$17,13,FALSE)</f>
        <v>2837.3840964007686</v>
      </c>
      <c r="P20" s="112"/>
      <c r="Q20" s="14"/>
      <c r="R20" s="14"/>
      <c r="S20" s="14"/>
      <c r="T20" s="14"/>
      <c r="U20" s="14"/>
      <c r="V20" s="14"/>
      <c r="W20" s="14"/>
      <c r="Y20" s="14"/>
      <c r="AA20" s="14"/>
    </row>
    <row r="21" spans="1:16" s="16" customFormat="1" ht="11.25">
      <c r="A21" s="17">
        <f>EOMONTH(A20,1)</f>
        <v>45382</v>
      </c>
      <c r="B21" s="152">
        <v>8255</v>
      </c>
      <c r="C21" s="14"/>
      <c r="D21" s="114">
        <f>VLOOKUP(A21,Value!$A$6:$O$17,15,)</f>
        <v>1435.7876840002787</v>
      </c>
      <c r="E21" s="14"/>
      <c r="F21" s="16">
        <f t="shared" si="4"/>
        <v>0.17</v>
      </c>
      <c r="G21" s="23"/>
      <c r="H21" s="20"/>
      <c r="I21" s="14"/>
      <c r="J21" s="14">
        <f>+B21</f>
        <v>8255</v>
      </c>
      <c r="K21" s="13">
        <f>YEAR(A21)</f>
        <v>2024</v>
      </c>
      <c r="O21" s="236">
        <f>VLOOKUP(A21,Value!$A$6:$O$17,13,FALSE)</f>
        <v>2871.5753680005573</v>
      </c>
      <c r="P21" s="112"/>
    </row>
    <row r="22" spans="1:16" s="16" customFormat="1" ht="11.25">
      <c r="A22" s="17">
        <f>EOMONTH(A21,1)</f>
        <v>45412</v>
      </c>
      <c r="B22" s="152">
        <v>8249</v>
      </c>
      <c r="C22" s="14"/>
      <c r="D22" s="114">
        <f>VLOOKUP(A22,Value!$A$6:$O$17,15,)</f>
        <v>3025.323522159877</v>
      </c>
      <c r="E22" s="14"/>
      <c r="F22" s="16">
        <f t="shared" si="4"/>
        <v>0.37</v>
      </c>
      <c r="G22" s="23"/>
      <c r="H22" s="20"/>
      <c r="I22" s="14"/>
      <c r="J22" s="14">
        <f>+B22</f>
        <v>8249</v>
      </c>
      <c r="K22" s="13">
        <f>YEAR(A22)</f>
        <v>2024</v>
      </c>
      <c r="O22" s="236">
        <f>VLOOKUP(A22,Value!$A$6:$O$17,13,FALSE)</f>
        <v>6050.647044319754</v>
      </c>
      <c r="P22" s="112"/>
    </row>
    <row r="23" spans="1:16" s="16" customFormat="1" ht="11.25">
      <c r="A23" s="17"/>
      <c r="B23" s="14"/>
      <c r="C23" s="14"/>
      <c r="E23" s="14"/>
      <c r="G23" s="14"/>
      <c r="H23" s="14"/>
      <c r="I23" s="14"/>
      <c r="J23" s="14"/>
      <c r="K23" s="13"/>
      <c r="O23" s="237"/>
      <c r="P23" s="112"/>
    </row>
    <row r="24" spans="1:16" s="16" customFormat="1" ht="11.25">
      <c r="A24" s="17" t="s">
        <v>138</v>
      </c>
      <c r="B24" s="21">
        <f>SUM(B14:B22)</f>
        <v>90155</v>
      </c>
      <c r="C24" s="20"/>
      <c r="D24" s="22">
        <f>SUM(D14:D22)</f>
        <v>16270.850274181992</v>
      </c>
      <c r="G24" s="14"/>
      <c r="H24" s="14"/>
      <c r="I24" s="14"/>
      <c r="J24" s="14"/>
      <c r="K24" s="13"/>
      <c r="O24" s="237"/>
      <c r="P24" s="112"/>
    </row>
    <row r="25" spans="4:16" ht="12.75">
      <c r="D25" s="25"/>
      <c r="O25" s="237">
        <f>SUM(O8:O24)</f>
        <v>43356.66042317628</v>
      </c>
      <c r="P25" s="112"/>
    </row>
    <row r="26" spans="1:16" s="16" customFormat="1" ht="12" thickBot="1">
      <c r="A26" s="26" t="s">
        <v>88</v>
      </c>
      <c r="B26" s="27">
        <f>B12+B24</f>
        <v>124297</v>
      </c>
      <c r="C26" s="20"/>
      <c r="D26" s="28">
        <f>D12+D24</f>
        <v>21678.33021158814</v>
      </c>
      <c r="E26" s="20" t="s">
        <v>10</v>
      </c>
      <c r="F26" s="23">
        <f>ROUND(D26/B26,3)</f>
        <v>0.174</v>
      </c>
      <c r="G26" s="20" t="s">
        <v>11</v>
      </c>
      <c r="H26" s="14"/>
      <c r="I26" s="14"/>
      <c r="J26" s="27">
        <f>SUM(J8:J25)</f>
        <v>124297</v>
      </c>
      <c r="K26" s="20" t="s">
        <v>12</v>
      </c>
      <c r="O26" s="238">
        <f>ROUND(O25/J26,3)</f>
        <v>0.349</v>
      </c>
      <c r="P26" s="112"/>
    </row>
    <row r="27" spans="2:16" s="16" customFormat="1" ht="12" thickTop="1">
      <c r="B27" s="14"/>
      <c r="C27" s="14"/>
      <c r="D27" s="14"/>
      <c r="E27" s="14"/>
      <c r="F27" s="14"/>
      <c r="G27" s="14"/>
      <c r="H27" s="14"/>
      <c r="I27" s="14"/>
      <c r="J27" s="14"/>
      <c r="K27" s="14"/>
      <c r="O27" s="239">
        <f>+J22</f>
        <v>8249</v>
      </c>
      <c r="P27" s="112"/>
    </row>
    <row r="28" spans="2:16" s="16" customFormat="1" ht="11.25">
      <c r="B28" s="14"/>
      <c r="C28" s="14"/>
      <c r="D28" s="14"/>
      <c r="E28" s="14"/>
      <c r="F28" s="23"/>
      <c r="H28" s="14"/>
      <c r="I28" s="14"/>
      <c r="J28" s="14"/>
      <c r="K28" s="14"/>
      <c r="O28" s="112"/>
      <c r="P28" s="112"/>
    </row>
    <row r="29" spans="2:16" s="16" customFormat="1" ht="11.25">
      <c r="B29" s="14"/>
      <c r="C29" s="14"/>
      <c r="D29" s="14"/>
      <c r="E29" s="14"/>
      <c r="F29" s="14"/>
      <c r="G29" s="14"/>
      <c r="H29" s="14"/>
      <c r="I29" s="14"/>
      <c r="J29" s="14"/>
      <c r="K29" s="14"/>
      <c r="O29" s="112"/>
      <c r="P29" s="112"/>
    </row>
    <row r="30" spans="2:11" s="16" customFormat="1" ht="12" thickBot="1">
      <c r="B30" s="29" t="s">
        <v>104</v>
      </c>
      <c r="C30" s="30"/>
      <c r="D30" s="30"/>
      <c r="E30" s="30"/>
      <c r="F30" s="14"/>
      <c r="G30" s="14"/>
      <c r="H30" s="14"/>
      <c r="I30" s="14"/>
      <c r="J30" s="14"/>
      <c r="K30" s="14"/>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ROUND(D26,0)</f>
        <v>21678</v>
      </c>
      <c r="H32" s="20" t="s">
        <v>10</v>
      </c>
      <c r="I32" s="14"/>
      <c r="J32" s="14"/>
      <c r="K32" s="14"/>
    </row>
    <row r="33" spans="1:27" s="13" customFormat="1" ht="11.25">
      <c r="A33" s="33"/>
      <c r="B33" s="31"/>
      <c r="C33" s="14"/>
      <c r="D33" s="14"/>
      <c r="E33" s="14"/>
      <c r="F33" s="14"/>
      <c r="G33" s="14"/>
      <c r="H33" s="20"/>
      <c r="I33" s="14"/>
      <c r="J33" s="14"/>
      <c r="K33" s="14"/>
      <c r="O33" s="16">
        <f>12*O27*O26</f>
        <v>34546.812</v>
      </c>
      <c r="W33" s="14"/>
      <c r="X33" s="16"/>
      <c r="Y33" s="16"/>
      <c r="AA33" s="14"/>
    </row>
    <row r="34" spans="2:15" s="16" customFormat="1" ht="11.25">
      <c r="B34" s="14" t="s">
        <v>15</v>
      </c>
      <c r="C34" s="14"/>
      <c r="D34" s="14"/>
      <c r="E34" s="14"/>
      <c r="F34" s="153">
        <v>0.7200000000000002</v>
      </c>
      <c r="G34" s="14"/>
      <c r="H34" s="14"/>
      <c r="I34" s="14"/>
      <c r="J34" s="14"/>
      <c r="K34" s="14"/>
      <c r="O34" s="16">
        <f>12*O27*G57</f>
        <v>17223.912</v>
      </c>
    </row>
    <row r="35" spans="2:15" s="16" customFormat="1" ht="11.25">
      <c r="B35" s="14"/>
      <c r="C35" s="14"/>
      <c r="D35" s="14"/>
      <c r="E35" s="14"/>
      <c r="F35" s="35">
        <f>B12</f>
        <v>34142</v>
      </c>
      <c r="G35" s="20"/>
      <c r="H35" s="14"/>
      <c r="I35" s="14"/>
      <c r="J35" s="14"/>
      <c r="K35" s="14"/>
      <c r="O35" s="142">
        <f>+O34/O33</f>
        <v>0.49856733524355307</v>
      </c>
    </row>
    <row r="36" spans="2:11" s="16" customFormat="1" ht="11.25">
      <c r="B36" s="14"/>
      <c r="C36" s="14" t="s">
        <v>16</v>
      </c>
      <c r="D36" s="14"/>
      <c r="E36" s="14"/>
      <c r="F36" s="21">
        <f>ROUND(F34*F35,0)</f>
        <v>24582</v>
      </c>
      <c r="G36" s="20"/>
      <c r="H36" s="14"/>
      <c r="I36" s="14"/>
      <c r="J36" s="14"/>
      <c r="K36" s="14"/>
    </row>
    <row r="37" spans="2:11" s="16" customFormat="1" ht="11.25">
      <c r="B37" s="14"/>
      <c r="C37" s="14" t="str">
        <f>"Customers from "&amp;TEXT($A$8,"mm/yy")&amp;" - "&amp;TEXT($A$10,"mm/yy")</f>
        <v>Customers from 05/23 - 07/23</v>
      </c>
      <c r="D37" s="14"/>
      <c r="E37" s="14"/>
      <c r="F37" s="35"/>
      <c r="G37" s="20"/>
      <c r="H37" s="14" t="s">
        <v>80</v>
      </c>
      <c r="I37" s="14"/>
      <c r="J37" s="14"/>
      <c r="K37" s="14"/>
    </row>
    <row r="38" spans="2:11" s="16" customFormat="1" ht="11.25">
      <c r="B38" s="14" t="s">
        <v>15</v>
      </c>
      <c r="C38" s="14"/>
      <c r="D38" s="14"/>
      <c r="E38" s="14"/>
      <c r="F38" s="153">
        <v>0.17299999999999996</v>
      </c>
      <c r="G38" s="14"/>
      <c r="H38" s="14"/>
      <c r="I38" s="14"/>
      <c r="J38" s="14"/>
      <c r="K38" s="14"/>
    </row>
    <row r="39" spans="2:11" s="16" customFormat="1" ht="11.25">
      <c r="B39" s="14"/>
      <c r="C39" s="14" t="str">
        <f>"Customers from "&amp;TEXT($A$14,"mm/yy")&amp;" - "&amp;TEXT($A$22,"mm/yy")</f>
        <v>Customers from 08/23 - 04/24</v>
      </c>
      <c r="D39" s="14"/>
      <c r="E39" s="14"/>
      <c r="F39" s="14">
        <f>B24</f>
        <v>90155</v>
      </c>
      <c r="G39" s="20"/>
      <c r="H39" s="14"/>
      <c r="I39" s="14"/>
      <c r="J39" s="14"/>
      <c r="K39" s="14"/>
    </row>
    <row r="40" spans="2:16" s="16" customFormat="1" ht="11.25">
      <c r="B40" s="14"/>
      <c r="C40" s="14" t="s">
        <v>16</v>
      </c>
      <c r="D40" s="14"/>
      <c r="E40" s="14"/>
      <c r="F40" s="21">
        <f>ROUND(F38*F39,0)</f>
        <v>15597</v>
      </c>
      <c r="G40" s="20"/>
      <c r="H40" s="14"/>
      <c r="I40" s="14"/>
      <c r="J40" s="14"/>
      <c r="K40" s="14"/>
      <c r="L40" s="14"/>
      <c r="M40" s="14"/>
      <c r="N40" s="14"/>
      <c r="O40" s="14"/>
      <c r="P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+F40+F36</f>
        <v>40179</v>
      </c>
      <c r="G42" s="37">
        <f>+F42</f>
        <v>40179</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tr">
        <f>IF(G45&lt;=0,"Excess","Deficient")&amp;" Commodity Credits"</f>
        <v>Excess Commodity Credits</v>
      </c>
      <c r="G45" s="38">
        <f>+G32-G42</f>
        <v>-18501</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2025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9.75">
      <c r="B50" s="14" t="s">
        <v>82</v>
      </c>
      <c r="C50" s="14"/>
      <c r="D50" s="14"/>
      <c r="E50" s="14"/>
      <c r="F50" s="14"/>
      <c r="G50" s="14"/>
      <c r="H50" s="14"/>
      <c r="I50" s="14"/>
      <c r="J50" s="14"/>
      <c r="K50" s="14"/>
    </row>
    <row r="51" spans="2:11" s="16" customFormat="1" ht="9.75">
      <c r="B51" s="14"/>
      <c r="C51" s="14"/>
      <c r="D51" s="14"/>
      <c r="E51" s="14"/>
      <c r="F51" s="32" t="s">
        <v>20</v>
      </c>
      <c r="G51" s="14">
        <f>+J26</f>
        <v>124297</v>
      </c>
      <c r="H51" s="20" t="s">
        <v>12</v>
      </c>
      <c r="I51" s="14"/>
      <c r="J51" s="14"/>
      <c r="K51" s="14"/>
    </row>
    <row r="52" spans="2:11" s="16" customFormat="1" ht="9.75">
      <c r="B52" s="14"/>
      <c r="C52" s="14"/>
      <c r="D52" s="14"/>
      <c r="E52" s="14"/>
      <c r="F52" s="32" t="s">
        <v>87</v>
      </c>
      <c r="G52" s="14">
        <f>+G45</f>
        <v>-18501</v>
      </c>
      <c r="H52" s="14"/>
      <c r="I52" s="14"/>
      <c r="J52" s="14"/>
      <c r="K52" s="14"/>
    </row>
    <row r="53" spans="2:11" s="16" customFormat="1" ht="9.75">
      <c r="B53" s="14"/>
      <c r="C53" s="14"/>
      <c r="D53" s="14"/>
      <c r="E53" s="14"/>
      <c r="F53" s="32"/>
      <c r="G53" s="14"/>
      <c r="H53" s="14"/>
      <c r="I53" s="14"/>
      <c r="J53" s="14"/>
      <c r="K53" s="14"/>
    </row>
    <row r="54" spans="2:11" s="16" customFormat="1" ht="10.5" thickBot="1">
      <c r="B54" s="14"/>
      <c r="C54" s="14"/>
      <c r="D54" s="14"/>
      <c r="E54" s="14"/>
      <c r="F54" s="32" t="s">
        <v>154</v>
      </c>
      <c r="G54" s="39">
        <f>ROUND(G52/G51,3)</f>
        <v>-0.149</v>
      </c>
      <c r="H54" s="14"/>
      <c r="I54" s="23">
        <f>+G54</f>
        <v>-0.149</v>
      </c>
      <c r="J54" s="14"/>
      <c r="K54" s="14"/>
    </row>
    <row r="55" spans="2:25" s="16" customFormat="1" ht="10.5" thickTop="1">
      <c r="B55" s="14"/>
      <c r="C55" s="14"/>
      <c r="D55" s="14"/>
      <c r="E55" s="14"/>
      <c r="F55" s="32"/>
      <c r="G55" s="14"/>
      <c r="H55" s="14"/>
      <c r="I55" s="23"/>
      <c r="J55" s="14"/>
      <c r="K55" s="14"/>
      <c r="Y55" s="14"/>
    </row>
    <row r="56" spans="2:14" s="16" customFormat="1" ht="9.75">
      <c r="B56" s="14" t="s">
        <v>83</v>
      </c>
      <c r="C56" s="14"/>
      <c r="D56" s="14"/>
      <c r="E56" s="14"/>
      <c r="F56" s="32"/>
      <c r="G56" s="14"/>
      <c r="H56" s="14"/>
      <c r="I56" s="23"/>
      <c r="J56" s="14"/>
      <c r="K56" s="14"/>
      <c r="N56" s="143" t="s">
        <v>78</v>
      </c>
    </row>
    <row r="57" spans="2:14" s="16" customFormat="1" ht="10.5" thickBot="1">
      <c r="B57" s="31"/>
      <c r="C57" s="14"/>
      <c r="D57" s="14"/>
      <c r="E57" s="14"/>
      <c r="F57" s="32" t="s">
        <v>89</v>
      </c>
      <c r="G57" s="40">
        <f>+F26/Value!$P$18*N57</f>
        <v>0.17400000000000002</v>
      </c>
      <c r="H57" s="14"/>
      <c r="I57" s="23">
        <f>F26</f>
        <v>0.174</v>
      </c>
      <c r="J57" s="20" t="s">
        <v>11</v>
      </c>
      <c r="K57" s="14"/>
      <c r="N57" s="144">
        <f>+'[2]WUTC_AW of Kent_MF'!$O$56</f>
        <v>0.5</v>
      </c>
    </row>
    <row r="58" spans="2:25" s="14" customFormat="1" ht="10.5" thickTop="1">
      <c r="B58" s="31"/>
      <c r="I58" s="23"/>
      <c r="X58" s="16"/>
      <c r="Y58" s="16"/>
    </row>
    <row r="59" spans="2:11" s="16" customFormat="1" ht="10.5" thickBot="1">
      <c r="B59" s="14"/>
      <c r="C59" s="14"/>
      <c r="D59" s="14"/>
      <c r="E59" s="14"/>
      <c r="F59" s="14"/>
      <c r="G59" s="32" t="s">
        <v>155</v>
      </c>
      <c r="H59" s="27"/>
      <c r="I59" s="28">
        <f>+I54+I57</f>
        <v>0.024999999999999994</v>
      </c>
      <c r="J59" s="14"/>
      <c r="K59" s="14"/>
    </row>
    <row r="60" s="16" customFormat="1" ht="10.5" thickTop="1"/>
    <row r="61" s="16" customFormat="1" ht="9.75"/>
    <row r="62" spans="2:12" s="16" customFormat="1" ht="9.75">
      <c r="B62" s="136" t="s">
        <v>158</v>
      </c>
      <c r="G62" s="136" t="s">
        <v>105</v>
      </c>
      <c r="I62" s="148">
        <f>RSA!E24</f>
        <v>0</v>
      </c>
      <c r="J62" s="16" t="s">
        <v>147</v>
      </c>
      <c r="L62" s="23"/>
    </row>
    <row r="63" spans="1:25" s="14" customFormat="1" ht="9.75">
      <c r="A63" s="115"/>
      <c r="B63" s="35"/>
      <c r="C63" s="35"/>
      <c r="D63" s="112"/>
      <c r="E63" s="35"/>
      <c r="F63" s="112"/>
      <c r="X63" s="16"/>
      <c r="Y63" s="16"/>
    </row>
    <row r="64" spans="1:9" s="16" customFormat="1" ht="10.5" thickBot="1">
      <c r="A64" s="115"/>
      <c r="B64" s="116"/>
      <c r="C64" s="35"/>
      <c r="D64" s="112"/>
      <c r="E64" s="112"/>
      <c r="F64" s="112"/>
      <c r="G64" s="32" t="str">
        <f>G59</f>
        <v>8/1/23 - 7/31/24 Adjusted Credit</v>
      </c>
      <c r="H64" s="27"/>
      <c r="I64" s="167">
        <f>+I59+I62</f>
        <v>0.024999999999999994</v>
      </c>
    </row>
    <row r="65" spans="1:6" s="16" customFormat="1" ht="10.5" thickTop="1">
      <c r="A65" s="115"/>
      <c r="B65" s="116"/>
      <c r="C65" s="35"/>
      <c r="D65" s="112"/>
      <c r="E65" s="112"/>
      <c r="F65" s="112"/>
    </row>
    <row r="66" spans="1:6" s="16" customFormat="1" ht="9.75">
      <c r="A66" s="115"/>
      <c r="B66" s="116"/>
      <c r="C66" s="35"/>
      <c r="D66" s="112"/>
      <c r="E66" s="112"/>
      <c r="F66" s="112"/>
    </row>
    <row r="67" spans="1:25" s="16" customFormat="1" ht="9.75">
      <c r="A67" s="115"/>
      <c r="B67" s="116"/>
      <c r="C67" s="35"/>
      <c r="D67" s="112"/>
      <c r="E67" s="112"/>
      <c r="F67" s="112"/>
      <c r="Y67" s="14"/>
    </row>
    <row r="68" spans="1:6" s="16" customFormat="1" ht="9.75">
      <c r="A68" s="115"/>
      <c r="B68" s="116"/>
      <c r="C68" s="35"/>
      <c r="D68" s="112"/>
      <c r="E68" s="112"/>
      <c r="F68" s="112"/>
    </row>
    <row r="69" spans="1:6" s="16" customFormat="1" ht="9.75">
      <c r="A69" s="115"/>
      <c r="B69" s="116"/>
      <c r="C69" s="35"/>
      <c r="D69" s="112"/>
      <c r="E69" s="112"/>
      <c r="F69" s="112"/>
    </row>
    <row r="70" spans="1:6" s="16" customFormat="1" ht="9.75">
      <c r="A70" s="115"/>
      <c r="B70" s="116"/>
      <c r="C70" s="35"/>
      <c r="D70" s="112"/>
      <c r="E70" s="112"/>
      <c r="F70" s="112"/>
    </row>
    <row r="71" spans="1:27" s="16" customFormat="1" ht="9.75">
      <c r="A71" s="115"/>
      <c r="B71" s="116"/>
      <c r="C71" s="35"/>
      <c r="D71" s="112"/>
      <c r="E71" s="118"/>
      <c r="F71" s="112"/>
      <c r="G71" s="14"/>
      <c r="H71" s="13"/>
      <c r="I71" s="14"/>
      <c r="J71" s="14"/>
      <c r="K71" s="13"/>
      <c r="L71" s="14"/>
      <c r="M71" s="14"/>
      <c r="N71" s="14"/>
      <c r="O71" s="14"/>
      <c r="P71" s="14"/>
      <c r="Q71" s="14"/>
      <c r="R71" s="14"/>
      <c r="S71" s="14"/>
      <c r="T71" s="14"/>
      <c r="U71" s="14"/>
      <c r="V71" s="13"/>
      <c r="W71" s="14"/>
      <c r="AA71" s="14"/>
    </row>
    <row r="72" spans="1:6" s="16" customFormat="1" ht="9.75">
      <c r="A72" s="115"/>
      <c r="B72" s="116"/>
      <c r="C72" s="35"/>
      <c r="D72" s="112"/>
      <c r="E72" s="112"/>
      <c r="F72" s="112"/>
    </row>
    <row r="73" spans="1:6" s="16" customFormat="1" ht="9.75">
      <c r="A73" s="115"/>
      <c r="B73" s="35"/>
      <c r="C73" s="35"/>
      <c r="D73" s="112"/>
      <c r="E73" s="112"/>
      <c r="F73" s="112"/>
    </row>
    <row r="74" spans="1:6" s="16" customFormat="1" ht="9.75">
      <c r="A74" s="115"/>
      <c r="B74" s="35"/>
      <c r="C74" s="117"/>
      <c r="D74" s="112"/>
      <c r="E74" s="112"/>
      <c r="F74" s="112"/>
    </row>
    <row r="75" spans="1:6" s="16" customFormat="1" ht="12">
      <c r="A75" s="119"/>
      <c r="B75" s="119"/>
      <c r="C75" s="119"/>
      <c r="D75" s="120"/>
      <c r="E75" s="112"/>
      <c r="F75" s="119"/>
    </row>
    <row r="76" spans="1:25" s="16" customFormat="1" ht="9.75">
      <c r="A76" s="121"/>
      <c r="B76" s="35"/>
      <c r="C76" s="117"/>
      <c r="D76" s="112"/>
      <c r="E76" s="112"/>
      <c r="F76" s="122"/>
      <c r="Y76" s="14"/>
    </row>
    <row r="77" s="16" customFormat="1" ht="9.75"/>
    <row r="78" s="16" customFormat="1" ht="9.75"/>
    <row r="79" s="16" customFormat="1" ht="9.75"/>
    <row r="80" s="16" customFormat="1" ht="9.75">
      <c r="B80" s="8"/>
    </row>
    <row r="81" spans="2:25" s="14" customFormat="1" ht="9.75">
      <c r="B81" s="31"/>
      <c r="X81" s="16"/>
      <c r="Y81" s="16"/>
    </row>
    <row r="82" s="16" customFormat="1" ht="9.75"/>
    <row r="83" s="16" customFormat="1" ht="9.75"/>
    <row r="84" s="16" customFormat="1" ht="9.75"/>
    <row r="85" s="16" customFormat="1" ht="9.75"/>
    <row r="86" s="16" customFormat="1" ht="9.75"/>
    <row r="87" s="16" customFormat="1" ht="9.75"/>
    <row r="88" s="16" customFormat="1" ht="9.75"/>
    <row r="89" s="16" customFormat="1" ht="9.75"/>
    <row r="90" s="16" customFormat="1" ht="9.75">
      <c r="A90" s="6"/>
    </row>
    <row r="91" s="16" customFormat="1" ht="12">
      <c r="AA91" s="5"/>
    </row>
    <row r="92" s="16" customFormat="1" ht="12">
      <c r="AA92" s="5"/>
    </row>
    <row r="93" s="16" customFormat="1" ht="12">
      <c r="AA93" s="5"/>
    </row>
    <row r="94" s="16" customFormat="1" ht="12">
      <c r="AA94" s="5"/>
    </row>
    <row r="95" spans="7:27" s="16" customFormat="1" ht="12">
      <c r="G95" s="56"/>
      <c r="I95" s="56"/>
      <c r="J95" s="56"/>
      <c r="L95" s="56"/>
      <c r="M95" s="56"/>
      <c r="N95" s="56"/>
      <c r="O95" s="56"/>
      <c r="P95" s="56"/>
      <c r="Q95" s="56"/>
      <c r="R95" s="56"/>
      <c r="S95" s="56"/>
      <c r="T95" s="56"/>
      <c r="U95" s="56"/>
      <c r="V95" s="56"/>
      <c r="W95" s="56"/>
      <c r="X95" s="56"/>
      <c r="Y95" s="56"/>
      <c r="AA95" s="5"/>
    </row>
    <row r="96" s="16" customFormat="1" ht="12">
      <c r="AA96" s="5"/>
    </row>
    <row r="97" spans="7:27" s="16" customFormat="1" ht="12.75" thickBot="1">
      <c r="G97" s="57"/>
      <c r="I97" s="57"/>
      <c r="J97" s="57"/>
      <c r="L97" s="57"/>
      <c r="M97" s="57"/>
      <c r="N97" s="57"/>
      <c r="O97" s="57"/>
      <c r="P97" s="57"/>
      <c r="Q97" s="57"/>
      <c r="R97" s="57"/>
      <c r="S97" s="57"/>
      <c r="T97" s="57"/>
      <c r="U97" s="57"/>
      <c r="V97" s="57"/>
      <c r="W97" s="57"/>
      <c r="X97" s="57"/>
      <c r="Y97" s="57"/>
      <c r="AA97" s="5"/>
    </row>
    <row r="98" ht="12.75" thickTop="1"/>
    <row r="99" spans="23:25" ht="12">
      <c r="W99" s="58"/>
      <c r="X99" s="58"/>
      <c r="Y99" s="58"/>
    </row>
    <row r="100" spans="23:27" ht="12">
      <c r="W100" s="58"/>
      <c r="AA100" s="58"/>
    </row>
  </sheetData>
  <sheetProtection/>
  <printOptions horizontalCentered="1"/>
  <pageMargins left="0.25" right="0.25" top="0.25" bottom="0.25" header="0" footer="0"/>
  <pageSetup fitToHeight="1" fitToWidth="1" horizontalDpi="600" verticalDpi="600" orientation="portrait"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showGridLines="0" zoomScaleSheetLayoutView="100" zoomScalePageLayoutView="0" workbookViewId="0" topLeftCell="A1">
      <selection activeCell="O6" sqref="O6"/>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s>
  <sheetData>
    <row r="1" spans="1:2" ht="12.75">
      <c r="A1" s="59" t="s">
        <v>106</v>
      </c>
      <c r="B1" s="60"/>
    </row>
    <row r="2" spans="1:2" ht="12.75">
      <c r="A2" s="61" t="str">
        <f>'WUTC_AW of Bellevue_SF'!A1</f>
        <v>Rabanco Ltd (dba Republic Services)</v>
      </c>
      <c r="B2" s="61"/>
    </row>
    <row r="3" spans="1:15" ht="12.75">
      <c r="A3" s="61"/>
      <c r="B3" s="61"/>
      <c r="O3" s="73"/>
    </row>
    <row r="4" spans="1:15" ht="12.75">
      <c r="A4" s="61"/>
      <c r="B4" s="61"/>
      <c r="O4" s="73" t="str">
        <f>+TEXT(P18,"00.0%")&amp;" of"</f>
        <v>50.0% of</v>
      </c>
    </row>
    <row r="5" spans="2:16" ht="12.75">
      <c r="B5" s="70"/>
      <c r="C5" s="63" t="s">
        <v>21</v>
      </c>
      <c r="D5" s="63" t="s">
        <v>22</v>
      </c>
      <c r="E5" s="63" t="s">
        <v>85</v>
      </c>
      <c r="F5" s="63" t="s">
        <v>50</v>
      </c>
      <c r="G5" s="63" t="s">
        <v>86</v>
      </c>
      <c r="H5" s="63" t="s">
        <v>24</v>
      </c>
      <c r="I5" s="63" t="s">
        <v>25</v>
      </c>
      <c r="J5" s="63" t="s">
        <v>26</v>
      </c>
      <c r="K5" s="63" t="s">
        <v>27</v>
      </c>
      <c r="L5" s="63" t="s">
        <v>28</v>
      </c>
      <c r="M5" s="63" t="s">
        <v>29</v>
      </c>
      <c r="O5" s="73" t="s">
        <v>29</v>
      </c>
      <c r="P5" s="63" t="s">
        <v>79</v>
      </c>
    </row>
    <row r="6" spans="1:17" ht="15.75" customHeight="1">
      <c r="A6" s="65">
        <f>+Pricing!A6</f>
        <v>45047</v>
      </c>
      <c r="B6" s="66"/>
      <c r="C6" s="71">
        <f>'Commodity Tonnages'!C6*Pricing!C6</f>
        <v>6523.986676573558</v>
      </c>
      <c r="D6" s="74">
        <f>'Commodity Tonnages'!D6*Pricing!D6</f>
        <v>-3602.503398310366</v>
      </c>
      <c r="E6" s="74">
        <f>'Commodity Tonnages'!E6*Pricing!E6</f>
        <v>0</v>
      </c>
      <c r="F6" s="74">
        <f>'Commodity Tonnages'!F6*Pricing!F6</f>
        <v>483.63921036242965</v>
      </c>
      <c r="G6" s="74">
        <f>'Commodity Tonnages'!G6*Pricing!G6</f>
        <v>37.537203086632346</v>
      </c>
      <c r="H6" s="74">
        <f>'Commodity Tonnages'!H6*Pricing!H6</f>
        <v>3763.879569259467</v>
      </c>
      <c r="I6" s="74">
        <f>'Commodity Tonnages'!I6*Pricing!I6</f>
        <v>1277.1369771828427</v>
      </c>
      <c r="J6" s="74">
        <f>'Commodity Tonnages'!J6*Pricing!J6</f>
        <v>1277.1369771828427</v>
      </c>
      <c r="K6" s="74">
        <f>'Commodity Tonnages'!K6*Pricing!K6</f>
        <v>7278.609970520672</v>
      </c>
      <c r="L6" s="74">
        <f>'Commodity Tonnages'!L6*Pricing!L6</f>
        <v>-10103.42234423156</v>
      </c>
      <c r="M6" s="128">
        <f>SUM(C6:L6)</f>
        <v>6936.000841626519</v>
      </c>
      <c r="O6" s="98">
        <f>M6*P6</f>
        <v>3468.0004208132596</v>
      </c>
      <c r="P6" s="150">
        <v>0.5</v>
      </c>
      <c r="Q6" s="147"/>
    </row>
    <row r="7" spans="1:17" ht="15.75" customHeight="1">
      <c r="A7" s="65">
        <f>+Pricing!A7</f>
        <v>45107</v>
      </c>
      <c r="B7" s="66"/>
      <c r="C7" s="71">
        <f>'Commodity Tonnages'!C7*Pricing!C7</f>
        <v>5791.026322654877</v>
      </c>
      <c r="D7" s="74">
        <f>'Commodity Tonnages'!D7*Pricing!D7</f>
        <v>-3871.2026286847336</v>
      </c>
      <c r="E7" s="74">
        <f>'Commodity Tonnages'!E7*Pricing!E7</f>
        <v>0</v>
      </c>
      <c r="F7" s="74">
        <f>'Commodity Tonnages'!F7*Pricing!F7</f>
        <v>356.31357900260133</v>
      </c>
      <c r="G7" s="74">
        <f>'Commodity Tonnages'!G7*Pricing!G7</f>
        <v>29.540958296679715</v>
      </c>
      <c r="H7" s="74">
        <f>'Commodity Tonnages'!H7*Pricing!H7</f>
        <v>2828.1338296362915</v>
      </c>
      <c r="I7" s="74">
        <f>'Commodity Tonnages'!I7*Pricing!I7</f>
        <v>621.8189993067848</v>
      </c>
      <c r="J7" s="74">
        <f>'Commodity Tonnages'!J7*Pricing!J7</f>
        <v>621.8189993067848</v>
      </c>
      <c r="K7" s="74">
        <f>'Commodity Tonnages'!K7*Pricing!K7</f>
        <v>5786.336215964268</v>
      </c>
      <c r="L7" s="74">
        <f>'Commodity Tonnages'!L7*Pricing!L7</f>
        <v>-9203.903406411735</v>
      </c>
      <c r="M7" s="128">
        <f aca="true" t="shared" si="0" ref="M7:M17">SUM(C7:L7)</f>
        <v>2959.8828690718165</v>
      </c>
      <c r="O7" s="98">
        <f aca="true" t="shared" si="1" ref="O7:O17">M7*P7</f>
        <v>1479.9414345359082</v>
      </c>
      <c r="P7" s="150">
        <v>0.5</v>
      </c>
      <c r="Q7" s="147"/>
    </row>
    <row r="8" spans="1:17" ht="15.75" customHeight="1">
      <c r="A8" s="65">
        <f>+Pricing!A8</f>
        <v>45138</v>
      </c>
      <c r="B8" s="66"/>
      <c r="C8" s="71">
        <f>'Commodity Tonnages'!C8*Pricing!C8</f>
        <v>5120.497682796144</v>
      </c>
      <c r="D8" s="74">
        <f>'Commodity Tonnages'!D8*Pricing!D8</f>
        <v>-3507.081169688134</v>
      </c>
      <c r="E8" s="74">
        <f>'Commodity Tonnages'!E8*Pricing!E8</f>
        <v>0</v>
      </c>
      <c r="F8" s="74">
        <f>'Commodity Tonnages'!F8*Pricing!F8</f>
        <v>338.2568963677647</v>
      </c>
      <c r="G8" s="74">
        <f>'Commodity Tonnages'!G8*Pricing!G8</f>
        <v>27.142553098572733</v>
      </c>
      <c r="H8" s="74">
        <f>'Commodity Tonnages'!H8*Pricing!H8</f>
        <v>1490.8566211720033</v>
      </c>
      <c r="I8" s="74">
        <f>'Commodity Tonnages'!I8*Pricing!I8</f>
        <v>125.94950424994627</v>
      </c>
      <c r="J8" s="74">
        <f>'Commodity Tonnages'!J8*Pricing!J8</f>
        <v>125.94950424994627</v>
      </c>
      <c r="K8" s="74">
        <f>'Commodity Tonnages'!K8*Pricing!K8</f>
        <v>5677.91052160052</v>
      </c>
      <c r="L8" s="74">
        <f>'Commodity Tonnages'!L8*Pricing!L8</f>
        <v>-8480.405949732798</v>
      </c>
      <c r="M8" s="128">
        <f t="shared" si="0"/>
        <v>919.0761641139652</v>
      </c>
      <c r="O8" s="98">
        <f t="shared" si="1"/>
        <v>459.5380820569826</v>
      </c>
      <c r="P8" s="150">
        <v>0.5</v>
      </c>
      <c r="Q8" s="147"/>
    </row>
    <row r="9" spans="1:17" ht="15.75" customHeight="1">
      <c r="A9" s="65">
        <f>+Pricing!A9</f>
        <v>45169</v>
      </c>
      <c r="B9" s="66"/>
      <c r="C9" s="71">
        <f>'Commodity Tonnages'!C9*Pricing!C9</f>
        <v>6035.39975662902</v>
      </c>
      <c r="D9" s="74">
        <f>'Commodity Tonnages'!D9*Pricing!D9</f>
        <v>-4124.665341776121</v>
      </c>
      <c r="E9" s="74">
        <f>'Commodity Tonnages'!E9*Pricing!E9</f>
        <v>0</v>
      </c>
      <c r="F9" s="74">
        <f>'Commodity Tonnages'!F9*Pricing!F9</f>
        <v>356.89688920640305</v>
      </c>
      <c r="G9" s="74">
        <f>'Commodity Tonnages'!G9*Pricing!G9</f>
        <v>29.640340519607463</v>
      </c>
      <c r="H9" s="74">
        <f>'Commodity Tonnages'!H9*Pricing!H9</f>
        <v>2043.5383145202393</v>
      </c>
      <c r="I9" s="74">
        <f>'Commodity Tonnages'!I9*Pricing!I9</f>
        <v>77.72173802989848</v>
      </c>
      <c r="J9" s="74">
        <f>'Commodity Tonnages'!J9*Pricing!J9</f>
        <v>77.72173802989848</v>
      </c>
      <c r="K9" s="74">
        <f>'Commodity Tonnages'!K9*Pricing!K9</f>
        <v>6719.819729128661</v>
      </c>
      <c r="L9" s="74">
        <f>'Commodity Tonnages'!L9*Pricing!L9</f>
        <v>-10254.524116786708</v>
      </c>
      <c r="M9" s="128">
        <f>SUM(C9:L9)</f>
        <v>961.5490475008992</v>
      </c>
      <c r="O9" s="98">
        <f t="shared" si="1"/>
        <v>480.7745237504496</v>
      </c>
      <c r="P9" s="150">
        <v>0.5</v>
      </c>
      <c r="Q9" s="147"/>
    </row>
    <row r="10" spans="1:17" ht="15.75" customHeight="1">
      <c r="A10" s="65">
        <f>+Pricing!A10</f>
        <v>45199</v>
      </c>
      <c r="B10" s="66"/>
      <c r="C10" s="71">
        <f>'Commodity Tonnages'!C10*Pricing!C10</f>
        <v>4612.541509663572</v>
      </c>
      <c r="D10" s="74">
        <f>'Commodity Tonnages'!D10*Pricing!D10</f>
        <v>-3087.263511959151</v>
      </c>
      <c r="E10" s="74">
        <f>'Commodity Tonnages'!E10*Pricing!E10</f>
        <v>0</v>
      </c>
      <c r="F10" s="74">
        <f>'Commodity Tonnages'!F10*Pricing!F10</f>
        <v>267.0099029630631</v>
      </c>
      <c r="G10" s="74">
        <f>'Commodity Tonnages'!G10*Pricing!G10</f>
        <v>24.427131094762405</v>
      </c>
      <c r="H10" s="74">
        <f>'Commodity Tonnages'!H10*Pricing!H10</f>
        <v>2418.82900150183</v>
      </c>
      <c r="I10" s="74">
        <f>'Commodity Tonnages'!I10*Pricing!I10</f>
        <v>-141.52044493194842</v>
      </c>
      <c r="J10" s="74">
        <f>'Commodity Tonnages'!J10*Pricing!J10</f>
        <v>-141.52044493194842</v>
      </c>
      <c r="K10" s="74">
        <f>'Commodity Tonnages'!K10*Pricing!K10</f>
        <v>5999.527020832972</v>
      </c>
      <c r="L10" s="74">
        <f>'Commodity Tonnages'!L10*Pricing!L10</f>
        <v>-8101.311928970538</v>
      </c>
      <c r="M10" s="128">
        <f t="shared" si="0"/>
        <v>1850.7182352626123</v>
      </c>
      <c r="O10" s="98">
        <f t="shared" si="1"/>
        <v>925.3591176313062</v>
      </c>
      <c r="P10" s="150">
        <v>0.5</v>
      </c>
      <c r="Q10" s="147"/>
    </row>
    <row r="11" spans="1:17" ht="15.75" customHeight="1">
      <c r="A11" s="65">
        <f>+Pricing!A11</f>
        <v>45230</v>
      </c>
      <c r="B11" s="66"/>
      <c r="C11" s="71">
        <f>'Commodity Tonnages'!C11*Pricing!C11</f>
        <v>5477.104528483003</v>
      </c>
      <c r="D11" s="74">
        <f>'Commodity Tonnages'!D11*Pricing!D11</f>
        <v>-3020.654336854371</v>
      </c>
      <c r="E11" s="74">
        <f>'Commodity Tonnages'!E11*Pricing!E11</f>
        <v>0</v>
      </c>
      <c r="F11" s="74">
        <f>'Commodity Tonnages'!F11*Pricing!F11</f>
        <v>357.30565252623694</v>
      </c>
      <c r="G11" s="74">
        <f>'Commodity Tonnages'!G11*Pricing!G11</f>
        <v>31.714974617024343</v>
      </c>
      <c r="H11" s="74">
        <f>'Commodity Tonnages'!H11*Pricing!H11</f>
        <v>4935.758804431588</v>
      </c>
      <c r="I11" s="74">
        <f>'Commodity Tonnages'!I11*Pricing!I11</f>
        <v>95.76533066006999</v>
      </c>
      <c r="J11" s="74">
        <f>'Commodity Tonnages'!J11*Pricing!J11</f>
        <v>95.76533066006999</v>
      </c>
      <c r="K11" s="74">
        <f>'Commodity Tonnages'!K11*Pricing!K11</f>
        <v>8374.984368560567</v>
      </c>
      <c r="L11" s="74">
        <f>'Commodity Tonnages'!L11*Pricing!L11</f>
        <v>-9396.233332305075</v>
      </c>
      <c r="M11" s="128">
        <f t="shared" si="0"/>
        <v>6951.511320779113</v>
      </c>
      <c r="O11" s="98">
        <f t="shared" si="1"/>
        <v>3475.7556603895564</v>
      </c>
      <c r="P11" s="150">
        <v>0.5</v>
      </c>
      <c r="Q11" s="147"/>
    </row>
    <row r="12" spans="1:17" ht="15.75" customHeight="1">
      <c r="A12" s="65">
        <f>+Pricing!A12</f>
        <v>45260</v>
      </c>
      <c r="B12" s="66"/>
      <c r="C12" s="71">
        <f>'Commodity Tonnages'!C12*Pricing!C12</f>
        <v>5606.775212262087</v>
      </c>
      <c r="D12" s="74">
        <f>'Commodity Tonnages'!D12*Pricing!D12</f>
        <v>-3484.9654440930653</v>
      </c>
      <c r="E12" s="74">
        <f>'Commodity Tonnages'!E12*Pricing!E12</f>
        <v>0</v>
      </c>
      <c r="F12" s="74">
        <f>'Commodity Tonnages'!F12*Pricing!F12</f>
        <v>421.2760355587042</v>
      </c>
      <c r="G12" s="74">
        <f>'Commodity Tonnages'!G12*Pricing!G12</f>
        <v>28.000925991082493</v>
      </c>
      <c r="H12" s="74">
        <f>'Commodity Tonnages'!H12*Pricing!H12</f>
        <v>3180.270769385852</v>
      </c>
      <c r="I12" s="74">
        <f>'Commodity Tonnages'!I12*Pricing!I12</f>
        <v>-145.85729789780052</v>
      </c>
      <c r="J12" s="74">
        <f>'Commodity Tonnages'!J12*Pricing!J12</f>
        <v>-145.85729789780052</v>
      </c>
      <c r="K12" s="74">
        <f>'Commodity Tonnages'!K12*Pricing!K12</f>
        <v>7445.474900066653</v>
      </c>
      <c r="L12" s="74">
        <f>'Commodity Tonnages'!L12*Pricing!L12</f>
        <v>-9752.781220911625</v>
      </c>
      <c r="M12" s="128">
        <f t="shared" si="0"/>
        <v>3152.3365824640878</v>
      </c>
      <c r="O12" s="98">
        <f t="shared" si="1"/>
        <v>1576.1682912320439</v>
      </c>
      <c r="P12" s="150">
        <v>0.5</v>
      </c>
      <c r="Q12" s="147"/>
    </row>
    <row r="13" spans="1:17" ht="15.75" customHeight="1">
      <c r="A13" s="65">
        <f>+Pricing!A13</f>
        <v>45291</v>
      </c>
      <c r="B13" s="66"/>
      <c r="C13" s="71">
        <f>'Commodity Tonnages'!C13*Pricing!C13</f>
        <v>5287.762616479721</v>
      </c>
      <c r="D13" s="74">
        <f>'Commodity Tonnages'!D13*Pricing!D13</f>
        <v>-4969.448907228052</v>
      </c>
      <c r="E13" s="74">
        <f>'Commodity Tonnages'!E13*Pricing!E13</f>
        <v>0</v>
      </c>
      <c r="F13" s="74">
        <f>'Commodity Tonnages'!F13*Pricing!F13</f>
        <v>353.0229239434502</v>
      </c>
      <c r="G13" s="74">
        <f>'Commodity Tonnages'!G13*Pricing!G13</f>
        <v>29.059613692552887</v>
      </c>
      <c r="H13" s="74">
        <f>'Commodity Tonnages'!H13*Pricing!H13</f>
        <v>4582.1389867699745</v>
      </c>
      <c r="I13" s="74">
        <f>'Commodity Tonnages'!I13*Pricing!I13</f>
        <v>93.47824804836661</v>
      </c>
      <c r="J13" s="74">
        <f>'Commodity Tonnages'!J13*Pricing!J13</f>
        <v>93.47824804836661</v>
      </c>
      <c r="K13" s="74">
        <f>'Commodity Tonnages'!K13*Pricing!K13</f>
        <v>7550.980761588769</v>
      </c>
      <c r="L13" s="74">
        <f>'Commodity Tonnages'!L13*Pricing!L13</f>
        <v>-9435.5752104719</v>
      </c>
      <c r="M13" s="128">
        <f t="shared" si="0"/>
        <v>3584.8972808712497</v>
      </c>
      <c r="O13" s="98">
        <f t="shared" si="1"/>
        <v>1792.4486404356248</v>
      </c>
      <c r="P13" s="150">
        <v>0.5</v>
      </c>
      <c r="Q13" s="147"/>
    </row>
    <row r="14" spans="1:17" ht="15.75" customHeight="1">
      <c r="A14" s="65">
        <f>+Pricing!A14</f>
        <v>45322</v>
      </c>
      <c r="B14" s="66"/>
      <c r="C14" s="71">
        <f>'Commodity Tonnages'!C14*Pricing!C14</f>
        <v>4309.056364270987</v>
      </c>
      <c r="D14" s="74">
        <f>'Commodity Tonnages'!D14*Pricing!D14</f>
        <v>-1548.6004137441387</v>
      </c>
      <c r="E14" s="74">
        <f>'Commodity Tonnages'!E14*Pricing!E14</f>
        <v>0</v>
      </c>
      <c r="F14" s="74">
        <f>'Commodity Tonnages'!F14*Pricing!F14</f>
        <v>246.17394217005923</v>
      </c>
      <c r="G14" s="74">
        <f>'Commodity Tonnages'!G14*Pricing!G14</f>
        <v>19.425291344723426</v>
      </c>
      <c r="H14" s="74">
        <f>'Commodity Tonnages'!H14*Pricing!H14</f>
        <v>3422.6669588997497</v>
      </c>
      <c r="I14" s="74">
        <f>'Commodity Tonnages'!I14*Pricing!I14</f>
        <v>128.01613876375322</v>
      </c>
      <c r="J14" s="74">
        <f>'Commodity Tonnages'!J14*Pricing!J14</f>
        <v>128.01613876375322</v>
      </c>
      <c r="K14" s="74">
        <f>'Commodity Tonnages'!K14*Pricing!K14</f>
        <v>5640.351747993925</v>
      </c>
      <c r="L14" s="74">
        <f>'Commodity Tonnages'!L14*Pricing!L14</f>
        <v>-8064.024595697869</v>
      </c>
      <c r="M14" s="128">
        <f t="shared" si="0"/>
        <v>4281.081572764942</v>
      </c>
      <c r="O14" s="98">
        <f t="shared" si="1"/>
        <v>2140.540786382471</v>
      </c>
      <c r="P14" s="150">
        <v>0.5</v>
      </c>
      <c r="Q14" s="147"/>
    </row>
    <row r="15" spans="1:17" ht="15.75" customHeight="1">
      <c r="A15" s="65">
        <f>+Pricing!A15</f>
        <v>45351</v>
      </c>
      <c r="B15" s="66"/>
      <c r="C15" s="71">
        <f>'Commodity Tonnages'!C15*Pricing!C15</f>
        <v>4587.948193829049</v>
      </c>
      <c r="D15" s="74">
        <f>'Commodity Tonnages'!D15*Pricing!D15</f>
        <v>-1445.0184451159407</v>
      </c>
      <c r="E15" s="74">
        <f>'Commodity Tonnages'!E15*Pricing!E15</f>
        <v>0</v>
      </c>
      <c r="F15" s="74">
        <f>'Commodity Tonnages'!F15*Pricing!F15</f>
        <v>369.2474129192745</v>
      </c>
      <c r="G15" s="74">
        <f>'Commodity Tonnages'!G15*Pricing!G15</f>
        <v>19.62836364651862</v>
      </c>
      <c r="H15" s="74">
        <f>'Commodity Tonnages'!H15*Pricing!H15</f>
        <v>3274.190081112487</v>
      </c>
      <c r="I15" s="74">
        <f>'Commodity Tonnages'!I15*Pricing!I15</f>
        <v>-633.8524387414948</v>
      </c>
      <c r="J15" s="74">
        <f>'Commodity Tonnages'!J15*Pricing!J15</f>
        <v>-633.8524387414948</v>
      </c>
      <c r="K15" s="74">
        <f>'Commodity Tonnages'!K15*Pricing!K15</f>
        <v>5846.712788359516</v>
      </c>
      <c r="L15" s="74">
        <f>'Commodity Tonnages'!L15*Pricing!L15</f>
        <v>-8547.619420867148</v>
      </c>
      <c r="M15" s="128">
        <f t="shared" si="0"/>
        <v>2837.3840964007686</v>
      </c>
      <c r="O15" s="98">
        <f t="shared" si="1"/>
        <v>1418.6920482003843</v>
      </c>
      <c r="P15" s="150">
        <v>0.5</v>
      </c>
      <c r="Q15" s="147"/>
    </row>
    <row r="16" spans="1:17" ht="15.75" customHeight="1">
      <c r="A16" s="65">
        <f>+Pricing!A16</f>
        <v>45382</v>
      </c>
      <c r="B16" s="66"/>
      <c r="C16" s="71">
        <f>'Commodity Tonnages'!C16*Pricing!C16</f>
        <v>4057.644086796162</v>
      </c>
      <c r="D16" s="74">
        <f>'Commodity Tonnages'!D16*Pricing!D16</f>
        <v>-1209.2497531687088</v>
      </c>
      <c r="E16" s="74">
        <f>'Commodity Tonnages'!E16*Pricing!E16</f>
        <v>0</v>
      </c>
      <c r="F16" s="74">
        <f>'Commodity Tonnages'!F16*Pricing!F16</f>
        <v>276.0213471017749</v>
      </c>
      <c r="G16" s="74">
        <f>'Commodity Tonnages'!G16*Pricing!G16</f>
        <v>15.163530465686945</v>
      </c>
      <c r="H16" s="74">
        <f>'Commodity Tonnages'!H16*Pricing!H16</f>
        <v>2959.058334301399</v>
      </c>
      <c r="I16" s="74">
        <f>'Commodity Tonnages'!I16*Pricing!I16</f>
        <v>-595.1700839535908</v>
      </c>
      <c r="J16" s="74">
        <f>'Commodity Tonnages'!J16*Pricing!J16</f>
        <v>-595.1700839535908</v>
      </c>
      <c r="K16" s="74">
        <f>'Commodity Tonnages'!K16*Pricing!K16</f>
        <v>5547.752619604066</v>
      </c>
      <c r="L16" s="74">
        <f>'Commodity Tonnages'!L16*Pricing!L16</f>
        <v>-7584.474629192643</v>
      </c>
      <c r="M16" s="128">
        <f t="shared" si="0"/>
        <v>2871.5753680005573</v>
      </c>
      <c r="O16" s="98">
        <f t="shared" si="1"/>
        <v>1435.7876840002787</v>
      </c>
      <c r="P16" s="150">
        <v>0.5</v>
      </c>
      <c r="Q16" s="147"/>
    </row>
    <row r="17" spans="1:17" ht="15.75" customHeight="1">
      <c r="A17" s="65">
        <f>+Pricing!A17</f>
        <v>45412</v>
      </c>
      <c r="B17" s="66"/>
      <c r="C17" s="71">
        <f>'Commodity Tonnages'!C17*Pricing!C17</f>
        <v>5287.414055668753</v>
      </c>
      <c r="D17" s="74">
        <f>'Commodity Tonnages'!D17*Pricing!D17</f>
        <v>-1611.3337442893276</v>
      </c>
      <c r="E17" s="74">
        <f>'Commodity Tonnages'!E17*Pricing!E17</f>
        <v>0</v>
      </c>
      <c r="F17" s="74">
        <f>'Commodity Tonnages'!F17*Pricing!F17</f>
        <v>316.7800713903928</v>
      </c>
      <c r="G17" s="74">
        <f>'Commodity Tonnages'!G17*Pricing!G17</f>
        <v>16.905614010965547</v>
      </c>
      <c r="H17" s="74">
        <f>'Commodity Tonnages'!H17*Pricing!H17</f>
        <v>3535.3658102847667</v>
      </c>
      <c r="I17" s="74">
        <f>'Commodity Tonnages'!I17*Pricing!I17</f>
        <v>356.27208043094095</v>
      </c>
      <c r="J17" s="74">
        <f>'Commodity Tonnages'!J17*Pricing!J17</f>
        <v>356.27208043094095</v>
      </c>
      <c r="K17" s="74">
        <f>'Commodity Tonnages'!K17*Pricing!K17</f>
        <v>6435.537137422823</v>
      </c>
      <c r="L17" s="74">
        <f>'Commodity Tonnages'!L17*Pricing!L17</f>
        <v>-8642.566061030502</v>
      </c>
      <c r="M17" s="128">
        <f t="shared" si="0"/>
        <v>6050.647044319754</v>
      </c>
      <c r="O17" s="98">
        <f t="shared" si="1"/>
        <v>3025.323522159877</v>
      </c>
      <c r="P17" s="150">
        <v>0.5</v>
      </c>
      <c r="Q17" s="147"/>
    </row>
    <row r="18" spans="1:16" ht="15.75" customHeight="1">
      <c r="A18" s="69" t="s">
        <v>31</v>
      </c>
      <c r="B18" s="66"/>
      <c r="C18" s="129">
        <f aca="true" t="shared" si="2" ref="C18:L18">SUM(C6:C17)</f>
        <v>62697.157006106936</v>
      </c>
      <c r="D18" s="130">
        <f t="shared" si="2"/>
        <v>-35481.9870949121</v>
      </c>
      <c r="E18" s="130">
        <f t="shared" si="2"/>
        <v>0</v>
      </c>
      <c r="F18" s="129">
        <f t="shared" si="2"/>
        <v>4141.943863512155</v>
      </c>
      <c r="G18" s="129">
        <f t="shared" si="2"/>
        <v>308.1864998648089</v>
      </c>
      <c r="H18" s="129">
        <f t="shared" si="2"/>
        <v>38434.68708127565</v>
      </c>
      <c r="I18" s="129">
        <f t="shared" si="2"/>
        <v>1259.758751147769</v>
      </c>
      <c r="J18" s="129">
        <f t="shared" si="2"/>
        <v>1259.758751147769</v>
      </c>
      <c r="K18" s="129">
        <f t="shared" si="2"/>
        <v>78303.99778164341</v>
      </c>
      <c r="L18" s="130">
        <f t="shared" si="2"/>
        <v>-107566.84221661011</v>
      </c>
      <c r="M18" s="131">
        <f>SUM(C18:L18)</f>
        <v>43356.66042317629</v>
      </c>
      <c r="O18" s="132">
        <f>SUM(O6:O17)</f>
        <v>21678.33021158814</v>
      </c>
      <c r="P18" s="137">
        <f>+O18/M18</f>
        <v>0.4999999999999999</v>
      </c>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zoomScaleSheetLayoutView="100" zoomScalePageLayoutView="0" workbookViewId="0" topLeftCell="A1">
      <selection activeCell="J6" sqref="J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2023 through April 2024)</v>
      </c>
      <c r="B1" s="60"/>
    </row>
    <row r="2" spans="1:2" ht="12.75">
      <c r="A2" s="61" t="str">
        <f>'WUTC_AW of Bellevue_SF'!A1</f>
        <v>Rabanco Ltd (dba Republic Services)</v>
      </c>
      <c r="B2" s="61"/>
    </row>
    <row r="3" spans="1:2" ht="12.75">
      <c r="A3" s="61"/>
      <c r="B3" s="61"/>
    </row>
    <row r="4" spans="1:2" ht="12.75">
      <c r="A4" s="61"/>
      <c r="B4" s="61"/>
    </row>
    <row r="5" spans="1:14" ht="12.75">
      <c r="A5" s="60"/>
      <c r="B5" s="62"/>
      <c r="C5" s="63" t="s">
        <v>21</v>
      </c>
      <c r="D5" s="63" t="s">
        <v>22</v>
      </c>
      <c r="E5" s="63" t="s">
        <v>85</v>
      </c>
      <c r="F5" s="63" t="s">
        <v>50</v>
      </c>
      <c r="G5" s="63" t="s">
        <v>86</v>
      </c>
      <c r="H5" s="63" t="s">
        <v>24</v>
      </c>
      <c r="I5" s="63" t="s">
        <v>25</v>
      </c>
      <c r="J5" s="63" t="s">
        <v>26</v>
      </c>
      <c r="K5" s="63" t="s">
        <v>27</v>
      </c>
      <c r="L5" s="63" t="s">
        <v>28</v>
      </c>
      <c r="M5" s="63"/>
      <c r="N5" s="63" t="s">
        <v>29</v>
      </c>
    </row>
    <row r="6" spans="1:16" ht="15.75" customHeight="1">
      <c r="A6" s="127">
        <f>'Single Family'!$C$6</f>
        <v>45047</v>
      </c>
      <c r="B6" s="66" t="s">
        <v>64</v>
      </c>
      <c r="C6" s="108">
        <f>'Single Family'!C32</f>
        <v>5.783799191271408</v>
      </c>
      <c r="D6" s="109">
        <f>'Single Family'!C34</f>
        <v>55.06730966539843</v>
      </c>
      <c r="E6" s="108">
        <f>'Single Family'!C35</f>
        <v>0</v>
      </c>
      <c r="F6" s="108">
        <f>'Single Family'!C30</f>
        <v>5.229662741808279</v>
      </c>
      <c r="G6" s="108">
        <f>'Single Family'!C33</f>
        <v>0.34633528091445553</v>
      </c>
      <c r="H6" s="108">
        <f>'Single Family'!C37</f>
        <v>114.9486797355078</v>
      </c>
      <c r="I6" s="108">
        <f>'Single Family'!C31/2</f>
        <v>8.104245573398261</v>
      </c>
      <c r="J6" s="108">
        <f>'Single Family'!C31/2</f>
        <v>8.104245573398261</v>
      </c>
      <c r="K6" s="108">
        <f>'Single Family'!C28</f>
        <v>90.08180656584989</v>
      </c>
      <c r="L6" s="108">
        <f>'Single Family'!C36</f>
        <v>58.66919658690877</v>
      </c>
      <c r="M6" s="64"/>
      <c r="N6" s="133">
        <f aca="true" t="shared" si="0" ref="N6:N17">SUM(C6:L6)</f>
        <v>346.33528091445555</v>
      </c>
      <c r="O6" s="75"/>
      <c r="P6" s="68"/>
    </row>
    <row r="7" spans="1:16" ht="15.75" customHeight="1">
      <c r="A7" s="65">
        <f aca="true" t="shared" si="1" ref="A7:A17">EOMONTH(A6,1)</f>
        <v>45107</v>
      </c>
      <c r="B7" s="66" t="s">
        <v>65</v>
      </c>
      <c r="C7" s="108">
        <f>'Single Family'!D32</f>
        <v>5.268861111100384</v>
      </c>
      <c r="D7" s="109">
        <f>'Single Family'!D34</f>
        <v>50.164605788321026</v>
      </c>
      <c r="E7" s="108">
        <f>'Single Family'!D35</f>
        <v>0</v>
      </c>
      <c r="F7" s="108">
        <f>'Single Family'!D30</f>
        <v>4.764060046563821</v>
      </c>
      <c r="G7" s="108">
        <f>'Single Family'!D33</f>
        <v>0.31550066533535237</v>
      </c>
      <c r="H7" s="108">
        <f>'Single Family'!D37</f>
        <v>104.71467082480345</v>
      </c>
      <c r="I7" s="108">
        <f>'Single Family'!D31/2</f>
        <v>7.382715568847246</v>
      </c>
      <c r="J7" s="108">
        <f>'Single Family'!D31/2</f>
        <v>7.382715568847246</v>
      </c>
      <c r="K7" s="108">
        <f>'Single Family'!D28</f>
        <v>82.06172305372516</v>
      </c>
      <c r="L7" s="108">
        <f>'Single Family'!D36</f>
        <v>53.44581270780869</v>
      </c>
      <c r="M7" s="64"/>
      <c r="N7" s="133">
        <f t="shared" si="0"/>
        <v>315.5006653353524</v>
      </c>
      <c r="P7" s="68"/>
    </row>
    <row r="8" spans="1:16" ht="15.75" customHeight="1">
      <c r="A8" s="65">
        <f t="shared" si="1"/>
        <v>45138</v>
      </c>
      <c r="B8" s="66" t="s">
        <v>66</v>
      </c>
      <c r="C8" s="108">
        <f>'Single Family'!E32</f>
        <v>4.868540951475389</v>
      </c>
      <c r="D8" s="109">
        <f>'Single Family'!E34</f>
        <v>46.353174328418376</v>
      </c>
      <c r="E8" s="108">
        <f>'Single Family'!E35</f>
        <v>0</v>
      </c>
      <c r="F8" s="108">
        <f>'Single Family'!E30</f>
        <v>4.402093914208286</v>
      </c>
      <c r="G8" s="108">
        <f>'Single Family'!E33</f>
        <v>0.29152939829193947</v>
      </c>
      <c r="H8" s="108">
        <f>'Single Family'!E37</f>
        <v>96.7586072930947</v>
      </c>
      <c r="I8" s="108">
        <f>'Single Family'!E31/2</f>
        <v>6.821787920031383</v>
      </c>
      <c r="J8" s="108">
        <f>'Single Family'!E31/2</f>
        <v>6.821787920031383</v>
      </c>
      <c r="K8" s="108">
        <f>'Single Family'!E28</f>
        <v>75.82679649573345</v>
      </c>
      <c r="L8" s="108">
        <f>'Single Family'!E36</f>
        <v>49.385080070654546</v>
      </c>
      <c r="M8" s="64"/>
      <c r="N8" s="133">
        <f t="shared" si="0"/>
        <v>291.5293982919395</v>
      </c>
      <c r="P8" s="68"/>
    </row>
    <row r="9" spans="1:16" ht="15.75" customHeight="1">
      <c r="A9" s="65">
        <f t="shared" si="1"/>
        <v>45169</v>
      </c>
      <c r="B9" s="66" t="s">
        <v>67</v>
      </c>
      <c r="C9" s="108">
        <f>'Single Family'!F32</f>
        <v>5.887735353951906</v>
      </c>
      <c r="D9" s="109">
        <f>'Single Family'!F34</f>
        <v>56.05688151367384</v>
      </c>
      <c r="E9" s="108">
        <f>'Single Family'!F35</f>
        <v>0</v>
      </c>
      <c r="F9" s="108">
        <f>'Single Family'!F30</f>
        <v>5.323640948782861</v>
      </c>
      <c r="G9" s="108">
        <f>'Single Family'!F33</f>
        <v>0.35255900323065303</v>
      </c>
      <c r="H9" s="108">
        <f>'Single Family'!F37</f>
        <v>117.01433317225374</v>
      </c>
      <c r="I9" s="108">
        <f>'Single Family'!F31/2</f>
        <v>8.249880675597282</v>
      </c>
      <c r="J9" s="108">
        <f>'Single Family'!F31/2</f>
        <v>8.249880675597282</v>
      </c>
      <c r="K9" s="108">
        <f>'Single Family'!F28</f>
        <v>91.70059674029285</v>
      </c>
      <c r="L9" s="108">
        <f>'Single Family'!F36</f>
        <v>59.72349514727262</v>
      </c>
      <c r="M9" s="64"/>
      <c r="N9" s="133">
        <f t="shared" si="0"/>
        <v>352.55900323065305</v>
      </c>
      <c r="P9" s="68"/>
    </row>
    <row r="10" spans="1:16" ht="15.75" customHeight="1">
      <c r="A10" s="65">
        <f t="shared" si="1"/>
        <v>45199</v>
      </c>
      <c r="B10" s="66" t="s">
        <v>68</v>
      </c>
      <c r="C10" s="108">
        <f>'Single Family'!G32</f>
        <v>4.649551943130894</v>
      </c>
      <c r="D10" s="109">
        <f>'Single Family'!G34</f>
        <v>44.26818915915043</v>
      </c>
      <c r="E10" s="108">
        <f>'Single Family'!G35</f>
        <v>0</v>
      </c>
      <c r="F10" s="108">
        <f>'Single Family'!G30</f>
        <v>4.2040858886991925</v>
      </c>
      <c r="G10" s="108">
        <f>'Single Family'!G33</f>
        <v>0.27841628401981405</v>
      </c>
      <c r="H10" s="108">
        <f>'Single Family'!G37</f>
        <v>92.40636466617627</v>
      </c>
      <c r="I10" s="108">
        <f>'Single Family'!G31/2</f>
        <v>6.514941046063649</v>
      </c>
      <c r="J10" s="108">
        <f>'Single Family'!G31/2</f>
        <v>6.514941046063649</v>
      </c>
      <c r="K10" s="108">
        <f>'Single Family'!G28</f>
        <v>72.41607547355363</v>
      </c>
      <c r="L10" s="108">
        <f>'Single Family'!G36</f>
        <v>47.1637185129565</v>
      </c>
      <c r="M10" s="64"/>
      <c r="N10" s="133">
        <f t="shared" si="0"/>
        <v>278.41628401981404</v>
      </c>
      <c r="P10" s="68"/>
    </row>
    <row r="11" spans="1:16" ht="15.75" customHeight="1">
      <c r="A11" s="65">
        <f t="shared" si="1"/>
        <v>45230</v>
      </c>
      <c r="B11" s="66" t="s">
        <v>69</v>
      </c>
      <c r="C11" s="108">
        <f>'Single Family'!H32</f>
        <v>5.375528541169073</v>
      </c>
      <c r="D11" s="109">
        <f>'Single Family'!H34</f>
        <v>51.18018191891513</v>
      </c>
      <c r="E11" s="108">
        <f>'Single Family'!H35</f>
        <v>0</v>
      </c>
      <c r="F11" s="108">
        <f>'Single Family'!H30</f>
        <v>4.860507842613953</v>
      </c>
      <c r="G11" s="108">
        <f>'Single Family'!H33</f>
        <v>0.32188793659695053</v>
      </c>
      <c r="H11" s="108">
        <f>'Single Family'!H37</f>
        <v>106.83460615652787</v>
      </c>
      <c r="I11" s="108">
        <f>'Single Family'!H31/2</f>
        <v>7.5321777163686425</v>
      </c>
      <c r="J11" s="108">
        <f>'Single Family'!H31/2</f>
        <v>7.5321777163686425</v>
      </c>
      <c r="K11" s="108">
        <f>'Single Family'!H28</f>
        <v>83.72305230886683</v>
      </c>
      <c r="L11" s="108">
        <f>'Single Family'!H36</f>
        <v>54.527816459523414</v>
      </c>
      <c r="M11" s="64"/>
      <c r="N11" s="133">
        <f t="shared" si="0"/>
        <v>321.8879365969505</v>
      </c>
      <c r="P11" s="68"/>
    </row>
    <row r="12" spans="1:16" ht="15.75" customHeight="1">
      <c r="A12" s="65">
        <f t="shared" si="1"/>
        <v>45260</v>
      </c>
      <c r="B12" s="66" t="s">
        <v>70</v>
      </c>
      <c r="C12" s="108">
        <f>'Single Family'!I32</f>
        <v>5.5950926587905325</v>
      </c>
      <c r="D12" s="109">
        <f>'Single Family'!I34</f>
        <v>53.27064267950268</v>
      </c>
      <c r="E12" s="108">
        <f>'Single Family'!I35</f>
        <v>0</v>
      </c>
      <c r="F12" s="108">
        <f>'Single Family'!I30</f>
        <v>5.059035877110003</v>
      </c>
      <c r="G12" s="108">
        <f>'Single Family'!I33</f>
        <v>0.33503548855033133</v>
      </c>
      <c r="H12" s="108">
        <f>'Single Family'!I37</f>
        <v>111.19827864985496</v>
      </c>
      <c r="I12" s="108">
        <f>'Single Family'!I31/2</f>
        <v>7.839830432077753</v>
      </c>
      <c r="J12" s="108">
        <f>'Single Family'!I31/2</f>
        <v>7.839830432077753</v>
      </c>
      <c r="K12" s="108">
        <f>'Single Family'!I28</f>
        <v>87.14273057194117</v>
      </c>
      <c r="L12" s="108">
        <f>'Single Family'!I36</f>
        <v>56.75501176042612</v>
      </c>
      <c r="M12" s="64"/>
      <c r="N12" s="133">
        <f t="shared" si="0"/>
        <v>335.03548855033125</v>
      </c>
      <c r="P12" s="68"/>
    </row>
    <row r="13" spans="1:16" ht="15.75" customHeight="1">
      <c r="A13" s="65">
        <f t="shared" si="1"/>
        <v>45291</v>
      </c>
      <c r="B13" s="66" t="s">
        <v>71</v>
      </c>
      <c r="C13" s="108">
        <f>'Single Family'!J32</f>
        <v>5.4172123221293225</v>
      </c>
      <c r="D13" s="109">
        <f>'Single Family'!J34</f>
        <v>51.57705145021331</v>
      </c>
      <c r="E13" s="108">
        <f>'Single Family'!J35</f>
        <v>0</v>
      </c>
      <c r="F13" s="108">
        <f>'Single Family'!J30</f>
        <v>4.898197967913339</v>
      </c>
      <c r="G13" s="108">
        <f>'Single Family'!J33</f>
        <v>0.32438397138498937</v>
      </c>
      <c r="H13" s="108">
        <f>'Single Family'!J37</f>
        <v>107.66304010267797</v>
      </c>
      <c r="I13" s="108">
        <f>'Single Family'!J31/2</f>
        <v>7.590584930408752</v>
      </c>
      <c r="J13" s="108">
        <f>'Single Family'!J31/2</f>
        <v>7.590584930408752</v>
      </c>
      <c r="K13" s="108">
        <f>'Single Family'!J28</f>
        <v>84.37227095723573</v>
      </c>
      <c r="L13" s="108">
        <f>'Single Family'!J36</f>
        <v>54.950644752617194</v>
      </c>
      <c r="M13" s="64"/>
      <c r="N13" s="133">
        <f t="shared" si="0"/>
        <v>324.3839713849893</v>
      </c>
      <c r="P13" s="68"/>
    </row>
    <row r="14" spans="1:16" ht="15.75" customHeight="1">
      <c r="A14" s="65">
        <f t="shared" si="1"/>
        <v>45322</v>
      </c>
      <c r="B14" s="66" t="s">
        <v>72</v>
      </c>
      <c r="C14" s="108">
        <f>'Single Family'!K32</f>
        <v>4.175409845922693</v>
      </c>
      <c r="D14" s="109">
        <f>'Single Family'!K34</f>
        <v>25.63059274651007</v>
      </c>
      <c r="E14" s="108">
        <f>'Single Family'!K35</f>
        <v>0</v>
      </c>
      <c r="F14" s="108">
        <f>'Single Family'!K30</f>
        <v>3.468802025843468</v>
      </c>
      <c r="G14" s="108">
        <f>'Single Family'!K33</f>
        <v>0.2141235818421894</v>
      </c>
      <c r="H14" s="108">
        <f>'Single Family'!K37</f>
        <v>66.4853721619998</v>
      </c>
      <c r="I14" s="108">
        <f>'Single Family'!K31/2</f>
        <v>5.417326620607392</v>
      </c>
      <c r="J14" s="108">
        <f>'Single Family'!K31/2</f>
        <v>5.417326620607392</v>
      </c>
      <c r="K14" s="108">
        <f>'Single Family'!K28</f>
        <v>56.33591438268003</v>
      </c>
      <c r="L14" s="108">
        <f>'Single Family'!K36</f>
        <v>46.98219876309642</v>
      </c>
      <c r="M14" s="64"/>
      <c r="N14" s="133">
        <f t="shared" si="0"/>
        <v>214.12706674910947</v>
      </c>
      <c r="P14" s="68"/>
    </row>
    <row r="15" spans="1:16" ht="15.75" customHeight="1">
      <c r="A15" s="65">
        <f t="shared" si="1"/>
        <v>45351</v>
      </c>
      <c r="B15" s="66" t="s">
        <v>73</v>
      </c>
      <c r="C15" s="108">
        <f>'Single Family'!L32</f>
        <v>4.240749546923341</v>
      </c>
      <c r="D15" s="109">
        <f>'Single Family'!L34</f>
        <v>26.031677988037124</v>
      </c>
      <c r="E15" s="108">
        <f>'Single Family'!L35</f>
        <v>0</v>
      </c>
      <c r="F15" s="108">
        <f>'Single Family'!L30</f>
        <v>3.523084238982468</v>
      </c>
      <c r="G15" s="108">
        <f>'Single Family'!L33</f>
        <v>0.21747433573965852</v>
      </c>
      <c r="H15" s="108">
        <f>'Single Family'!L37</f>
        <v>67.52578124716398</v>
      </c>
      <c r="I15" s="108">
        <f>'Single Family'!L31/2</f>
        <v>5.502100694213361</v>
      </c>
      <c r="J15" s="108">
        <f>'Single Family'!L31/2</f>
        <v>5.502100694213361</v>
      </c>
      <c r="K15" s="108">
        <f>'Single Family'!L28</f>
        <v>57.21749773310416</v>
      </c>
      <c r="L15" s="108">
        <f>'Single Family'!L36</f>
        <v>47.71740870243481</v>
      </c>
      <c r="M15" s="64"/>
      <c r="N15" s="133">
        <f t="shared" si="0"/>
        <v>217.47787518081225</v>
      </c>
      <c r="P15" s="68"/>
    </row>
    <row r="16" spans="1:16" ht="15.75" customHeight="1">
      <c r="A16" s="65">
        <f t="shared" si="1"/>
        <v>45382</v>
      </c>
      <c r="B16" s="66" t="s">
        <v>74</v>
      </c>
      <c r="C16" s="108">
        <f>'Single Family'!M32</f>
        <v>3.688364984543651</v>
      </c>
      <c r="D16" s="109">
        <f>'Single Family'!M34</f>
        <v>22.64088659742949</v>
      </c>
      <c r="E16" s="108">
        <f>'Single Family'!M35</f>
        <v>0</v>
      </c>
      <c r="F16" s="108">
        <f>'Single Family'!M30</f>
        <v>3.0641801410054943</v>
      </c>
      <c r="G16" s="108">
        <f>'Single Family'!M33</f>
        <v>0.18914692228428978</v>
      </c>
      <c r="H16" s="108">
        <f>'Single Family'!M37</f>
        <v>58.730119369271975</v>
      </c>
      <c r="I16" s="108">
        <f>'Single Family'!M31/2</f>
        <v>4.785417133792532</v>
      </c>
      <c r="J16" s="108">
        <f>'Single Family'!M31/2</f>
        <v>4.785417133792532</v>
      </c>
      <c r="K16" s="108">
        <f>'Single Family'!M28</f>
        <v>49.764555252996644</v>
      </c>
      <c r="L16" s="108">
        <f>'Single Family'!M36</f>
        <v>41.5019131556369</v>
      </c>
      <c r="M16" s="64"/>
      <c r="N16" s="133">
        <f t="shared" si="0"/>
        <v>189.15000069075353</v>
      </c>
      <c r="P16" s="68"/>
    </row>
    <row r="17" spans="1:16" ht="15.75" customHeight="1">
      <c r="A17" s="65">
        <f t="shared" si="1"/>
        <v>45412</v>
      </c>
      <c r="B17" s="66" t="s">
        <v>75</v>
      </c>
      <c r="C17" s="108">
        <f>'Single Family'!N32</f>
        <v>4.165312256315427</v>
      </c>
      <c r="D17" s="109">
        <f>'Single Family'!N34</f>
        <v>25.568609081074698</v>
      </c>
      <c r="E17" s="108">
        <f>'Single Family'!N35</f>
        <v>0</v>
      </c>
      <c r="F17" s="108">
        <f>'Single Family'!N30</f>
        <v>3.460413259092816</v>
      </c>
      <c r="G17" s="108">
        <f>'Single Family'!N33</f>
        <v>0.21360575673412446</v>
      </c>
      <c r="H17" s="108">
        <f>'Single Family'!N37</f>
        <v>66.32458746594564</v>
      </c>
      <c r="I17" s="108">
        <f>'Single Family'!N31/2</f>
        <v>5.40422564537335</v>
      </c>
      <c r="J17" s="108">
        <f>'Single Family'!N31/2</f>
        <v>5.40422564537335</v>
      </c>
      <c r="K17" s="108">
        <f>'Single Family'!N28</f>
        <v>56.199674596748146</v>
      </c>
      <c r="L17" s="108">
        <f>'Single Family'!N36</f>
        <v>46.868579506673</v>
      </c>
      <c r="M17" s="64"/>
      <c r="N17" s="133">
        <f t="shared" si="0"/>
        <v>213.60923321333053</v>
      </c>
      <c r="P17" s="68"/>
    </row>
    <row r="18" spans="1:15" ht="15.75" customHeight="1">
      <c r="A18" s="69" t="s">
        <v>31</v>
      </c>
      <c r="B18" s="66"/>
      <c r="C18" s="134">
        <f aca="true" t="shared" si="2" ref="C18:L18">SUM(C6:C17)</f>
        <v>59.11615870672402</v>
      </c>
      <c r="D18" s="134">
        <f t="shared" si="2"/>
        <v>507.80980291664457</v>
      </c>
      <c r="E18" s="134">
        <f t="shared" si="2"/>
        <v>0</v>
      </c>
      <c r="F18" s="134">
        <f t="shared" si="2"/>
        <v>52.25776489262399</v>
      </c>
      <c r="G18" s="134">
        <f t="shared" si="2"/>
        <v>3.399998624924748</v>
      </c>
      <c r="H18" s="134">
        <f t="shared" si="2"/>
        <v>1110.6044408452783</v>
      </c>
      <c r="I18" s="134">
        <f t="shared" si="2"/>
        <v>81.14523395677959</v>
      </c>
      <c r="J18" s="134">
        <f t="shared" si="2"/>
        <v>81.14523395677959</v>
      </c>
      <c r="K18" s="134">
        <f t="shared" si="2"/>
        <v>886.8426941327277</v>
      </c>
      <c r="L18" s="134">
        <f t="shared" si="2"/>
        <v>617.6908761260089</v>
      </c>
      <c r="M18" s="64"/>
      <c r="N18" s="135">
        <f>SUM(N6:N17)</f>
        <v>3400.012204158491</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O120"/>
  <sheetViews>
    <sheetView showGridLines="0" zoomScaleSheetLayoutView="100" zoomScalePageLayoutView="0" workbookViewId="0" topLeftCell="A1">
      <selection activeCell="I43" sqref="I43"/>
    </sheetView>
  </sheetViews>
  <sheetFormatPr defaultColWidth="9.140625" defaultRowHeight="12.75"/>
  <cols>
    <col min="2" max="2" width="2.28125" style="0" bestFit="1" customWidth="1"/>
    <col min="3" max="12" width="11.7109375" style="0" customWidth="1"/>
    <col min="15" max="15" width="9.8515625" style="0" bestFit="1" customWidth="1"/>
  </cols>
  <sheetData>
    <row r="1" spans="1:2" ht="12.75">
      <c r="A1" s="59" t="str">
        <f>"Commodity Pricing ("&amp;TEXT(A6,"mmmm yyyy")&amp;" through "&amp;TEXT(A17,"mmmm yyyy")&amp;")"</f>
        <v>Commodity Pricing (May 2023 through April 2024)</v>
      </c>
      <c r="B1" s="60"/>
    </row>
    <row r="2" spans="1:2" ht="12.75">
      <c r="A2" s="61" t="str">
        <f>Value!A2</f>
        <v>Rabanco Ltd (dba Republic Services)</v>
      </c>
      <c r="B2" s="61"/>
    </row>
    <row r="3" spans="1:2" ht="12.75">
      <c r="A3" s="61"/>
      <c r="B3" s="61"/>
    </row>
    <row r="4" spans="1:2" ht="12.75">
      <c r="A4" s="61"/>
      <c r="B4" s="61"/>
    </row>
    <row r="5" spans="2:13" ht="12.75">
      <c r="B5" s="70"/>
      <c r="C5" s="63" t="s">
        <v>21</v>
      </c>
      <c r="D5" s="63" t="s">
        <v>22</v>
      </c>
      <c r="E5" s="63" t="s">
        <v>85</v>
      </c>
      <c r="F5" s="63" t="s">
        <v>50</v>
      </c>
      <c r="G5" s="63" t="s">
        <v>86</v>
      </c>
      <c r="H5" s="63" t="s">
        <v>24</v>
      </c>
      <c r="I5" s="63" t="s">
        <v>25</v>
      </c>
      <c r="J5" s="63" t="s">
        <v>26</v>
      </c>
      <c r="K5" s="63" t="s">
        <v>27</v>
      </c>
      <c r="L5" s="63" t="s">
        <v>28</v>
      </c>
      <c r="M5" s="63"/>
    </row>
    <row r="6" spans="1:15" ht="15.75" customHeight="1">
      <c r="A6" s="127">
        <f>'Single Family'!$C$6</f>
        <v>45047</v>
      </c>
      <c r="B6" s="66" t="s">
        <v>64</v>
      </c>
      <c r="C6" s="106">
        <f>'Single Family'!C74</f>
        <v>1127.976</v>
      </c>
      <c r="D6" s="107">
        <f>'Single Family'!C76</f>
        <v>-65.42</v>
      </c>
      <c r="E6" s="107">
        <f>'Single Family'!C77</f>
        <v>0</v>
      </c>
      <c r="F6" s="108">
        <f>'Single Family'!C72</f>
        <v>92.48</v>
      </c>
      <c r="G6" s="106">
        <f>'Single Family'!C75</f>
        <v>108.384</v>
      </c>
      <c r="H6" s="106">
        <f>'Single Family'!C79</f>
        <v>32.744</v>
      </c>
      <c r="I6" s="106">
        <f>'Single Family'!C73</f>
        <v>157.58863247863246</v>
      </c>
      <c r="J6" s="106">
        <f>'Single Family'!C73</f>
        <v>157.58863247863246</v>
      </c>
      <c r="K6" s="106">
        <f>'Single Family'!C70</f>
        <v>80.80000000000001</v>
      </c>
      <c r="L6" s="107">
        <f>'Single Family'!C78</f>
        <v>-172.21</v>
      </c>
      <c r="M6" s="70"/>
      <c r="O6" s="242"/>
    </row>
    <row r="7" spans="1:15" ht="15.75" customHeight="1">
      <c r="A7" s="65">
        <f>+'Commodity Tonnages'!A7</f>
        <v>45107</v>
      </c>
      <c r="B7" s="66" t="s">
        <v>65</v>
      </c>
      <c r="C7" s="106">
        <f>'Single Family'!D74</f>
        <v>1099.104</v>
      </c>
      <c r="D7" s="107">
        <f>'Single Family'!D76</f>
        <v>-77.17</v>
      </c>
      <c r="E7" s="107">
        <f>'Single Family'!D77</f>
        <v>0</v>
      </c>
      <c r="F7" s="108">
        <f>'Single Family'!D72</f>
        <v>74.792</v>
      </c>
      <c r="G7" s="106">
        <f>'Single Family'!D75</f>
        <v>93.632</v>
      </c>
      <c r="H7" s="106">
        <f>'Single Family'!D79</f>
        <v>27.008</v>
      </c>
      <c r="I7" s="106">
        <f>'Single Family'!D73</f>
        <v>84.22632478632481</v>
      </c>
      <c r="J7" s="106">
        <f>'Single Family'!D73</f>
        <v>84.22632478632481</v>
      </c>
      <c r="K7" s="106">
        <f>'Single Family'!D70</f>
        <v>70.512</v>
      </c>
      <c r="L7" s="107">
        <f>'Single Family'!D78</f>
        <v>-172.21</v>
      </c>
      <c r="M7" s="70"/>
      <c r="O7" s="242"/>
    </row>
    <row r="8" spans="1:15" ht="15.75" customHeight="1">
      <c r="A8" s="65">
        <f>+'Commodity Tonnages'!A8</f>
        <v>45138</v>
      </c>
      <c r="B8" s="66" t="s">
        <v>66</v>
      </c>
      <c r="C8" s="106">
        <f>'Single Family'!E74</f>
        <v>1051.7520000000002</v>
      </c>
      <c r="D8" s="107">
        <f>'Single Family'!E76</f>
        <v>-75.66</v>
      </c>
      <c r="E8" s="107">
        <f>'Single Family'!E77</f>
        <v>0</v>
      </c>
      <c r="F8" s="108">
        <f>'Single Family'!E72</f>
        <v>76.84</v>
      </c>
      <c r="G8" s="106">
        <f>'Single Family'!E75</f>
        <v>93.104</v>
      </c>
      <c r="H8" s="106">
        <f>'Single Family'!E79</f>
        <v>15.408000000000001</v>
      </c>
      <c r="I8" s="106">
        <f>'Single Family'!E73</f>
        <v>18.462829059829062</v>
      </c>
      <c r="J8" s="106">
        <f>'Single Family'!E73</f>
        <v>18.462829059829062</v>
      </c>
      <c r="K8" s="106">
        <f>'Single Family'!E70</f>
        <v>74.88</v>
      </c>
      <c r="L8" s="107">
        <f>'Single Family'!E78</f>
        <v>-171.72</v>
      </c>
      <c r="M8" s="67"/>
      <c r="O8" s="242"/>
    </row>
    <row r="9" spans="1:15" ht="15.75" customHeight="1">
      <c r="A9" s="65">
        <f>+'Commodity Tonnages'!A9</f>
        <v>45169</v>
      </c>
      <c r="B9" s="66" t="s">
        <v>67</v>
      </c>
      <c r="C9" s="106">
        <f>'Single Family'!F74</f>
        <v>1025.08</v>
      </c>
      <c r="D9" s="107">
        <f>'Single Family'!F76</f>
        <v>-73.58</v>
      </c>
      <c r="E9" s="107">
        <f>'Single Family'!F77</f>
        <v>0</v>
      </c>
      <c r="F9" s="108">
        <f>'Single Family'!F72</f>
        <v>67.04</v>
      </c>
      <c r="G9" s="106">
        <f>'Single Family'!F75</f>
        <v>84.072</v>
      </c>
      <c r="H9" s="106">
        <f>'Single Family'!F79</f>
        <v>17.464</v>
      </c>
      <c r="I9" s="106">
        <f>'Single Family'!F73</f>
        <v>9.420952991452996</v>
      </c>
      <c r="J9" s="106">
        <f>'Single Family'!F73</f>
        <v>9.420952991452996</v>
      </c>
      <c r="K9" s="106">
        <f>'Single Family'!F70</f>
        <v>73.28</v>
      </c>
      <c r="L9" s="107">
        <f>'Single Family'!F78</f>
        <v>-171.7</v>
      </c>
      <c r="M9" s="67"/>
      <c r="O9" s="242"/>
    </row>
    <row r="10" spans="1:15" ht="15.75" customHeight="1">
      <c r="A10" s="65">
        <f>+'Commodity Tonnages'!A10</f>
        <v>45199</v>
      </c>
      <c r="B10" s="66" t="s">
        <v>68</v>
      </c>
      <c r="C10" s="106">
        <f>'Single Family'!G74</f>
        <v>992.04</v>
      </c>
      <c r="D10" s="107">
        <f>'Single Family'!G76</f>
        <v>-69.74</v>
      </c>
      <c r="E10" s="107">
        <f>'Single Family'!G77</f>
        <v>0</v>
      </c>
      <c r="F10" s="108">
        <f>'Single Family'!G72</f>
        <v>63.512</v>
      </c>
      <c r="G10" s="106">
        <f>'Single Family'!G75</f>
        <v>87.736</v>
      </c>
      <c r="H10" s="106">
        <f>'Single Family'!G79</f>
        <v>26.176000000000002</v>
      </c>
      <c r="I10" s="106">
        <f>'Single Family'!G73</f>
        <v>-21.72244444444445</v>
      </c>
      <c r="J10" s="106">
        <f>'Single Family'!G73</f>
        <v>-21.72244444444445</v>
      </c>
      <c r="K10" s="106">
        <f>'Single Family'!G70</f>
        <v>82.84800000000001</v>
      </c>
      <c r="L10" s="107">
        <f>'Single Family'!G78</f>
        <v>-171.77</v>
      </c>
      <c r="M10" s="67"/>
      <c r="O10" s="242"/>
    </row>
    <row r="11" spans="1:15" ht="15.75" customHeight="1">
      <c r="A11" s="65">
        <f>+'Commodity Tonnages'!A11</f>
        <v>45230</v>
      </c>
      <c r="B11" s="66" t="s">
        <v>69</v>
      </c>
      <c r="C11" s="106">
        <f>'Single Family'!H74</f>
        <v>1018.896</v>
      </c>
      <c r="D11" s="107">
        <f>'Single Family'!H76</f>
        <v>-59.02</v>
      </c>
      <c r="E11" s="107">
        <f>'Single Family'!H77</f>
        <v>0</v>
      </c>
      <c r="F11" s="108">
        <f>'Single Family'!H72</f>
        <v>73.512</v>
      </c>
      <c r="G11" s="106">
        <f>'Single Family'!H75</f>
        <v>98.528</v>
      </c>
      <c r="H11" s="106">
        <f>'Single Family'!H79</f>
        <v>46.2</v>
      </c>
      <c r="I11" s="106">
        <f>'Single Family'!H73</f>
        <v>12.714162393162393</v>
      </c>
      <c r="J11" s="106">
        <f>'Single Family'!H73</f>
        <v>12.714162393162393</v>
      </c>
      <c r="K11" s="106">
        <f>'Single Family'!H70</f>
        <v>100.03200000000001</v>
      </c>
      <c r="L11" s="107">
        <f>'Single Family'!H78</f>
        <v>-172.32</v>
      </c>
      <c r="M11" s="67"/>
      <c r="O11" s="242"/>
    </row>
    <row r="12" spans="1:15" ht="15.75" customHeight="1">
      <c r="A12" s="65">
        <f>+'Commodity Tonnages'!A12</f>
        <v>45260</v>
      </c>
      <c r="B12" s="66" t="s">
        <v>70</v>
      </c>
      <c r="C12" s="106">
        <f>'Single Family'!I74</f>
        <v>1002.088</v>
      </c>
      <c r="D12" s="107">
        <f>'Single Family'!I76</f>
        <v>-65.42</v>
      </c>
      <c r="E12" s="107">
        <f>'Single Family'!I77</f>
        <v>0</v>
      </c>
      <c r="F12" s="108">
        <f>'Single Family'!I72</f>
        <v>83.272</v>
      </c>
      <c r="G12" s="106">
        <f>'Single Family'!I75</f>
        <v>83.57600000000001</v>
      </c>
      <c r="H12" s="106">
        <f>'Single Family'!I79</f>
        <v>28.6</v>
      </c>
      <c r="I12" s="106">
        <f>'Single Family'!I73</f>
        <v>-18.604649572649578</v>
      </c>
      <c r="J12" s="106">
        <f>'Single Family'!I73</f>
        <v>-18.604649572649578</v>
      </c>
      <c r="K12" s="106">
        <f>'Single Family'!I70</f>
        <v>85.44</v>
      </c>
      <c r="L12" s="107">
        <f>'Single Family'!I78</f>
        <v>-171.84</v>
      </c>
      <c r="M12" s="67"/>
      <c r="O12" s="242"/>
    </row>
    <row r="13" spans="1:15" ht="15.75" customHeight="1">
      <c r="A13" s="65">
        <f>+'Commodity Tonnages'!A13</f>
        <v>45291</v>
      </c>
      <c r="B13" s="66" t="s">
        <v>71</v>
      </c>
      <c r="C13" s="106">
        <f>'Single Family'!J74</f>
        <v>976.1040000000002</v>
      </c>
      <c r="D13" s="107">
        <f>'Single Family'!J76</f>
        <v>-96.35</v>
      </c>
      <c r="E13" s="107">
        <f>'Single Family'!J77</f>
        <v>0</v>
      </c>
      <c r="F13" s="108">
        <f>'Single Family'!J72</f>
        <v>72.072</v>
      </c>
      <c r="G13" s="106">
        <f>'Single Family'!J75</f>
        <v>89.584</v>
      </c>
      <c r="H13" s="106">
        <f>'Single Family'!J79</f>
        <v>42.56</v>
      </c>
      <c r="I13" s="106">
        <f>'Single Family'!J73</f>
        <v>12.315025641025642</v>
      </c>
      <c r="J13" s="106">
        <f>'Single Family'!J73</f>
        <v>12.315025641025642</v>
      </c>
      <c r="K13" s="106">
        <f>'Single Family'!J70</f>
        <v>89.49600000000001</v>
      </c>
      <c r="L13" s="107">
        <f>'Single Family'!J78</f>
        <v>-171.71</v>
      </c>
      <c r="M13" s="67"/>
      <c r="O13" s="242"/>
    </row>
    <row r="14" spans="1:15" ht="15.75" customHeight="1">
      <c r="A14" s="65">
        <f>+'Commodity Tonnages'!A14</f>
        <v>45322</v>
      </c>
      <c r="B14" s="66" t="s">
        <v>72</v>
      </c>
      <c r="C14" s="106">
        <f>'Single Family'!K74</f>
        <v>1032.008</v>
      </c>
      <c r="D14" s="107">
        <f>'Single Family'!K76</f>
        <v>-60.42</v>
      </c>
      <c r="E14" s="107">
        <f>'Single Family'!K77</f>
        <v>0</v>
      </c>
      <c r="F14" s="108">
        <f>'Single Family'!K72</f>
        <v>70.968</v>
      </c>
      <c r="G14" s="106">
        <f>'Single Family'!K75</f>
        <v>90.72000000000001</v>
      </c>
      <c r="H14" s="106">
        <f>'Single Family'!K79</f>
        <v>51.48</v>
      </c>
      <c r="I14" s="106">
        <f>'Single Family'!K73</f>
        <v>23.630869565217395</v>
      </c>
      <c r="J14" s="106">
        <f>'Single Family'!K73</f>
        <v>23.630869565217395</v>
      </c>
      <c r="K14" s="106">
        <f>'Single Family'!K70</f>
        <v>100.12</v>
      </c>
      <c r="L14" s="107">
        <f>'Single Family'!K78</f>
        <v>-171.64</v>
      </c>
      <c r="M14" s="67"/>
      <c r="O14" s="242"/>
    </row>
    <row r="15" spans="1:15" ht="15.75" customHeight="1">
      <c r="A15" s="65">
        <f>+'Commodity Tonnages'!A15</f>
        <v>45351</v>
      </c>
      <c r="B15" s="66" t="s">
        <v>73</v>
      </c>
      <c r="C15" s="106">
        <f>'Single Family'!L74</f>
        <v>1081.872</v>
      </c>
      <c r="D15" s="107">
        <f>'Single Family'!L76</f>
        <v>-55.51</v>
      </c>
      <c r="E15" s="107">
        <f>'Single Family'!L77</f>
        <v>0</v>
      </c>
      <c r="F15" s="108">
        <f>'Single Family'!L72</f>
        <v>104.80799999999999</v>
      </c>
      <c r="G15" s="106">
        <f>'Single Family'!L75</f>
        <v>90.256</v>
      </c>
      <c r="H15" s="106">
        <f>'Single Family'!L79</f>
        <v>48.488</v>
      </c>
      <c r="I15" s="106">
        <f>'Single Family'!L73</f>
        <v>-115.20189723320159</v>
      </c>
      <c r="J15" s="106">
        <f>'Single Family'!L73</f>
        <v>-115.20189723320159</v>
      </c>
      <c r="K15" s="106">
        <f>'Single Family'!L70</f>
        <v>102.18400000000001</v>
      </c>
      <c r="L15" s="107">
        <f>'Single Family'!$L$78</f>
        <v>-179.13</v>
      </c>
      <c r="M15" s="67"/>
      <c r="O15" s="242"/>
    </row>
    <row r="16" spans="1:15" ht="15.75" customHeight="1">
      <c r="A16" s="65">
        <f>+'Commodity Tonnages'!A16</f>
        <v>45382</v>
      </c>
      <c r="B16" s="66" t="s">
        <v>74</v>
      </c>
      <c r="C16" s="106">
        <f>'Single Family'!M74</f>
        <v>1100.1200000000001</v>
      </c>
      <c r="D16" s="107">
        <f>'Single Family'!M76</f>
        <v>-53.41</v>
      </c>
      <c r="E16" s="107">
        <f>'Single Family'!M77</f>
        <v>0</v>
      </c>
      <c r="F16" s="108">
        <f>'Single Family'!M72</f>
        <v>90.08</v>
      </c>
      <c r="G16" s="106">
        <f>'Single Family'!M75</f>
        <v>80.168</v>
      </c>
      <c r="H16" s="106">
        <f>'Single Family'!M79</f>
        <v>50.384</v>
      </c>
      <c r="I16" s="106">
        <f>'Single Family'!M73</f>
        <v>-124.37162055335968</v>
      </c>
      <c r="J16" s="106">
        <f>'Single Family'!M73</f>
        <v>-124.37162055335968</v>
      </c>
      <c r="K16" s="106">
        <f>'Single Family'!M70</f>
        <v>111.48</v>
      </c>
      <c r="L16" s="107">
        <f>'Single Family'!$M$78</f>
        <v>-182.75</v>
      </c>
      <c r="M16" s="67"/>
      <c r="O16" s="242"/>
    </row>
    <row r="17" spans="1:15" ht="15.75" customHeight="1">
      <c r="A17" s="65">
        <f>+'Commodity Tonnages'!A17</f>
        <v>45412</v>
      </c>
      <c r="B17" s="66" t="s">
        <v>75</v>
      </c>
      <c r="C17" s="106">
        <f>'Single Family'!N74</f>
        <v>1269.392</v>
      </c>
      <c r="D17" s="107">
        <f>'Single Family'!N76</f>
        <v>-63.02</v>
      </c>
      <c r="E17" s="107">
        <f>'Single Family'!N77</f>
        <v>0</v>
      </c>
      <c r="F17" s="108">
        <f>'Single Family'!N72</f>
        <v>91.54400000000001</v>
      </c>
      <c r="G17" s="106">
        <f>'Single Family'!N75</f>
        <v>79.144</v>
      </c>
      <c r="H17" s="106">
        <f>'Single Family'!N79</f>
        <v>53.304</v>
      </c>
      <c r="I17" s="106">
        <f>'Single Family'!N73</f>
        <v>65.92472332015811</v>
      </c>
      <c r="J17" s="106">
        <f>'Single Family'!N73</f>
        <v>65.92472332015811</v>
      </c>
      <c r="K17" s="106">
        <f>'Single Family'!N70</f>
        <v>114.512</v>
      </c>
      <c r="L17" s="107">
        <f>'Single Family'!$N$78</f>
        <v>-184.4</v>
      </c>
      <c r="M17" s="67"/>
      <c r="O17" s="242"/>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AD117"/>
  <sheetViews>
    <sheetView showGridLines="0" zoomScaleSheetLayoutView="100" zoomScalePageLayoutView="0" workbookViewId="0" topLeftCell="A1">
      <pane xSplit="2" ySplit="6" topLeftCell="C56" activePane="bottomRight" state="frozen"/>
      <selection pane="topLeft" activeCell="I58" sqref="I58"/>
      <selection pane="topRight" activeCell="I58" sqref="I58"/>
      <selection pane="bottomLeft" activeCell="I58" sqref="I58"/>
      <selection pane="bottomRight" activeCell="C69" sqref="C69:N79"/>
    </sheetView>
  </sheetViews>
  <sheetFormatPr defaultColWidth="9.140625" defaultRowHeight="12.75"/>
  <cols>
    <col min="1" max="1" width="6.00390625" style="66" customWidth="1"/>
    <col min="2" max="2" width="17.8515625" style="66" customWidth="1"/>
    <col min="3" max="3" width="10.421875" style="66" bestFit="1" customWidth="1"/>
    <col min="4" max="5" width="9.57421875" style="66" bestFit="1" customWidth="1"/>
    <col min="6" max="7" width="9.57421875" style="66" customWidth="1"/>
    <col min="8" max="14" width="9.5742187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76</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4">
        <v>45047</v>
      </c>
      <c r="D6" s="87">
        <f aca="true" t="shared" si="0" ref="D6:N6">EOMONTH(C6,1)</f>
        <v>45107</v>
      </c>
      <c r="E6" s="87">
        <f t="shared" si="0"/>
        <v>45138</v>
      </c>
      <c r="F6" s="87">
        <f t="shared" si="0"/>
        <v>45169</v>
      </c>
      <c r="G6" s="87">
        <f t="shared" si="0"/>
        <v>45199</v>
      </c>
      <c r="H6" s="87">
        <f t="shared" si="0"/>
        <v>45230</v>
      </c>
      <c r="I6" s="87">
        <f t="shared" si="0"/>
        <v>45260</v>
      </c>
      <c r="J6" s="87">
        <f t="shared" si="0"/>
        <v>45291</v>
      </c>
      <c r="K6" s="87">
        <f t="shared" si="0"/>
        <v>45322</v>
      </c>
      <c r="L6" s="87">
        <f t="shared" si="0"/>
        <v>45351</v>
      </c>
      <c r="M6" s="87">
        <f t="shared" si="0"/>
        <v>45382</v>
      </c>
      <c r="N6" s="87">
        <f t="shared" si="0"/>
        <v>45412</v>
      </c>
    </row>
    <row r="7" spans="1:14" s="67" customFormat="1" ht="11.25">
      <c r="A7" s="88" t="s">
        <v>44</v>
      </c>
      <c r="C7" s="125">
        <v>346.33528091445555</v>
      </c>
      <c r="D7" s="125">
        <v>315.5006653353524</v>
      </c>
      <c r="E7" s="125">
        <v>291.52939829193946</v>
      </c>
      <c r="F7" s="125">
        <v>352.55900323065305</v>
      </c>
      <c r="G7" s="125">
        <v>278.41628401981404</v>
      </c>
      <c r="H7" s="125">
        <v>321.8879365969505</v>
      </c>
      <c r="I7" s="125">
        <v>335.0354885503313</v>
      </c>
      <c r="J7" s="125">
        <v>324.38397138498937</v>
      </c>
      <c r="K7" s="125">
        <v>214.1235818421894</v>
      </c>
      <c r="L7" s="125">
        <v>217.47433573965853</v>
      </c>
      <c r="M7" s="125">
        <v>189.1469222842898</v>
      </c>
      <c r="N7" s="125">
        <v>213.60575673412447</v>
      </c>
    </row>
    <row r="8" spans="1:14" ht="11.25">
      <c r="A8" s="66" t="s">
        <v>45</v>
      </c>
      <c r="C8" s="89">
        <v>0</v>
      </c>
      <c r="D8" s="89">
        <v>0</v>
      </c>
      <c r="E8" s="89">
        <v>0</v>
      </c>
      <c r="F8" s="89">
        <v>0</v>
      </c>
      <c r="G8" s="89">
        <v>0</v>
      </c>
      <c r="H8" s="89">
        <v>0</v>
      </c>
      <c r="I8" s="89">
        <v>0</v>
      </c>
      <c r="J8" s="89">
        <v>0</v>
      </c>
      <c r="K8" s="89">
        <v>0</v>
      </c>
      <c r="L8" s="89">
        <v>0</v>
      </c>
      <c r="M8" s="89">
        <v>0</v>
      </c>
      <c r="N8" s="89">
        <v>0</v>
      </c>
    </row>
    <row r="9" spans="1:14" ht="11.25">
      <c r="A9" s="66" t="s">
        <v>46</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47</v>
      </c>
      <c r="C10" s="91">
        <f aca="true" t="shared" si="2" ref="C10:L10">+C7-C9</f>
        <v>346.33528091445555</v>
      </c>
      <c r="D10" s="91">
        <f t="shared" si="2"/>
        <v>315.5006653353524</v>
      </c>
      <c r="E10" s="91">
        <f t="shared" si="2"/>
        <v>291.52939829193946</v>
      </c>
      <c r="F10" s="91">
        <f t="shared" si="2"/>
        <v>352.55900323065305</v>
      </c>
      <c r="G10" s="91">
        <f t="shared" si="2"/>
        <v>278.41628401981404</v>
      </c>
      <c r="H10" s="91">
        <f t="shared" si="2"/>
        <v>321.8879365969505</v>
      </c>
      <c r="I10" s="91">
        <f t="shared" si="2"/>
        <v>335.0354885503313</v>
      </c>
      <c r="J10" s="91">
        <f t="shared" si="2"/>
        <v>324.38397138498937</v>
      </c>
      <c r="K10" s="91">
        <f t="shared" si="2"/>
        <v>214.1235818421894</v>
      </c>
      <c r="L10" s="91">
        <f t="shared" si="2"/>
        <v>217.47433573965853</v>
      </c>
      <c r="M10" s="91">
        <f>+M7-M9</f>
        <v>189.1469222842898</v>
      </c>
      <c r="N10" s="91">
        <f>+N7-N9</f>
        <v>213.60575673412447</v>
      </c>
    </row>
    <row r="11" ht="11.25"/>
    <row r="12" spans="1:28" ht="11.25">
      <c r="A12" s="83" t="s">
        <v>48</v>
      </c>
      <c r="T12" s="92"/>
      <c r="U12" s="92"/>
      <c r="V12" s="92"/>
      <c r="W12" s="92"/>
      <c r="X12" s="92"/>
      <c r="Y12" s="92"/>
      <c r="Z12" s="92"/>
      <c r="AA12" s="92"/>
      <c r="AB12" s="92"/>
    </row>
    <row r="13" spans="2:14" s="92" customFormat="1" ht="11.25">
      <c r="B13" s="92" t="s">
        <v>23</v>
      </c>
      <c r="C13" s="123">
        <v>0</v>
      </c>
      <c r="D13" s="123">
        <v>0</v>
      </c>
      <c r="E13" s="123">
        <v>0</v>
      </c>
      <c r="F13" s="123">
        <v>0</v>
      </c>
      <c r="G13" s="123">
        <v>0</v>
      </c>
      <c r="H13" s="123">
        <v>0</v>
      </c>
      <c r="I13" s="123">
        <v>0</v>
      </c>
      <c r="J13" s="123">
        <v>0</v>
      </c>
      <c r="K13" s="123">
        <v>0</v>
      </c>
      <c r="L13" s="123">
        <v>0</v>
      </c>
      <c r="M13" s="123">
        <v>0</v>
      </c>
      <c r="N13" s="123">
        <v>0</v>
      </c>
    </row>
    <row r="14" spans="2:14" s="92" customFormat="1" ht="11.25">
      <c r="B14" s="92" t="s">
        <v>27</v>
      </c>
      <c r="C14" s="123">
        <v>0.2601</v>
      </c>
      <c r="D14" s="123">
        <v>0.2601</v>
      </c>
      <c r="E14" s="123">
        <v>0.2601</v>
      </c>
      <c r="F14" s="123">
        <v>0.2601</v>
      </c>
      <c r="G14" s="123">
        <v>0.2601</v>
      </c>
      <c r="H14" s="123">
        <v>0.2601</v>
      </c>
      <c r="I14" s="123">
        <v>0.2601</v>
      </c>
      <c r="J14" s="123">
        <v>0.2601</v>
      </c>
      <c r="K14" s="123">
        <v>0.2631</v>
      </c>
      <c r="L14" s="123">
        <v>0.2631</v>
      </c>
      <c r="M14" s="123">
        <v>0.2631</v>
      </c>
      <c r="N14" s="123">
        <v>0.2631</v>
      </c>
    </row>
    <row r="15" spans="2:14" s="92" customFormat="1" ht="11.25">
      <c r="B15" s="92" t="s">
        <v>49</v>
      </c>
      <c r="C15" s="123">
        <v>0</v>
      </c>
      <c r="D15" s="123">
        <v>0</v>
      </c>
      <c r="E15" s="123">
        <v>0</v>
      </c>
      <c r="F15" s="123">
        <v>0</v>
      </c>
      <c r="G15" s="123">
        <v>0</v>
      </c>
      <c r="H15" s="123">
        <v>0</v>
      </c>
      <c r="I15" s="123">
        <v>0</v>
      </c>
      <c r="J15" s="123">
        <v>0</v>
      </c>
      <c r="K15" s="123">
        <v>0</v>
      </c>
      <c r="L15" s="123">
        <v>0</v>
      </c>
      <c r="M15" s="123">
        <v>0</v>
      </c>
      <c r="N15" s="123">
        <v>0</v>
      </c>
    </row>
    <row r="16" spans="2:14" s="92" customFormat="1" ht="11.25">
      <c r="B16" s="92" t="s">
        <v>50</v>
      </c>
      <c r="C16" s="123">
        <v>0.0151</v>
      </c>
      <c r="D16" s="123">
        <v>0.0151</v>
      </c>
      <c r="E16" s="123">
        <v>0.0151</v>
      </c>
      <c r="F16" s="123">
        <v>0.0151</v>
      </c>
      <c r="G16" s="123">
        <v>0.0151</v>
      </c>
      <c r="H16" s="123">
        <v>0.0151</v>
      </c>
      <c r="I16" s="123">
        <v>0.0151</v>
      </c>
      <c r="J16" s="123">
        <v>0.0151</v>
      </c>
      <c r="K16" s="123">
        <v>0.0162</v>
      </c>
      <c r="L16" s="123">
        <v>0.0162</v>
      </c>
      <c r="M16" s="123">
        <v>0.0162</v>
      </c>
      <c r="N16" s="123">
        <v>0.0162</v>
      </c>
    </row>
    <row r="17" spans="2:14" s="92" customFormat="1" ht="11.25">
      <c r="B17" s="92" t="s">
        <v>51</v>
      </c>
      <c r="C17" s="123">
        <v>0.0468</v>
      </c>
      <c r="D17" s="123">
        <v>0.0468</v>
      </c>
      <c r="E17" s="123">
        <v>0.0468</v>
      </c>
      <c r="F17" s="123">
        <v>0.0468</v>
      </c>
      <c r="G17" s="123">
        <v>0.0468</v>
      </c>
      <c r="H17" s="123">
        <v>0.0468</v>
      </c>
      <c r="I17" s="123">
        <v>0.0468</v>
      </c>
      <c r="J17" s="123">
        <v>0.0468</v>
      </c>
      <c r="K17" s="123">
        <v>0.050600000000000006</v>
      </c>
      <c r="L17" s="123">
        <v>0.050600000000000006</v>
      </c>
      <c r="M17" s="123">
        <v>0.050600000000000006</v>
      </c>
      <c r="N17" s="123">
        <v>0.050600000000000006</v>
      </c>
    </row>
    <row r="18" spans="2:14" s="92" customFormat="1" ht="11.25">
      <c r="B18" s="92" t="s">
        <v>52</v>
      </c>
      <c r="C18" s="123">
        <v>0.0167</v>
      </c>
      <c r="D18" s="123">
        <v>0.0167</v>
      </c>
      <c r="E18" s="123">
        <v>0.0167</v>
      </c>
      <c r="F18" s="123">
        <v>0.0167</v>
      </c>
      <c r="G18" s="123">
        <v>0.0167</v>
      </c>
      <c r="H18" s="123">
        <v>0.0167</v>
      </c>
      <c r="I18" s="123">
        <v>0.0167</v>
      </c>
      <c r="J18" s="123">
        <v>0.0167</v>
      </c>
      <c r="K18" s="123">
        <v>0.0195</v>
      </c>
      <c r="L18" s="123">
        <v>0.0195</v>
      </c>
      <c r="M18" s="123">
        <v>0.0195</v>
      </c>
      <c r="N18" s="123">
        <v>0.0195</v>
      </c>
    </row>
    <row r="19" spans="2:14" s="92" customFormat="1" ht="11.25">
      <c r="B19" s="66" t="s">
        <v>53</v>
      </c>
      <c r="C19" s="123">
        <v>0.001</v>
      </c>
      <c r="D19" s="123">
        <v>0.001</v>
      </c>
      <c r="E19" s="123">
        <v>0.001</v>
      </c>
      <c r="F19" s="123">
        <v>0.001</v>
      </c>
      <c r="G19" s="123">
        <v>0.001</v>
      </c>
      <c r="H19" s="123">
        <v>0.001</v>
      </c>
      <c r="I19" s="123">
        <v>0.001</v>
      </c>
      <c r="J19" s="123">
        <v>0.001</v>
      </c>
      <c r="K19" s="123">
        <v>0.001</v>
      </c>
      <c r="L19" s="123">
        <v>0.001</v>
      </c>
      <c r="M19" s="123">
        <v>0.001</v>
      </c>
      <c r="N19" s="123">
        <v>0.001</v>
      </c>
    </row>
    <row r="20" spans="2:14" s="92" customFormat="1" ht="11.25">
      <c r="B20" s="66" t="s">
        <v>22</v>
      </c>
      <c r="C20" s="123">
        <v>0.159</v>
      </c>
      <c r="D20" s="123">
        <v>0.159</v>
      </c>
      <c r="E20" s="123">
        <v>0.159</v>
      </c>
      <c r="F20" s="123">
        <v>0.159</v>
      </c>
      <c r="G20" s="123">
        <v>0.159</v>
      </c>
      <c r="H20" s="123">
        <v>0.159</v>
      </c>
      <c r="I20" s="123">
        <v>0.159</v>
      </c>
      <c r="J20" s="123">
        <v>0.159</v>
      </c>
      <c r="K20" s="123">
        <v>0.1197</v>
      </c>
      <c r="L20" s="123">
        <v>0.1197</v>
      </c>
      <c r="M20" s="123">
        <v>0.1197</v>
      </c>
      <c r="N20" s="123">
        <v>0.1197</v>
      </c>
    </row>
    <row r="21" spans="2:14" s="92" customFormat="1" ht="11.25">
      <c r="B21" s="66" t="s">
        <v>84</v>
      </c>
      <c r="C21" s="123">
        <v>0</v>
      </c>
      <c r="D21" s="123">
        <v>0</v>
      </c>
      <c r="E21" s="123">
        <v>0</v>
      </c>
      <c r="F21" s="123">
        <v>0</v>
      </c>
      <c r="G21" s="123">
        <v>0</v>
      </c>
      <c r="H21" s="123">
        <v>0</v>
      </c>
      <c r="I21" s="123">
        <v>0</v>
      </c>
      <c r="J21" s="123">
        <v>0</v>
      </c>
      <c r="K21" s="123">
        <v>0</v>
      </c>
      <c r="L21" s="123">
        <v>0</v>
      </c>
      <c r="M21" s="123">
        <v>0</v>
      </c>
      <c r="N21" s="123">
        <v>0</v>
      </c>
    </row>
    <row r="22" spans="2:14" s="92" customFormat="1" ht="11.25">
      <c r="B22" s="92" t="s">
        <v>55</v>
      </c>
      <c r="C22" s="123">
        <v>0.1694</v>
      </c>
      <c r="D22" s="123">
        <v>0.1694</v>
      </c>
      <c r="E22" s="123">
        <v>0.1694</v>
      </c>
      <c r="F22" s="123">
        <v>0.1694</v>
      </c>
      <c r="G22" s="123">
        <v>0.1694</v>
      </c>
      <c r="H22" s="123">
        <v>0.1694</v>
      </c>
      <c r="I22" s="123">
        <v>0.1694</v>
      </c>
      <c r="J22" s="123">
        <v>0.1694</v>
      </c>
      <c r="K22" s="123">
        <v>0.2194162752130806</v>
      </c>
      <c r="L22" s="123">
        <v>0.2194162752130806</v>
      </c>
      <c r="M22" s="123">
        <v>0.2194162752130806</v>
      </c>
      <c r="N22" s="123">
        <v>0.2194162752130806</v>
      </c>
    </row>
    <row r="23" spans="2:14" s="92" customFormat="1" ht="11.25">
      <c r="B23" s="92" t="s">
        <v>56</v>
      </c>
      <c r="C23" s="123">
        <v>0.3319</v>
      </c>
      <c r="D23" s="123">
        <v>0.3319</v>
      </c>
      <c r="E23" s="123">
        <v>0.3319</v>
      </c>
      <c r="F23" s="123">
        <v>0.3319</v>
      </c>
      <c r="G23" s="123">
        <v>0.3319</v>
      </c>
      <c r="H23" s="123">
        <v>0.3319</v>
      </c>
      <c r="I23" s="123">
        <v>0.3319</v>
      </c>
      <c r="J23" s="123">
        <v>0.3319</v>
      </c>
      <c r="K23" s="123">
        <v>0.3105</v>
      </c>
      <c r="L23" s="123">
        <v>0.3105</v>
      </c>
      <c r="M23" s="123">
        <v>0.3105</v>
      </c>
      <c r="N23" s="123">
        <v>0.3105</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57</v>
      </c>
    </row>
    <row r="27" spans="2:14" ht="11.25">
      <c r="B27" s="66" t="s">
        <v>23</v>
      </c>
      <c r="C27" s="75">
        <f aca="true" t="shared" si="3" ref="C27:C37">+C$10*C13</f>
        <v>0</v>
      </c>
      <c r="D27" s="75">
        <f aca="true" t="shared" si="4" ref="D27:M27">+D$10*D13</f>
        <v>0</v>
      </c>
      <c r="E27" s="75">
        <f>+E$10*E13</f>
        <v>0</v>
      </c>
      <c r="F27" s="75">
        <f t="shared" si="4"/>
        <v>0</v>
      </c>
      <c r="G27" s="75">
        <f t="shared" si="4"/>
        <v>0</v>
      </c>
      <c r="H27" s="75">
        <f t="shared" si="4"/>
        <v>0</v>
      </c>
      <c r="I27" s="75">
        <f t="shared" si="4"/>
        <v>0</v>
      </c>
      <c r="J27" s="75">
        <f t="shared" si="4"/>
        <v>0</v>
      </c>
      <c r="K27" s="75">
        <f t="shared" si="4"/>
        <v>0</v>
      </c>
      <c r="L27" s="75">
        <f t="shared" si="4"/>
        <v>0</v>
      </c>
      <c r="M27" s="75">
        <f t="shared" si="4"/>
        <v>0</v>
      </c>
      <c r="N27" s="75">
        <f>+N$10*N13</f>
        <v>0</v>
      </c>
    </row>
    <row r="28" spans="2:14" ht="11.25">
      <c r="B28" s="66" t="s">
        <v>27</v>
      </c>
      <c r="C28" s="75">
        <f t="shared" si="3"/>
        <v>90.08180656584989</v>
      </c>
      <c r="D28" s="75">
        <f aca="true" t="shared" si="5" ref="D28:M28">+D$10*D14</f>
        <v>82.06172305372516</v>
      </c>
      <c r="E28" s="75">
        <f>+E$10*E14</f>
        <v>75.82679649573345</v>
      </c>
      <c r="F28" s="75">
        <f t="shared" si="5"/>
        <v>91.70059674029285</v>
      </c>
      <c r="G28" s="75">
        <f t="shared" si="5"/>
        <v>72.41607547355363</v>
      </c>
      <c r="H28" s="75">
        <f t="shared" si="5"/>
        <v>83.72305230886683</v>
      </c>
      <c r="I28" s="75">
        <f t="shared" si="5"/>
        <v>87.14273057194117</v>
      </c>
      <c r="J28" s="75">
        <f t="shared" si="5"/>
        <v>84.37227095723573</v>
      </c>
      <c r="K28" s="75">
        <f t="shared" si="5"/>
        <v>56.33591438268003</v>
      </c>
      <c r="L28" s="75">
        <f t="shared" si="5"/>
        <v>57.21749773310416</v>
      </c>
      <c r="M28" s="75">
        <f t="shared" si="5"/>
        <v>49.764555252996644</v>
      </c>
      <c r="N28" s="75">
        <f>+N$10*N14</f>
        <v>56.199674596748146</v>
      </c>
    </row>
    <row r="29" spans="2:14" ht="11.25">
      <c r="B29" s="66" t="s">
        <v>49</v>
      </c>
      <c r="C29" s="75">
        <f t="shared" si="3"/>
        <v>0</v>
      </c>
      <c r="D29" s="75">
        <f aca="true" t="shared" si="6" ref="D29:N29">+D$10*D15</f>
        <v>0</v>
      </c>
      <c r="E29" s="75">
        <f t="shared" si="6"/>
        <v>0</v>
      </c>
      <c r="F29" s="75">
        <f t="shared" si="6"/>
        <v>0</v>
      </c>
      <c r="G29" s="75">
        <f t="shared" si="6"/>
        <v>0</v>
      </c>
      <c r="H29" s="75">
        <f t="shared" si="6"/>
        <v>0</v>
      </c>
      <c r="I29" s="75">
        <f t="shared" si="6"/>
        <v>0</v>
      </c>
      <c r="J29" s="75">
        <f t="shared" si="6"/>
        <v>0</v>
      </c>
      <c r="K29" s="75">
        <f t="shared" si="6"/>
        <v>0</v>
      </c>
      <c r="L29" s="75">
        <f t="shared" si="6"/>
        <v>0</v>
      </c>
      <c r="M29" s="75">
        <f t="shared" si="6"/>
        <v>0</v>
      </c>
      <c r="N29" s="75">
        <f t="shared" si="6"/>
        <v>0</v>
      </c>
    </row>
    <row r="30" spans="2:16" ht="11.25">
      <c r="B30" s="66" t="s">
        <v>50</v>
      </c>
      <c r="C30" s="75">
        <f t="shared" si="3"/>
        <v>5.229662741808279</v>
      </c>
      <c r="D30" s="75">
        <f aca="true" t="shared" si="7" ref="D30:N30">+D$10*D16</f>
        <v>4.764060046563821</v>
      </c>
      <c r="E30" s="75">
        <f t="shared" si="7"/>
        <v>4.402093914208286</v>
      </c>
      <c r="F30" s="75">
        <f t="shared" si="7"/>
        <v>5.323640948782861</v>
      </c>
      <c r="G30" s="75">
        <f t="shared" si="7"/>
        <v>4.2040858886991925</v>
      </c>
      <c r="H30" s="75">
        <f t="shared" si="7"/>
        <v>4.860507842613953</v>
      </c>
      <c r="I30" s="75">
        <f t="shared" si="7"/>
        <v>5.059035877110003</v>
      </c>
      <c r="J30" s="75">
        <f t="shared" si="7"/>
        <v>4.898197967913339</v>
      </c>
      <c r="K30" s="75">
        <f t="shared" si="7"/>
        <v>3.468802025843468</v>
      </c>
      <c r="L30" s="75">
        <f t="shared" si="7"/>
        <v>3.523084238982468</v>
      </c>
      <c r="M30" s="75">
        <f t="shared" si="7"/>
        <v>3.0641801410054943</v>
      </c>
      <c r="N30" s="75">
        <f t="shared" si="7"/>
        <v>3.460413259092816</v>
      </c>
      <c r="P30" s="103"/>
    </row>
    <row r="31" spans="2:16" ht="12.75">
      <c r="B31" s="66" t="s">
        <v>51</v>
      </c>
      <c r="C31" s="75">
        <f t="shared" si="3"/>
        <v>16.208491146796522</v>
      </c>
      <c r="D31" s="75">
        <f aca="true" t="shared" si="8" ref="D31:N31">+D$10*D17</f>
        <v>14.765431137694492</v>
      </c>
      <c r="E31" s="75">
        <f t="shared" si="8"/>
        <v>13.643575840062766</v>
      </c>
      <c r="F31" s="75">
        <f t="shared" si="8"/>
        <v>16.499761351194564</v>
      </c>
      <c r="G31" s="75">
        <f t="shared" si="8"/>
        <v>13.029882092127298</v>
      </c>
      <c r="H31" s="75">
        <f t="shared" si="8"/>
        <v>15.064355432737285</v>
      </c>
      <c r="I31" s="75">
        <f t="shared" si="8"/>
        <v>15.679660864155506</v>
      </c>
      <c r="J31" s="75">
        <f t="shared" si="8"/>
        <v>15.181169860817503</v>
      </c>
      <c r="K31" s="75">
        <f t="shared" si="8"/>
        <v>10.834653241214784</v>
      </c>
      <c r="L31" s="75">
        <f t="shared" si="8"/>
        <v>11.004201388426722</v>
      </c>
      <c r="M31" s="75">
        <f t="shared" si="8"/>
        <v>9.570834267585065</v>
      </c>
      <c r="N31" s="75">
        <f t="shared" si="8"/>
        <v>10.8084512907467</v>
      </c>
      <c r="P31" s="60"/>
    </row>
    <row r="32" spans="2:16" ht="12.75">
      <c r="B32" s="66" t="s">
        <v>52</v>
      </c>
      <c r="C32" s="75">
        <f t="shared" si="3"/>
        <v>5.783799191271408</v>
      </c>
      <c r="D32" s="75">
        <f aca="true" t="shared" si="9" ref="D32:N32">+D$10*D18</f>
        <v>5.268861111100384</v>
      </c>
      <c r="E32" s="75">
        <f t="shared" si="9"/>
        <v>4.868540951475389</v>
      </c>
      <c r="F32" s="75">
        <f t="shared" si="9"/>
        <v>5.887735353951906</v>
      </c>
      <c r="G32" s="75">
        <f t="shared" si="9"/>
        <v>4.649551943130894</v>
      </c>
      <c r="H32" s="75">
        <f t="shared" si="9"/>
        <v>5.375528541169073</v>
      </c>
      <c r="I32" s="75">
        <f t="shared" si="9"/>
        <v>5.5950926587905325</v>
      </c>
      <c r="J32" s="75">
        <f t="shared" si="9"/>
        <v>5.4172123221293225</v>
      </c>
      <c r="K32" s="75">
        <f t="shared" si="9"/>
        <v>4.175409845922693</v>
      </c>
      <c r="L32" s="75">
        <f t="shared" si="9"/>
        <v>4.240749546923341</v>
      </c>
      <c r="M32" s="75">
        <f t="shared" si="9"/>
        <v>3.688364984543651</v>
      </c>
      <c r="N32" s="75">
        <f t="shared" si="9"/>
        <v>4.165312256315427</v>
      </c>
      <c r="P32" s="60"/>
    </row>
    <row r="33" spans="2:16" ht="12.75">
      <c r="B33" s="66" t="s">
        <v>53</v>
      </c>
      <c r="C33" s="75">
        <f t="shared" si="3"/>
        <v>0.34633528091445553</v>
      </c>
      <c r="D33" s="75">
        <f aca="true" t="shared" si="10" ref="D33:N33">+D$10*D19</f>
        <v>0.31550066533535237</v>
      </c>
      <c r="E33" s="75">
        <f t="shared" si="10"/>
        <v>0.29152939829193947</v>
      </c>
      <c r="F33" s="75">
        <f t="shared" si="10"/>
        <v>0.35255900323065303</v>
      </c>
      <c r="G33" s="75">
        <f t="shared" si="10"/>
        <v>0.27841628401981405</v>
      </c>
      <c r="H33" s="75">
        <f t="shared" si="10"/>
        <v>0.32188793659695053</v>
      </c>
      <c r="I33" s="75">
        <f t="shared" si="10"/>
        <v>0.33503548855033133</v>
      </c>
      <c r="J33" s="75">
        <f t="shared" si="10"/>
        <v>0.32438397138498937</v>
      </c>
      <c r="K33" s="75">
        <f t="shared" si="10"/>
        <v>0.2141235818421894</v>
      </c>
      <c r="L33" s="75">
        <f t="shared" si="10"/>
        <v>0.21747433573965852</v>
      </c>
      <c r="M33" s="75">
        <f t="shared" si="10"/>
        <v>0.18914692228428978</v>
      </c>
      <c r="N33" s="75">
        <f t="shared" si="10"/>
        <v>0.21360575673412446</v>
      </c>
      <c r="P33" s="60"/>
    </row>
    <row r="34" spans="2:16" ht="12.75">
      <c r="B34" s="66" t="s">
        <v>22</v>
      </c>
      <c r="C34" s="75">
        <f t="shared" si="3"/>
        <v>55.06730966539843</v>
      </c>
      <c r="D34" s="75">
        <f aca="true" t="shared" si="11" ref="D34:N34">+D$10*D20</f>
        <v>50.164605788321026</v>
      </c>
      <c r="E34" s="75">
        <f t="shared" si="11"/>
        <v>46.353174328418376</v>
      </c>
      <c r="F34" s="75">
        <f t="shared" si="11"/>
        <v>56.05688151367384</v>
      </c>
      <c r="G34" s="75">
        <f t="shared" si="11"/>
        <v>44.26818915915043</v>
      </c>
      <c r="H34" s="75">
        <f t="shared" si="11"/>
        <v>51.18018191891513</v>
      </c>
      <c r="I34" s="75">
        <f t="shared" si="11"/>
        <v>53.27064267950268</v>
      </c>
      <c r="J34" s="75">
        <f t="shared" si="11"/>
        <v>51.57705145021331</v>
      </c>
      <c r="K34" s="75">
        <f t="shared" si="11"/>
        <v>25.63059274651007</v>
      </c>
      <c r="L34" s="75">
        <f t="shared" si="11"/>
        <v>26.031677988037124</v>
      </c>
      <c r="M34" s="75">
        <f t="shared" si="11"/>
        <v>22.64088659742949</v>
      </c>
      <c r="N34" s="75">
        <f t="shared" si="11"/>
        <v>25.568609081074698</v>
      </c>
      <c r="P34" s="60"/>
    </row>
    <row r="35" spans="2:16" ht="12.75">
      <c r="B35" s="66" t="s">
        <v>84</v>
      </c>
      <c r="C35" s="75">
        <f t="shared" si="3"/>
        <v>0</v>
      </c>
      <c r="D35" s="75">
        <f aca="true" t="shared" si="12" ref="D35:N35">+D$10*D21</f>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c r="P35" s="60"/>
    </row>
    <row r="36" spans="2:16" ht="12.75">
      <c r="B36" s="66" t="s">
        <v>55</v>
      </c>
      <c r="C36" s="75">
        <f t="shared" si="3"/>
        <v>58.66919658690877</v>
      </c>
      <c r="D36" s="75">
        <f aca="true" t="shared" si="13" ref="D36:N36">+D$10*D22</f>
        <v>53.44581270780869</v>
      </c>
      <c r="E36" s="75">
        <f t="shared" si="13"/>
        <v>49.385080070654546</v>
      </c>
      <c r="F36" s="75">
        <f t="shared" si="13"/>
        <v>59.72349514727262</v>
      </c>
      <c r="G36" s="75">
        <f t="shared" si="13"/>
        <v>47.1637185129565</v>
      </c>
      <c r="H36" s="75">
        <f t="shared" si="13"/>
        <v>54.527816459523414</v>
      </c>
      <c r="I36" s="75">
        <f t="shared" si="13"/>
        <v>56.75501176042612</v>
      </c>
      <c r="J36" s="75">
        <f t="shared" si="13"/>
        <v>54.950644752617194</v>
      </c>
      <c r="K36" s="75">
        <f t="shared" si="13"/>
        <v>46.98219876309642</v>
      </c>
      <c r="L36" s="75">
        <f t="shared" si="13"/>
        <v>47.71740870243481</v>
      </c>
      <c r="M36" s="75">
        <f t="shared" si="13"/>
        <v>41.5019131556369</v>
      </c>
      <c r="N36" s="75">
        <f t="shared" si="13"/>
        <v>46.868579506673</v>
      </c>
      <c r="P36" s="60"/>
    </row>
    <row r="37" spans="2:16" ht="12.75">
      <c r="B37" s="66" t="s">
        <v>56</v>
      </c>
      <c r="C37" s="90">
        <f t="shared" si="3"/>
        <v>114.9486797355078</v>
      </c>
      <c r="D37" s="90">
        <f aca="true" t="shared" si="14" ref="D37:N37">+D$10*D23</f>
        <v>104.71467082480345</v>
      </c>
      <c r="E37" s="90">
        <f t="shared" si="14"/>
        <v>96.7586072930947</v>
      </c>
      <c r="F37" s="90">
        <f t="shared" si="14"/>
        <v>117.01433317225374</v>
      </c>
      <c r="G37" s="90">
        <f t="shared" si="14"/>
        <v>92.40636466617627</v>
      </c>
      <c r="H37" s="90">
        <f t="shared" si="14"/>
        <v>106.83460615652787</v>
      </c>
      <c r="I37" s="90">
        <f t="shared" si="14"/>
        <v>111.19827864985496</v>
      </c>
      <c r="J37" s="90">
        <f t="shared" si="14"/>
        <v>107.66304010267797</v>
      </c>
      <c r="K37" s="90">
        <f t="shared" si="14"/>
        <v>66.4853721619998</v>
      </c>
      <c r="L37" s="90">
        <f t="shared" si="14"/>
        <v>67.52578124716398</v>
      </c>
      <c r="M37" s="90">
        <f t="shared" si="14"/>
        <v>58.730119369271975</v>
      </c>
      <c r="N37" s="90">
        <f t="shared" si="14"/>
        <v>66.32458746594564</v>
      </c>
      <c r="P37" s="60"/>
    </row>
    <row r="38" spans="3:16" ht="12.75">
      <c r="C38" s="75">
        <f>SUM(C27:C37)</f>
        <v>346.33528091445555</v>
      </c>
      <c r="D38" s="75">
        <f>SUM(D27:D37)</f>
        <v>315.5006653353524</v>
      </c>
      <c r="E38" s="75">
        <f>SUM(E27:E37)</f>
        <v>291.5293982919394</v>
      </c>
      <c r="F38" s="75">
        <f aca="true" t="shared" si="15" ref="F38:N38">SUM(F27:F37)</f>
        <v>352.55900323065305</v>
      </c>
      <c r="G38" s="75">
        <f t="shared" si="15"/>
        <v>278.41628401981404</v>
      </c>
      <c r="H38" s="75">
        <f t="shared" si="15"/>
        <v>321.8879365969505</v>
      </c>
      <c r="I38" s="75">
        <f t="shared" si="15"/>
        <v>335.0354885503313</v>
      </c>
      <c r="J38" s="75">
        <f t="shared" si="15"/>
        <v>324.3839713849893</v>
      </c>
      <c r="K38" s="75">
        <f t="shared" si="15"/>
        <v>214.12706674910947</v>
      </c>
      <c r="L38" s="75">
        <f t="shared" si="15"/>
        <v>217.47787518081225</v>
      </c>
      <c r="M38" s="75">
        <f t="shared" si="15"/>
        <v>189.15000069075347</v>
      </c>
      <c r="N38" s="75">
        <f t="shared" si="15"/>
        <v>213.60923321333053</v>
      </c>
      <c r="P38" s="60"/>
    </row>
    <row r="39" ht="11.25">
      <c r="P39" s="103"/>
    </row>
    <row r="40" ht="11.25">
      <c r="A40" s="83" t="s">
        <v>58</v>
      </c>
    </row>
    <row r="41" spans="2:14" ht="11.25">
      <c r="B41" s="66" t="s">
        <v>23</v>
      </c>
      <c r="C41" s="94">
        <v>1</v>
      </c>
      <c r="D41" s="95">
        <v>1</v>
      </c>
      <c r="E41" s="95">
        <v>1</v>
      </c>
      <c r="F41" s="95">
        <v>1</v>
      </c>
      <c r="G41" s="95">
        <v>1</v>
      </c>
      <c r="H41" s="95">
        <v>1</v>
      </c>
      <c r="I41" s="95">
        <v>1</v>
      </c>
      <c r="J41" s="95">
        <v>1</v>
      </c>
      <c r="K41" s="95">
        <v>1</v>
      </c>
      <c r="L41" s="95">
        <v>1</v>
      </c>
      <c r="M41" s="95">
        <v>1</v>
      </c>
      <c r="N41" s="95">
        <v>1</v>
      </c>
    </row>
    <row r="42" spans="2:14" ht="11.25">
      <c r="B42" s="66" t="s">
        <v>27</v>
      </c>
      <c r="C42" s="94">
        <v>1</v>
      </c>
      <c r="D42" s="95">
        <v>1</v>
      </c>
      <c r="E42" s="95">
        <v>1</v>
      </c>
      <c r="F42" s="95">
        <v>1</v>
      </c>
      <c r="G42" s="95">
        <v>1</v>
      </c>
      <c r="H42" s="95">
        <v>1</v>
      </c>
      <c r="I42" s="95">
        <v>1</v>
      </c>
      <c r="J42" s="95">
        <v>1</v>
      </c>
      <c r="K42" s="95">
        <v>1</v>
      </c>
      <c r="L42" s="95">
        <v>1</v>
      </c>
      <c r="M42" s="95">
        <v>1</v>
      </c>
      <c r="N42" s="95">
        <v>1</v>
      </c>
    </row>
    <row r="43" spans="2:14" ht="11.25">
      <c r="B43" s="66" t="s">
        <v>49</v>
      </c>
      <c r="C43" s="94">
        <v>1</v>
      </c>
      <c r="D43" s="95">
        <v>1</v>
      </c>
      <c r="E43" s="95">
        <v>1</v>
      </c>
      <c r="F43" s="95">
        <v>1</v>
      </c>
      <c r="G43" s="95">
        <v>1</v>
      </c>
      <c r="H43" s="95">
        <v>1</v>
      </c>
      <c r="I43" s="95">
        <v>1</v>
      </c>
      <c r="J43" s="95">
        <v>1</v>
      </c>
      <c r="K43" s="95">
        <v>1</v>
      </c>
      <c r="L43" s="95">
        <v>1</v>
      </c>
      <c r="M43" s="95">
        <v>1</v>
      </c>
      <c r="N43" s="95">
        <v>1</v>
      </c>
    </row>
    <row r="44" spans="2:14" ht="11.25">
      <c r="B44" s="66" t="s">
        <v>50</v>
      </c>
      <c r="C44" s="94">
        <v>1</v>
      </c>
      <c r="D44" s="95">
        <v>1</v>
      </c>
      <c r="E44" s="95">
        <v>1</v>
      </c>
      <c r="F44" s="95">
        <v>1</v>
      </c>
      <c r="G44" s="95">
        <v>1</v>
      </c>
      <c r="H44" s="95">
        <v>1</v>
      </c>
      <c r="I44" s="95">
        <v>1</v>
      </c>
      <c r="J44" s="95">
        <v>1</v>
      </c>
      <c r="K44" s="95">
        <v>1</v>
      </c>
      <c r="L44" s="95">
        <v>1</v>
      </c>
      <c r="M44" s="95">
        <v>1</v>
      </c>
      <c r="N44" s="95">
        <v>1</v>
      </c>
    </row>
    <row r="45" spans="2:14" ht="11.25">
      <c r="B45" s="66" t="s">
        <v>51</v>
      </c>
      <c r="C45" s="94">
        <v>1</v>
      </c>
      <c r="D45" s="95">
        <v>1</v>
      </c>
      <c r="E45" s="95">
        <v>1</v>
      </c>
      <c r="F45" s="95">
        <v>1</v>
      </c>
      <c r="G45" s="95">
        <v>1</v>
      </c>
      <c r="H45" s="95">
        <v>1</v>
      </c>
      <c r="I45" s="95">
        <v>1</v>
      </c>
      <c r="J45" s="95">
        <v>1</v>
      </c>
      <c r="K45" s="95">
        <v>1</v>
      </c>
      <c r="L45" s="95">
        <v>1</v>
      </c>
      <c r="M45" s="95">
        <v>1</v>
      </c>
      <c r="N45" s="95">
        <v>1</v>
      </c>
    </row>
    <row r="46" spans="2:14" ht="11.25">
      <c r="B46" s="66" t="s">
        <v>52</v>
      </c>
      <c r="C46" s="94">
        <v>1</v>
      </c>
      <c r="D46" s="95">
        <v>1</v>
      </c>
      <c r="E46" s="95">
        <v>1</v>
      </c>
      <c r="F46" s="95">
        <v>1</v>
      </c>
      <c r="G46" s="95">
        <v>1</v>
      </c>
      <c r="H46" s="95">
        <v>1</v>
      </c>
      <c r="I46" s="95">
        <v>1</v>
      </c>
      <c r="J46" s="95">
        <v>1</v>
      </c>
      <c r="K46" s="95">
        <v>1</v>
      </c>
      <c r="L46" s="95">
        <v>1</v>
      </c>
      <c r="M46" s="95">
        <v>1</v>
      </c>
      <c r="N46" s="95">
        <v>1</v>
      </c>
    </row>
    <row r="47" spans="2:14" ht="11.25">
      <c r="B47" s="66" t="s">
        <v>53</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84</v>
      </c>
      <c r="C49" s="94">
        <v>1</v>
      </c>
      <c r="D49" s="95">
        <v>1</v>
      </c>
      <c r="E49" s="95">
        <v>1</v>
      </c>
      <c r="F49" s="95">
        <v>1</v>
      </c>
      <c r="G49" s="95">
        <v>1</v>
      </c>
      <c r="H49" s="95">
        <v>1</v>
      </c>
      <c r="I49" s="95">
        <v>1</v>
      </c>
      <c r="J49" s="95">
        <v>1</v>
      </c>
      <c r="K49" s="95">
        <v>1</v>
      </c>
      <c r="L49" s="95">
        <v>1</v>
      </c>
      <c r="M49" s="95">
        <v>1</v>
      </c>
      <c r="N49" s="95">
        <v>1</v>
      </c>
    </row>
    <row r="50" spans="2:14" ht="11.25">
      <c r="B50" s="66" t="s">
        <v>55</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56</v>
      </c>
      <c r="C52" s="93">
        <f>+C65/C37</f>
        <v>0.9999999999999998</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59</v>
      </c>
      <c r="L54" s="93"/>
      <c r="N54" s="95"/>
    </row>
    <row r="55" spans="2:14" ht="11.25">
      <c r="B55" s="66" t="s">
        <v>23</v>
      </c>
      <c r="C55" s="75">
        <f aca="true" t="shared" si="16" ref="C55:N55">+C27*C41</f>
        <v>0</v>
      </c>
      <c r="D55" s="75">
        <f t="shared" si="16"/>
        <v>0</v>
      </c>
      <c r="E55" s="75">
        <f>+E27*E41</f>
        <v>0</v>
      </c>
      <c r="F55" s="75">
        <f>+F27*F41</f>
        <v>0</v>
      </c>
      <c r="G55" s="75">
        <f t="shared" si="16"/>
        <v>0</v>
      </c>
      <c r="H55" s="75">
        <f t="shared" si="16"/>
        <v>0</v>
      </c>
      <c r="I55" s="75">
        <f t="shared" si="16"/>
        <v>0</v>
      </c>
      <c r="J55" s="75">
        <f t="shared" si="16"/>
        <v>0</v>
      </c>
      <c r="K55" s="75">
        <f t="shared" si="16"/>
        <v>0</v>
      </c>
      <c r="L55" s="75">
        <f t="shared" si="16"/>
        <v>0</v>
      </c>
      <c r="M55" s="75">
        <f t="shared" si="16"/>
        <v>0</v>
      </c>
      <c r="N55" s="75">
        <f t="shared" si="16"/>
        <v>0</v>
      </c>
    </row>
    <row r="56" spans="2:16" ht="12.75">
      <c r="B56" s="66" t="s">
        <v>27</v>
      </c>
      <c r="C56" s="75">
        <f aca="true" t="shared" si="17" ref="C56:N56">+C28*C42</f>
        <v>90.08180656584989</v>
      </c>
      <c r="D56" s="75">
        <f t="shared" si="17"/>
        <v>82.06172305372516</v>
      </c>
      <c r="E56" s="75">
        <f t="shared" si="17"/>
        <v>75.82679649573345</v>
      </c>
      <c r="F56" s="75">
        <f t="shared" si="17"/>
        <v>91.70059674029285</v>
      </c>
      <c r="G56" s="75">
        <f t="shared" si="17"/>
        <v>72.41607547355363</v>
      </c>
      <c r="H56" s="75">
        <f t="shared" si="17"/>
        <v>83.72305230886683</v>
      </c>
      <c r="I56" s="75">
        <f t="shared" si="17"/>
        <v>87.14273057194117</v>
      </c>
      <c r="J56" s="75">
        <f t="shared" si="17"/>
        <v>84.37227095723573</v>
      </c>
      <c r="K56" s="75">
        <f t="shared" si="17"/>
        <v>56.33591438268003</v>
      </c>
      <c r="L56" s="75">
        <f t="shared" si="17"/>
        <v>57.21749773310416</v>
      </c>
      <c r="M56" s="75">
        <f t="shared" si="17"/>
        <v>49.764555252996644</v>
      </c>
      <c r="N56" s="75">
        <f t="shared" si="17"/>
        <v>56.199674596748146</v>
      </c>
      <c r="P56" s="145"/>
    </row>
    <row r="57" spans="2:16" ht="12.75">
      <c r="B57" s="66" t="s">
        <v>49</v>
      </c>
      <c r="C57" s="75">
        <f aca="true" t="shared" si="18" ref="C57:N57">+C29*C43</f>
        <v>0</v>
      </c>
      <c r="D57" s="75">
        <f t="shared" si="18"/>
        <v>0</v>
      </c>
      <c r="E57" s="75">
        <f t="shared" si="18"/>
        <v>0</v>
      </c>
      <c r="F57" s="75">
        <f t="shared" si="18"/>
        <v>0</v>
      </c>
      <c r="G57" s="75">
        <f t="shared" si="18"/>
        <v>0</v>
      </c>
      <c r="H57" s="75">
        <f t="shared" si="18"/>
        <v>0</v>
      </c>
      <c r="I57" s="75">
        <f t="shared" si="18"/>
        <v>0</v>
      </c>
      <c r="J57" s="75">
        <f t="shared" si="18"/>
        <v>0</v>
      </c>
      <c r="K57" s="75">
        <f t="shared" si="18"/>
        <v>0</v>
      </c>
      <c r="L57" s="75">
        <f t="shared" si="18"/>
        <v>0</v>
      </c>
      <c r="M57" s="75">
        <f t="shared" si="18"/>
        <v>0</v>
      </c>
      <c r="N57" s="75">
        <f t="shared" si="18"/>
        <v>0</v>
      </c>
      <c r="P57" s="145"/>
    </row>
    <row r="58" spans="2:16" ht="12.75">
      <c r="B58" s="66" t="s">
        <v>50</v>
      </c>
      <c r="C58" s="75">
        <f aca="true" t="shared" si="19" ref="C58:N58">+C30*C44</f>
        <v>5.229662741808279</v>
      </c>
      <c r="D58" s="75">
        <f t="shared" si="19"/>
        <v>4.764060046563821</v>
      </c>
      <c r="E58" s="75">
        <f t="shared" si="19"/>
        <v>4.402093914208286</v>
      </c>
      <c r="F58" s="75">
        <f t="shared" si="19"/>
        <v>5.323640948782861</v>
      </c>
      <c r="G58" s="75">
        <f t="shared" si="19"/>
        <v>4.2040858886991925</v>
      </c>
      <c r="H58" s="75">
        <f t="shared" si="19"/>
        <v>4.860507842613953</v>
      </c>
      <c r="I58" s="75">
        <f t="shared" si="19"/>
        <v>5.059035877110003</v>
      </c>
      <c r="J58" s="75">
        <f t="shared" si="19"/>
        <v>4.898197967913339</v>
      </c>
      <c r="K58" s="75">
        <f t="shared" si="19"/>
        <v>3.468802025843468</v>
      </c>
      <c r="L58" s="75">
        <f t="shared" si="19"/>
        <v>3.523084238982468</v>
      </c>
      <c r="M58" s="75">
        <f t="shared" si="19"/>
        <v>3.0641801410054943</v>
      </c>
      <c r="N58" s="75">
        <f t="shared" si="19"/>
        <v>3.460413259092816</v>
      </c>
      <c r="P58" s="145"/>
    </row>
    <row r="59" spans="2:16" ht="12.75">
      <c r="B59" s="66" t="s">
        <v>51</v>
      </c>
      <c r="C59" s="75">
        <f aca="true" t="shared" si="20" ref="C59:N59">+C31*C45</f>
        <v>16.208491146796522</v>
      </c>
      <c r="D59" s="75">
        <f t="shared" si="20"/>
        <v>14.765431137694492</v>
      </c>
      <c r="E59" s="75">
        <f t="shared" si="20"/>
        <v>13.643575840062766</v>
      </c>
      <c r="F59" s="75">
        <f t="shared" si="20"/>
        <v>16.499761351194564</v>
      </c>
      <c r="G59" s="75">
        <f t="shared" si="20"/>
        <v>13.029882092127298</v>
      </c>
      <c r="H59" s="75">
        <f t="shared" si="20"/>
        <v>15.064355432737285</v>
      </c>
      <c r="I59" s="75">
        <f t="shared" si="20"/>
        <v>15.679660864155506</v>
      </c>
      <c r="J59" s="75">
        <f t="shared" si="20"/>
        <v>15.181169860817503</v>
      </c>
      <c r="K59" s="75">
        <f t="shared" si="20"/>
        <v>10.834653241214784</v>
      </c>
      <c r="L59" s="75">
        <f t="shared" si="20"/>
        <v>11.004201388426722</v>
      </c>
      <c r="M59" s="75">
        <f t="shared" si="20"/>
        <v>9.570834267585065</v>
      </c>
      <c r="N59" s="75">
        <f t="shared" si="20"/>
        <v>10.8084512907467</v>
      </c>
      <c r="P59" s="145"/>
    </row>
    <row r="60" spans="2:16" ht="12.75">
      <c r="B60" s="66" t="s">
        <v>52</v>
      </c>
      <c r="C60" s="96">
        <f aca="true" t="shared" si="21" ref="C60:N60">+C32*C46</f>
        <v>5.783799191271408</v>
      </c>
      <c r="D60" s="96">
        <f t="shared" si="21"/>
        <v>5.268861111100384</v>
      </c>
      <c r="E60" s="96">
        <f t="shared" si="21"/>
        <v>4.868540951475389</v>
      </c>
      <c r="F60" s="96">
        <f t="shared" si="21"/>
        <v>5.887735353951906</v>
      </c>
      <c r="G60" s="96">
        <f t="shared" si="21"/>
        <v>4.649551943130894</v>
      </c>
      <c r="H60" s="96">
        <f t="shared" si="21"/>
        <v>5.375528541169073</v>
      </c>
      <c r="I60" s="96">
        <f t="shared" si="21"/>
        <v>5.5950926587905325</v>
      </c>
      <c r="J60" s="96">
        <f t="shared" si="21"/>
        <v>5.4172123221293225</v>
      </c>
      <c r="K60" s="96">
        <f t="shared" si="21"/>
        <v>4.175409845922693</v>
      </c>
      <c r="L60" s="96">
        <f t="shared" si="21"/>
        <v>4.240749546923341</v>
      </c>
      <c r="M60" s="96">
        <f t="shared" si="21"/>
        <v>3.688364984543651</v>
      </c>
      <c r="N60" s="96">
        <f t="shared" si="21"/>
        <v>4.165312256315427</v>
      </c>
      <c r="P60" s="145"/>
    </row>
    <row r="61" spans="2:16" ht="12.75">
      <c r="B61" s="66" t="s">
        <v>53</v>
      </c>
      <c r="C61" s="75">
        <f aca="true" t="shared" si="22" ref="C61:N61">+C33*C47</f>
        <v>0.34633528091445553</v>
      </c>
      <c r="D61" s="75">
        <f t="shared" si="22"/>
        <v>0.31550066533535237</v>
      </c>
      <c r="E61" s="75">
        <f t="shared" si="22"/>
        <v>0.29152939829193947</v>
      </c>
      <c r="F61" s="75">
        <f t="shared" si="22"/>
        <v>0.35255900323065303</v>
      </c>
      <c r="G61" s="75">
        <f t="shared" si="22"/>
        <v>0.27841628401981405</v>
      </c>
      <c r="H61" s="75">
        <f t="shared" si="22"/>
        <v>0.32188793659695053</v>
      </c>
      <c r="I61" s="75">
        <f t="shared" si="22"/>
        <v>0.33503548855033133</v>
      </c>
      <c r="J61" s="75">
        <f t="shared" si="22"/>
        <v>0.32438397138498937</v>
      </c>
      <c r="K61" s="75">
        <f t="shared" si="22"/>
        <v>0.2141235818421894</v>
      </c>
      <c r="L61" s="75">
        <f t="shared" si="22"/>
        <v>0.21747433573965852</v>
      </c>
      <c r="M61" s="75">
        <f t="shared" si="22"/>
        <v>0.18914692228428978</v>
      </c>
      <c r="N61" s="75">
        <f t="shared" si="22"/>
        <v>0.21360575673412446</v>
      </c>
      <c r="P61" s="145"/>
    </row>
    <row r="62" spans="2:20" ht="12.75">
      <c r="B62" s="66" t="s">
        <v>46</v>
      </c>
      <c r="C62" s="75">
        <f aca="true" t="shared" si="23" ref="C62:N62">+C34*C48</f>
        <v>55.06730966539843</v>
      </c>
      <c r="D62" s="75">
        <f t="shared" si="23"/>
        <v>50.164605788321026</v>
      </c>
      <c r="E62" s="75">
        <f>+E34*E48</f>
        <v>46.353174328418376</v>
      </c>
      <c r="F62" s="75">
        <f t="shared" si="23"/>
        <v>56.05688151367384</v>
      </c>
      <c r="G62" s="75">
        <f t="shared" si="23"/>
        <v>44.26818915915043</v>
      </c>
      <c r="H62" s="75">
        <f t="shared" si="23"/>
        <v>51.18018191891513</v>
      </c>
      <c r="I62" s="75">
        <f t="shared" si="23"/>
        <v>53.27064267950268</v>
      </c>
      <c r="J62" s="75">
        <f t="shared" si="23"/>
        <v>51.57705145021331</v>
      </c>
      <c r="K62" s="75">
        <f t="shared" si="23"/>
        <v>25.63059274651007</v>
      </c>
      <c r="L62" s="75">
        <f t="shared" si="23"/>
        <v>26.031677988037124</v>
      </c>
      <c r="M62" s="75">
        <f t="shared" si="23"/>
        <v>22.64088659742949</v>
      </c>
      <c r="N62" s="75">
        <f t="shared" si="23"/>
        <v>25.568609081074698</v>
      </c>
      <c r="Q62" s="149"/>
      <c r="R62" s="103"/>
      <c r="S62" s="146"/>
      <c r="T62" s="146"/>
    </row>
    <row r="63" spans="2:20" ht="12.75">
      <c r="B63" s="66" t="s">
        <v>84</v>
      </c>
      <c r="C63" s="75">
        <f aca="true" t="shared" si="24" ref="C63:N63">+C35*C49</f>
        <v>0</v>
      </c>
      <c r="D63" s="75">
        <f t="shared" si="24"/>
        <v>0</v>
      </c>
      <c r="E63" s="75">
        <f t="shared" si="24"/>
        <v>0</v>
      </c>
      <c r="F63" s="75">
        <f t="shared" si="24"/>
        <v>0</v>
      </c>
      <c r="G63" s="75">
        <f t="shared" si="24"/>
        <v>0</v>
      </c>
      <c r="H63" s="75">
        <f t="shared" si="24"/>
        <v>0</v>
      </c>
      <c r="I63" s="75">
        <f t="shared" si="24"/>
        <v>0</v>
      </c>
      <c r="J63" s="75">
        <f t="shared" si="24"/>
        <v>0</v>
      </c>
      <c r="K63" s="75">
        <f t="shared" si="24"/>
        <v>0</v>
      </c>
      <c r="L63" s="75">
        <f t="shared" si="24"/>
        <v>0</v>
      </c>
      <c r="M63" s="75">
        <f t="shared" si="24"/>
        <v>0</v>
      </c>
      <c r="N63" s="75">
        <f t="shared" si="24"/>
        <v>0</v>
      </c>
      <c r="Q63" s="149"/>
      <c r="R63" s="103"/>
      <c r="S63" s="146"/>
      <c r="T63" s="146"/>
    </row>
    <row r="64" spans="2:20" ht="12.75">
      <c r="B64" s="66" t="s">
        <v>55</v>
      </c>
      <c r="C64" s="75">
        <f aca="true" t="shared" si="25" ref="C64:N64">+C36*C50</f>
        <v>58.66919658690877</v>
      </c>
      <c r="D64" s="75">
        <f t="shared" si="25"/>
        <v>53.44581270780869</v>
      </c>
      <c r="E64" s="75">
        <f>+E36*E50</f>
        <v>49.385080070654546</v>
      </c>
      <c r="F64" s="75">
        <f t="shared" si="25"/>
        <v>59.72349514727262</v>
      </c>
      <c r="G64" s="75">
        <f t="shared" si="25"/>
        <v>47.1637185129565</v>
      </c>
      <c r="H64" s="75">
        <f t="shared" si="25"/>
        <v>54.527816459523414</v>
      </c>
      <c r="I64" s="75">
        <f t="shared" si="25"/>
        <v>56.75501176042612</v>
      </c>
      <c r="J64" s="75">
        <f t="shared" si="25"/>
        <v>54.950644752617194</v>
      </c>
      <c r="K64" s="75">
        <f t="shared" si="25"/>
        <v>46.98219876309642</v>
      </c>
      <c r="L64" s="75">
        <f t="shared" si="25"/>
        <v>47.71740870243481</v>
      </c>
      <c r="M64" s="75">
        <f t="shared" si="25"/>
        <v>41.5019131556369</v>
      </c>
      <c r="N64" s="75">
        <f t="shared" si="25"/>
        <v>46.868579506673</v>
      </c>
      <c r="Q64" s="149"/>
      <c r="R64" s="103"/>
      <c r="S64" s="146"/>
      <c r="T64" s="146"/>
    </row>
    <row r="65" spans="2:20" ht="12.75">
      <c r="B65" s="66" t="s">
        <v>56</v>
      </c>
      <c r="C65" s="90">
        <f aca="true" t="shared" si="26" ref="C65:L65">+C7-SUM(C55:C64)</f>
        <v>114.94867973550777</v>
      </c>
      <c r="D65" s="90">
        <f t="shared" si="26"/>
        <v>104.71467082480345</v>
      </c>
      <c r="E65" s="90">
        <f t="shared" si="26"/>
        <v>96.75860729309474</v>
      </c>
      <c r="F65" s="90">
        <f t="shared" si="26"/>
        <v>117.01433317225374</v>
      </c>
      <c r="G65" s="90">
        <f t="shared" si="26"/>
        <v>92.40636466617627</v>
      </c>
      <c r="H65" s="90">
        <f t="shared" si="26"/>
        <v>106.83460615652785</v>
      </c>
      <c r="I65" s="90">
        <f t="shared" si="26"/>
        <v>111.19827864985496</v>
      </c>
      <c r="J65" s="90">
        <f t="shared" si="26"/>
        <v>107.663040102678</v>
      </c>
      <c r="K65" s="90">
        <f t="shared" si="26"/>
        <v>66.48188725507973</v>
      </c>
      <c r="L65" s="90">
        <f t="shared" si="26"/>
        <v>67.52224180601027</v>
      </c>
      <c r="M65" s="90">
        <f>+M7-SUM(M55:M64)</f>
        <v>58.727040962808275</v>
      </c>
      <c r="N65" s="90">
        <f>+N7-SUM(N55:N64)</f>
        <v>66.32111098673957</v>
      </c>
      <c r="Q65" s="149"/>
      <c r="R65" s="103"/>
      <c r="S65" s="146"/>
      <c r="T65" s="146"/>
    </row>
    <row r="66" spans="3:20" ht="12.75">
      <c r="C66" s="75">
        <f aca="true" t="shared" si="27" ref="C66:N66">SUM(C55:C65)</f>
        <v>346.33528091445555</v>
      </c>
      <c r="D66" s="75">
        <f t="shared" si="27"/>
        <v>315.5006653353524</v>
      </c>
      <c r="E66" s="75">
        <f t="shared" si="27"/>
        <v>291.52939829193946</v>
      </c>
      <c r="F66" s="75">
        <f t="shared" si="27"/>
        <v>352.55900323065305</v>
      </c>
      <c r="G66" s="75">
        <f t="shared" si="27"/>
        <v>278.41628401981404</v>
      </c>
      <c r="H66" s="75">
        <f t="shared" si="27"/>
        <v>321.8879365969505</v>
      </c>
      <c r="I66" s="75">
        <f t="shared" si="27"/>
        <v>335.0354885503313</v>
      </c>
      <c r="J66" s="75">
        <f t="shared" si="27"/>
        <v>324.38397138498937</v>
      </c>
      <c r="K66" s="75">
        <f t="shared" si="27"/>
        <v>214.1235818421894</v>
      </c>
      <c r="L66" s="75">
        <f t="shared" si="27"/>
        <v>217.47433573965853</v>
      </c>
      <c r="M66" s="75">
        <f t="shared" si="27"/>
        <v>189.1469222842898</v>
      </c>
      <c r="N66" s="75">
        <f t="shared" si="27"/>
        <v>213.60575673412447</v>
      </c>
      <c r="Q66" s="149"/>
      <c r="R66" s="103"/>
      <c r="S66" s="146"/>
      <c r="T66" s="146"/>
    </row>
    <row r="67" spans="17:20" ht="7.5" customHeight="1">
      <c r="Q67" s="149"/>
      <c r="R67" s="103"/>
      <c r="S67" s="146"/>
      <c r="T67" s="146"/>
    </row>
    <row r="68" spans="1:20" ht="12.75">
      <c r="A68" s="97" t="s">
        <v>60</v>
      </c>
      <c r="Q68" s="149"/>
      <c r="R68" s="103"/>
      <c r="S68" s="146"/>
      <c r="T68" s="146"/>
    </row>
    <row r="69" spans="2:29" ht="12.75">
      <c r="B69" s="66" t="s">
        <v>23</v>
      </c>
      <c r="C69" s="246">
        <v>0</v>
      </c>
      <c r="D69" s="246">
        <v>0</v>
      </c>
      <c r="E69" s="246">
        <v>0</v>
      </c>
      <c r="F69" s="246">
        <v>0</v>
      </c>
      <c r="G69" s="246">
        <v>0</v>
      </c>
      <c r="H69" s="246">
        <v>0</v>
      </c>
      <c r="I69" s="246">
        <v>0</v>
      </c>
      <c r="J69" s="246">
        <v>0</v>
      </c>
      <c r="K69" s="246">
        <v>0</v>
      </c>
      <c r="L69" s="246">
        <v>0</v>
      </c>
      <c r="M69" s="246">
        <v>0</v>
      </c>
      <c r="N69" s="246">
        <v>0</v>
      </c>
      <c r="Q69" s="149"/>
      <c r="R69" s="250"/>
      <c r="S69" s="250"/>
      <c r="T69" s="250"/>
      <c r="U69" s="250"/>
      <c r="V69" s="250"/>
      <c r="W69" s="250"/>
      <c r="X69" s="250"/>
      <c r="Y69" s="250"/>
      <c r="Z69" s="250"/>
      <c r="AA69" s="250"/>
      <c r="AB69" s="250"/>
      <c r="AC69" s="250"/>
    </row>
    <row r="70" spans="2:29" ht="12.75">
      <c r="B70" s="66" t="s">
        <v>27</v>
      </c>
      <c r="C70" s="246">
        <v>80.80000000000001</v>
      </c>
      <c r="D70" s="246">
        <v>70.512</v>
      </c>
      <c r="E70" s="246">
        <v>74.88</v>
      </c>
      <c r="F70" s="246">
        <v>73.28</v>
      </c>
      <c r="G70" s="246">
        <v>82.84800000000001</v>
      </c>
      <c r="H70" s="246">
        <v>100.03200000000001</v>
      </c>
      <c r="I70" s="246">
        <v>85.44</v>
      </c>
      <c r="J70" s="246">
        <v>89.49600000000001</v>
      </c>
      <c r="K70" s="246">
        <v>100.12</v>
      </c>
      <c r="L70" s="246">
        <v>102.18400000000001</v>
      </c>
      <c r="M70" s="246">
        <v>111.48</v>
      </c>
      <c r="N70" s="246">
        <v>114.512</v>
      </c>
      <c r="Q70" s="60"/>
      <c r="R70" s="250"/>
      <c r="S70" s="250"/>
      <c r="T70" s="250"/>
      <c r="U70" s="250"/>
      <c r="V70" s="250"/>
      <c r="W70" s="250"/>
      <c r="X70" s="250"/>
      <c r="Y70" s="250"/>
      <c r="Z70" s="250"/>
      <c r="AA70" s="250"/>
      <c r="AB70" s="250"/>
      <c r="AC70" s="250"/>
    </row>
    <row r="71" spans="2:29" ht="12.75">
      <c r="B71" s="66" t="s">
        <v>49</v>
      </c>
      <c r="C71" s="246"/>
      <c r="D71" s="246"/>
      <c r="E71" s="246"/>
      <c r="F71" s="246"/>
      <c r="G71" s="246"/>
      <c r="H71" s="246"/>
      <c r="I71" s="246"/>
      <c r="J71" s="246"/>
      <c r="K71" s="246"/>
      <c r="L71" s="246"/>
      <c r="M71" s="246"/>
      <c r="N71" s="246"/>
      <c r="Q71" s="60"/>
      <c r="R71" s="250"/>
      <c r="S71" s="250"/>
      <c r="T71" s="250"/>
      <c r="U71" s="250"/>
      <c r="V71" s="250"/>
      <c r="W71" s="250"/>
      <c r="X71" s="250"/>
      <c r="Y71" s="250"/>
      <c r="Z71" s="250"/>
      <c r="AA71" s="250"/>
      <c r="AB71" s="250"/>
      <c r="AC71" s="250"/>
    </row>
    <row r="72" spans="2:29" ht="12.75">
      <c r="B72" s="66" t="s">
        <v>50</v>
      </c>
      <c r="C72" s="246">
        <v>92.48</v>
      </c>
      <c r="D72" s="246">
        <v>74.792</v>
      </c>
      <c r="E72" s="246">
        <v>76.84</v>
      </c>
      <c r="F72" s="246">
        <v>67.04</v>
      </c>
      <c r="G72" s="246">
        <v>63.512</v>
      </c>
      <c r="H72" s="246">
        <v>73.512</v>
      </c>
      <c r="I72" s="246">
        <v>83.272</v>
      </c>
      <c r="J72" s="246">
        <v>72.072</v>
      </c>
      <c r="K72" s="246">
        <v>70.968</v>
      </c>
      <c r="L72" s="246">
        <v>104.80799999999999</v>
      </c>
      <c r="M72" s="246">
        <v>90.08</v>
      </c>
      <c r="N72" s="246">
        <v>91.54400000000001</v>
      </c>
      <c r="Q72" s="60"/>
      <c r="R72" s="250"/>
      <c r="S72" s="250"/>
      <c r="T72" s="250"/>
      <c r="U72" s="250"/>
      <c r="V72" s="250"/>
      <c r="W72" s="250"/>
      <c r="X72" s="250"/>
      <c r="Y72" s="250"/>
      <c r="Z72" s="250"/>
      <c r="AA72" s="250"/>
      <c r="AB72" s="250"/>
      <c r="AC72" s="250"/>
    </row>
    <row r="73" spans="2:29" ht="9.75">
      <c r="B73" s="66" t="s">
        <v>51</v>
      </c>
      <c r="C73" s="246">
        <v>157.58863247863246</v>
      </c>
      <c r="D73" s="246">
        <v>84.22632478632481</v>
      </c>
      <c r="E73" s="246">
        <v>18.462829059829062</v>
      </c>
      <c r="F73" s="246">
        <v>9.420952991452996</v>
      </c>
      <c r="G73" s="246">
        <v>-21.72244444444445</v>
      </c>
      <c r="H73" s="246">
        <v>12.714162393162393</v>
      </c>
      <c r="I73" s="246">
        <v>-18.604649572649578</v>
      </c>
      <c r="J73" s="246">
        <v>12.315025641025642</v>
      </c>
      <c r="K73" s="246">
        <v>23.630869565217395</v>
      </c>
      <c r="L73" s="246">
        <v>-115.20189723320159</v>
      </c>
      <c r="M73" s="246">
        <v>-124.37162055335968</v>
      </c>
      <c r="N73" s="246">
        <v>65.92472332015811</v>
      </c>
      <c r="Q73" s="103"/>
      <c r="R73" s="250"/>
      <c r="S73" s="250"/>
      <c r="T73" s="250"/>
      <c r="U73" s="250"/>
      <c r="V73" s="250"/>
      <c r="W73" s="250"/>
      <c r="X73" s="250"/>
      <c r="Y73" s="250"/>
      <c r="Z73" s="250"/>
      <c r="AA73" s="250"/>
      <c r="AB73" s="250"/>
      <c r="AC73" s="250"/>
    </row>
    <row r="74" spans="2:29" ht="9.75">
      <c r="B74" s="66" t="s">
        <v>52</v>
      </c>
      <c r="C74" s="246">
        <v>1127.976</v>
      </c>
      <c r="D74" s="246">
        <v>1099.104</v>
      </c>
      <c r="E74" s="246">
        <v>1051.7520000000002</v>
      </c>
      <c r="F74" s="246">
        <v>1025.08</v>
      </c>
      <c r="G74" s="246">
        <v>992.04</v>
      </c>
      <c r="H74" s="246">
        <v>1018.896</v>
      </c>
      <c r="I74" s="246">
        <v>1002.088</v>
      </c>
      <c r="J74" s="246">
        <v>976.1040000000002</v>
      </c>
      <c r="K74" s="246">
        <v>1032.008</v>
      </c>
      <c r="L74" s="246">
        <v>1081.872</v>
      </c>
      <c r="M74" s="246">
        <v>1100.1200000000001</v>
      </c>
      <c r="N74" s="246">
        <v>1269.392</v>
      </c>
      <c r="R74" s="250"/>
      <c r="S74" s="250"/>
      <c r="T74" s="250"/>
      <c r="U74" s="250"/>
      <c r="V74" s="250"/>
      <c r="W74" s="250"/>
      <c r="X74" s="250"/>
      <c r="Y74" s="250"/>
      <c r="Z74" s="250"/>
      <c r="AA74" s="250"/>
      <c r="AB74" s="250"/>
      <c r="AC74" s="250"/>
    </row>
    <row r="75" spans="2:29" ht="9.75">
      <c r="B75" s="66" t="s">
        <v>53</v>
      </c>
      <c r="C75" s="246">
        <v>108.384</v>
      </c>
      <c r="D75" s="246">
        <v>93.632</v>
      </c>
      <c r="E75" s="246">
        <v>93.104</v>
      </c>
      <c r="F75" s="246">
        <v>84.072</v>
      </c>
      <c r="G75" s="246">
        <v>87.736</v>
      </c>
      <c r="H75" s="246">
        <v>98.528</v>
      </c>
      <c r="I75" s="246">
        <v>83.57600000000001</v>
      </c>
      <c r="J75" s="246">
        <v>89.584</v>
      </c>
      <c r="K75" s="246">
        <v>90.72000000000001</v>
      </c>
      <c r="L75" s="246">
        <v>90.256</v>
      </c>
      <c r="M75" s="246">
        <v>80.168</v>
      </c>
      <c r="N75" s="246">
        <v>79.144</v>
      </c>
      <c r="R75" s="250"/>
      <c r="S75" s="250"/>
      <c r="T75" s="250"/>
      <c r="U75" s="250"/>
      <c r="V75" s="250"/>
      <c r="W75" s="250"/>
      <c r="X75" s="250"/>
      <c r="Y75" s="250"/>
      <c r="Z75" s="250"/>
      <c r="AA75" s="250"/>
      <c r="AB75" s="250"/>
      <c r="AC75" s="250"/>
    </row>
    <row r="76" spans="2:29" ht="9.75">
      <c r="B76" s="66" t="s">
        <v>46</v>
      </c>
      <c r="C76" s="246">
        <v>-65.42</v>
      </c>
      <c r="D76" s="246">
        <v>-77.17</v>
      </c>
      <c r="E76" s="246">
        <v>-75.66</v>
      </c>
      <c r="F76" s="246">
        <v>-73.58</v>
      </c>
      <c r="G76" s="246">
        <v>-69.74</v>
      </c>
      <c r="H76" s="246">
        <v>-59.02</v>
      </c>
      <c r="I76" s="246">
        <v>-65.42</v>
      </c>
      <c r="J76" s="246">
        <v>-96.35</v>
      </c>
      <c r="K76" s="246">
        <v>-60.42</v>
      </c>
      <c r="L76" s="246">
        <v>-55.51</v>
      </c>
      <c r="M76" s="246">
        <v>-53.41</v>
      </c>
      <c r="N76" s="246">
        <v>-63.02</v>
      </c>
      <c r="R76" s="250"/>
      <c r="S76" s="250"/>
      <c r="T76" s="250"/>
      <c r="U76" s="250"/>
      <c r="V76" s="250"/>
      <c r="W76" s="250"/>
      <c r="X76" s="250"/>
      <c r="Y76" s="250"/>
      <c r="Z76" s="250"/>
      <c r="AA76" s="250"/>
      <c r="AB76" s="250"/>
      <c r="AC76" s="250"/>
    </row>
    <row r="77" spans="2:29" ht="9.75">
      <c r="B77" s="66" t="s">
        <v>84</v>
      </c>
      <c r="C77" s="247">
        <v>0</v>
      </c>
      <c r="D77" s="247">
        <v>0</v>
      </c>
      <c r="E77" s="247">
        <v>0</v>
      </c>
      <c r="F77" s="247">
        <v>0</v>
      </c>
      <c r="G77" s="248">
        <v>0</v>
      </c>
      <c r="H77" s="248">
        <v>0</v>
      </c>
      <c r="I77" s="247">
        <v>0</v>
      </c>
      <c r="J77" s="247">
        <v>0</v>
      </c>
      <c r="K77" s="247">
        <v>0</v>
      </c>
      <c r="L77" s="247">
        <v>0</v>
      </c>
      <c r="M77" s="247">
        <v>0</v>
      </c>
      <c r="N77" s="247">
        <v>0</v>
      </c>
      <c r="R77" s="250"/>
      <c r="S77" s="250"/>
      <c r="T77" s="250"/>
      <c r="U77" s="250"/>
      <c r="V77" s="250"/>
      <c r="W77" s="250"/>
      <c r="X77" s="250"/>
      <c r="Y77" s="250"/>
      <c r="Z77" s="250"/>
      <c r="AA77" s="250"/>
      <c r="AB77" s="250"/>
      <c r="AC77" s="250"/>
    </row>
    <row r="78" spans="2:29" ht="9.75">
      <c r="B78" s="66" t="s">
        <v>55</v>
      </c>
      <c r="C78" s="247">
        <v>-172.21</v>
      </c>
      <c r="D78" s="247">
        <v>-172.21</v>
      </c>
      <c r="E78" s="247">
        <v>-171.72</v>
      </c>
      <c r="F78" s="247">
        <v>-171.7</v>
      </c>
      <c r="G78" s="248">
        <v>-171.77</v>
      </c>
      <c r="H78" s="248">
        <v>-172.32</v>
      </c>
      <c r="I78" s="247">
        <v>-171.84</v>
      </c>
      <c r="J78" s="247">
        <v>-171.71</v>
      </c>
      <c r="K78" s="247">
        <v>-171.64</v>
      </c>
      <c r="L78" s="247">
        <v>-179.13</v>
      </c>
      <c r="M78" s="247">
        <v>-182.75</v>
      </c>
      <c r="N78" s="247">
        <v>-184.4</v>
      </c>
      <c r="R78" s="250"/>
      <c r="S78" s="250"/>
      <c r="T78" s="250"/>
      <c r="U78" s="250"/>
      <c r="V78" s="250"/>
      <c r="W78" s="250"/>
      <c r="X78" s="250"/>
      <c r="Y78" s="250"/>
      <c r="Z78" s="250"/>
      <c r="AA78" s="250"/>
      <c r="AB78" s="250"/>
      <c r="AC78" s="250"/>
    </row>
    <row r="79" spans="2:30" ht="9.75">
      <c r="B79" s="66" t="s">
        <v>56</v>
      </c>
      <c r="C79" s="246">
        <v>32.744</v>
      </c>
      <c r="D79" s="246">
        <v>27.008</v>
      </c>
      <c r="E79" s="246">
        <v>15.408000000000001</v>
      </c>
      <c r="F79" s="246">
        <v>17.464</v>
      </c>
      <c r="G79" s="246">
        <v>26.176000000000002</v>
      </c>
      <c r="H79" s="246">
        <v>46.2</v>
      </c>
      <c r="I79" s="246">
        <v>28.6</v>
      </c>
      <c r="J79" s="246">
        <v>42.56</v>
      </c>
      <c r="K79" s="246">
        <v>51.48</v>
      </c>
      <c r="L79" s="246">
        <v>48.488</v>
      </c>
      <c r="M79" s="246">
        <v>50.384</v>
      </c>
      <c r="N79" s="246">
        <v>53.304</v>
      </c>
      <c r="O79" s="111">
        <f>SUM(C69:N79)</f>
        <v>13537.918908432146</v>
      </c>
      <c r="R79" s="250"/>
      <c r="S79" s="250"/>
      <c r="T79" s="250"/>
      <c r="U79" s="250"/>
      <c r="V79" s="250"/>
      <c r="W79" s="250"/>
      <c r="X79" s="250"/>
      <c r="Y79" s="250"/>
      <c r="Z79" s="250"/>
      <c r="AA79" s="250"/>
      <c r="AB79" s="250"/>
      <c r="AC79" s="250"/>
      <c r="AD79" s="250"/>
    </row>
    <row r="80" spans="3:18" ht="12.75">
      <c r="C80" s="111">
        <f>SUM(C69:C79)</f>
        <v>1362.3426324786324</v>
      </c>
      <c r="D80" s="111">
        <f aca="true" t="shared" si="28" ref="D80:N80">SUM(D69:D79)</f>
        <v>1199.894324786325</v>
      </c>
      <c r="E80" s="111">
        <f t="shared" si="28"/>
        <v>1083.0668290598292</v>
      </c>
      <c r="F80" s="111">
        <f t="shared" si="28"/>
        <v>1031.076952991453</v>
      </c>
      <c r="G80" s="111">
        <f t="shared" si="28"/>
        <v>989.0795555555557</v>
      </c>
      <c r="H80" s="111">
        <f t="shared" si="28"/>
        <v>1118.5421623931625</v>
      </c>
      <c r="I80" s="111">
        <f t="shared" si="28"/>
        <v>1027.1113504273503</v>
      </c>
      <c r="J80" s="111">
        <f t="shared" si="28"/>
        <v>1014.0710256410259</v>
      </c>
      <c r="K80" s="111">
        <f t="shared" si="28"/>
        <v>1136.8668695652173</v>
      </c>
      <c r="L80" s="111">
        <f t="shared" si="28"/>
        <v>1077.7661027667984</v>
      </c>
      <c r="M80" s="111">
        <f t="shared" si="28"/>
        <v>1071.7003794466402</v>
      </c>
      <c r="N80" s="111">
        <f t="shared" si="28"/>
        <v>1426.4007233201582</v>
      </c>
      <c r="R80" s="149"/>
    </row>
    <row r="81" spans="1:18" ht="12.75">
      <c r="A81" s="83" t="s">
        <v>61</v>
      </c>
      <c r="R81" s="149"/>
    </row>
    <row r="82" spans="2:19" ht="9.75">
      <c r="B82" s="66" t="s">
        <v>23</v>
      </c>
      <c r="C82" s="98">
        <f aca="true" t="shared" si="29" ref="C82:N82">+C69*C55</f>
        <v>0</v>
      </c>
      <c r="D82" s="75">
        <f t="shared" si="29"/>
        <v>0</v>
      </c>
      <c r="E82" s="75">
        <f t="shared" si="29"/>
        <v>0</v>
      </c>
      <c r="F82" s="75">
        <f t="shared" si="29"/>
        <v>0</v>
      </c>
      <c r="G82" s="75">
        <f t="shared" si="29"/>
        <v>0</v>
      </c>
      <c r="H82" s="75">
        <f t="shared" si="29"/>
        <v>0</v>
      </c>
      <c r="I82" s="75">
        <f t="shared" si="29"/>
        <v>0</v>
      </c>
      <c r="J82" s="75">
        <f t="shared" si="29"/>
        <v>0</v>
      </c>
      <c r="K82" s="75">
        <f t="shared" si="29"/>
        <v>0</v>
      </c>
      <c r="L82" s="75">
        <f t="shared" si="29"/>
        <v>0</v>
      </c>
      <c r="M82" s="75">
        <f t="shared" si="29"/>
        <v>0</v>
      </c>
      <c r="N82" s="75">
        <f t="shared" si="29"/>
        <v>0</v>
      </c>
      <c r="P82" s="103"/>
      <c r="Q82" s="103"/>
      <c r="R82" s="103"/>
      <c r="S82" s="103"/>
    </row>
    <row r="83" spans="2:19" ht="12.75">
      <c r="B83" s="66" t="s">
        <v>27</v>
      </c>
      <c r="C83" s="98">
        <f aca="true" t="shared" si="30" ref="C83:M83">+C70*C56</f>
        <v>7278.609970520672</v>
      </c>
      <c r="D83" s="75">
        <f>D70*D56</f>
        <v>5786.336215964268</v>
      </c>
      <c r="E83" s="75">
        <f t="shared" si="30"/>
        <v>5677.91052160052</v>
      </c>
      <c r="F83" s="75">
        <f t="shared" si="30"/>
        <v>6719.819729128661</v>
      </c>
      <c r="G83" s="75">
        <f t="shared" si="30"/>
        <v>5999.527020832972</v>
      </c>
      <c r="H83" s="75">
        <f t="shared" si="30"/>
        <v>8374.984368560567</v>
      </c>
      <c r="I83" s="75">
        <f t="shared" si="30"/>
        <v>7445.474900066653</v>
      </c>
      <c r="J83" s="75">
        <f t="shared" si="30"/>
        <v>7550.980761588769</v>
      </c>
      <c r="K83" s="75">
        <f t="shared" si="30"/>
        <v>5640.351747993925</v>
      </c>
      <c r="L83" s="75">
        <f t="shared" si="30"/>
        <v>5846.712788359516</v>
      </c>
      <c r="M83" s="75">
        <f t="shared" si="30"/>
        <v>5547.752619604066</v>
      </c>
      <c r="N83" s="75">
        <f>+N70*N56</f>
        <v>6435.537137422823</v>
      </c>
      <c r="P83" s="103"/>
      <c r="Q83" s="60"/>
      <c r="R83" s="146"/>
      <c r="S83" s="103"/>
    </row>
    <row r="84" spans="2:19" ht="12.75">
      <c r="B84" s="66" t="s">
        <v>49</v>
      </c>
      <c r="C84" s="98">
        <f aca="true" t="shared" si="31" ref="C84:N84">+C71*C57</f>
        <v>0</v>
      </c>
      <c r="D84" s="75">
        <f t="shared" si="31"/>
        <v>0</v>
      </c>
      <c r="E84" s="75">
        <f t="shared" si="31"/>
        <v>0</v>
      </c>
      <c r="F84" s="75">
        <f t="shared" si="31"/>
        <v>0</v>
      </c>
      <c r="G84" s="75">
        <f t="shared" si="31"/>
        <v>0</v>
      </c>
      <c r="H84" s="75">
        <f t="shared" si="31"/>
        <v>0</v>
      </c>
      <c r="I84" s="75"/>
      <c r="J84" s="75">
        <f t="shared" si="31"/>
        <v>0</v>
      </c>
      <c r="K84" s="75">
        <f t="shared" si="31"/>
        <v>0</v>
      </c>
      <c r="L84" s="75">
        <f t="shared" si="31"/>
        <v>0</v>
      </c>
      <c r="M84" s="75">
        <f t="shared" si="31"/>
        <v>0</v>
      </c>
      <c r="N84" s="75">
        <f t="shared" si="31"/>
        <v>0</v>
      </c>
      <c r="P84" s="103"/>
      <c r="Q84" s="60"/>
      <c r="R84" s="146"/>
      <c r="S84" s="103"/>
    </row>
    <row r="85" spans="2:19" ht="12.75">
      <c r="B85" s="66" t="s">
        <v>50</v>
      </c>
      <c r="C85" s="98">
        <f aca="true" t="shared" si="32" ref="C85:N85">+C72*C58</f>
        <v>483.63921036242965</v>
      </c>
      <c r="D85" s="75">
        <f>+D72*D58</f>
        <v>356.31357900260133</v>
      </c>
      <c r="E85" s="75">
        <f t="shared" si="32"/>
        <v>338.2568963677647</v>
      </c>
      <c r="F85" s="75">
        <f t="shared" si="32"/>
        <v>356.89688920640305</v>
      </c>
      <c r="G85" s="75">
        <f t="shared" si="32"/>
        <v>267.0099029630631</v>
      </c>
      <c r="H85" s="75">
        <f t="shared" si="32"/>
        <v>357.30565252623694</v>
      </c>
      <c r="I85" s="75">
        <f t="shared" si="32"/>
        <v>421.2760355587042</v>
      </c>
      <c r="J85" s="75">
        <f t="shared" si="32"/>
        <v>353.0229239434502</v>
      </c>
      <c r="K85" s="75">
        <f t="shared" si="32"/>
        <v>246.17394217005923</v>
      </c>
      <c r="L85" s="75">
        <f t="shared" si="32"/>
        <v>369.2474129192745</v>
      </c>
      <c r="M85" s="75">
        <f t="shared" si="32"/>
        <v>276.0213471017749</v>
      </c>
      <c r="N85" s="75">
        <f t="shared" si="32"/>
        <v>316.7800713903928</v>
      </c>
      <c r="P85" s="103"/>
      <c r="Q85" s="60"/>
      <c r="R85" s="146"/>
      <c r="S85" s="103"/>
    </row>
    <row r="86" spans="2:19" ht="12.75">
      <c r="B86" s="66" t="s">
        <v>51</v>
      </c>
      <c r="C86" s="98">
        <f aca="true" t="shared" si="33" ref="C86:M86">+C73*C59</f>
        <v>2554.2739543656853</v>
      </c>
      <c r="D86" s="75">
        <f t="shared" si="33"/>
        <v>1243.6379986135696</v>
      </c>
      <c r="E86" s="75">
        <f t="shared" si="33"/>
        <v>251.89900849989255</v>
      </c>
      <c r="F86" s="75">
        <f t="shared" si="33"/>
        <v>155.44347605979695</v>
      </c>
      <c r="G86" s="75">
        <f t="shared" si="33"/>
        <v>-283.04088986389684</v>
      </c>
      <c r="H86" s="75">
        <f t="shared" si="33"/>
        <v>191.53066132013998</v>
      </c>
      <c r="I86" s="75">
        <f t="shared" si="33"/>
        <v>-291.71459579560104</v>
      </c>
      <c r="J86" s="75">
        <f t="shared" si="33"/>
        <v>186.95649609673322</v>
      </c>
      <c r="K86" s="75">
        <f t="shared" si="33"/>
        <v>256.03227752750644</v>
      </c>
      <c r="L86" s="75">
        <f t="shared" si="33"/>
        <v>-1267.7048774829896</v>
      </c>
      <c r="M86" s="75">
        <f t="shared" si="33"/>
        <v>-1190.3401679071817</v>
      </c>
      <c r="N86" s="75">
        <f>+N73*N59</f>
        <v>712.5441608618819</v>
      </c>
      <c r="P86" s="103"/>
      <c r="Q86" s="60"/>
      <c r="R86" s="146"/>
      <c r="S86" s="103"/>
    </row>
    <row r="87" spans="2:19" ht="12.75">
      <c r="B87" s="66" t="s">
        <v>52</v>
      </c>
      <c r="C87" s="98">
        <f aca="true" t="shared" si="34" ref="C87:N87">+C74*C60</f>
        <v>6523.986676573558</v>
      </c>
      <c r="D87" s="75">
        <f t="shared" si="34"/>
        <v>5791.026322654877</v>
      </c>
      <c r="E87" s="75">
        <f t="shared" si="34"/>
        <v>5120.497682796144</v>
      </c>
      <c r="F87" s="75">
        <f t="shared" si="34"/>
        <v>6035.39975662902</v>
      </c>
      <c r="G87" s="75">
        <f t="shared" si="34"/>
        <v>4612.541509663572</v>
      </c>
      <c r="H87" s="75">
        <f t="shared" si="34"/>
        <v>5477.104528483003</v>
      </c>
      <c r="I87" s="75">
        <f t="shared" si="34"/>
        <v>5606.775212262087</v>
      </c>
      <c r="J87" s="75">
        <f>+J74*J60</f>
        <v>5287.762616479721</v>
      </c>
      <c r="K87" s="75">
        <f t="shared" si="34"/>
        <v>4309.056364270987</v>
      </c>
      <c r="L87" s="75">
        <f t="shared" si="34"/>
        <v>4587.948193829049</v>
      </c>
      <c r="M87" s="75">
        <f t="shared" si="34"/>
        <v>4057.644086796162</v>
      </c>
      <c r="N87" s="75">
        <f t="shared" si="34"/>
        <v>5287.414055668753</v>
      </c>
      <c r="P87" s="103"/>
      <c r="Q87" s="60"/>
      <c r="R87" s="146"/>
      <c r="S87" s="103"/>
    </row>
    <row r="88" spans="2:19" ht="12.75">
      <c r="B88" s="66" t="s">
        <v>53</v>
      </c>
      <c r="C88" s="98">
        <f aca="true" t="shared" si="35" ref="C88:N88">+C75*C61</f>
        <v>37.537203086632346</v>
      </c>
      <c r="D88" s="75">
        <f t="shared" si="35"/>
        <v>29.540958296679715</v>
      </c>
      <c r="E88" s="75">
        <f t="shared" si="35"/>
        <v>27.142553098572733</v>
      </c>
      <c r="F88" s="75">
        <f t="shared" si="35"/>
        <v>29.640340519607463</v>
      </c>
      <c r="G88" s="75">
        <f t="shared" si="35"/>
        <v>24.427131094762405</v>
      </c>
      <c r="H88" s="75">
        <f t="shared" si="35"/>
        <v>31.714974617024343</v>
      </c>
      <c r="I88" s="75">
        <f t="shared" si="35"/>
        <v>28.000925991082493</v>
      </c>
      <c r="J88" s="75">
        <f t="shared" si="35"/>
        <v>29.059613692552887</v>
      </c>
      <c r="K88" s="75">
        <f t="shared" si="35"/>
        <v>19.425291344723426</v>
      </c>
      <c r="L88" s="75">
        <f t="shared" si="35"/>
        <v>19.62836364651862</v>
      </c>
      <c r="M88" s="75">
        <f t="shared" si="35"/>
        <v>15.163530465686945</v>
      </c>
      <c r="N88" s="75">
        <f t="shared" si="35"/>
        <v>16.905614010965547</v>
      </c>
      <c r="P88" s="103"/>
      <c r="Q88" s="60"/>
      <c r="R88" s="146"/>
      <c r="S88" s="103"/>
    </row>
    <row r="89" spans="2:19" ht="12.75">
      <c r="B89" s="66" t="s">
        <v>46</v>
      </c>
      <c r="C89" s="98">
        <f aca="true" t="shared" si="36" ref="C89:N89">+C76*C62</f>
        <v>-3602.503398310366</v>
      </c>
      <c r="D89" s="75">
        <f t="shared" si="36"/>
        <v>-3871.2026286847336</v>
      </c>
      <c r="E89" s="75">
        <f t="shared" si="36"/>
        <v>-3507.081169688134</v>
      </c>
      <c r="F89" s="75">
        <f t="shared" si="36"/>
        <v>-4124.665341776121</v>
      </c>
      <c r="G89" s="75">
        <f t="shared" si="36"/>
        <v>-3087.263511959151</v>
      </c>
      <c r="H89" s="75">
        <f t="shared" si="36"/>
        <v>-3020.654336854371</v>
      </c>
      <c r="I89" s="75">
        <f t="shared" si="36"/>
        <v>-3484.9654440930653</v>
      </c>
      <c r="J89" s="75">
        <f t="shared" si="36"/>
        <v>-4969.448907228052</v>
      </c>
      <c r="K89" s="75">
        <f t="shared" si="36"/>
        <v>-1548.6004137441387</v>
      </c>
      <c r="L89" s="75">
        <f t="shared" si="36"/>
        <v>-1445.0184451159407</v>
      </c>
      <c r="M89" s="75">
        <f t="shared" si="36"/>
        <v>-1209.2497531687088</v>
      </c>
      <c r="N89" s="75">
        <f t="shared" si="36"/>
        <v>-1611.3337442893276</v>
      </c>
      <c r="P89" s="103"/>
      <c r="Q89" s="60"/>
      <c r="R89" s="146"/>
      <c r="S89" s="103"/>
    </row>
    <row r="90" spans="2:19" ht="12.75">
      <c r="B90" s="66" t="s">
        <v>54</v>
      </c>
      <c r="C90" s="98">
        <f aca="true" t="shared" si="37" ref="C90:N90">+C77*C63</f>
        <v>0</v>
      </c>
      <c r="D90" s="75">
        <f t="shared" si="37"/>
        <v>0</v>
      </c>
      <c r="E90" s="75">
        <f t="shared" si="37"/>
        <v>0</v>
      </c>
      <c r="F90" s="75">
        <f t="shared" si="37"/>
        <v>0</v>
      </c>
      <c r="G90" s="75">
        <f t="shared" si="37"/>
        <v>0</v>
      </c>
      <c r="H90" s="75">
        <f t="shared" si="37"/>
        <v>0</v>
      </c>
      <c r="I90" s="75">
        <f t="shared" si="37"/>
        <v>0</v>
      </c>
      <c r="J90" s="75">
        <f t="shared" si="37"/>
        <v>0</v>
      </c>
      <c r="K90" s="75">
        <f t="shared" si="37"/>
        <v>0</v>
      </c>
      <c r="L90" s="75">
        <f t="shared" si="37"/>
        <v>0</v>
      </c>
      <c r="M90" s="75">
        <f t="shared" si="37"/>
        <v>0</v>
      </c>
      <c r="N90" s="75">
        <f t="shared" si="37"/>
        <v>0</v>
      </c>
      <c r="P90" s="103"/>
      <c r="Q90" s="60"/>
      <c r="R90" s="146"/>
      <c r="S90" s="103"/>
    </row>
    <row r="91" spans="2:19" ht="9.75">
      <c r="B91" s="66" t="s">
        <v>55</v>
      </c>
      <c r="C91" s="98">
        <f aca="true" t="shared" si="38" ref="C91:J91">+C78*C64</f>
        <v>-10103.42234423156</v>
      </c>
      <c r="D91" s="75">
        <f t="shared" si="38"/>
        <v>-9203.903406411735</v>
      </c>
      <c r="E91" s="75">
        <f t="shared" si="38"/>
        <v>-8480.405949732798</v>
      </c>
      <c r="F91" s="75">
        <f t="shared" si="38"/>
        <v>-10254.524116786708</v>
      </c>
      <c r="G91" s="75">
        <f t="shared" si="38"/>
        <v>-8101.311928970538</v>
      </c>
      <c r="H91" s="75">
        <f t="shared" si="38"/>
        <v>-9396.233332305075</v>
      </c>
      <c r="I91" s="75">
        <f t="shared" si="38"/>
        <v>-9752.781220911625</v>
      </c>
      <c r="J91" s="75">
        <f t="shared" si="38"/>
        <v>-9435.5752104719</v>
      </c>
      <c r="K91" s="75">
        <f aca="true" t="shared" si="39" ref="K91:N92">+K78*K64</f>
        <v>-8064.024595697869</v>
      </c>
      <c r="L91" s="75">
        <f t="shared" si="39"/>
        <v>-8547.619420867148</v>
      </c>
      <c r="M91" s="75">
        <f t="shared" si="39"/>
        <v>-7584.474629192643</v>
      </c>
      <c r="N91" s="75">
        <f t="shared" si="39"/>
        <v>-8642.566061030502</v>
      </c>
      <c r="P91" s="103"/>
      <c r="Q91" s="103"/>
      <c r="R91" s="103"/>
      <c r="S91" s="103"/>
    </row>
    <row r="92" spans="2:14" ht="9.75">
      <c r="B92" s="66" t="s">
        <v>56</v>
      </c>
      <c r="C92" s="99">
        <f aca="true" t="shared" si="40" ref="C92:J92">+C79*C65</f>
        <v>3763.8795692594663</v>
      </c>
      <c r="D92" s="90">
        <f t="shared" si="40"/>
        <v>2828.1338296362915</v>
      </c>
      <c r="E92" s="90">
        <f t="shared" si="40"/>
        <v>1490.856621172004</v>
      </c>
      <c r="F92" s="90">
        <f t="shared" si="40"/>
        <v>2043.5383145202393</v>
      </c>
      <c r="G92" s="90">
        <f t="shared" si="40"/>
        <v>2418.82900150183</v>
      </c>
      <c r="H92" s="90">
        <f t="shared" si="40"/>
        <v>4935.758804431587</v>
      </c>
      <c r="I92" s="90">
        <f t="shared" si="40"/>
        <v>3180.270769385852</v>
      </c>
      <c r="J92" s="90">
        <f t="shared" si="40"/>
        <v>4582.138986769975</v>
      </c>
      <c r="K92" s="90">
        <f t="shared" si="39"/>
        <v>3422.487555891504</v>
      </c>
      <c r="L92" s="90">
        <f t="shared" si="39"/>
        <v>3274.018460689826</v>
      </c>
      <c r="M92" s="90">
        <f t="shared" si="39"/>
        <v>2958.903231870132</v>
      </c>
      <c r="N92" s="75">
        <f t="shared" si="39"/>
        <v>3535.180500037166</v>
      </c>
    </row>
    <row r="93" spans="1:15" ht="9.75">
      <c r="A93" s="83" t="s">
        <v>62</v>
      </c>
      <c r="B93" s="83"/>
      <c r="C93" s="100">
        <f aca="true" t="shared" si="41" ref="C93:J93">SUM(C82:C92)</f>
        <v>6936.0008416265155</v>
      </c>
      <c r="D93" s="101">
        <f t="shared" si="41"/>
        <v>2959.8828690718196</v>
      </c>
      <c r="E93" s="101">
        <f t="shared" si="41"/>
        <v>919.0761641139648</v>
      </c>
      <c r="F93" s="101">
        <f t="shared" si="41"/>
        <v>961.549047500899</v>
      </c>
      <c r="G93" s="101">
        <f t="shared" si="41"/>
        <v>1850.7182352626141</v>
      </c>
      <c r="H93" s="101">
        <f t="shared" si="41"/>
        <v>6951.511320779109</v>
      </c>
      <c r="I93" s="101">
        <f t="shared" si="41"/>
        <v>3152.336582464086</v>
      </c>
      <c r="J93" s="101">
        <f t="shared" si="41"/>
        <v>3584.8972808712506</v>
      </c>
      <c r="K93" s="101">
        <f>SUM(K82:K92)</f>
        <v>4280.902169756697</v>
      </c>
      <c r="L93" s="101">
        <f>SUM(L82:L92)</f>
        <v>2837.212475978106</v>
      </c>
      <c r="M93" s="101">
        <f>SUM(M82:M92)</f>
        <v>2871.4202655692898</v>
      </c>
      <c r="N93" s="110">
        <f>SUM(N82:N92)</f>
        <v>6050.4617340721525</v>
      </c>
      <c r="O93" s="111">
        <f>SUM(C93:N93)/2</f>
        <v>21677.984493533248</v>
      </c>
    </row>
    <row r="94" spans="1:14" ht="9.75">
      <c r="A94" s="83" t="s">
        <v>63</v>
      </c>
      <c r="B94" s="83"/>
      <c r="C94" s="100">
        <f>+C93/C66</f>
        <v>20.026838799999993</v>
      </c>
      <c r="D94" s="101">
        <f aca="true" t="shared" si="42" ref="D94:J94">+D93/D66</f>
        <v>9.381542400000003</v>
      </c>
      <c r="E94" s="101">
        <f>+E93/E66</f>
        <v>3.1526019999999995</v>
      </c>
      <c r="F94" s="101">
        <f t="shared" si="42"/>
        <v>2.7273422000000074</v>
      </c>
      <c r="G94" s="101">
        <f t="shared" si="42"/>
        <v>6.647306</v>
      </c>
      <c r="H94" s="101">
        <f t="shared" si="42"/>
        <v>21.596060399999985</v>
      </c>
      <c r="I94" s="101">
        <f t="shared" si="42"/>
        <v>9.408963199999992</v>
      </c>
      <c r="J94" s="101">
        <f t="shared" si="42"/>
        <v>11.051400800000007</v>
      </c>
      <c r="K94" s="101">
        <f>+K93/K66</f>
        <v>19.99267027445745</v>
      </c>
      <c r="L94" s="101">
        <f>+L93/L66</f>
        <v>13.046194468549022</v>
      </c>
      <c r="M94" s="101">
        <f>+M93/M66</f>
        <v>15.180898694473681</v>
      </c>
      <c r="N94" s="75">
        <f>+N93/N66</f>
        <v>28.325368316749884</v>
      </c>
    </row>
    <row r="95" ht="7.5" customHeight="1"/>
    <row r="96" spans="1:14" ht="9.75">
      <c r="A96" s="83"/>
      <c r="C96" s="111">
        <v>39.83</v>
      </c>
      <c r="D96" s="111">
        <v>57.16</v>
      </c>
      <c r="E96" s="111">
        <v>62.92</v>
      </c>
      <c r="F96" s="111">
        <v>69.34</v>
      </c>
      <c r="G96" s="111">
        <v>69.72</v>
      </c>
      <c r="H96" s="111">
        <v>67.24</v>
      </c>
      <c r="I96" s="111">
        <v>46.98</v>
      </c>
      <c r="J96" s="111">
        <v>29.91</v>
      </c>
      <c r="K96" s="111">
        <v>18.45</v>
      </c>
      <c r="L96" s="111">
        <v>27.54</v>
      </c>
      <c r="M96" s="111">
        <v>32.53</v>
      </c>
      <c r="N96" s="111">
        <v>41.6</v>
      </c>
    </row>
    <row r="97" spans="3:14" ht="9.75">
      <c r="C97" s="98">
        <f>C94-C96</f>
        <v>-19.803161200000005</v>
      </c>
      <c r="D97" s="98">
        <f aca="true" t="shared" si="43" ref="D97:N97">D94-D96</f>
        <v>-47.778457599999996</v>
      </c>
      <c r="E97" s="98">
        <f t="shared" si="43"/>
        <v>-59.767398</v>
      </c>
      <c r="F97" s="98">
        <f t="shared" si="43"/>
        <v>-66.6126578</v>
      </c>
      <c r="G97" s="98">
        <f t="shared" si="43"/>
        <v>-63.072694</v>
      </c>
      <c r="H97" s="98">
        <f t="shared" si="43"/>
        <v>-45.64393960000001</v>
      </c>
      <c r="I97" s="98">
        <f t="shared" si="43"/>
        <v>-37.5710368</v>
      </c>
      <c r="J97" s="98">
        <f t="shared" si="43"/>
        <v>-18.858599199999993</v>
      </c>
      <c r="K97" s="98">
        <f t="shared" si="43"/>
        <v>1.5426702744574499</v>
      </c>
      <c r="L97" s="98">
        <f t="shared" si="43"/>
        <v>-14.493805531450977</v>
      </c>
      <c r="M97" s="98">
        <f t="shared" si="43"/>
        <v>-17.349101305526318</v>
      </c>
      <c r="N97" s="98">
        <f t="shared" si="43"/>
        <v>-13.274631683250117</v>
      </c>
    </row>
    <row r="98" spans="1:10" ht="9.75">
      <c r="A98" s="83"/>
      <c r="B98" s="83"/>
      <c r="C98" s="100"/>
      <c r="D98" s="100"/>
      <c r="E98" s="100"/>
      <c r="F98" s="100"/>
      <c r="G98" s="100"/>
      <c r="H98" s="100"/>
      <c r="I98" s="100"/>
      <c r="J98" s="104"/>
    </row>
    <row r="99" spans="3:10" ht="10.5" customHeight="1">
      <c r="C99" s="155"/>
      <c r="D99" s="156"/>
      <c r="E99" s="103"/>
      <c r="F99" s="103"/>
      <c r="G99" s="103"/>
      <c r="H99" s="103"/>
      <c r="I99" s="103"/>
      <c r="J99" s="103"/>
    </row>
    <row r="100" spans="1:10" ht="9.7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9.75">
      <c r="A102" s="83"/>
      <c r="C102" s="102"/>
      <c r="E102" s="102"/>
      <c r="F102" s="102"/>
      <c r="G102" s="102"/>
      <c r="H102" s="102"/>
      <c r="I102" s="102"/>
      <c r="J102" s="105"/>
    </row>
    <row r="105" ht="9.75">
      <c r="B105" s="66" t="str">
        <f ca="1">CELL("filename")</f>
        <v>X:\Division\Accounting II\WUTC Filings\Commodity Credits\Filing June 2024\Bellevue\[EastSide Single Family Commodity Credit Template - June 2024.xls]WUTC_AW of Bellevue_SF</v>
      </c>
    </row>
    <row r="107" spans="3:4" ht="9.75">
      <c r="C107" s="111"/>
      <c r="D107" s="102"/>
    </row>
    <row r="108" spans="3:5" ht="9.75">
      <c r="C108" s="111"/>
      <c r="D108" s="142"/>
      <c r="E108" s="91"/>
    </row>
    <row r="109" spans="3:5" ht="9.75">
      <c r="C109" s="111"/>
      <c r="D109" s="154"/>
      <c r="E109" s="91"/>
    </row>
    <row r="110" spans="3:5" ht="9.75">
      <c r="C110" s="111"/>
      <c r="D110" s="142"/>
      <c r="E110" s="91"/>
    </row>
    <row r="111" spans="3:5" ht="9.75">
      <c r="C111" s="111"/>
      <c r="D111" s="154"/>
      <c r="E111" s="91"/>
    </row>
    <row r="112" spans="3:5" ht="9.75">
      <c r="C112" s="111"/>
      <c r="D112" s="142"/>
      <c r="E112" s="91"/>
    </row>
    <row r="113" spans="3:5" ht="9.75">
      <c r="C113" s="111"/>
      <c r="D113" s="154"/>
      <c r="E113" s="91"/>
    </row>
    <row r="114" spans="3:5" ht="9.75">
      <c r="C114" s="111"/>
      <c r="D114" s="142"/>
      <c r="E114" s="91"/>
    </row>
    <row r="115" spans="3:5" ht="9.75">
      <c r="C115" s="111"/>
      <c r="D115" s="154"/>
      <c r="E115" s="91"/>
    </row>
    <row r="116" spans="3:5" ht="9.75">
      <c r="C116" s="111"/>
      <c r="D116" s="142"/>
      <c r="E116" s="91"/>
    </row>
    <row r="117" spans="3:5" ht="9.75">
      <c r="C117" s="111"/>
      <c r="D117" s="154"/>
      <c r="E117" s="91"/>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F33"/>
  <sheetViews>
    <sheetView showGridLines="0" zoomScalePageLayoutView="0" workbookViewId="0" topLeftCell="A1">
      <selection activeCell="A1" sqref="A1:A16384"/>
    </sheetView>
  </sheetViews>
  <sheetFormatPr defaultColWidth="9.140625" defaultRowHeight="12.75"/>
  <cols>
    <col min="1" max="1" width="28.00390625" style="0" customWidth="1"/>
    <col min="2" max="2" width="12.8515625" style="0" bestFit="1" customWidth="1"/>
    <col min="3" max="3" width="11.8515625" style="0" bestFit="1" customWidth="1"/>
    <col min="4" max="4" width="12.8515625" style="0" bestFit="1" customWidth="1"/>
    <col min="5" max="5" width="11.140625" style="0" bestFit="1" customWidth="1"/>
    <col min="6" max="6" width="10.7109375" style="0" bestFit="1" customWidth="1"/>
  </cols>
  <sheetData>
    <row r="3" ht="13.5" thickBot="1"/>
    <row r="4" spans="1:4" ht="13.5" thickBot="1">
      <c r="A4" s="160" t="s">
        <v>101</v>
      </c>
      <c r="B4" s="161"/>
      <c r="C4" s="162">
        <f>Recap!D16</f>
        <v>6531.671499999997</v>
      </c>
      <c r="D4" s="169"/>
    </row>
    <row r="5" spans="3:4" ht="12.75">
      <c r="C5" s="157"/>
      <c r="D5" s="157"/>
    </row>
    <row r="6" spans="1:6" ht="12.75">
      <c r="A6" s="163" t="s">
        <v>90</v>
      </c>
      <c r="E6" s="163" t="s">
        <v>91</v>
      </c>
      <c r="F6" s="163" t="s">
        <v>92</v>
      </c>
    </row>
    <row r="7" spans="1:6" ht="12.75">
      <c r="A7" s="231" t="s">
        <v>98</v>
      </c>
      <c r="B7" s="60"/>
      <c r="C7" s="230">
        <f>$C$4*(D12/$D$15)</f>
        <v>1969.8688218993777</v>
      </c>
      <c r="D7" s="230"/>
      <c r="E7" s="165">
        <f>C7*E12</f>
        <v>1759.1279389712367</v>
      </c>
      <c r="F7" s="164">
        <f>C7*F12</f>
        <v>210.74088292814116</v>
      </c>
    </row>
    <row r="8" spans="1:6" ht="12.75">
      <c r="A8" s="159" t="s">
        <v>99</v>
      </c>
      <c r="C8" s="230">
        <f>$C$4*(D13/$D$15)</f>
        <v>3687.5986800532937</v>
      </c>
      <c r="D8" s="157"/>
      <c r="E8" s="165">
        <f>C8*E13</f>
        <v>3659.0091904332253</v>
      </c>
      <c r="F8" s="164">
        <f>C8*F13</f>
        <v>28.589489620068374</v>
      </c>
    </row>
    <row r="9" spans="1:6" ht="12.75">
      <c r="A9" s="159" t="s">
        <v>100</v>
      </c>
      <c r="C9" s="230">
        <f>$C$4*(D14/$D$15)</f>
        <v>874.2039980473256</v>
      </c>
      <c r="D9" s="157"/>
      <c r="E9" s="165">
        <f>C9*E14</f>
        <v>813.6899975958676</v>
      </c>
      <c r="F9" s="164">
        <f>C9*F14</f>
        <v>60.514000451457974</v>
      </c>
    </row>
    <row r="11" spans="1:6" ht="12.75">
      <c r="A11" t="s">
        <v>93</v>
      </c>
      <c r="B11" t="s">
        <v>94</v>
      </c>
      <c r="C11" t="s">
        <v>95</v>
      </c>
      <c r="D11" t="s">
        <v>29</v>
      </c>
      <c r="E11" t="s">
        <v>96</v>
      </c>
      <c r="F11" t="s">
        <v>97</v>
      </c>
    </row>
    <row r="12" spans="1:6" ht="12.75">
      <c r="A12">
        <v>4172</v>
      </c>
      <c r="B12" s="232">
        <f>Recap!Q5</f>
        <v>21679.070000000003</v>
      </c>
      <c r="C12" s="232">
        <f>Recap!Q6</f>
        <v>2597.12</v>
      </c>
      <c r="D12" s="232">
        <f>B12+C12</f>
        <v>24276.190000000002</v>
      </c>
      <c r="E12" s="233">
        <f>B12/$D$12</f>
        <v>0.8930178088077249</v>
      </c>
      <c r="F12" s="233">
        <f>C12/$D$12</f>
        <v>0.10698219119227521</v>
      </c>
    </row>
    <row r="13" spans="1:6" ht="12.75">
      <c r="A13">
        <v>4176</v>
      </c>
      <c r="B13" s="234">
        <f>Recap!Q8</f>
        <v>45092.75</v>
      </c>
      <c r="C13" s="234">
        <f>Recap!Q9</f>
        <v>352.33</v>
      </c>
      <c r="D13" s="232">
        <f>B13+C13</f>
        <v>45445.08</v>
      </c>
      <c r="E13" s="233">
        <f>B13/$D$13</f>
        <v>0.9922471255414227</v>
      </c>
      <c r="F13" s="233">
        <f>C13/$D$13</f>
        <v>0.007752874458577253</v>
      </c>
    </row>
    <row r="14" spans="1:6" ht="12.75">
      <c r="A14">
        <v>4183</v>
      </c>
      <c r="B14" s="234">
        <f>Recap!Q11</f>
        <v>10027.72</v>
      </c>
      <c r="C14" s="234">
        <f>Recap!Q12</f>
        <v>745.7599999999999</v>
      </c>
      <c r="D14" s="232">
        <f>B14+C14</f>
        <v>10773.48</v>
      </c>
      <c r="E14" s="233">
        <f>B14/$D$14</f>
        <v>0.9307781700991694</v>
      </c>
      <c r="F14" s="233">
        <f>C14/$D$14</f>
        <v>0.06922182990083055</v>
      </c>
    </row>
    <row r="15" spans="4:6" ht="12.75">
      <c r="D15" s="170">
        <f>SUM(D12:D14)</f>
        <v>80494.75</v>
      </c>
      <c r="E15" s="158"/>
      <c r="F15" s="158"/>
    </row>
    <row r="20" spans="1:5" ht="12.75">
      <c r="A20" s="159" t="s">
        <v>102</v>
      </c>
      <c r="E20" s="157">
        <f>E7</f>
        <v>1759.1279389712367</v>
      </c>
    </row>
    <row r="22" spans="1:5" ht="12.75">
      <c r="A22" s="159" t="s">
        <v>20</v>
      </c>
      <c r="E22" s="166">
        <f>'WUTC_AW of Bellevue_SF'!B26</f>
        <v>124297</v>
      </c>
    </row>
    <row r="24" spans="1:6" ht="12.75">
      <c r="A24" s="159" t="s">
        <v>103</v>
      </c>
      <c r="E24" s="235">
        <v>0</v>
      </c>
      <c r="F24" t="s">
        <v>156</v>
      </c>
    </row>
    <row r="25" ht="12.75">
      <c r="F25" t="s">
        <v>157</v>
      </c>
    </row>
    <row r="30" ht="12.75">
      <c r="B30" s="158"/>
    </row>
    <row r="31" ht="12.75">
      <c r="B31" s="158"/>
    </row>
    <row r="32" ht="12.75">
      <c r="B32" s="158"/>
    </row>
    <row r="33" ht="12.75">
      <c r="B33" s="158"/>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S42"/>
  <sheetViews>
    <sheetView zoomScalePageLayoutView="0" workbookViewId="0" topLeftCell="A1">
      <selection activeCell="E20" sqref="E20"/>
    </sheetView>
  </sheetViews>
  <sheetFormatPr defaultColWidth="9.140625" defaultRowHeight="12.75"/>
  <cols>
    <col min="1" max="1" width="20.28125" style="0" customWidth="1"/>
    <col min="2" max="2" width="13.28125" style="0" bestFit="1" customWidth="1"/>
    <col min="3" max="3" width="12.57421875" style="0" bestFit="1" customWidth="1"/>
    <col min="4" max="4" width="25.7109375" style="0" customWidth="1"/>
    <col min="5" max="5" width="13.421875" style="172" customWidth="1"/>
    <col min="9" max="9" width="34.57421875" style="0" bestFit="1" customWidth="1"/>
    <col min="10" max="10" width="12.8515625" style="0" bestFit="1" customWidth="1"/>
    <col min="12" max="12" width="18.421875" style="0" bestFit="1" customWidth="1"/>
    <col min="14" max="14" width="24.8515625" style="0" bestFit="1" customWidth="1"/>
    <col min="17" max="17" width="19.421875" style="168" bestFit="1" customWidth="1"/>
    <col min="19" max="19" width="11.8515625" style="0" bestFit="1" customWidth="1"/>
  </cols>
  <sheetData>
    <row r="1" spans="1:19" ht="12.75">
      <c r="A1" s="171" t="s">
        <v>148</v>
      </c>
      <c r="B1" s="171"/>
      <c r="C1" s="171"/>
      <c r="H1" t="s">
        <v>133</v>
      </c>
      <c r="Q1" s="168" t="s">
        <v>134</v>
      </c>
      <c r="S1" t="s">
        <v>136</v>
      </c>
    </row>
    <row r="2" spans="1:15" ht="15.75">
      <c r="A2" s="171" t="s">
        <v>107</v>
      </c>
      <c r="B2" s="173">
        <v>45047</v>
      </c>
      <c r="C2" s="173">
        <v>45748</v>
      </c>
      <c r="H2" t="s">
        <v>29</v>
      </c>
      <c r="I2" s="201" t="str">
        <f>"Revenue Retained "</f>
        <v>Revenue Retained </v>
      </c>
      <c r="J2" s="202"/>
      <c r="K2" s="203"/>
      <c r="L2" s="202"/>
      <c r="M2" s="203"/>
      <c r="N2" s="203"/>
      <c r="O2" s="204"/>
    </row>
    <row r="3" spans="9:15" ht="12.75">
      <c r="I3" s="206" t="s">
        <v>151</v>
      </c>
      <c r="J3" s="205"/>
      <c r="K3" s="206"/>
      <c r="L3" s="205"/>
      <c r="M3" s="206"/>
      <c r="N3" s="206"/>
      <c r="O3" s="207"/>
    </row>
    <row r="4" spans="2:19" ht="13.5" thickBot="1">
      <c r="B4" s="251" t="s">
        <v>108</v>
      </c>
      <c r="C4" s="251"/>
      <c r="D4" s="252"/>
      <c r="I4" s="159"/>
      <c r="J4" s="208" t="s">
        <v>29</v>
      </c>
      <c r="K4" s="159"/>
      <c r="L4" s="209" t="s">
        <v>122</v>
      </c>
      <c r="M4" s="159"/>
      <c r="N4" s="210" t="s">
        <v>123</v>
      </c>
      <c r="O4" s="159"/>
      <c r="Q4" s="168" t="s">
        <v>135</v>
      </c>
      <c r="S4" t="s">
        <v>136</v>
      </c>
    </row>
    <row r="5" spans="2:19" ht="12.75">
      <c r="B5" s="174" t="s">
        <v>149</v>
      </c>
      <c r="C5" s="174" t="s">
        <v>150</v>
      </c>
      <c r="D5" s="174" t="s">
        <v>29</v>
      </c>
      <c r="F5" s="175"/>
      <c r="G5" s="175"/>
      <c r="I5" t="s">
        <v>124</v>
      </c>
      <c r="J5" s="211">
        <f>L5*2</f>
        <v>44995.513999999996</v>
      </c>
      <c r="K5" s="159"/>
      <c r="L5" s="212">
        <f>L19+L33</f>
        <v>22497.756999999998</v>
      </c>
      <c r="M5" s="159"/>
      <c r="N5" s="212">
        <f>L5</f>
        <v>22497.756999999998</v>
      </c>
      <c r="O5" s="159"/>
      <c r="Q5" s="168">
        <f>Q19+Q33</f>
        <v>21679.070000000003</v>
      </c>
      <c r="S5" s="170">
        <f>L5-Q5</f>
        <v>818.6869999999944</v>
      </c>
    </row>
    <row r="6" spans="1:19" ht="12.75">
      <c r="A6" s="174" t="s">
        <v>109</v>
      </c>
      <c r="B6" s="176">
        <v>59357.57</v>
      </c>
      <c r="C6" s="176">
        <v>0</v>
      </c>
      <c r="D6" s="176">
        <v>59357.57</v>
      </c>
      <c r="E6" s="177"/>
      <c r="F6" s="171"/>
      <c r="G6" s="171"/>
      <c r="I6" t="s">
        <v>125</v>
      </c>
      <c r="J6" s="211">
        <f>L6*2</f>
        <v>5056.955999999999</v>
      </c>
      <c r="K6" s="159"/>
      <c r="L6" s="212">
        <f>L20+L34</f>
        <v>2528.4779999999996</v>
      </c>
      <c r="M6" s="159"/>
      <c r="N6" s="212">
        <f aca="true" t="shared" si="0" ref="N6:N12">L6</f>
        <v>2528.4779999999996</v>
      </c>
      <c r="O6" s="159"/>
      <c r="Q6" s="168">
        <f aca="true" t="shared" si="1" ref="Q6:Q12">Q20+Q34</f>
        <v>2597.12</v>
      </c>
      <c r="S6" s="170">
        <f aca="true" t="shared" si="2" ref="S6:S14">L6-Q6</f>
        <v>-68.64200000000028</v>
      </c>
    </row>
    <row r="7" spans="1:19" ht="12.75">
      <c r="A7" s="174" t="s">
        <v>110</v>
      </c>
      <c r="B7" s="176">
        <v>11000</v>
      </c>
      <c r="C7" s="176">
        <v>0</v>
      </c>
      <c r="D7" s="176">
        <v>11000</v>
      </c>
      <c r="E7" s="244"/>
      <c r="F7" s="171"/>
      <c r="G7" s="171"/>
      <c r="I7" s="159"/>
      <c r="J7" s="211"/>
      <c r="K7" s="159"/>
      <c r="L7" s="212"/>
      <c r="M7" s="159"/>
      <c r="N7" s="212"/>
      <c r="O7" s="159"/>
      <c r="S7" s="170">
        <f t="shared" si="2"/>
        <v>0</v>
      </c>
    </row>
    <row r="8" spans="1:19" ht="12.75">
      <c r="A8" s="174" t="s">
        <v>111</v>
      </c>
      <c r="B8" s="176">
        <v>0</v>
      </c>
      <c r="C8" s="176">
        <v>0</v>
      </c>
      <c r="D8" s="176">
        <v>0</v>
      </c>
      <c r="I8" t="s">
        <v>126</v>
      </c>
      <c r="J8" s="211">
        <f>L8*2</f>
        <v>90103.75200000001</v>
      </c>
      <c r="K8" s="159"/>
      <c r="L8" s="212">
        <f>L22+L36</f>
        <v>45051.876000000004</v>
      </c>
      <c r="M8" s="159"/>
      <c r="N8" s="212">
        <f t="shared" si="0"/>
        <v>45051.876000000004</v>
      </c>
      <c r="O8" s="159"/>
      <c r="Q8" s="168">
        <f t="shared" si="1"/>
        <v>45092.75</v>
      </c>
      <c r="S8" s="170">
        <f t="shared" si="2"/>
        <v>-40.87399999999616</v>
      </c>
    </row>
    <row r="9" spans="1:19" ht="12.75">
      <c r="A9" s="174" t="s">
        <v>29</v>
      </c>
      <c r="B9" s="218">
        <v>70357.57</v>
      </c>
      <c r="C9" s="218">
        <v>0</v>
      </c>
      <c r="D9" s="218">
        <v>70357.57</v>
      </c>
      <c r="I9" t="s">
        <v>127</v>
      </c>
      <c r="J9" s="211">
        <f>L9*2</f>
        <v>697.362</v>
      </c>
      <c r="K9" s="159"/>
      <c r="L9" s="212">
        <f>L23+L37</f>
        <v>348.681</v>
      </c>
      <c r="M9" s="159"/>
      <c r="N9" s="212">
        <f t="shared" si="0"/>
        <v>348.681</v>
      </c>
      <c r="O9" s="159"/>
      <c r="Q9" s="168">
        <f t="shared" si="1"/>
        <v>352.33</v>
      </c>
      <c r="S9" s="170">
        <f t="shared" si="2"/>
        <v>-3.649000000000001</v>
      </c>
    </row>
    <row r="10" spans="1:19" ht="12.75">
      <c r="A10" s="178" t="s">
        <v>112</v>
      </c>
      <c r="B10" s="170">
        <v>3517.8785000000007</v>
      </c>
      <c r="C10" s="170">
        <v>0</v>
      </c>
      <c r="D10" s="170">
        <v>73875.44850000001</v>
      </c>
      <c r="F10" s="179"/>
      <c r="G10" s="179"/>
      <c r="I10" s="159"/>
      <c r="J10" s="211"/>
      <c r="K10" s="159"/>
      <c r="L10" s="212"/>
      <c r="M10" s="159"/>
      <c r="N10" s="212"/>
      <c r="O10" s="159"/>
      <c r="S10" s="170">
        <f t="shared" si="2"/>
        <v>0</v>
      </c>
    </row>
    <row r="11" spans="2:19" ht="12.75">
      <c r="B11" s="251" t="s">
        <v>113</v>
      </c>
      <c r="C11" s="251"/>
      <c r="D11" s="252"/>
      <c r="I11" t="s">
        <v>128</v>
      </c>
      <c r="J11" s="211">
        <f>L11*2</f>
        <v>19965.062</v>
      </c>
      <c r="K11" s="159"/>
      <c r="L11" s="212">
        <f>L25+L39</f>
        <v>9982.531</v>
      </c>
      <c r="M11" s="159"/>
      <c r="N11" s="212">
        <f t="shared" si="0"/>
        <v>9982.531</v>
      </c>
      <c r="O11" s="159"/>
      <c r="Q11" s="168">
        <f t="shared" si="1"/>
        <v>10027.72</v>
      </c>
      <c r="S11" s="170">
        <f t="shared" si="2"/>
        <v>-45.18899999999849</v>
      </c>
    </row>
    <row r="12" spans="2:19" ht="12.75">
      <c r="B12" s="174" t="s">
        <v>149</v>
      </c>
      <c r="C12" s="174" t="s">
        <v>150</v>
      </c>
      <c r="D12" s="174" t="s">
        <v>29</v>
      </c>
      <c r="I12" t="s">
        <v>129</v>
      </c>
      <c r="J12" s="211">
        <f>L12*2</f>
        <v>1487.6399999999999</v>
      </c>
      <c r="K12" s="159"/>
      <c r="L12" s="212">
        <f>L26+L40</f>
        <v>743.8199999999999</v>
      </c>
      <c r="M12" s="159"/>
      <c r="N12" s="212">
        <f t="shared" si="0"/>
        <v>743.8199999999999</v>
      </c>
      <c r="O12" s="159"/>
      <c r="Q12" s="168">
        <f t="shared" si="1"/>
        <v>745.7599999999999</v>
      </c>
      <c r="S12" s="170">
        <f t="shared" si="2"/>
        <v>-1.9399999999999409</v>
      </c>
    </row>
    <row r="13" spans="1:19" ht="12.75">
      <c r="A13" s="170"/>
      <c r="B13" s="176">
        <v>80407.12000000001</v>
      </c>
      <c r="C13" s="176">
        <v>0</v>
      </c>
      <c r="D13" s="176">
        <v>80407.12000000001</v>
      </c>
      <c r="I13" s="159"/>
      <c r="J13" s="211"/>
      <c r="K13" s="159"/>
      <c r="M13" s="159"/>
      <c r="N13" s="212"/>
      <c r="O13" s="159"/>
      <c r="S13" s="170">
        <f t="shared" si="2"/>
        <v>0</v>
      </c>
    </row>
    <row r="14" spans="9:19" ht="13.5" thickBot="1">
      <c r="I14" s="214" t="s">
        <v>130</v>
      </c>
      <c r="J14" s="215">
        <f>SUM(J5,J6,J8,J9,J11,J12)</f>
        <v>162306.28600000002</v>
      </c>
      <c r="K14" s="159"/>
      <c r="L14" s="215">
        <f>SUM(L5:L12)</f>
        <v>81153.14300000001</v>
      </c>
      <c r="M14" s="216"/>
      <c r="N14" s="217">
        <f>L14</f>
        <v>81153.14300000001</v>
      </c>
      <c r="O14" s="159"/>
      <c r="Q14" s="215">
        <f>SUM(Q5:Q12)</f>
        <v>80494.75</v>
      </c>
      <c r="S14" s="215">
        <f t="shared" si="2"/>
        <v>658.3930000000109</v>
      </c>
    </row>
    <row r="15" spans="2:4" ht="12.75">
      <c r="B15" s="253" t="s">
        <v>114</v>
      </c>
      <c r="C15" s="253"/>
      <c r="D15" s="253"/>
    </row>
    <row r="16" spans="2:15" ht="15.75">
      <c r="B16" s="180"/>
      <c r="C16" s="180"/>
      <c r="D16" s="176">
        <f>D13-(B9+B10)</f>
        <v>6531.671499999997</v>
      </c>
      <c r="H16" t="s">
        <v>131</v>
      </c>
      <c r="I16" s="201" t="str">
        <f>"Revenue Retained "</f>
        <v>Revenue Retained </v>
      </c>
      <c r="J16" s="202"/>
      <c r="K16" s="203"/>
      <c r="L16" s="202"/>
      <c r="M16" s="203"/>
      <c r="N16" s="203"/>
      <c r="O16" s="204"/>
    </row>
    <row r="17" spans="9:15" ht="12.75">
      <c r="I17" s="206" t="s">
        <v>152</v>
      </c>
      <c r="J17" s="205"/>
      <c r="K17" s="206"/>
      <c r="L17" s="205"/>
      <c r="M17" s="206"/>
      <c r="N17" s="206"/>
      <c r="O17" s="207"/>
    </row>
    <row r="18" spans="1:19" ht="15.75" thickBot="1">
      <c r="A18" s="181"/>
      <c r="B18" s="254" t="s">
        <v>115</v>
      </c>
      <c r="C18" s="255"/>
      <c r="D18" s="256"/>
      <c r="I18" s="159"/>
      <c r="J18" s="208" t="s">
        <v>29</v>
      </c>
      <c r="K18" s="159"/>
      <c r="L18" s="209" t="s">
        <v>122</v>
      </c>
      <c r="M18" s="159"/>
      <c r="N18" s="210" t="s">
        <v>123</v>
      </c>
      <c r="O18" s="159"/>
      <c r="Q18" s="168" t="s">
        <v>135</v>
      </c>
      <c r="S18" t="s">
        <v>136</v>
      </c>
    </row>
    <row r="19" spans="1:19" ht="15">
      <c r="A19" s="181"/>
      <c r="B19" s="182" t="s">
        <v>149</v>
      </c>
      <c r="C19" s="183" t="s">
        <v>150</v>
      </c>
      <c r="D19" s="184" t="s">
        <v>29</v>
      </c>
      <c r="I19" t="s">
        <v>124</v>
      </c>
      <c r="J19" s="211">
        <f>L19*2</f>
        <v>44995.513999999996</v>
      </c>
      <c r="K19" s="159"/>
      <c r="L19" s="228">
        <v>22497.756999999998</v>
      </c>
      <c r="M19" s="159"/>
      <c r="N19" s="212">
        <f>L19</f>
        <v>22497.756999999998</v>
      </c>
      <c r="O19" s="159"/>
      <c r="Q19" s="245">
        <v>21679.070000000003</v>
      </c>
      <c r="S19" s="170">
        <f>L19-Q19</f>
        <v>818.6869999999944</v>
      </c>
    </row>
    <row r="20" spans="1:19" ht="12.75">
      <c r="A20" s="243">
        <v>4172</v>
      </c>
      <c r="B20" s="185">
        <v>21368.7252</v>
      </c>
      <c r="C20" s="185">
        <v>0</v>
      </c>
      <c r="D20" s="185">
        <v>21368.7252</v>
      </c>
      <c r="I20" t="s">
        <v>125</v>
      </c>
      <c r="J20" s="211">
        <f>L20*2</f>
        <v>5056.955999999999</v>
      </c>
      <c r="K20" s="159"/>
      <c r="L20" s="228">
        <f>24789*0.102</f>
        <v>2528.4779999999996</v>
      </c>
      <c r="M20" s="159"/>
      <c r="N20" s="212">
        <f aca="true" t="shared" si="3" ref="N20:N26">L20</f>
        <v>2528.4779999999996</v>
      </c>
      <c r="O20" s="159"/>
      <c r="Q20" s="245">
        <v>2597.12</v>
      </c>
      <c r="S20" s="170">
        <f aca="true" t="shared" si="4" ref="S20:S28">L20-Q20</f>
        <v>-68.64200000000028</v>
      </c>
    </row>
    <row r="21" spans="1:19" ht="12.75">
      <c r="A21" s="183">
        <v>4176</v>
      </c>
      <c r="B21" s="185">
        <v>30865.936400000002</v>
      </c>
      <c r="C21" s="185">
        <v>0</v>
      </c>
      <c r="D21" s="185">
        <v>30865.936400000002</v>
      </c>
      <c r="I21" s="159"/>
      <c r="J21" s="211"/>
      <c r="K21" s="159"/>
      <c r="L21" s="212"/>
      <c r="M21" s="159"/>
      <c r="N21" s="212"/>
      <c r="O21" s="159"/>
      <c r="S21" s="170">
        <f t="shared" si="4"/>
        <v>0</v>
      </c>
    </row>
    <row r="22" spans="1:19" ht="12.75">
      <c r="A22" s="243">
        <v>4183</v>
      </c>
      <c r="B22" s="185">
        <v>7273.597008</v>
      </c>
      <c r="C22" s="185">
        <v>0</v>
      </c>
      <c r="D22" s="185">
        <v>7273.597008</v>
      </c>
      <c r="I22" t="s">
        <v>126</v>
      </c>
      <c r="J22" s="211">
        <f>L22*2</f>
        <v>90103.75200000001</v>
      </c>
      <c r="K22" s="159"/>
      <c r="L22" s="228">
        <f>278098*0.162</f>
        <v>45051.876000000004</v>
      </c>
      <c r="M22" s="159"/>
      <c r="N22" s="212">
        <f t="shared" si="3"/>
        <v>45051.876000000004</v>
      </c>
      <c r="O22" s="159"/>
      <c r="Q22" s="245">
        <v>45092.75</v>
      </c>
      <c r="S22" s="170">
        <f t="shared" si="4"/>
        <v>-40.87399999999616</v>
      </c>
    </row>
    <row r="23" spans="1:19" ht="15">
      <c r="A23" s="181"/>
      <c r="B23" s="219">
        <v>59508.258608000004</v>
      </c>
      <c r="C23" s="220">
        <v>0</v>
      </c>
      <c r="D23" s="221">
        <v>59508.258608000004</v>
      </c>
      <c r="I23" t="s">
        <v>127</v>
      </c>
      <c r="J23" s="211">
        <f>L23*2</f>
        <v>697.362</v>
      </c>
      <c r="K23" s="159"/>
      <c r="L23" s="228">
        <f>4911*0.071</f>
        <v>348.681</v>
      </c>
      <c r="M23" s="159"/>
      <c r="N23" s="212">
        <f t="shared" si="3"/>
        <v>348.681</v>
      </c>
      <c r="O23" s="159"/>
      <c r="Q23" s="245">
        <v>352.33</v>
      </c>
      <c r="S23" s="170">
        <f t="shared" si="4"/>
        <v>-3.649000000000001</v>
      </c>
    </row>
    <row r="24" spans="9:19" ht="12.75">
      <c r="I24" s="159"/>
      <c r="J24" s="211"/>
      <c r="K24" s="159"/>
      <c r="L24" s="212"/>
      <c r="M24" s="159"/>
      <c r="N24" s="212"/>
      <c r="O24" s="159"/>
      <c r="S24" s="170">
        <f t="shared" si="4"/>
        <v>0</v>
      </c>
    </row>
    <row r="25" spans="9:19" ht="12.75">
      <c r="I25" t="s">
        <v>128</v>
      </c>
      <c r="J25" s="211">
        <f>L25*2</f>
        <v>19965.062</v>
      </c>
      <c r="K25" s="159"/>
      <c r="L25" s="228">
        <f>63583*0.157</f>
        <v>9982.531</v>
      </c>
      <c r="M25" s="159"/>
      <c r="N25" s="212">
        <f t="shared" si="3"/>
        <v>9982.531</v>
      </c>
      <c r="O25" s="159"/>
      <c r="Q25" s="245">
        <v>10027.72</v>
      </c>
      <c r="S25" s="170">
        <f t="shared" si="4"/>
        <v>-45.18899999999849</v>
      </c>
    </row>
    <row r="26" spans="9:19" ht="12.75">
      <c r="I26" t="s">
        <v>129</v>
      </c>
      <c r="J26" s="211">
        <f>L26*2</f>
        <v>1487.6399999999999</v>
      </c>
      <c r="K26" s="159"/>
      <c r="L26" s="228">
        <f>7084*0.105</f>
        <v>743.8199999999999</v>
      </c>
      <c r="M26" s="159"/>
      <c r="N26" s="212">
        <f t="shared" si="3"/>
        <v>743.8199999999999</v>
      </c>
      <c r="O26" s="159"/>
      <c r="Q26" s="245">
        <v>745.7599999999999</v>
      </c>
      <c r="S26" s="170">
        <f t="shared" si="4"/>
        <v>-1.9399999999999409</v>
      </c>
    </row>
    <row r="27" spans="1:19" ht="12.75">
      <c r="A27" s="186" t="s">
        <v>116</v>
      </c>
      <c r="B27" s="187"/>
      <c r="C27" s="188"/>
      <c r="D27" s="189" t="s">
        <v>141</v>
      </c>
      <c r="E27" s="190"/>
      <c r="I27" s="159"/>
      <c r="J27" s="211"/>
      <c r="K27" s="159"/>
      <c r="M27" s="159"/>
      <c r="N27" s="213"/>
      <c r="O27" s="159"/>
      <c r="S27" s="170">
        <f t="shared" si="4"/>
        <v>0</v>
      </c>
    </row>
    <row r="28" spans="1:19" ht="15.75" thickBot="1">
      <c r="A28" s="191" t="s">
        <v>117</v>
      </c>
      <c r="B28" s="222">
        <v>6.691666666666666</v>
      </c>
      <c r="D28" s="249" t="s">
        <v>117</v>
      </c>
      <c r="E28" s="223">
        <v>1</v>
      </c>
      <c r="I28" s="214" t="s">
        <v>130</v>
      </c>
      <c r="J28" s="215">
        <f>SUM(J19,J20,J22,J23,J25,J26)</f>
        <v>162306.28600000002</v>
      </c>
      <c r="K28" s="159"/>
      <c r="L28" s="215">
        <f>SUM(L19:L26)</f>
        <v>81153.14300000001</v>
      </c>
      <c r="M28" s="216"/>
      <c r="N28" s="217">
        <f>L28</f>
        <v>81153.14300000001</v>
      </c>
      <c r="O28" s="159"/>
      <c r="Q28" s="215">
        <f>SUM(Q19:Q26)</f>
        <v>80494.75</v>
      </c>
      <c r="S28" s="215">
        <f t="shared" si="4"/>
        <v>658.3930000000109</v>
      </c>
    </row>
    <row r="29" spans="1:5" ht="12.75">
      <c r="A29" s="192" t="s">
        <v>118</v>
      </c>
      <c r="B29" s="193">
        <v>1020.3778081675945</v>
      </c>
      <c r="D29" s="249" t="s">
        <v>118</v>
      </c>
      <c r="E29" s="194">
        <v>0</v>
      </c>
    </row>
    <row r="30" spans="1:15" ht="15.75">
      <c r="A30" s="191" t="s">
        <v>119</v>
      </c>
      <c r="B30" s="195">
        <v>0</v>
      </c>
      <c r="D30" s="249" t="s">
        <v>119</v>
      </c>
      <c r="E30" s="196">
        <v>12</v>
      </c>
      <c r="H30" t="s">
        <v>132</v>
      </c>
      <c r="I30" s="201" t="str">
        <f>"Revenue Retained "</f>
        <v>Revenue Retained </v>
      </c>
      <c r="J30" s="202"/>
      <c r="K30" s="203"/>
      <c r="L30" s="202"/>
      <c r="M30" s="203"/>
      <c r="N30" s="203"/>
      <c r="O30" s="204"/>
    </row>
    <row r="31" spans="1:15" ht="12.75">
      <c r="A31" s="197" t="s">
        <v>139</v>
      </c>
      <c r="B31" s="224">
        <v>80407.12000000001</v>
      </c>
      <c r="D31" s="249" t="s">
        <v>120</v>
      </c>
      <c r="E31" s="225">
        <v>0</v>
      </c>
      <c r="I31" s="206" t="s">
        <v>153</v>
      </c>
      <c r="J31" s="205"/>
      <c r="K31" s="206"/>
      <c r="L31" s="205"/>
      <c r="M31" s="206"/>
      <c r="N31" s="206"/>
      <c r="O31" s="207"/>
    </row>
    <row r="32" spans="1:19" ht="15.75" thickBot="1">
      <c r="A32" s="198" t="s">
        <v>140</v>
      </c>
      <c r="B32" s="170">
        <v>73875.44850000001</v>
      </c>
      <c r="D32" s="199" t="s">
        <v>142</v>
      </c>
      <c r="E32" t="e">
        <v>#DIV/0!</v>
      </c>
      <c r="I32" s="159"/>
      <c r="J32" s="208" t="s">
        <v>29</v>
      </c>
      <c r="K32" s="159"/>
      <c r="L32" s="209" t="s">
        <v>122</v>
      </c>
      <c r="M32" s="159"/>
      <c r="N32" s="210" t="s">
        <v>123</v>
      </c>
      <c r="O32" s="159"/>
      <c r="Q32" s="168" t="s">
        <v>135</v>
      </c>
      <c r="S32" t="s">
        <v>136</v>
      </c>
    </row>
    <row r="33" spans="1:19" ht="25.5">
      <c r="A33" s="240" t="s">
        <v>143</v>
      </c>
      <c r="B33" s="170">
        <v>6531.671499999997</v>
      </c>
      <c r="D33" s="200" t="s">
        <v>121</v>
      </c>
      <c r="E33" s="226">
        <v>6531.671499999997</v>
      </c>
      <c r="I33" t="s">
        <v>124</v>
      </c>
      <c r="J33" s="211">
        <f>L33*2</f>
        <v>0</v>
      </c>
      <c r="K33" s="159"/>
      <c r="L33" s="228"/>
      <c r="M33" s="159"/>
      <c r="N33" s="212">
        <f>L33</f>
        <v>0</v>
      </c>
      <c r="O33" s="159"/>
      <c r="Q33" s="229"/>
      <c r="S33" s="170">
        <f>L33-Q33</f>
        <v>0</v>
      </c>
    </row>
    <row r="34" spans="1:19" ht="14.25">
      <c r="A34" s="172"/>
      <c r="D34" s="200"/>
      <c r="E34" s="226"/>
      <c r="I34" t="s">
        <v>125</v>
      </c>
      <c r="J34" s="211">
        <f>L34*2</f>
        <v>0</v>
      </c>
      <c r="K34" s="159"/>
      <c r="L34" s="228"/>
      <c r="M34" s="159"/>
      <c r="N34" s="212">
        <f aca="true" t="shared" si="5" ref="N34:N40">L34</f>
        <v>0</v>
      </c>
      <c r="O34" s="159"/>
      <c r="Q34" s="229"/>
      <c r="S34" s="170">
        <f aca="true" t="shared" si="6" ref="S34:S42">L34-Q34</f>
        <v>0</v>
      </c>
    </row>
    <row r="35" spans="1:19" ht="14.25">
      <c r="A35" s="198" t="s">
        <v>144</v>
      </c>
      <c r="B35" s="170">
        <v>73875.44850000001</v>
      </c>
      <c r="D35" s="200"/>
      <c r="E35" s="226"/>
      <c r="I35" s="159"/>
      <c r="J35" s="211"/>
      <c r="K35" s="159"/>
      <c r="L35" s="212"/>
      <c r="M35" s="159"/>
      <c r="N35" s="212"/>
      <c r="O35" s="159"/>
      <c r="S35" s="170">
        <f t="shared" si="6"/>
        <v>0</v>
      </c>
    </row>
    <row r="36" spans="1:19" ht="12.75">
      <c r="A36" s="240" t="s">
        <v>145</v>
      </c>
      <c r="B36" s="170">
        <v>6531.671499999997</v>
      </c>
      <c r="D36" s="175" t="s">
        <v>146</v>
      </c>
      <c r="E36" s="227" t="e">
        <v>#DIV/0!</v>
      </c>
      <c r="I36" t="s">
        <v>126</v>
      </c>
      <c r="J36" s="211">
        <f>L36*2</f>
        <v>0</v>
      </c>
      <c r="K36" s="159"/>
      <c r="L36" s="228"/>
      <c r="M36" s="159"/>
      <c r="N36" s="212">
        <f t="shared" si="5"/>
        <v>0</v>
      </c>
      <c r="O36" s="159"/>
      <c r="Q36" s="229"/>
      <c r="S36" s="170">
        <f t="shared" si="6"/>
        <v>0</v>
      </c>
    </row>
    <row r="37" spans="4:19" ht="12.75">
      <c r="D37" s="175"/>
      <c r="E37" s="227"/>
      <c r="I37" t="s">
        <v>127</v>
      </c>
      <c r="J37" s="211">
        <f>L37*2</f>
        <v>0</v>
      </c>
      <c r="K37" s="159"/>
      <c r="L37" s="228"/>
      <c r="M37" s="159"/>
      <c r="N37" s="212">
        <f t="shared" si="5"/>
        <v>0</v>
      </c>
      <c r="O37" s="159"/>
      <c r="Q37" s="229"/>
      <c r="S37" s="170">
        <f t="shared" si="6"/>
        <v>0</v>
      </c>
    </row>
    <row r="38" spans="9:19" ht="12.75">
      <c r="I38" s="159"/>
      <c r="J38" s="211"/>
      <c r="K38" s="159"/>
      <c r="L38" s="212"/>
      <c r="M38" s="159"/>
      <c r="N38" s="212"/>
      <c r="O38" s="159"/>
      <c r="S38" s="170">
        <f t="shared" si="6"/>
        <v>0</v>
      </c>
    </row>
    <row r="39" spans="5:19" ht="12.75">
      <c r="E39" s="241"/>
      <c r="I39" t="s">
        <v>128</v>
      </c>
      <c r="J39" s="211">
        <f>L39*2</f>
        <v>0</v>
      </c>
      <c r="K39" s="159"/>
      <c r="L39" s="228"/>
      <c r="M39" s="159"/>
      <c r="N39" s="212">
        <f t="shared" si="5"/>
        <v>0</v>
      </c>
      <c r="O39" s="159"/>
      <c r="Q39" s="229"/>
      <c r="S39" s="170">
        <f t="shared" si="6"/>
        <v>0</v>
      </c>
    </row>
    <row r="40" spans="9:19" ht="12.75">
      <c r="I40" t="s">
        <v>129</v>
      </c>
      <c r="J40" s="211">
        <f>L40*2</f>
        <v>0</v>
      </c>
      <c r="K40" s="159"/>
      <c r="L40" s="228"/>
      <c r="M40" s="159"/>
      <c r="N40" s="212">
        <f t="shared" si="5"/>
        <v>0</v>
      </c>
      <c r="O40" s="159"/>
      <c r="Q40" s="229"/>
      <c r="S40" s="170">
        <f t="shared" si="6"/>
        <v>0</v>
      </c>
    </row>
    <row r="41" spans="9:19" ht="12.75">
      <c r="I41" s="159"/>
      <c r="J41" s="211"/>
      <c r="K41" s="159"/>
      <c r="M41" s="159"/>
      <c r="N41" s="213"/>
      <c r="O41" s="159"/>
      <c r="S41" s="170">
        <f t="shared" si="6"/>
        <v>0</v>
      </c>
    </row>
    <row r="42" spans="9:19" ht="13.5" thickBot="1">
      <c r="I42" s="214" t="s">
        <v>130</v>
      </c>
      <c r="J42" s="215">
        <f>SUM(J33,J34,J36,J37,J39,J40)</f>
        <v>0</v>
      </c>
      <c r="K42" s="159"/>
      <c r="L42" s="215">
        <f>SUM(L33:L40)</f>
        <v>0</v>
      </c>
      <c r="M42" s="216"/>
      <c r="N42" s="217">
        <f>L42</f>
        <v>0</v>
      </c>
      <c r="O42" s="159"/>
      <c r="Q42" s="215">
        <f>SUM(Q33:Q40)</f>
        <v>0</v>
      </c>
      <c r="S42" s="215">
        <f t="shared" si="6"/>
        <v>0</v>
      </c>
    </row>
  </sheetData>
  <sheetProtection/>
  <mergeCells count="4">
    <mergeCell ref="B4:D4"/>
    <mergeCell ref="B11:D11"/>
    <mergeCell ref="B15:D15"/>
    <mergeCell ref="B18:D18"/>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Robinson, Kristen</cp:lastModifiedBy>
  <cp:lastPrinted>2019-06-14T13:45:13Z</cp:lastPrinted>
  <dcterms:created xsi:type="dcterms:W3CDTF">2008-05-23T15:47:44Z</dcterms:created>
  <dcterms:modified xsi:type="dcterms:W3CDTF">2024-06-07T15:28:38Z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DocumentSetType">
    <vt:lpwstr>Workpapers</vt:lpwstr>
  </property>
  <property fmtid="{D5CDD505-2E9C-101B-9397-08002B2CF9AE}" pid="5" name="IsDocumentOrder">
    <vt:lpwstr>False</vt:lpwstr>
  </property>
  <property fmtid="{D5CDD505-2E9C-101B-9397-08002B2CF9AE}" pid="6" name="IsHighlyConfidential">
    <vt:lpwstr>False</vt:lpwstr>
  </property>
  <property fmtid="{D5CDD505-2E9C-101B-9397-08002B2CF9AE}" pid="7" name="CaseCompanyNames">
    <vt:lpwstr>RABANCO LTD.            </vt:lpwstr>
  </property>
  <property fmtid="{D5CDD505-2E9C-101B-9397-08002B2CF9AE}" pid="8" name="IsConfidential">
    <vt:lpwstr>False</vt:lpwstr>
  </property>
  <property fmtid="{D5CDD505-2E9C-101B-9397-08002B2CF9AE}" pid="9" name="DocketNumber">
    <vt:lpwstr>240522</vt:lpwstr>
  </property>
  <property fmtid="{D5CDD505-2E9C-101B-9397-08002B2CF9AE}" pid="10" name="Date1">
    <vt:lpwstr>2024-06-07T00:00:00Z</vt:lpwstr>
  </property>
  <property fmtid="{D5CDD505-2E9C-101B-9397-08002B2CF9AE}" pid="11" name="Nickname">
    <vt:lpwstr/>
  </property>
  <property fmtid="{D5CDD505-2E9C-101B-9397-08002B2CF9AE}" pid="12" name="CaseType">
    <vt:lpwstr>Tariff Revision</vt:lpwstr>
  </property>
  <property fmtid="{D5CDD505-2E9C-101B-9397-08002B2CF9AE}" pid="13" name="OpenedDate">
    <vt:lpwstr>2024-06-07T00:00:00Z</vt:lpwstr>
  </property>
  <property fmtid="{D5CDD505-2E9C-101B-9397-08002B2CF9AE}" pid="14" name="Prefix">
    <vt:lpwstr>TG</vt:lpwstr>
  </property>
  <property fmtid="{D5CDD505-2E9C-101B-9397-08002B2CF9AE}" pid="15" name="IndustryCode">
    <vt:lpwstr>227</vt:lpwstr>
  </property>
  <property fmtid="{D5CDD505-2E9C-101B-9397-08002B2CF9AE}" pid="16" name="CaseStatus">
    <vt:lpwstr>Pending</vt:lpwstr>
  </property>
</Properties>
</file>