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815" tabRatio="886" activeTab="1"/>
  </bookViews>
  <sheets>
    <sheet name="References" sheetId="1" r:id="rId1"/>
    <sheet name="Calc. and priceout" sheetId="2" r:id="rId2"/>
    <sheet name="Co. Pro Tonnage" sheetId="3" r:id="rId3"/>
  </sheets>
  <definedNames>
    <definedName name="_xlnm.Print_Area" localSheetId="1">'Calc. and priceout'!$A$1:$T$66</definedName>
    <definedName name="_xlnm.Print_Area" localSheetId="2">'Co. Pro Tonnage'!$A$1:$P$16</definedName>
    <definedName name="_xlnm.Print_Area" localSheetId="0">'References'!$A$1:$H$64</definedName>
    <definedName name="_xlnm.Print_Titles" localSheetId="1">'Calc. and priceout'!$1:$1</definedName>
  </definedNames>
  <calcPr fullCalcOnLoad="1"/>
</workbook>
</file>

<file path=xl/sharedStrings.xml><?xml version="1.0" encoding="utf-8"?>
<sst xmlns="http://schemas.openxmlformats.org/spreadsheetml/2006/main" count="198" uniqueCount="175">
  <si>
    <t>Pro Forma</t>
  </si>
  <si>
    <t>Adj.</t>
  </si>
  <si>
    <t>%</t>
  </si>
  <si>
    <t>Total</t>
  </si>
  <si>
    <t>Current</t>
  </si>
  <si>
    <t>Cost</t>
  </si>
  <si>
    <t>Proposed</t>
  </si>
  <si>
    <t>Tons</t>
  </si>
  <si>
    <t>Rate</t>
  </si>
  <si>
    <t>Expense</t>
  </si>
  <si>
    <t>Commercial garbage</t>
  </si>
  <si>
    <t>Residential garbage</t>
  </si>
  <si>
    <t>Regulated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</si>
  <si>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</si>
  <si>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</si>
  <si>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</si>
  <si>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</si>
  <si>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</si>
  <si>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</si>
  <si>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</si>
  <si>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</si>
  <si>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</si>
  <si>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</si>
  <si>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</si>
  <si>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</si>
  <si>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</si>
  <si>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</si>
  <si>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</si>
  <si>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</si>
  <si>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</si>
  <si>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</si>
  <si>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</si>
  <si>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</si>
  <si>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</si>
  <si>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</si>
  <si>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</si>
  <si>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</si>
  <si>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</si>
  <si>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</si>
  <si>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</si>
  <si>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</si>
  <si>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</si>
  <si>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35 gallon Can</t>
  </si>
  <si>
    <t>*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</si>
  <si>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</si>
  <si>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</si>
  <si>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</si>
  <si>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</si>
  <si>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</si>
  <si>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</si>
  <si>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</si>
  <si>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</si>
  <si>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</si>
  <si>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</si>
  <si>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</si>
  <si>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</si>
  <si>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</si>
  <si>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</si>
  <si>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</si>
  <si>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</si>
  <si>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</si>
  <si>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</si>
  <si>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</si>
  <si>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</si>
  <si>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</si>
  <si>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</si>
  <si>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</si>
  <si>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Kitsap County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</si>
  <si>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</si>
  <si>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</si>
  <si>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</si>
  <si>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</si>
  <si>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</si>
  <si>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</si>
  <si>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</si>
  <si>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</si>
  <si>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</si>
  <si>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</si>
  <si>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</si>
  <si>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</si>
  <si>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</si>
  <si>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</si>
  <si>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</si>
  <si>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Tariff Page</t>
  </si>
  <si>
    <t>Scheduled Service</t>
  </si>
  <si>
    <t>Monthly Frequency</t>
  </si>
  <si>
    <t>Annual PU's</t>
  </si>
  <si>
    <t>Calculated Annual Pounds</t>
  </si>
  <si>
    <t>Adjusted Annual Pounds</t>
  </si>
  <si>
    <t>Gross Up</t>
  </si>
  <si>
    <t>Tariff Rate Increase</t>
  </si>
  <si>
    <t>Company Current Tariff</t>
  </si>
  <si>
    <t>Company Current Revenue</t>
  </si>
  <si>
    <t>Revised Tariff Rate</t>
  </si>
  <si>
    <t>Revised Revenue</t>
  </si>
  <si>
    <t>Revised Revenue Increase</t>
  </si>
  <si>
    <t>Residential</t>
  </si>
  <si>
    <t>Commercial</t>
  </si>
  <si>
    <t>Totals</t>
  </si>
  <si>
    <t>Adjustment Factor Calculation</t>
  </si>
  <si>
    <t>Not on Meeks</t>
  </si>
  <si>
    <t>Total Tonnage</t>
  </si>
  <si>
    <t>Total Pounds</t>
  </si>
  <si>
    <t>Total Pick Ups</t>
  </si>
  <si>
    <t>na - multiple pickups not on tariff</t>
  </si>
  <si>
    <t>Adjustment factor</t>
  </si>
  <si>
    <t>Company Proposed Tariff</t>
  </si>
  <si>
    <t>Roll Off</t>
  </si>
  <si>
    <t>Estimated</t>
  </si>
  <si>
    <t>WM Skagit</t>
  </si>
  <si>
    <t>(per TG-180752)</t>
  </si>
  <si>
    <t>32 GAL CAN MSW EOW</t>
  </si>
  <si>
    <t>1-32 GAL CAN MSW</t>
  </si>
  <si>
    <t>2-32 GAL CANS MSW</t>
  </si>
  <si>
    <t>3-32 GAL CANS MSW</t>
  </si>
  <si>
    <t>2-35 GAL CARTS MSW</t>
  </si>
  <si>
    <t>1-64 GAL CART MSW</t>
  </si>
  <si>
    <t>2-64 GAL CARTS MSW</t>
  </si>
  <si>
    <t>1-96 GAL CART MSW</t>
  </si>
  <si>
    <t>2-96 GAL CARTS MSW</t>
  </si>
  <si>
    <t>1 YD MSW EOW</t>
  </si>
  <si>
    <t>1-1 YD 1X PER WEEK</t>
  </si>
  <si>
    <t>1.5 YD MSW EOW</t>
  </si>
  <si>
    <t>1-1.5 YD 1X PER WEEK</t>
  </si>
  <si>
    <t>1-1.5 YD 2X PER WEEK</t>
  </si>
  <si>
    <t>2 YD MSW EOW</t>
  </si>
  <si>
    <t>1-2 YD 1X PER WEEK</t>
  </si>
  <si>
    <t>3 YD MSW EOW</t>
  </si>
  <si>
    <t>1-3 YD 1X PER WEEK</t>
  </si>
  <si>
    <t>1-8 YD 3X PER WEEK</t>
  </si>
  <si>
    <t>4 YD 1X PER WEEK</t>
  </si>
  <si>
    <t>4 YD MSW EOW</t>
  </si>
  <si>
    <t>6 YD MSW EOW</t>
  </si>
  <si>
    <t>1-6 YD 1X PER WEEK</t>
  </si>
  <si>
    <t>8 YD MSW EOW</t>
  </si>
  <si>
    <t>32 GAL CAN MSW 1X MO</t>
  </si>
  <si>
    <t>1-20 GAL MINI CAN MSW</t>
  </si>
  <si>
    <t>4-32 GAL CANS MSW</t>
  </si>
  <si>
    <t>20 GAL CART MSW</t>
  </si>
  <si>
    <t>35 GAL CART MSW 1X MO</t>
  </si>
  <si>
    <t>35 GAL CART MSW ON CALL</t>
  </si>
  <si>
    <t>35 GAL CART MSW EOW</t>
  </si>
  <si>
    <t>1-35 GAL CART MSW</t>
  </si>
  <si>
    <t>Monthly Customers/Containers</t>
  </si>
  <si>
    <t>Roll Off garbage - MSW</t>
  </si>
  <si>
    <t>Roll Off garbage - H2H</t>
  </si>
  <si>
    <t>Roll Off garbage - CDL</t>
  </si>
  <si>
    <t>Island County Disposal Summary</t>
  </si>
  <si>
    <t>20 GAL CART MSW 1X MO</t>
  </si>
  <si>
    <t>1-64 GAL CART EOW</t>
  </si>
  <si>
    <t>B&amp;O Tax increase</t>
  </si>
  <si>
    <t>Disposal</t>
  </si>
  <si>
    <t>before Tax</t>
  </si>
  <si>
    <t>after tax</t>
  </si>
  <si>
    <t>5-32 GAL CANS MSW</t>
  </si>
  <si>
    <t>6-32 GAL CANS MSW</t>
  </si>
  <si>
    <t>Bulky Materials</t>
  </si>
  <si>
    <t>Minimum Charge</t>
  </si>
  <si>
    <t>Loose Material</t>
  </si>
  <si>
    <t>1 Yard Temporary</t>
  </si>
  <si>
    <t>2 Yard Temporary</t>
  </si>
  <si>
    <t>3 Yard Temporary</t>
  </si>
  <si>
    <t>4 Yard Temporary</t>
  </si>
  <si>
    <t>6 Yard Temporary</t>
  </si>
  <si>
    <t>8 Yard Temporary</t>
  </si>
  <si>
    <t>1.5 Yard Temporary</t>
  </si>
  <si>
    <t>Overfilled Containers</t>
  </si>
  <si>
    <t>1-32 GAL CAN MSW SPU</t>
  </si>
  <si>
    <t>1-35 GAL CAN MSW SPU</t>
  </si>
  <si>
    <t>1-64 GAL CAN MSW SPU</t>
  </si>
  <si>
    <t>1-96 GAL CAN MSW SPU</t>
  </si>
  <si>
    <t>2 Yard Compactor</t>
  </si>
  <si>
    <t>3 Yard Compactor</t>
  </si>
  <si>
    <t>4 Yard Compactor</t>
  </si>
  <si>
    <t>6 Yard Compactor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</si>
</sst>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_);_(* \(#,##0.0\);_(* &quot;-&quot;??_);_(@_)"/>
    <numFmt numFmtId="166" formatCode="_(* #,##0_);_(* \(#,##0\);_(* &quot;-&quot;??_);_(@_)"/>
    <numFmt numFmtId="167" formatCode="m/d/yy\ h:mm\ AM/PM"/>
    <numFmt numFmtId="168" formatCode="mm/dd/yy"/>
    <numFmt numFmtId="169" formatCode="mmm\-yyyy"/>
    <numFmt numFmtId="170" formatCode="mmmm\-yy"/>
    <numFmt numFmtId="171" formatCode="_*\ #,###.0,;_(* \(#,###.0,\);_(* &quot;-&quot;??_);_(@_)"/>
    <numFmt numFmtId="172" formatCode="0.0%"/>
    <numFmt numFmtId="173" formatCode="_(* #,##0,_);_(* \(#,##0,\);_(* &quot;-&quot;??_);_(@_)"/>
    <numFmt numFmtId="174" formatCode="_(&quot;$&quot;* #,##0_);_(&quot;$&quot;* \(#,##0\);_(&quot;$&quot;* &quot;-&quot;??_);_(@_)"/>
    <numFmt numFmtId="175" formatCode="_(* #,##0_);_(&quot;$&quot;* \(#,##0\);_(* &quot;-&quot;??_);_(@_)"/>
    <numFmt numFmtId="176" formatCode="#,##0.0000_);\(#,##0.0000\)"/>
    <numFmt numFmtId="177" formatCode=";;;"/>
    <numFmt numFmtId="178" formatCode="#,##0.000_);\(#,##0.000\)"/>
    <numFmt numFmtId="179" formatCode="0.0000%"/>
    <numFmt numFmtId="180" formatCode="#,##0.0_);\(#,##0.0\)"/>
    <numFmt numFmtId="181" formatCode="m/d/yy;@"/>
    <numFmt numFmtId="182" formatCode="General_)"/>
    <numFmt numFmtId="183" formatCode="_(&quot;$&quot;* #,##0.000_);_(&quot;$&quot;* \(#,##0.000\);_(&quot;$&quot;* &quot;-&quot;??_);_(@_)"/>
    <numFmt numFmtId="184" formatCode="0.000%"/>
    <numFmt numFmtId="185" formatCode="_(&quot;$&quot;* #,##0.000000_);_(&quot;$&quot;* \(#,##0.000000\);_(&quot;$&quot;* &quot;-&quot;??????_);_(@_)"/>
    <numFmt numFmtId="186" formatCode="_(&quot;$&quot;* #,##0.0_);_(&quot;$&quot;* \(#,##0.0\);_(&quot;$&quot;* &quot;-&quot;??_);_(@_)"/>
    <numFmt numFmtId="187" formatCode="_(&quot;$&quot;* #,##0.0000_);_(&quot;$&quot;* \(#,##0.0000\);_(&quot;$&quot;* &quot;-&quot;????_);_(@_)"/>
    <numFmt numFmtId="188" formatCode="_(* #,##0.000000_);_(* \(#,##0.000000\);_(* &quot;-&quot;??_);_(@_)"/>
    <numFmt numFmtId="189" formatCode="_(&quot;$&quot;* #,##0.000000_);_(&quot;$&quot;* \(#,##0.000000\);_(&quot;$&quot;* &quot;-&quot;??_);_(@_)"/>
    <numFmt numFmtId="190" formatCode="0.000000"/>
    <numFmt numFmtId="191" formatCode="#,##0.00000000"/>
    <numFmt numFmtId="192" formatCode="_(* #,##0.000_);_(* \(#,##0.000\);_(* &quot;-&quot;??_);_(@_)"/>
    <numFmt numFmtId="193" formatCode="_(* #,##0.000_);_(* \(#,##0.000\);_(* &quot;-&quot;???_);_(@_)"/>
    <numFmt numFmtId="194" formatCode="0.0000"/>
    <numFmt numFmtId="195" formatCode="0.000"/>
    <numFmt numFmtId="196" formatCode="_(* #,##0.0000_);_(* \(#,##0.0000\);_(* &quot;-&quot;??_);_(@_)"/>
    <numFmt numFmtId="197" formatCode="_(* #,##0.00000_);_(* \(#,##0.00000\);_(* &quot;-&quot;??_);_(@_)"/>
    <numFmt numFmtId="198" formatCode="_(&quot;$&quot;* #,##0.0000_);_(&quot;$&quot;* \(#,##0.0000\);_(&quot;$&quot;* &quot;-&quot;??_);_(@_)"/>
    <numFmt numFmtId="199" formatCode="_(&quot;$&quot;* #,##0.00000_);_(&quot;$&quot;* \(#,##0.00000\);_(&quot;$&quot;* &quot;-&quot;??_);_(@_)"/>
    <numFmt numFmtId="200" formatCode="_(* #,##0.0000_);_(* \(#,##0.0000\);_(* &quot;-&quot;??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Accounting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12"/>
      <color indexed="10"/>
      <name val="Arial"/>
      <family val="2"/>
    </font>
    <font>
      <u val="singleAccounting"/>
      <sz val="12"/>
      <color indexed="8"/>
      <name val="Arial"/>
      <family val="2"/>
    </font>
    <font>
      <b/>
      <u val="doubleAccounting"/>
      <sz val="12"/>
      <color indexed="8"/>
      <name val="Arial"/>
      <family val="2"/>
    </font>
    <font>
      <sz val="12"/>
      <color indexed="8"/>
      <name val="Calibri"/>
      <family val="2"/>
    </font>
    <font>
      <u val="singleAccounting"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doubleAccounting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Accounting"/>
      <sz val="12"/>
      <color indexed="10"/>
      <name val="Arial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2"/>
      <color rgb="FFFF0000"/>
      <name val="Arial"/>
      <family val="2"/>
    </font>
    <font>
      <u val="singleAccounting"/>
      <sz val="12"/>
      <color theme="1"/>
      <name val="Arial"/>
      <family val="2"/>
    </font>
    <font>
      <b/>
      <u val="doubleAccounting"/>
      <sz val="12"/>
      <color theme="1"/>
      <name val="Arial"/>
      <family val="2"/>
    </font>
    <font>
      <sz val="12"/>
      <color theme="1"/>
      <name val="Calibri"/>
      <family val="2"/>
    </font>
    <font>
      <u val="singleAccounting"/>
      <sz val="12"/>
      <color theme="1"/>
      <name val="Calibri"/>
      <family val="2"/>
    </font>
    <font>
      <sz val="11"/>
      <color theme="3" tint="0.39998000860214233"/>
      <name val="Calibri"/>
      <family val="2"/>
    </font>
    <font>
      <b/>
      <u val="doubleAccounting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u val="double"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Accounting"/>
      <sz val="12"/>
      <color rgb="FFFF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9">
      <alignment horizontal="center"/>
      <protection/>
    </xf>
    <xf numFmtId="3" fontId="9" fillId="0" borderId="0" applyFont="0" applyFill="0" applyBorder="0" applyAlignment="0" applyProtection="0"/>
    <xf numFmtId="0" fontId="9" fillId="33" borderId="0" applyNumberFormat="0" applyFont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66" fontId="3" fillId="34" borderId="0" applyFont="0" applyFill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68">
      <alignment/>
      <protection/>
    </xf>
    <xf numFmtId="0" fontId="69" fillId="0" borderId="0" xfId="68" applyFont="1">
      <alignment/>
      <protection/>
    </xf>
    <xf numFmtId="0" fontId="70" fillId="0" borderId="0" xfId="68" applyFont="1" applyAlignment="1">
      <alignment horizontal="center"/>
      <protection/>
    </xf>
    <xf numFmtId="44" fontId="71" fillId="0" borderId="0" xfId="56" applyFont="1" applyAlignment="1">
      <alignment horizontal="center"/>
    </xf>
    <xf numFmtId="0" fontId="72" fillId="0" borderId="0" xfId="68" applyFont="1" applyAlignment="1">
      <alignment horizontal="center"/>
      <protection/>
    </xf>
    <xf numFmtId="44" fontId="72" fillId="0" borderId="0" xfId="56" applyFont="1" applyAlignment="1">
      <alignment horizontal="center"/>
    </xf>
    <xf numFmtId="0" fontId="73" fillId="0" borderId="0" xfId="68" applyFont="1">
      <alignment/>
      <protection/>
    </xf>
    <xf numFmtId="0" fontId="74" fillId="0" borderId="0" xfId="68" applyFont="1">
      <alignment/>
      <protection/>
    </xf>
    <xf numFmtId="44" fontId="69" fillId="0" borderId="0" xfId="56" applyFont="1" applyBorder="1" applyAlignment="1">
      <alignment/>
    </xf>
    <xf numFmtId="0" fontId="69" fillId="0" borderId="0" xfId="68" applyFont="1" applyBorder="1">
      <alignment/>
      <protection/>
    </xf>
    <xf numFmtId="44" fontId="75" fillId="0" borderId="0" xfId="56" applyFont="1" applyBorder="1" applyAlignment="1">
      <alignment/>
    </xf>
    <xf numFmtId="174" fontId="69" fillId="0" borderId="0" xfId="56" applyNumberFormat="1" applyFont="1" applyBorder="1" applyAlignment="1">
      <alignment/>
    </xf>
    <xf numFmtId="174" fontId="76" fillId="0" borderId="0" xfId="56" applyNumberFormat="1" applyFont="1" applyBorder="1" applyAlignment="1">
      <alignment/>
    </xf>
    <xf numFmtId="44" fontId="69" fillId="0" borderId="0" xfId="68" applyNumberFormat="1" applyFont="1" applyBorder="1">
      <alignment/>
      <protection/>
    </xf>
    <xf numFmtId="174" fontId="71" fillId="0" borderId="0" xfId="56" applyNumberFormat="1" applyFont="1" applyBorder="1" applyAlignment="1">
      <alignment/>
    </xf>
    <xf numFmtId="174" fontId="77" fillId="0" borderId="0" xfId="56" applyNumberFormat="1" applyFont="1" applyBorder="1" applyAlignment="1">
      <alignment/>
    </xf>
    <xf numFmtId="43" fontId="69" fillId="0" borderId="0" xfId="68" applyNumberFormat="1" applyFont="1" applyBorder="1">
      <alignment/>
      <protection/>
    </xf>
    <xf numFmtId="174" fontId="69" fillId="0" borderId="0" xfId="68" applyNumberFormat="1" applyFont="1" applyBorder="1">
      <alignment/>
      <protection/>
    </xf>
    <xf numFmtId="174" fontId="76" fillId="0" borderId="0" xfId="68" applyNumberFormat="1" applyFont="1" applyBorder="1">
      <alignment/>
      <protection/>
    </xf>
    <xf numFmtId="43" fontId="71" fillId="0" borderId="0" xfId="68" applyNumberFormat="1" applyFont="1" applyBorder="1">
      <alignment/>
      <protection/>
    </xf>
    <xf numFmtId="43" fontId="72" fillId="0" borderId="0" xfId="68" applyNumberFormat="1" applyFont="1" applyBorder="1">
      <alignment/>
      <protection/>
    </xf>
    <xf numFmtId="43" fontId="77" fillId="0" borderId="0" xfId="68" applyNumberFormat="1" applyFont="1" applyBorder="1">
      <alignment/>
      <protection/>
    </xf>
    <xf numFmtId="43" fontId="76" fillId="0" borderId="0" xfId="68" applyNumberFormat="1" applyFont="1" applyBorder="1">
      <alignment/>
      <protection/>
    </xf>
    <xf numFmtId="0" fontId="2" fillId="0" borderId="0" xfId="68" applyBorder="1">
      <alignment/>
      <protection/>
    </xf>
    <xf numFmtId="183" fontId="69" fillId="0" borderId="0" xfId="68" applyNumberFormat="1" applyFont="1" applyBorder="1">
      <alignment/>
      <protection/>
    </xf>
    <xf numFmtId="44" fontId="2" fillId="0" borderId="0" xfId="55" applyFont="1" applyAlignment="1">
      <alignment/>
    </xf>
    <xf numFmtId="44" fontId="0" fillId="0" borderId="0" xfId="0" applyNumberFormat="1" applyAlignment="1">
      <alignment/>
    </xf>
    <xf numFmtId="172" fontId="0" fillId="0" borderId="0" xfId="79" applyNumberFormat="1" applyFont="1" applyAlignment="1">
      <alignment/>
    </xf>
    <xf numFmtId="0" fontId="6" fillId="0" borderId="0" xfId="69" applyFont="1" applyBorder="1">
      <alignment/>
      <protection/>
    </xf>
    <xf numFmtId="0" fontId="67" fillId="0" borderId="0" xfId="0" applyFont="1" applyBorder="1" applyAlignment="1">
      <alignment horizontal="center"/>
    </xf>
    <xf numFmtId="172" fontId="69" fillId="0" borderId="0" xfId="79" applyNumberFormat="1" applyFont="1" applyBorder="1" applyAlignment="1">
      <alignment/>
    </xf>
    <xf numFmtId="174" fontId="72" fillId="0" borderId="0" xfId="53" applyNumberFormat="1" applyFont="1" applyBorder="1" applyAlignment="1">
      <alignment/>
    </xf>
    <xf numFmtId="43" fontId="69" fillId="0" borderId="0" xfId="42" applyFont="1" applyBorder="1" applyAlignment="1">
      <alignment/>
    </xf>
    <xf numFmtId="43" fontId="76" fillId="0" borderId="0" xfId="42" applyFont="1" applyBorder="1" applyAlignment="1">
      <alignment/>
    </xf>
    <xf numFmtId="43" fontId="0" fillId="0" borderId="0" xfId="42" applyFont="1" applyBorder="1" applyAlignment="1">
      <alignment/>
    </xf>
    <xf numFmtId="10" fontId="75" fillId="0" borderId="0" xfId="80" applyNumberFormat="1" applyFont="1" applyAlignment="1">
      <alignment horizontal="center"/>
    </xf>
    <xf numFmtId="179" fontId="75" fillId="0" borderId="0" xfId="8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4" fontId="78" fillId="0" borderId="0" xfId="55" applyNumberFormat="1" applyFont="1" applyBorder="1" applyAlignment="1">
      <alignment/>
    </xf>
    <xf numFmtId="0" fontId="78" fillId="0" borderId="0" xfId="0" applyFont="1" applyAlignment="1">
      <alignment/>
    </xf>
    <xf numFmtId="166" fontId="78" fillId="0" borderId="0" xfId="42" applyNumberFormat="1" applyFont="1" applyBorder="1" applyAlignment="1">
      <alignment/>
    </xf>
    <xf numFmtId="166" fontId="78" fillId="0" borderId="0" xfId="42" applyNumberFormat="1" applyFont="1" applyAlignment="1">
      <alignment/>
    </xf>
    <xf numFmtId="166" fontId="79" fillId="0" borderId="0" xfId="42" applyNumberFormat="1" applyFont="1" applyBorder="1" applyAlignment="1">
      <alignment/>
    </xf>
    <xf numFmtId="166" fontId="79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67" fillId="0" borderId="0" xfId="0" applyFont="1" applyAlignment="1">
      <alignment/>
    </xf>
    <xf numFmtId="43" fontId="0" fillId="0" borderId="0" xfId="42" applyFont="1" applyAlignment="1">
      <alignment horizontal="center"/>
    </xf>
    <xf numFmtId="0" fontId="0" fillId="0" borderId="0" xfId="0" applyFont="1" applyAlignment="1">
      <alignment horizontal="left" indent="1"/>
    </xf>
    <xf numFmtId="166" fontId="0" fillId="0" borderId="0" xfId="42" applyNumberFormat="1" applyFont="1" applyAlignment="1">
      <alignment/>
    </xf>
    <xf numFmtId="0" fontId="0" fillId="35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0" fontId="67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6" borderId="11" xfId="0" applyFont="1" applyFill="1" applyBorder="1" applyAlignment="1">
      <alignment/>
    </xf>
    <xf numFmtId="44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66" fontId="0" fillId="0" borderId="11" xfId="42" applyNumberFormat="1" applyFont="1" applyBorder="1" applyAlignment="1">
      <alignment/>
    </xf>
    <xf numFmtId="0" fontId="67" fillId="36" borderId="11" xfId="0" applyFont="1" applyFill="1" applyBorder="1" applyAlignment="1">
      <alignment horizontal="center" wrapText="1"/>
    </xf>
    <xf numFmtId="0" fontId="67" fillId="36" borderId="11" xfId="0" applyFont="1" applyFill="1" applyBorder="1" applyAlignment="1">
      <alignment horizontal="center" vertical="center"/>
    </xf>
    <xf numFmtId="0" fontId="67" fillId="36" borderId="0" xfId="0" applyFont="1" applyFill="1" applyBorder="1" applyAlignment="1">
      <alignment horizontal="center" wrapText="1"/>
    </xf>
    <xf numFmtId="166" fontId="67" fillId="36" borderId="11" xfId="42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4" fontId="0" fillId="0" borderId="0" xfId="53" applyFont="1" applyFill="1" applyBorder="1" applyAlignment="1">
      <alignment/>
    </xf>
    <xf numFmtId="44" fontId="0" fillId="37" borderId="0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42" applyNumberFormat="1" applyFont="1" applyFill="1" applyBorder="1" applyAlignment="1">
      <alignment horizontal="center" wrapText="1"/>
    </xf>
    <xf numFmtId="43" fontId="38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textRotation="90"/>
    </xf>
    <xf numFmtId="166" fontId="38" fillId="0" borderId="0" xfId="42" applyNumberFormat="1" applyFont="1" applyFill="1" applyBorder="1" applyAlignment="1">
      <alignment/>
    </xf>
    <xf numFmtId="0" fontId="0" fillId="36" borderId="11" xfId="0" applyFont="1" applyFill="1" applyBorder="1" applyAlignment="1">
      <alignment vertical="center" textRotation="90"/>
    </xf>
    <xf numFmtId="0" fontId="0" fillId="36" borderId="11" xfId="0" applyFont="1" applyFill="1" applyBorder="1" applyAlignment="1">
      <alignment horizontal="center" vertical="center"/>
    </xf>
    <xf numFmtId="0" fontId="39" fillId="36" borderId="11" xfId="76" applyFont="1" applyFill="1" applyBorder="1" applyAlignment="1">
      <alignment horizontal="left"/>
      <protection/>
    </xf>
    <xf numFmtId="3" fontId="67" fillId="36" borderId="11" xfId="0" applyNumberFormat="1" applyFont="1" applyFill="1" applyBorder="1" applyAlignment="1">
      <alignment horizontal="right"/>
    </xf>
    <xf numFmtId="43" fontId="0" fillId="36" borderId="11" xfId="42" applyFont="1" applyFill="1" applyBorder="1" applyAlignment="1">
      <alignment/>
    </xf>
    <xf numFmtId="3" fontId="67" fillId="36" borderId="11" xfId="0" applyNumberFormat="1" applyFont="1" applyFill="1" applyBorder="1" applyAlignment="1">
      <alignment/>
    </xf>
    <xf numFmtId="166" fontId="67" fillId="36" borderId="11" xfId="42" applyNumberFormat="1" applyFont="1" applyFill="1" applyBorder="1" applyAlignment="1">
      <alignment/>
    </xf>
    <xf numFmtId="44" fontId="0" fillId="36" borderId="11" xfId="53" applyFont="1" applyFill="1" applyBorder="1" applyAlignment="1">
      <alignment/>
    </xf>
    <xf numFmtId="44" fontId="67" fillId="36" borderId="11" xfId="53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39" fillId="0" borderId="0" xfId="76" applyFont="1" applyFill="1" applyBorder="1" applyAlignment="1">
      <alignment horizontal="left"/>
      <protection/>
    </xf>
    <xf numFmtId="166" fontId="67" fillId="0" borderId="0" xfId="42" applyNumberFormat="1" applyFont="1" applyBorder="1" applyAlignment="1">
      <alignment horizontal="right"/>
    </xf>
    <xf numFmtId="44" fontId="67" fillId="0" borderId="0" xfId="53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4" fontId="0" fillId="0" borderId="0" xfId="42" applyNumberFormat="1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68" fillId="0" borderId="0" xfId="72" applyFont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166" fontId="67" fillId="0" borderId="11" xfId="42" applyNumberFormat="1" applyFont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43" fontId="0" fillId="0" borderId="0" xfId="0" applyNumberFormat="1" applyFont="1" applyBorder="1" applyAlignment="1">
      <alignment/>
    </xf>
    <xf numFmtId="166" fontId="38" fillId="0" borderId="0" xfId="42" applyNumberFormat="1" applyFont="1" applyFill="1" applyBorder="1" applyAlignment="1">
      <alignment horizontal="left"/>
    </xf>
    <xf numFmtId="166" fontId="0" fillId="0" borderId="0" xfId="42" applyNumberFormat="1" applyFont="1" applyBorder="1" applyAlignment="1">
      <alignment horizontal="right"/>
    </xf>
    <xf numFmtId="0" fontId="80" fillId="0" borderId="0" xfId="42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0" fontId="0" fillId="0" borderId="0" xfId="79" applyNumberFormat="1" applyFont="1" applyBorder="1" applyAlignment="1">
      <alignment horizontal="right"/>
    </xf>
    <xf numFmtId="10" fontId="0" fillId="0" borderId="0" xfId="79" applyNumberFormat="1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38" fillId="0" borderId="0" xfId="76" applyFont="1" applyFill="1" applyBorder="1" applyAlignment="1">
      <alignment horizontal="left"/>
      <protection/>
    </xf>
    <xf numFmtId="43" fontId="0" fillId="0" borderId="0" xfId="42" applyFont="1" applyBorder="1" applyAlignment="1">
      <alignment/>
    </xf>
    <xf numFmtId="44" fontId="0" fillId="0" borderId="0" xfId="0" applyNumberFormat="1" applyFont="1" applyBorder="1" applyAlignment="1">
      <alignment/>
    </xf>
    <xf numFmtId="174" fontId="0" fillId="0" borderId="0" xfId="53" applyNumberFormat="1" applyFont="1" applyBorder="1" applyAlignment="1">
      <alignment/>
    </xf>
    <xf numFmtId="44" fontId="0" fillId="0" borderId="0" xfId="53" applyFont="1" applyBorder="1" applyAlignment="1">
      <alignment horizontal="right"/>
    </xf>
    <xf numFmtId="183" fontId="0" fillId="0" borderId="0" xfId="53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44" fontId="2" fillId="0" borderId="0" xfId="55" applyFont="1" applyFill="1" applyAlignment="1">
      <alignment/>
    </xf>
    <xf numFmtId="43" fontId="0" fillId="0" borderId="0" xfId="53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44" fontId="0" fillId="0" borderId="0" xfId="53" applyFont="1" applyFill="1" applyBorder="1" applyAlignment="1">
      <alignment/>
    </xf>
    <xf numFmtId="44" fontId="0" fillId="0" borderId="11" xfId="53" applyFont="1" applyFill="1" applyBorder="1" applyAlignment="1">
      <alignment/>
    </xf>
    <xf numFmtId="44" fontId="0" fillId="0" borderId="0" xfId="53" applyFont="1" applyFill="1" applyAlignment="1">
      <alignment/>
    </xf>
    <xf numFmtId="183" fontId="0" fillId="0" borderId="0" xfId="53" applyNumberFormat="1" applyFont="1" applyFill="1" applyAlignment="1">
      <alignment/>
    </xf>
    <xf numFmtId="183" fontId="0" fillId="0" borderId="11" xfId="53" applyNumberFormat="1" applyFont="1" applyFill="1" applyBorder="1" applyAlignment="1">
      <alignment/>
    </xf>
    <xf numFmtId="189" fontId="0" fillId="0" borderId="0" xfId="53" applyNumberFormat="1" applyFont="1" applyFill="1" applyAlignment="1">
      <alignment/>
    </xf>
    <xf numFmtId="0" fontId="0" fillId="25" borderId="0" xfId="42" applyNumberFormat="1" applyFont="1" applyFill="1" applyBorder="1" applyAlignment="1">
      <alignment/>
    </xf>
    <xf numFmtId="166" fontId="0" fillId="25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3" fontId="11" fillId="0" borderId="12" xfId="49" applyNumberFormat="1" applyFont="1" applyFill="1" applyBorder="1" applyAlignment="1">
      <alignment/>
    </xf>
    <xf numFmtId="166" fontId="2" fillId="0" borderId="0" xfId="46" applyNumberFormat="1" applyFont="1" applyAlignment="1">
      <alignment/>
    </xf>
    <xf numFmtId="166" fontId="2" fillId="0" borderId="0" xfId="46" applyNumberFormat="1" applyFont="1" applyFill="1" applyAlignment="1">
      <alignment/>
    </xf>
    <xf numFmtId="166" fontId="0" fillId="36" borderId="11" xfId="0" applyNumberFormat="1" applyFont="1" applyFill="1" applyBorder="1" applyAlignment="1">
      <alignment/>
    </xf>
    <xf numFmtId="166" fontId="67" fillId="36" borderId="11" xfId="0" applyNumberFormat="1" applyFont="1" applyFill="1" applyBorder="1" applyAlignment="1">
      <alignment horizontal="right"/>
    </xf>
    <xf numFmtId="166" fontId="0" fillId="0" borderId="0" xfId="0" applyNumberFormat="1" applyFont="1" applyBorder="1" applyAlignment="1">
      <alignment/>
    </xf>
    <xf numFmtId="44" fontId="81" fillId="0" borderId="0" xfId="53" applyFont="1" applyBorder="1" applyAlignment="1">
      <alignment horizontal="right"/>
    </xf>
    <xf numFmtId="44" fontId="0" fillId="0" borderId="0" xfId="53" applyNumberFormat="1" applyFont="1" applyFill="1" applyBorder="1" applyAlignment="1">
      <alignment/>
    </xf>
    <xf numFmtId="44" fontId="0" fillId="0" borderId="0" xfId="53" applyFont="1" applyAlignment="1">
      <alignment/>
    </xf>
    <xf numFmtId="174" fontId="0" fillId="0" borderId="0" xfId="53" applyNumberFormat="1" applyFont="1" applyAlignment="1">
      <alignment/>
    </xf>
    <xf numFmtId="174" fontId="82" fillId="0" borderId="0" xfId="53" applyNumberFormat="1" applyFont="1" applyAlignment="1">
      <alignment/>
    </xf>
    <xf numFmtId="174" fontId="81" fillId="0" borderId="0" xfId="0" applyNumberFormat="1" applyFont="1" applyAlignment="1">
      <alignment/>
    </xf>
    <xf numFmtId="184" fontId="0" fillId="0" borderId="0" xfId="79" applyNumberFormat="1" applyFont="1" applyAlignment="1">
      <alignment/>
    </xf>
    <xf numFmtId="179" fontId="0" fillId="0" borderId="0" xfId="79" applyNumberFormat="1" applyFont="1" applyAlignment="1">
      <alignment/>
    </xf>
    <xf numFmtId="179" fontId="0" fillId="0" borderId="0" xfId="79" applyNumberFormat="1" applyFont="1" applyBorder="1" applyAlignment="1">
      <alignment/>
    </xf>
    <xf numFmtId="179" fontId="83" fillId="0" borderId="0" xfId="79" applyNumberFormat="1" applyFont="1" applyAlignment="1">
      <alignment/>
    </xf>
    <xf numFmtId="179" fontId="84" fillId="0" borderId="0" xfId="79" applyNumberFormat="1" applyFont="1" applyAlignment="1">
      <alignment/>
    </xf>
    <xf numFmtId="10" fontId="4" fillId="0" borderId="0" xfId="80" applyNumberFormat="1" applyFont="1" applyAlignment="1">
      <alignment horizontal="center"/>
    </xf>
    <xf numFmtId="44" fontId="81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83" fillId="0" borderId="0" xfId="0" applyNumberFormat="1" applyFont="1" applyAlignment="1">
      <alignment/>
    </xf>
    <xf numFmtId="179" fontId="10" fillId="0" borderId="0" xfId="80" applyNumberFormat="1" applyFont="1" applyAlignment="1">
      <alignment horizontal="right"/>
    </xf>
    <xf numFmtId="179" fontId="85" fillId="0" borderId="0" xfId="79" applyNumberFormat="1" applyFont="1" applyAlignment="1">
      <alignment/>
    </xf>
    <xf numFmtId="10" fontId="0" fillId="0" borderId="0" xfId="79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66" fontId="86" fillId="0" borderId="0" xfId="42" applyNumberFormat="1" applyFont="1" applyAlignment="1">
      <alignment/>
    </xf>
    <xf numFmtId="166" fontId="87" fillId="0" borderId="0" xfId="42" applyNumberFormat="1" applyFont="1" applyAlignment="1">
      <alignment/>
    </xf>
    <xf numFmtId="44" fontId="76" fillId="0" borderId="0" xfId="56" applyFont="1" applyBorder="1" applyAlignment="1">
      <alignment/>
    </xf>
    <xf numFmtId="174" fontId="71" fillId="0" borderId="0" xfId="53" applyNumberFormat="1" applyFont="1" applyBorder="1" applyAlignment="1">
      <alignment/>
    </xf>
    <xf numFmtId="44" fontId="88" fillId="0" borderId="0" xfId="56" applyFont="1" applyBorder="1" applyAlignment="1">
      <alignment/>
    </xf>
    <xf numFmtId="10" fontId="67" fillId="0" borderId="0" xfId="79" applyNumberFormat="1" applyFont="1" applyFill="1" applyBorder="1" applyAlignment="1">
      <alignment/>
    </xf>
    <xf numFmtId="0" fontId="67" fillId="36" borderId="0" xfId="0" applyFont="1" applyFill="1" applyBorder="1" applyAlignment="1">
      <alignment/>
    </xf>
    <xf numFmtId="0" fontId="67" fillId="36" borderId="0" xfId="0" applyFont="1" applyFill="1" applyBorder="1" applyAlignment="1">
      <alignment horizontal="center" vertical="center"/>
    </xf>
    <xf numFmtId="166" fontId="67" fillId="36" borderId="0" xfId="42" applyNumberFormat="1" applyFont="1" applyFill="1" applyBorder="1" applyAlignment="1">
      <alignment horizontal="center" wrapText="1"/>
    </xf>
    <xf numFmtId="10" fontId="89" fillId="36" borderId="0" xfId="79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174" fontId="0" fillId="0" borderId="0" xfId="53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 textRotation="90"/>
    </xf>
    <xf numFmtId="14" fontId="0" fillId="0" borderId="0" xfId="0" applyNumberFormat="1" applyFont="1" applyBorder="1" applyAlignment="1">
      <alignment/>
    </xf>
    <xf numFmtId="44" fontId="2" fillId="0" borderId="0" xfId="55" applyFont="1" applyBorder="1" applyAlignment="1">
      <alignment/>
    </xf>
    <xf numFmtId="44" fontId="2" fillId="0" borderId="0" xfId="55" applyFont="1" applyFill="1" applyBorder="1" applyAlignment="1">
      <alignment/>
    </xf>
    <xf numFmtId="0" fontId="0" fillId="36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67" fillId="36" borderId="1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36" borderId="0" xfId="0" applyFont="1" applyFill="1" applyBorder="1" applyAlignment="1">
      <alignment horizont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10" xfId="46"/>
    <cellStyle name="Comma 2" xfId="47"/>
    <cellStyle name="Comma 2 6" xfId="48"/>
    <cellStyle name="Comma 20" xfId="49"/>
    <cellStyle name="Comma 3" xfId="50"/>
    <cellStyle name="Comma 4" xfId="51"/>
    <cellStyle name="Comma 5" xfId="52"/>
    <cellStyle name="Currency" xfId="53"/>
    <cellStyle name="Currency [0]" xfId="54"/>
    <cellStyle name="Currency 2" xfId="55"/>
    <cellStyle name="Currency 2 6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10" xfId="68"/>
    <cellStyle name="Normal 2" xfId="69"/>
    <cellStyle name="Normal 2 2 2 2 3" xfId="70"/>
    <cellStyle name="Normal 2 8" xfId="71"/>
    <cellStyle name="Normal 90" xfId="72"/>
    <cellStyle name="Normal 93" xfId="73"/>
    <cellStyle name="Normal 94" xfId="74"/>
    <cellStyle name="Normal 98" xfId="75"/>
    <cellStyle name="Normal_Price out" xfId="76"/>
    <cellStyle name="Note" xfId="77"/>
    <cellStyle name="Output" xfId="78"/>
    <cellStyle name="Percent" xfId="79"/>
    <cellStyle name="Percent 2" xfId="80"/>
    <cellStyle name="Percent 2 6" xfId="81"/>
    <cellStyle name="Percent 3" xfId="82"/>
    <cellStyle name="PS_Comma" xfId="83"/>
    <cellStyle name="PSChar" xfId="84"/>
    <cellStyle name="PSDate" xfId="85"/>
    <cellStyle name="PSDec" xfId="86"/>
    <cellStyle name="PSHeading" xfId="87"/>
    <cellStyle name="PSInt" xfId="88"/>
    <cellStyle name="PSSpacer" xfId="89"/>
    <cellStyle name="Title" xfId="90"/>
    <cellStyle name="Total" xfId="91"/>
    <cellStyle name="Warning Text" xfId="92"/>
    <cellStyle name="WM_STANDARD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3">
      <selection activeCell="B49" sqref="B49"/>
    </sheetView>
  </sheetViews>
  <sheetFormatPr defaultColWidth="9.140625" defaultRowHeight="15"/>
  <cols>
    <col min="1" max="1" width="52.140625" style="0" customWidth="1"/>
    <col min="2" max="2" width="16.7109375" style="0" customWidth="1"/>
    <col min="3" max="3" width="15.57421875" style="0" customWidth="1"/>
    <col min="6" max="6" width="12.421875" style="0" customWidth="1"/>
    <col min="7" max="7" width="10.7109375" style="0" customWidth="1"/>
    <col min="8" max="8" width="10.00390625" style="0" bestFit="1" customWidth="1"/>
  </cols>
  <sheetData>
    <row r="1" spans="1:8" ht="15">
      <c r="A1" s="173" t="s">
        <v>13</v>
      </c>
      <c r="B1" s="173"/>
      <c r="C1" s="173"/>
      <c r="D1" s="173"/>
      <c r="E1" s="173"/>
      <c r="F1" s="173"/>
      <c r="G1" s="173"/>
      <c r="H1" s="173"/>
    </row>
    <row r="2" spans="1:8" ht="15">
      <c r="A2" s="47" t="s">
        <v>14</v>
      </c>
      <c r="B2" s="48" t="s">
        <v>15</v>
      </c>
      <c r="C2" s="48" t="s">
        <v>16</v>
      </c>
      <c r="D2" s="48" t="s">
        <v>17</v>
      </c>
      <c r="E2" s="49" t="s">
        <v>18</v>
      </c>
      <c r="F2" s="49" t="s">
        <v>19</v>
      </c>
      <c r="G2" s="49" t="s">
        <v>20</v>
      </c>
      <c r="H2" s="48" t="s">
        <v>21</v>
      </c>
    </row>
    <row r="3" spans="1:8" ht="15">
      <c r="A3" s="47" t="s">
        <v>22</v>
      </c>
      <c r="B3" s="50">
        <f>52*5/12</f>
        <v>21.666666666666668</v>
      </c>
      <c r="C3" s="51">
        <f>$B$3*2</f>
        <v>43.333333333333336</v>
      </c>
      <c r="D3" s="51">
        <f>$B$3*3</f>
        <v>65</v>
      </c>
      <c r="E3" s="51">
        <f>$B$3*4</f>
        <v>86.66666666666667</v>
      </c>
      <c r="F3" s="51">
        <f>$B$3*5</f>
        <v>108.33333333333334</v>
      </c>
      <c r="G3" s="51">
        <f>$B$3*6</f>
        <v>130</v>
      </c>
      <c r="H3" s="51">
        <f>$B$3*7</f>
        <v>151.66666666666669</v>
      </c>
    </row>
    <row r="4" spans="1:8" ht="15">
      <c r="A4" s="47" t="s">
        <v>23</v>
      </c>
      <c r="B4" s="50">
        <f>52*4/12</f>
        <v>17.333333333333332</v>
      </c>
      <c r="C4" s="51">
        <f>$B$4*2</f>
        <v>34.666666666666664</v>
      </c>
      <c r="D4" s="51">
        <f>$B$4*3</f>
        <v>52</v>
      </c>
      <c r="E4" s="51">
        <f>$B$4*4</f>
        <v>69.33333333333333</v>
      </c>
      <c r="F4" s="51">
        <f>$B$4*5</f>
        <v>86.66666666666666</v>
      </c>
      <c r="G4" s="51">
        <f>$B$4*6</f>
        <v>104</v>
      </c>
      <c r="H4" s="51">
        <f>$B$4*7</f>
        <v>121.33333333333333</v>
      </c>
    </row>
    <row r="5" spans="1:8" ht="15">
      <c r="A5" s="47" t="s">
        <v>24</v>
      </c>
      <c r="B5" s="50">
        <f>52*3/12</f>
        <v>13</v>
      </c>
      <c r="C5" s="51">
        <f>$B$5*2</f>
        <v>26</v>
      </c>
      <c r="D5" s="51">
        <f>$B$5*3</f>
        <v>39</v>
      </c>
      <c r="E5" s="51">
        <f>$B$5*4</f>
        <v>52</v>
      </c>
      <c r="F5" s="51">
        <f>$B$5*5</f>
        <v>65</v>
      </c>
      <c r="G5" s="51">
        <f>$B$5*6</f>
        <v>78</v>
      </c>
      <c r="H5" s="51">
        <f>$B$5*7</f>
        <v>91</v>
      </c>
    </row>
    <row r="6" spans="1:8" ht="15">
      <c r="A6" s="47" t="s">
        <v>25</v>
      </c>
      <c r="B6" s="50">
        <f>52*2/12</f>
        <v>8.666666666666666</v>
      </c>
      <c r="C6" s="52">
        <f>$B$6*2</f>
        <v>17.333333333333332</v>
      </c>
      <c r="D6" s="52">
        <f>$B$6*3</f>
        <v>26</v>
      </c>
      <c r="E6" s="52">
        <f>$B$6*4</f>
        <v>34.666666666666664</v>
      </c>
      <c r="F6" s="52">
        <f>$B$6*5</f>
        <v>43.33333333333333</v>
      </c>
      <c r="G6" s="52">
        <f>$B$6*6</f>
        <v>52</v>
      </c>
      <c r="H6" s="52">
        <f>$B$6*7</f>
        <v>60.666666666666664</v>
      </c>
    </row>
    <row r="7" spans="1:8" ht="15">
      <c r="A7" s="47" t="s">
        <v>26</v>
      </c>
      <c r="B7" s="50">
        <f>52/12</f>
        <v>4.333333333333333</v>
      </c>
      <c r="C7" s="52">
        <f>$B$7*2</f>
        <v>8.666666666666666</v>
      </c>
      <c r="D7" s="52">
        <f>$B$7*3</f>
        <v>13</v>
      </c>
      <c r="E7" s="52">
        <f>$B$7*4</f>
        <v>17.333333333333332</v>
      </c>
      <c r="F7" s="52">
        <f>$B$7*5</f>
        <v>21.666666666666664</v>
      </c>
      <c r="G7" s="52">
        <f>$B$7*6</f>
        <v>26</v>
      </c>
      <c r="H7" s="52">
        <f>$B$7*7</f>
        <v>30.333333333333332</v>
      </c>
    </row>
    <row r="8" spans="1:8" ht="15">
      <c r="A8" s="47" t="s">
        <v>27</v>
      </c>
      <c r="B8" s="50">
        <f>26/12</f>
        <v>2.1666666666666665</v>
      </c>
      <c r="C8" s="52">
        <f>$B$8*2</f>
        <v>4.333333333333333</v>
      </c>
      <c r="D8" s="52">
        <f>$B$8*3</f>
        <v>6.5</v>
      </c>
      <c r="E8" s="52">
        <f>$B$8*4</f>
        <v>8.666666666666666</v>
      </c>
      <c r="F8" s="52">
        <f>$B$8*5</f>
        <v>10.833333333333332</v>
      </c>
      <c r="G8" s="52">
        <f>$B$8*6</f>
        <v>13</v>
      </c>
      <c r="H8" s="52">
        <f>$B$8*7</f>
        <v>15.166666666666666</v>
      </c>
    </row>
    <row r="9" spans="1:8" ht="15">
      <c r="A9" s="47" t="s">
        <v>28</v>
      </c>
      <c r="B9" s="50">
        <f>12/12</f>
        <v>1</v>
      </c>
      <c r="C9" s="52">
        <f>$B$9*2</f>
        <v>2</v>
      </c>
      <c r="D9" s="52">
        <f>$B$9*3</f>
        <v>3</v>
      </c>
      <c r="E9" s="52">
        <f>$B$9*4</f>
        <v>4</v>
      </c>
      <c r="F9" s="52">
        <f>$B$9*5</f>
        <v>5</v>
      </c>
      <c r="G9" s="52">
        <f>$B$9*6</f>
        <v>6</v>
      </c>
      <c r="H9" s="52">
        <f>$B$9*7</f>
        <v>7</v>
      </c>
    </row>
    <row r="10" spans="1:8" ht="15">
      <c r="A10" s="47"/>
      <c r="B10" s="50"/>
      <c r="C10" s="52"/>
      <c r="D10" s="52"/>
      <c r="E10" s="52"/>
      <c r="F10" s="52"/>
      <c r="G10" s="52"/>
      <c r="H10" s="52"/>
    </row>
    <row r="11" spans="1:8" ht="15">
      <c r="A11" s="173" t="s">
        <v>29</v>
      </c>
      <c r="B11" s="173"/>
      <c r="C11" s="52"/>
      <c r="D11" s="52"/>
      <c r="E11" s="52"/>
      <c r="F11" s="52"/>
      <c r="G11" s="52"/>
      <c r="H11" s="52"/>
    </row>
    <row r="12" spans="1:8" ht="15">
      <c r="A12" s="53" t="s">
        <v>30</v>
      </c>
      <c r="B12" s="54" t="s">
        <v>31</v>
      </c>
      <c r="C12" s="52"/>
      <c r="D12" s="52"/>
      <c r="E12" s="52"/>
      <c r="F12" s="52"/>
      <c r="G12" s="52"/>
      <c r="H12" s="52"/>
    </row>
    <row r="13" spans="1:8" ht="15">
      <c r="A13" s="55" t="s">
        <v>32</v>
      </c>
      <c r="B13" s="56">
        <v>20</v>
      </c>
      <c r="C13" s="52"/>
      <c r="D13" s="52"/>
      <c r="E13" s="52"/>
      <c r="F13" s="52"/>
      <c r="G13" s="52"/>
      <c r="H13" s="52"/>
    </row>
    <row r="14" spans="1:8" ht="15">
      <c r="A14" s="55" t="s">
        <v>33</v>
      </c>
      <c r="B14" s="56">
        <v>34</v>
      </c>
      <c r="C14" s="52"/>
      <c r="D14" s="52"/>
      <c r="E14" s="52"/>
      <c r="F14" s="52"/>
      <c r="G14" s="52"/>
      <c r="H14" s="52"/>
    </row>
    <row r="15" spans="1:8" ht="15">
      <c r="A15" s="55" t="s">
        <v>34</v>
      </c>
      <c r="B15" s="56">
        <v>51</v>
      </c>
      <c r="C15" s="52"/>
      <c r="D15" s="52"/>
      <c r="E15" s="52"/>
      <c r="F15" s="52"/>
      <c r="G15" s="52"/>
      <c r="H15" s="52"/>
    </row>
    <row r="16" spans="1:8" ht="15">
      <c r="A16" s="55" t="s">
        <v>35</v>
      </c>
      <c r="B16" s="56">
        <v>77</v>
      </c>
      <c r="C16" s="52"/>
      <c r="D16" s="52"/>
      <c r="E16" s="52"/>
      <c r="F16" s="47" t="s">
        <v>36</v>
      </c>
      <c r="G16" s="56">
        <v>2000</v>
      </c>
      <c r="H16" s="52"/>
    </row>
    <row r="17" spans="1:8" ht="15">
      <c r="A17" s="55" t="s">
        <v>37</v>
      </c>
      <c r="B17" s="56">
        <v>97</v>
      </c>
      <c r="C17" s="52"/>
      <c r="D17" s="52"/>
      <c r="E17" s="52"/>
      <c r="F17" s="47" t="s">
        <v>38</v>
      </c>
      <c r="G17" s="57" t="s">
        <v>39</v>
      </c>
      <c r="H17" s="52"/>
    </row>
    <row r="18" spans="1:8" ht="15">
      <c r="A18" s="55" t="s">
        <v>40</v>
      </c>
      <c r="B18" s="56">
        <v>117</v>
      </c>
      <c r="C18" s="52"/>
      <c r="D18" s="52"/>
      <c r="E18" s="52"/>
      <c r="F18" s="47"/>
      <c r="G18" s="47"/>
      <c r="H18" s="52"/>
    </row>
    <row r="19" spans="1:8" ht="15">
      <c r="A19" s="55" t="s">
        <v>41</v>
      </c>
      <c r="B19" s="56">
        <v>157</v>
      </c>
      <c r="C19" s="52"/>
      <c r="D19" s="52"/>
      <c r="E19" s="52"/>
      <c r="F19" s="58"/>
      <c r="G19" s="59"/>
      <c r="H19" s="52"/>
    </row>
    <row r="20" spans="1:8" ht="15">
      <c r="A20" s="55" t="s">
        <v>42</v>
      </c>
      <c r="B20" s="56">
        <v>37</v>
      </c>
      <c r="C20" s="52" t="s">
        <v>43</v>
      </c>
      <c r="D20" s="52"/>
      <c r="E20" s="52"/>
      <c r="F20" s="58"/>
      <c r="G20" s="59"/>
      <c r="H20" s="52"/>
    </row>
    <row r="21" spans="1:8" ht="15">
      <c r="A21" s="55" t="s">
        <v>44</v>
      </c>
      <c r="B21" s="56">
        <v>47</v>
      </c>
      <c r="C21" s="52"/>
      <c r="D21" s="52"/>
      <c r="E21" s="52"/>
      <c r="F21" s="52"/>
      <c r="G21" s="52"/>
      <c r="H21" s="52"/>
    </row>
    <row r="22" spans="1:8" ht="15">
      <c r="A22" s="55" t="s">
        <v>45</v>
      </c>
      <c r="B22" s="56">
        <v>68</v>
      </c>
      <c r="C22" s="52"/>
      <c r="D22" s="52"/>
      <c r="E22" s="52"/>
      <c r="F22" s="52"/>
      <c r="G22" s="52"/>
      <c r="H22" s="52"/>
    </row>
    <row r="23" spans="1:8" ht="15">
      <c r="A23" s="55" t="s">
        <v>46</v>
      </c>
      <c r="B23" s="56">
        <v>34</v>
      </c>
      <c r="C23" s="52"/>
      <c r="D23" s="52"/>
      <c r="E23" s="52"/>
      <c r="F23" s="52"/>
      <c r="G23" s="52"/>
      <c r="H23" s="52"/>
    </row>
    <row r="24" spans="1:8" ht="15">
      <c r="A24" s="55" t="s">
        <v>47</v>
      </c>
      <c r="B24" s="56">
        <v>34</v>
      </c>
      <c r="C24" s="52"/>
      <c r="D24" s="52"/>
      <c r="E24" s="52"/>
      <c r="F24" s="52"/>
      <c r="G24" s="52"/>
      <c r="H24" s="52"/>
    </row>
    <row r="25" spans="1:8" ht="15">
      <c r="A25" s="53" t="s">
        <v>48</v>
      </c>
      <c r="B25" s="56"/>
      <c r="C25" s="52"/>
      <c r="D25" s="52"/>
      <c r="E25" s="52"/>
      <c r="F25" s="52"/>
      <c r="G25" s="52"/>
      <c r="H25" s="52"/>
    </row>
    <row r="26" spans="1:8" ht="15">
      <c r="A26" s="55" t="s">
        <v>49</v>
      </c>
      <c r="B26" s="56">
        <v>29</v>
      </c>
      <c r="C26" s="52"/>
      <c r="D26" s="52"/>
      <c r="E26" s="52"/>
      <c r="F26" s="52"/>
      <c r="G26" s="52"/>
      <c r="H26" s="52"/>
    </row>
    <row r="27" spans="1:8" ht="15">
      <c r="A27" s="55" t="s">
        <v>50</v>
      </c>
      <c r="B27" s="56">
        <v>175</v>
      </c>
      <c r="C27" s="52"/>
      <c r="D27" s="52"/>
      <c r="E27" s="52"/>
      <c r="F27" s="52"/>
      <c r="G27" s="52"/>
      <c r="H27" s="52"/>
    </row>
    <row r="28" spans="1:8" ht="15">
      <c r="A28" s="55" t="s">
        <v>51</v>
      </c>
      <c r="B28" s="56">
        <v>250</v>
      </c>
      <c r="C28" s="52"/>
      <c r="D28" s="52"/>
      <c r="E28" s="52"/>
      <c r="F28" s="52"/>
      <c r="G28" s="52"/>
      <c r="H28" s="52"/>
    </row>
    <row r="29" spans="1:8" ht="15">
      <c r="A29" s="55" t="s">
        <v>52</v>
      </c>
      <c r="B29" s="56">
        <v>324</v>
      </c>
      <c r="C29" s="52"/>
      <c r="D29" s="52"/>
      <c r="E29" s="52"/>
      <c r="F29" s="52"/>
      <c r="G29" s="52"/>
      <c r="H29" s="52"/>
    </row>
    <row r="30" spans="1:8" ht="15">
      <c r="A30" s="55" t="s">
        <v>53</v>
      </c>
      <c r="B30" s="56">
        <v>473</v>
      </c>
      <c r="C30" s="52"/>
      <c r="D30" s="52"/>
      <c r="E30" s="52"/>
      <c r="F30" s="52"/>
      <c r="G30" s="52"/>
      <c r="H30" s="52"/>
    </row>
    <row r="31" spans="1:8" ht="15">
      <c r="A31" s="55" t="s">
        <v>54</v>
      </c>
      <c r="B31" s="56">
        <v>613</v>
      </c>
      <c r="C31" s="52"/>
      <c r="D31" s="52"/>
      <c r="E31" s="52"/>
      <c r="F31" s="52"/>
      <c r="G31" s="52"/>
      <c r="H31" s="52"/>
    </row>
    <row r="32" spans="1:8" ht="15">
      <c r="A32" s="55" t="s">
        <v>55</v>
      </c>
      <c r="B32" s="56">
        <v>840</v>
      </c>
      <c r="C32" s="52"/>
      <c r="D32" s="52"/>
      <c r="E32" s="52"/>
      <c r="F32" s="52"/>
      <c r="G32" s="52"/>
      <c r="H32" s="52"/>
    </row>
    <row r="33" spans="1:8" ht="15">
      <c r="A33" s="55" t="s">
        <v>56</v>
      </c>
      <c r="B33" s="56">
        <v>980</v>
      </c>
      <c r="C33" s="52"/>
      <c r="D33" s="52"/>
      <c r="E33" s="52"/>
      <c r="F33" s="52"/>
      <c r="G33" s="52"/>
      <c r="H33" s="52"/>
    </row>
    <row r="34" spans="1:8" ht="15">
      <c r="A34" s="55" t="s">
        <v>57</v>
      </c>
      <c r="B34" s="56">
        <v>482</v>
      </c>
      <c r="C34" s="52" t="s">
        <v>43</v>
      </c>
      <c r="D34" s="52"/>
      <c r="E34" s="52"/>
      <c r="F34" s="52"/>
      <c r="G34" s="52"/>
      <c r="H34" s="52"/>
    </row>
    <row r="35" spans="1:8" ht="15">
      <c r="A35" s="55" t="s">
        <v>58</v>
      </c>
      <c r="B35" s="56">
        <v>689</v>
      </c>
      <c r="C35" s="52" t="s">
        <v>43</v>
      </c>
      <c r="D35" s="52"/>
      <c r="E35" s="52"/>
      <c r="F35" s="52"/>
      <c r="G35" s="52"/>
      <c r="H35" s="52"/>
    </row>
    <row r="36" spans="1:8" ht="15">
      <c r="A36" s="55" t="s">
        <v>59</v>
      </c>
      <c r="B36" s="56">
        <v>892</v>
      </c>
      <c r="C36" s="52" t="s">
        <v>43</v>
      </c>
      <c r="D36" s="52"/>
      <c r="E36" s="52"/>
      <c r="F36" s="52"/>
      <c r="G36" s="52"/>
      <c r="H36" s="52"/>
    </row>
    <row r="37" spans="1:8" ht="15">
      <c r="A37" s="55" t="s">
        <v>60</v>
      </c>
      <c r="B37" s="56">
        <v>1301</v>
      </c>
      <c r="C37" s="52"/>
      <c r="D37" s="52"/>
      <c r="E37" s="52"/>
      <c r="F37" s="52"/>
      <c r="G37" s="52"/>
      <c r="H37" s="52"/>
    </row>
    <row r="38" spans="1:8" ht="15">
      <c r="A38" s="55" t="s">
        <v>61</v>
      </c>
      <c r="B38" s="56">
        <v>1686</v>
      </c>
      <c r="C38" s="52"/>
      <c r="D38" s="52"/>
      <c r="E38" s="52"/>
      <c r="F38" s="52"/>
      <c r="G38" s="52"/>
      <c r="H38" s="52"/>
    </row>
    <row r="39" spans="1:8" ht="15">
      <c r="A39" s="55" t="s">
        <v>62</v>
      </c>
      <c r="B39" s="56">
        <v>2046</v>
      </c>
      <c r="C39" s="52"/>
      <c r="D39" s="52"/>
      <c r="E39" s="52"/>
      <c r="F39" s="52"/>
      <c r="G39" s="52"/>
      <c r="H39" s="52"/>
    </row>
    <row r="40" spans="1:8" ht="15">
      <c r="A40" s="55" t="s">
        <v>63</v>
      </c>
      <c r="B40" s="56">
        <v>2310</v>
      </c>
      <c r="C40" s="52"/>
      <c r="D40" s="52"/>
      <c r="E40" s="52"/>
      <c r="F40" s="52"/>
      <c r="G40" s="52"/>
      <c r="H40" s="52"/>
    </row>
    <row r="41" spans="1:8" ht="15">
      <c r="A41" s="55" t="s">
        <v>64</v>
      </c>
      <c r="B41" s="56">
        <v>2800</v>
      </c>
      <c r="C41" s="52" t="s">
        <v>43</v>
      </c>
      <c r="D41" s="52"/>
      <c r="E41" s="52"/>
      <c r="F41" s="52"/>
      <c r="G41" s="52"/>
      <c r="H41" s="52"/>
    </row>
    <row r="42" spans="1:8" ht="15">
      <c r="A42" s="55" t="s">
        <v>65</v>
      </c>
      <c r="B42" s="56">
        <v>125</v>
      </c>
      <c r="C42" s="52"/>
      <c r="D42" s="52"/>
      <c r="E42" s="52"/>
      <c r="F42" s="52"/>
      <c r="G42" s="52"/>
      <c r="H42" s="52"/>
    </row>
    <row r="43" spans="1:8" ht="15">
      <c r="A43" s="47"/>
      <c r="B43" s="174" t="s">
        <v>66</v>
      </c>
      <c r="C43" s="174"/>
      <c r="D43" s="47"/>
      <c r="E43" s="47"/>
      <c r="F43" s="47"/>
      <c r="G43" s="47"/>
      <c r="H43" s="47"/>
    </row>
    <row r="44" spans="1:8" ht="15">
      <c r="A44" s="47"/>
      <c r="B44" s="47"/>
      <c r="C44" s="47"/>
      <c r="D44" s="47"/>
      <c r="E44" s="47"/>
      <c r="F44" s="47"/>
      <c r="G44" s="47"/>
      <c r="H44" s="47"/>
    </row>
    <row r="45" spans="1:8" ht="15">
      <c r="A45" s="47"/>
      <c r="B45" s="47"/>
      <c r="C45" s="47"/>
      <c r="D45" s="47"/>
      <c r="E45" s="47"/>
      <c r="F45" s="47"/>
      <c r="G45" s="47"/>
      <c r="H45" s="47"/>
    </row>
    <row r="46" spans="1:8" ht="15">
      <c r="A46" s="60" t="s">
        <v>67</v>
      </c>
      <c r="B46" s="61" t="s">
        <v>68</v>
      </c>
      <c r="C46" s="61" t="s">
        <v>69</v>
      </c>
      <c r="D46" s="47"/>
      <c r="E46" s="47"/>
      <c r="F46" s="175" t="s">
        <v>70</v>
      </c>
      <c r="G46" s="175"/>
      <c r="H46" s="47"/>
    </row>
    <row r="47" spans="1:8" ht="15">
      <c r="A47" s="62" t="s">
        <v>71</v>
      </c>
      <c r="B47" s="123">
        <v>153.76</v>
      </c>
      <c r="C47" s="124">
        <f>B47/2000</f>
        <v>0.07687999999999999</v>
      </c>
      <c r="D47" s="47"/>
      <c r="E47" s="47"/>
      <c r="F47" s="47" t="s">
        <v>72</v>
      </c>
      <c r="G47" s="143">
        <v>0.0175</v>
      </c>
      <c r="H47" s="47"/>
    </row>
    <row r="48" spans="1:8" ht="15">
      <c r="A48" s="62" t="s">
        <v>73</v>
      </c>
      <c r="B48" s="122">
        <v>164.37</v>
      </c>
      <c r="C48" s="125">
        <f>B48/2000</f>
        <v>0.08218500000000001</v>
      </c>
      <c r="D48" s="47"/>
      <c r="E48" s="47"/>
      <c r="F48" s="47" t="s">
        <v>74</v>
      </c>
      <c r="G48" s="144">
        <v>0.0051</v>
      </c>
      <c r="H48" s="47"/>
    </row>
    <row r="49" spans="1:8" ht="15">
      <c r="A49" s="55" t="s">
        <v>75</v>
      </c>
      <c r="B49" s="123">
        <f>B48-B47</f>
        <v>10.610000000000014</v>
      </c>
      <c r="C49" s="126">
        <f>C48-C47</f>
        <v>0.005305000000000018</v>
      </c>
      <c r="D49" s="47"/>
      <c r="E49" s="47"/>
      <c r="F49" s="47" t="s">
        <v>76</v>
      </c>
      <c r="G49" s="151">
        <v>0.00427</v>
      </c>
      <c r="H49" s="47"/>
    </row>
    <row r="50" spans="1:8" ht="15">
      <c r="A50" s="47"/>
      <c r="B50" s="47"/>
      <c r="C50" s="47"/>
      <c r="D50" s="47"/>
      <c r="E50" s="47"/>
      <c r="G50" s="149">
        <f>SUM(G47:G49)</f>
        <v>0.02687</v>
      </c>
      <c r="H50" s="47"/>
    </row>
    <row r="51" spans="1:8" ht="15">
      <c r="A51" s="47"/>
      <c r="C51" s="63" t="s">
        <v>77</v>
      </c>
      <c r="D51" s="47"/>
      <c r="E51" s="47"/>
      <c r="H51" s="47"/>
    </row>
    <row r="52" spans="1:8" ht="15">
      <c r="A52" s="47" t="s">
        <v>78</v>
      </c>
      <c r="C52" s="64">
        <f>B49</f>
        <v>10.610000000000014</v>
      </c>
      <c r="D52" s="47"/>
      <c r="E52" s="47"/>
      <c r="F52" s="47"/>
      <c r="G52" s="145"/>
      <c r="H52" s="47"/>
    </row>
    <row r="53" spans="1:8" ht="15">
      <c r="A53" s="47" t="s">
        <v>80</v>
      </c>
      <c r="C53" s="64">
        <f>C52/$G$57</f>
        <v>10.902962605201784</v>
      </c>
      <c r="D53" s="47"/>
      <c r="E53" s="47"/>
      <c r="F53" s="47" t="s">
        <v>3</v>
      </c>
      <c r="G53" s="146">
        <f>+G52+G50</f>
        <v>0.02687</v>
      </c>
      <c r="H53" s="47"/>
    </row>
    <row r="54" spans="1:8" ht="15">
      <c r="A54" s="47" t="s">
        <v>81</v>
      </c>
      <c r="C54" s="66">
        <f>'Calc. and priceout'!C73</f>
        <v>3806.75</v>
      </c>
      <c r="D54" s="47"/>
      <c r="E54" s="47"/>
      <c r="F54" s="47"/>
      <c r="G54" s="47"/>
      <c r="H54" s="47"/>
    </row>
    <row r="55" spans="1:8" ht="17.25">
      <c r="A55" s="53" t="s">
        <v>82</v>
      </c>
      <c r="C55" s="148">
        <f>C53*C54</f>
        <v>41504.85289735189</v>
      </c>
      <c r="D55" s="47"/>
      <c r="E55" s="47"/>
      <c r="F55" s="47"/>
      <c r="G55" s="65"/>
      <c r="H55" s="47"/>
    </row>
    <row r="56" spans="1:8" ht="15">
      <c r="A56" s="47"/>
      <c r="B56" s="47"/>
      <c r="C56" s="47"/>
      <c r="D56" s="47"/>
      <c r="E56" s="47"/>
      <c r="F56" s="47"/>
      <c r="G56" s="47"/>
      <c r="H56" s="47"/>
    </row>
    <row r="57" spans="1:7" ht="15">
      <c r="A57" s="47" t="s">
        <v>107</v>
      </c>
      <c r="C57" s="139">
        <f>+'Co. Pro Tonnage'!J14</f>
        <v>12414.726000000002</v>
      </c>
      <c r="F57" s="47" t="s">
        <v>79</v>
      </c>
      <c r="G57" s="65">
        <f>1-G53</f>
        <v>0.97313</v>
      </c>
    </row>
    <row r="58" spans="1:3" ht="17.25">
      <c r="A58" s="47"/>
      <c r="B58" s="150"/>
      <c r="C58" s="140"/>
    </row>
    <row r="59" spans="1:3" ht="17.25">
      <c r="A59" s="53"/>
      <c r="B59" s="139"/>
      <c r="C59" s="141">
        <f>+C57+C55</f>
        <v>53919.578897351894</v>
      </c>
    </row>
    <row r="60" spans="1:3" ht="17.25">
      <c r="A60" s="53"/>
      <c r="B60" s="138"/>
      <c r="C60" s="141"/>
    </row>
    <row r="61" spans="1:3" ht="17.25">
      <c r="A61" s="53"/>
      <c r="B61" s="140"/>
      <c r="C61" s="141"/>
    </row>
    <row r="62" spans="1:3" ht="17.25">
      <c r="A62" s="53"/>
      <c r="B62" s="152"/>
      <c r="C62" s="141"/>
    </row>
    <row r="64" spans="1:2" ht="48.75" customHeight="1">
      <c r="A64" s="176"/>
      <c r="B64" s="176"/>
    </row>
  </sheetData>
  <sheetProtection/>
  <mergeCells count="5">
    <mergeCell ref="A1:H1"/>
    <mergeCell ref="A11:B11"/>
    <mergeCell ref="B43:C43"/>
    <mergeCell ref="F46:G46"/>
    <mergeCell ref="A64:B64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tabSelected="1" zoomScale="80" zoomScaleNormal="80" zoomScalePageLayoutView="0" workbookViewId="0" topLeftCell="A1">
      <pane xSplit="3" ySplit="1" topLeftCell="K1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W24" sqref="W24"/>
    </sheetView>
  </sheetViews>
  <sheetFormatPr defaultColWidth="8.8515625" defaultRowHeight="15"/>
  <cols>
    <col min="1" max="1" width="4.57421875" style="71" customWidth="1"/>
    <col min="2" max="2" width="21.140625" style="90" customWidth="1"/>
    <col min="3" max="3" width="31.7109375" style="71" bestFit="1" customWidth="1"/>
    <col min="4" max="4" width="11.57421875" style="94" customWidth="1"/>
    <col min="5" max="5" width="18.421875" style="71" customWidth="1"/>
    <col min="6" max="6" width="13.28125" style="71" customWidth="1"/>
    <col min="7" max="7" width="14.57421875" style="71" customWidth="1"/>
    <col min="8" max="8" width="21.421875" style="71" customWidth="1"/>
    <col min="9" max="9" width="16.28125" style="89" customWidth="1"/>
    <col min="10" max="10" width="14.140625" style="71" customWidth="1"/>
    <col min="11" max="12" width="14.28125" style="71" customWidth="1"/>
    <col min="13" max="13" width="10.7109375" style="71" customWidth="1"/>
    <col min="14" max="16" width="16.28125" style="71" customWidth="1"/>
    <col min="17" max="17" width="16.57421875" style="71" customWidth="1"/>
    <col min="18" max="18" width="13.57421875" style="71" bestFit="1" customWidth="1"/>
    <col min="19" max="19" width="16.57421875" style="71" bestFit="1" customWidth="1"/>
    <col min="20" max="20" width="16.28125" style="71" customWidth="1"/>
    <col min="21" max="16384" width="8.8515625" style="71" customWidth="1"/>
  </cols>
  <sheetData>
    <row r="1" spans="1:20" s="167" customFormat="1" ht="42" customHeight="1">
      <c r="A1" s="60"/>
      <c r="B1" s="67" t="s">
        <v>83</v>
      </c>
      <c r="C1" s="68" t="s">
        <v>84</v>
      </c>
      <c r="D1" s="67" t="s">
        <v>143</v>
      </c>
      <c r="E1" s="67" t="s">
        <v>85</v>
      </c>
      <c r="F1" s="60" t="s">
        <v>86</v>
      </c>
      <c r="G1" s="67" t="s">
        <v>29</v>
      </c>
      <c r="H1" s="67" t="s">
        <v>87</v>
      </c>
      <c r="I1" s="70" t="s">
        <v>88</v>
      </c>
      <c r="J1" s="67" t="s">
        <v>75</v>
      </c>
      <c r="K1" s="67" t="s">
        <v>89</v>
      </c>
      <c r="L1" s="67" t="s">
        <v>91</v>
      </c>
      <c r="M1" s="67" t="s">
        <v>90</v>
      </c>
      <c r="N1" s="67" t="s">
        <v>106</v>
      </c>
      <c r="O1" s="67" t="s">
        <v>150</v>
      </c>
      <c r="P1" s="67" t="s">
        <v>106</v>
      </c>
      <c r="Q1" s="67" t="s">
        <v>92</v>
      </c>
      <c r="R1" s="67" t="s">
        <v>93</v>
      </c>
      <c r="S1" s="67" t="s">
        <v>94</v>
      </c>
      <c r="T1" s="67" t="s">
        <v>95</v>
      </c>
    </row>
    <row r="2" spans="1:20" ht="15">
      <c r="A2" s="163"/>
      <c r="B2" s="69"/>
      <c r="C2" s="164"/>
      <c r="D2" s="69"/>
      <c r="E2" s="69"/>
      <c r="F2" s="163"/>
      <c r="G2" s="69"/>
      <c r="H2" s="69"/>
      <c r="I2" s="165"/>
      <c r="J2" s="69"/>
      <c r="K2" s="69"/>
      <c r="L2" s="69"/>
      <c r="M2" s="69" t="s">
        <v>151</v>
      </c>
      <c r="N2" s="69" t="s">
        <v>152</v>
      </c>
      <c r="O2" s="166"/>
      <c r="P2" s="69" t="s">
        <v>153</v>
      </c>
      <c r="Q2" s="69"/>
      <c r="R2" s="69"/>
      <c r="S2" s="69"/>
      <c r="T2" s="69"/>
    </row>
    <row r="3" spans="1:24" s="75" customFormat="1" ht="15">
      <c r="A3" s="177" t="s">
        <v>96</v>
      </c>
      <c r="B3" s="72">
        <v>24</v>
      </c>
      <c r="C3" s="155" t="s">
        <v>135</v>
      </c>
      <c r="D3" s="157">
        <v>63</v>
      </c>
      <c r="E3" s="77">
        <v>1</v>
      </c>
      <c r="F3" s="117">
        <f>+E3*D3*12</f>
        <v>756</v>
      </c>
      <c r="G3" s="131">
        <f>+References!B14</f>
        <v>34</v>
      </c>
      <c r="H3" s="97">
        <f>G3*F3</f>
        <v>25704</v>
      </c>
      <c r="I3" s="76">
        <f>$C$76*H3</f>
        <v>17203.044415246623</v>
      </c>
      <c r="J3" s="73">
        <f>(References!$C$49*I3)</f>
        <v>91.26215062288364</v>
      </c>
      <c r="K3" s="73">
        <f>J3/References!$G$57</f>
        <v>93.78207497752986</v>
      </c>
      <c r="L3" s="27">
        <v>6.74</v>
      </c>
      <c r="M3" s="137">
        <f aca="true" t="shared" si="0" ref="M3:M23">ROUND(((K3/F3)*E3),2)</f>
        <v>0.12</v>
      </c>
      <c r="N3" s="73">
        <f aca="true" t="shared" si="1" ref="N3:N23">M3+L3</f>
        <v>6.86</v>
      </c>
      <c r="O3" s="121">
        <f>ROUND(+$O$2*N3,2)</f>
        <v>0</v>
      </c>
      <c r="P3" s="121">
        <f>+O3+N3</f>
        <v>6.86</v>
      </c>
      <c r="Q3" s="73">
        <f aca="true" t="shared" si="2" ref="Q3:Q23">D3*L3*12</f>
        <v>5095.4400000000005</v>
      </c>
      <c r="R3" s="74">
        <f>+P3</f>
        <v>6.86</v>
      </c>
      <c r="S3" s="74">
        <f aca="true" t="shared" si="3" ref="S3:S23">D3*R3*12</f>
        <v>5186.16</v>
      </c>
      <c r="T3" s="74">
        <f>S3-Q3</f>
        <v>90.71999999999935</v>
      </c>
      <c r="W3" s="153">
        <f>+R3/L3-1</f>
        <v>0.017804154302670572</v>
      </c>
      <c r="X3" s="27"/>
    </row>
    <row r="4" spans="1:24" s="75" customFormat="1" ht="15">
      <c r="A4" s="177"/>
      <c r="B4" s="72">
        <v>24</v>
      </c>
      <c r="C4" s="155" t="s">
        <v>111</v>
      </c>
      <c r="D4" s="157">
        <v>263</v>
      </c>
      <c r="E4" s="77">
        <v>2.1666666666666665</v>
      </c>
      <c r="F4" s="154">
        <f aca="true" t="shared" si="4" ref="F4:F23">+E4*D4*12</f>
        <v>6837.999999999999</v>
      </c>
      <c r="G4" s="131">
        <v>34</v>
      </c>
      <c r="H4" s="154">
        <f aca="true" t="shared" si="5" ref="H4:H23">G4*F4</f>
        <v>232491.99999999997</v>
      </c>
      <c r="I4" s="76">
        <f>$C$76*H4</f>
        <v>155601.08162891056</v>
      </c>
      <c r="J4" s="121">
        <f>(References!$C$49*I4)</f>
        <v>825.4637380413733</v>
      </c>
      <c r="K4" s="121">
        <f>J4/References!$G$57</f>
        <v>848.2563871644829</v>
      </c>
      <c r="L4" s="27">
        <v>14.16</v>
      </c>
      <c r="M4" s="137">
        <f t="shared" si="0"/>
        <v>0.27</v>
      </c>
      <c r="N4" s="121">
        <f t="shared" si="1"/>
        <v>14.43</v>
      </c>
      <c r="O4" s="121">
        <f aca="true" t="shared" si="6" ref="O4:O23">ROUND(+$O$2*N4,2)</f>
        <v>0</v>
      </c>
      <c r="P4" s="121">
        <f aca="true" t="shared" si="7" ref="P4:P23">+O4+N4</f>
        <v>14.43</v>
      </c>
      <c r="Q4" s="121">
        <f t="shared" si="2"/>
        <v>44688.96</v>
      </c>
      <c r="R4" s="74">
        <f aca="true" t="shared" si="8" ref="R4:R49">+P4</f>
        <v>14.43</v>
      </c>
      <c r="S4" s="74">
        <f t="shared" si="3"/>
        <v>45541.08</v>
      </c>
      <c r="T4" s="74">
        <f aca="true" t="shared" si="9" ref="T4:T23">S4-Q4</f>
        <v>852.1200000000026</v>
      </c>
      <c r="W4" s="153">
        <f aca="true" t="shared" si="10" ref="W4:W49">+R4/L4-1</f>
        <v>0.019067796610169552</v>
      </c>
      <c r="X4" s="27"/>
    </row>
    <row r="5" spans="1:24" s="75" customFormat="1" ht="15">
      <c r="A5" s="177"/>
      <c r="B5" s="72">
        <v>24</v>
      </c>
      <c r="C5" s="155" t="s">
        <v>136</v>
      </c>
      <c r="D5" s="157">
        <v>42</v>
      </c>
      <c r="E5" s="77">
        <v>4.333</v>
      </c>
      <c r="F5" s="154">
        <f t="shared" si="4"/>
        <v>2183.8320000000003</v>
      </c>
      <c r="G5" s="131">
        <f>+References!B13</f>
        <v>20</v>
      </c>
      <c r="H5" s="154">
        <f t="shared" si="5"/>
        <v>43676.64000000001</v>
      </c>
      <c r="I5" s="76">
        <f>$C$76*H5</f>
        <v>29231.682922064167</v>
      </c>
      <c r="J5" s="121">
        <f>(References!$C$49*I5)</f>
        <v>155.07407790155094</v>
      </c>
      <c r="K5" s="121">
        <f>J5/References!$G$57</f>
        <v>159.35597289319097</v>
      </c>
      <c r="L5" s="27">
        <v>17.069999999999997</v>
      </c>
      <c r="M5" s="137">
        <f t="shared" si="0"/>
        <v>0.32</v>
      </c>
      <c r="N5" s="121">
        <f t="shared" si="1"/>
        <v>17.389999999999997</v>
      </c>
      <c r="O5" s="121">
        <f t="shared" si="6"/>
        <v>0</v>
      </c>
      <c r="P5" s="121">
        <f t="shared" si="7"/>
        <v>17.389999999999997</v>
      </c>
      <c r="Q5" s="121">
        <f t="shared" si="2"/>
        <v>8603.279999999999</v>
      </c>
      <c r="R5" s="74">
        <f t="shared" si="8"/>
        <v>17.389999999999997</v>
      </c>
      <c r="S5" s="74">
        <f t="shared" si="3"/>
        <v>8764.559999999998</v>
      </c>
      <c r="T5" s="74">
        <f t="shared" si="9"/>
        <v>161.27999999999884</v>
      </c>
      <c r="W5" s="153">
        <f t="shared" si="10"/>
        <v>0.018746338605741153</v>
      </c>
      <c r="X5" s="27"/>
    </row>
    <row r="6" spans="1:24" s="75" customFormat="1" ht="15">
      <c r="A6" s="177"/>
      <c r="B6" s="72">
        <v>24</v>
      </c>
      <c r="C6" s="155" t="s">
        <v>112</v>
      </c>
      <c r="D6" s="157">
        <v>961</v>
      </c>
      <c r="E6" s="77">
        <v>4.333</v>
      </c>
      <c r="F6" s="154">
        <f t="shared" si="4"/>
        <v>49968.156</v>
      </c>
      <c r="G6" s="131">
        <f>+G4</f>
        <v>34</v>
      </c>
      <c r="H6" s="154">
        <f t="shared" si="5"/>
        <v>1698917.304</v>
      </c>
      <c r="I6" s="76">
        <f>$C$76*H6</f>
        <v>1137042.8664232434</v>
      </c>
      <c r="J6" s="121">
        <f>(References!$C$49*I6)</f>
        <v>6032.0124063753265</v>
      </c>
      <c r="K6" s="121">
        <f>J6/References!$G$57</f>
        <v>6198.567926562048</v>
      </c>
      <c r="L6" s="27">
        <v>21.12</v>
      </c>
      <c r="M6" s="137">
        <f t="shared" si="0"/>
        <v>0.54</v>
      </c>
      <c r="N6" s="121">
        <f t="shared" si="1"/>
        <v>21.66</v>
      </c>
      <c r="O6" s="121">
        <f t="shared" si="6"/>
        <v>0</v>
      </c>
      <c r="P6" s="121">
        <f t="shared" si="7"/>
        <v>21.66</v>
      </c>
      <c r="Q6" s="121">
        <f t="shared" si="2"/>
        <v>243555.84</v>
      </c>
      <c r="R6" s="74">
        <f t="shared" si="8"/>
        <v>21.66</v>
      </c>
      <c r="S6" s="74">
        <f t="shared" si="3"/>
        <v>249783.12</v>
      </c>
      <c r="T6" s="74">
        <f t="shared" si="9"/>
        <v>6227.279999999999</v>
      </c>
      <c r="W6" s="153">
        <f t="shared" si="10"/>
        <v>0.02556818181818188</v>
      </c>
      <c r="X6" s="27"/>
    </row>
    <row r="7" spans="1:24" s="75" customFormat="1" ht="15">
      <c r="A7" s="177"/>
      <c r="B7" s="72">
        <v>24</v>
      </c>
      <c r="C7" s="155" t="s">
        <v>113</v>
      </c>
      <c r="D7" s="157">
        <v>298</v>
      </c>
      <c r="E7" s="77">
        <v>4.333</v>
      </c>
      <c r="F7" s="154">
        <f t="shared" si="4"/>
        <v>15494.808</v>
      </c>
      <c r="G7" s="131">
        <f>+References!B15</f>
        <v>51</v>
      </c>
      <c r="H7" s="154">
        <f t="shared" si="5"/>
        <v>790235.2080000001</v>
      </c>
      <c r="I7" s="76">
        <f>$C$76*H7</f>
        <v>528884.6631542038</v>
      </c>
      <c r="J7" s="121">
        <f>(References!$C$49*I7)</f>
        <v>2805.7331380330606</v>
      </c>
      <c r="K7" s="121">
        <f>J7/References!$G$57</f>
        <v>2883.2048524175193</v>
      </c>
      <c r="L7" s="27">
        <v>32.58</v>
      </c>
      <c r="M7" s="137">
        <f t="shared" si="0"/>
        <v>0.81</v>
      </c>
      <c r="N7" s="121">
        <f t="shared" si="1"/>
        <v>33.39</v>
      </c>
      <c r="O7" s="121">
        <f t="shared" si="6"/>
        <v>0</v>
      </c>
      <c r="P7" s="121">
        <f t="shared" si="7"/>
        <v>33.39</v>
      </c>
      <c r="Q7" s="121">
        <f t="shared" si="2"/>
        <v>116506.08</v>
      </c>
      <c r="R7" s="74">
        <f t="shared" si="8"/>
        <v>33.39</v>
      </c>
      <c r="S7" s="74">
        <f t="shared" si="3"/>
        <v>119402.63999999998</v>
      </c>
      <c r="T7" s="74">
        <f t="shared" si="9"/>
        <v>2896.559999999983</v>
      </c>
      <c r="W7" s="153">
        <f t="shared" si="10"/>
        <v>0.024861878453038777</v>
      </c>
      <c r="X7" s="27"/>
    </row>
    <row r="8" spans="1:24" s="75" customFormat="1" ht="15">
      <c r="A8" s="177"/>
      <c r="B8" s="72">
        <v>24</v>
      </c>
      <c r="C8" s="155" t="s">
        <v>114</v>
      </c>
      <c r="D8" s="157">
        <v>18</v>
      </c>
      <c r="E8" s="77">
        <v>4.333</v>
      </c>
      <c r="F8" s="154">
        <f t="shared" si="4"/>
        <v>935.928</v>
      </c>
      <c r="G8" s="131">
        <f>+References!B16</f>
        <v>77</v>
      </c>
      <c r="H8" s="154">
        <f t="shared" si="5"/>
        <v>72066.456</v>
      </c>
      <c r="I8" s="76">
        <f>$C$76*H8</f>
        <v>48232.276821405874</v>
      </c>
      <c r="J8" s="121">
        <f>(References!$C$49*I8)</f>
        <v>255.87222853755904</v>
      </c>
      <c r="K8" s="121">
        <f>J8/References!$G$57</f>
        <v>262.9373552737651</v>
      </c>
      <c r="L8" s="27">
        <v>44.65</v>
      </c>
      <c r="M8" s="137">
        <f t="shared" si="0"/>
        <v>1.22</v>
      </c>
      <c r="N8" s="121">
        <f t="shared" si="1"/>
        <v>45.87</v>
      </c>
      <c r="O8" s="121">
        <f t="shared" si="6"/>
        <v>0</v>
      </c>
      <c r="P8" s="121">
        <f t="shared" si="7"/>
        <v>45.87</v>
      </c>
      <c r="Q8" s="121">
        <f t="shared" si="2"/>
        <v>9644.4</v>
      </c>
      <c r="R8" s="74">
        <f t="shared" si="8"/>
        <v>45.87</v>
      </c>
      <c r="S8" s="74">
        <f t="shared" si="3"/>
        <v>9907.92</v>
      </c>
      <c r="T8" s="74">
        <f t="shared" si="9"/>
        <v>263.52000000000044</v>
      </c>
      <c r="W8" s="153">
        <f t="shared" si="10"/>
        <v>0.027323628219484863</v>
      </c>
      <c r="X8" s="27"/>
    </row>
    <row r="9" spans="1:24" s="75" customFormat="1" ht="15">
      <c r="A9" s="177"/>
      <c r="B9" s="72">
        <v>24</v>
      </c>
      <c r="C9" s="155" t="s">
        <v>137</v>
      </c>
      <c r="D9" s="157">
        <v>4</v>
      </c>
      <c r="E9" s="77">
        <v>4.333</v>
      </c>
      <c r="F9" s="154">
        <f t="shared" si="4"/>
        <v>207.984</v>
      </c>
      <c r="G9" s="131">
        <f>+References!B17</f>
        <v>97</v>
      </c>
      <c r="H9" s="154">
        <f t="shared" si="5"/>
        <v>20174.448</v>
      </c>
      <c r="I9" s="76">
        <f>$C$76*H9</f>
        <v>13502.253540191541</v>
      </c>
      <c r="J9" s="121">
        <f>(References!$C$49*I9)</f>
        <v>71.62945503071637</v>
      </c>
      <c r="K9" s="121">
        <f>J9/References!$G$57</f>
        <v>73.60728271733106</v>
      </c>
      <c r="L9" s="27">
        <v>56.22</v>
      </c>
      <c r="M9" s="137">
        <f t="shared" si="0"/>
        <v>1.53</v>
      </c>
      <c r="N9" s="121">
        <f t="shared" si="1"/>
        <v>57.75</v>
      </c>
      <c r="O9" s="121">
        <f t="shared" si="6"/>
        <v>0</v>
      </c>
      <c r="P9" s="121">
        <f t="shared" si="7"/>
        <v>57.75</v>
      </c>
      <c r="Q9" s="121">
        <f t="shared" si="2"/>
        <v>2698.56</v>
      </c>
      <c r="R9" s="74">
        <f t="shared" si="8"/>
        <v>57.75</v>
      </c>
      <c r="S9" s="74">
        <f t="shared" si="3"/>
        <v>2772</v>
      </c>
      <c r="T9" s="74">
        <f t="shared" si="9"/>
        <v>73.44000000000005</v>
      </c>
      <c r="W9" s="153">
        <f t="shared" si="10"/>
        <v>0.027214514407684076</v>
      </c>
      <c r="X9" s="27"/>
    </row>
    <row r="10" spans="1:24" s="75" customFormat="1" ht="15">
      <c r="A10" s="177"/>
      <c r="B10" s="72">
        <v>24</v>
      </c>
      <c r="C10" s="155" t="s">
        <v>154</v>
      </c>
      <c r="D10" s="157">
        <v>1</v>
      </c>
      <c r="E10" s="77">
        <v>4.333</v>
      </c>
      <c r="F10" s="154">
        <f>+E10*D10*12</f>
        <v>51.996</v>
      </c>
      <c r="G10" s="131">
        <f>+References!B18</f>
        <v>117</v>
      </c>
      <c r="H10" s="154">
        <f>G10*F10</f>
        <v>6083.532</v>
      </c>
      <c r="I10" s="76">
        <f>$C$76*H10</f>
        <v>4071.555835573223</v>
      </c>
      <c r="J10" s="121">
        <f>(References!$C$49*I10)</f>
        <v>21.59960370771602</v>
      </c>
      <c r="K10" s="121">
        <f>J10/References!$G$57</f>
        <v>22.196010510123024</v>
      </c>
      <c r="L10" s="27">
        <v>67.88000000000001</v>
      </c>
      <c r="M10" s="137">
        <f>ROUND(((K10/F10)*E10),2)</f>
        <v>1.85</v>
      </c>
      <c r="N10" s="121">
        <f>M10+L10</f>
        <v>69.73</v>
      </c>
      <c r="O10" s="121">
        <f>ROUND(+$O$2*N10,2)</f>
        <v>0</v>
      </c>
      <c r="P10" s="121">
        <f>+O10+N10</f>
        <v>69.73</v>
      </c>
      <c r="Q10" s="121">
        <f>D10*L10*12</f>
        <v>814.5600000000002</v>
      </c>
      <c r="R10" s="74">
        <f>+P10</f>
        <v>69.73</v>
      </c>
      <c r="S10" s="74">
        <f>D10*R10*12</f>
        <v>836.76</v>
      </c>
      <c r="T10" s="74">
        <f>S10-Q10</f>
        <v>22.199999999999818</v>
      </c>
      <c r="W10" s="153">
        <f t="shared" si="10"/>
        <v>0.027253977607542668</v>
      </c>
      <c r="X10" s="27"/>
    </row>
    <row r="11" spans="1:24" s="75" customFormat="1" ht="15">
      <c r="A11" s="177"/>
      <c r="B11" s="72">
        <v>24</v>
      </c>
      <c r="C11" s="155" t="s">
        <v>155</v>
      </c>
      <c r="D11" s="157">
        <v>1</v>
      </c>
      <c r="E11" s="77">
        <v>4.333</v>
      </c>
      <c r="F11" s="154">
        <f>+E11*D11*12</f>
        <v>51.996</v>
      </c>
      <c r="G11" s="131">
        <f>+References!B19</f>
        <v>157</v>
      </c>
      <c r="H11" s="154">
        <f>G11*F11</f>
        <v>8163.372</v>
      </c>
      <c r="I11" s="76">
        <f>$C$76*H11</f>
        <v>5463.540736623897</v>
      </c>
      <c r="J11" s="121">
        <f>(References!$C$49*I11)</f>
        <v>28.98408360778987</v>
      </c>
      <c r="K11" s="121">
        <f>J11/References!$G$57</f>
        <v>29.784390171703542</v>
      </c>
      <c r="L11" s="27">
        <v>80.58000000000001</v>
      </c>
      <c r="M11" s="137">
        <f>ROUND(((K11/F11)*E11),2)</f>
        <v>2.48</v>
      </c>
      <c r="N11" s="121">
        <f>M11+L11</f>
        <v>83.06000000000002</v>
      </c>
      <c r="O11" s="121">
        <f>ROUND(+$O$2*N11,2)</f>
        <v>0</v>
      </c>
      <c r="P11" s="121">
        <f>+O11+N11</f>
        <v>83.06000000000002</v>
      </c>
      <c r="Q11" s="121">
        <f>D11*L11*12</f>
        <v>966.9600000000002</v>
      </c>
      <c r="R11" s="74">
        <f>+P11</f>
        <v>83.06000000000002</v>
      </c>
      <c r="S11" s="74">
        <f>D11*R11*12</f>
        <v>996.7200000000003</v>
      </c>
      <c r="T11" s="74">
        <f>S11-Q11</f>
        <v>29.760000000000105</v>
      </c>
      <c r="W11" s="153">
        <f t="shared" si="10"/>
        <v>0.030776867709108924</v>
      </c>
      <c r="X11" s="27"/>
    </row>
    <row r="12" spans="1:24" s="75" customFormat="1" ht="15">
      <c r="A12" s="177"/>
      <c r="B12" s="72">
        <v>24</v>
      </c>
      <c r="C12" s="155" t="s">
        <v>148</v>
      </c>
      <c r="D12" s="157">
        <v>3</v>
      </c>
      <c r="E12" s="77">
        <v>1</v>
      </c>
      <c r="F12" s="154">
        <f t="shared" si="4"/>
        <v>36</v>
      </c>
      <c r="G12" s="131">
        <v>20</v>
      </c>
      <c r="H12" s="154">
        <f t="shared" si="5"/>
        <v>720</v>
      </c>
      <c r="I12" s="76">
        <f>$C$76*H12</f>
        <v>481.87799482483535</v>
      </c>
      <c r="J12" s="121">
        <f>(References!$C$49*I12)</f>
        <v>2.5563627625457603</v>
      </c>
      <c r="K12" s="121">
        <f>J12/References!$G$57</f>
        <v>2.626948878922405</v>
      </c>
      <c r="L12" s="27">
        <v>6.529999999999999</v>
      </c>
      <c r="M12" s="137">
        <f t="shared" si="0"/>
        <v>0.07</v>
      </c>
      <c r="N12" s="121">
        <f t="shared" si="1"/>
        <v>6.6</v>
      </c>
      <c r="O12" s="121">
        <f t="shared" si="6"/>
        <v>0</v>
      </c>
      <c r="P12" s="121">
        <f t="shared" si="7"/>
        <v>6.6</v>
      </c>
      <c r="Q12" s="121">
        <f t="shared" si="2"/>
        <v>235.07999999999996</v>
      </c>
      <c r="R12" s="74">
        <f t="shared" si="8"/>
        <v>6.6</v>
      </c>
      <c r="S12" s="74">
        <f t="shared" si="3"/>
        <v>237.59999999999997</v>
      </c>
      <c r="T12" s="74">
        <f t="shared" si="9"/>
        <v>2.5200000000000102</v>
      </c>
      <c r="W12" s="153">
        <f t="shared" si="10"/>
        <v>0.010719754977029039</v>
      </c>
      <c r="X12" s="27"/>
    </row>
    <row r="13" spans="1:24" s="75" customFormat="1" ht="15">
      <c r="A13" s="177"/>
      <c r="B13" s="72">
        <v>24</v>
      </c>
      <c r="C13" s="155" t="s">
        <v>138</v>
      </c>
      <c r="D13" s="157">
        <v>322</v>
      </c>
      <c r="E13" s="77">
        <v>4.333</v>
      </c>
      <c r="F13" s="154">
        <f t="shared" si="4"/>
        <v>16742.712</v>
      </c>
      <c r="G13" s="131">
        <f>+G5</f>
        <v>20</v>
      </c>
      <c r="H13" s="154">
        <f t="shared" si="5"/>
        <v>334854.24</v>
      </c>
      <c r="I13" s="76">
        <f>$C$76*H13</f>
        <v>224109.56906915858</v>
      </c>
      <c r="J13" s="121">
        <f>(References!$C$49*I13)</f>
        <v>1188.9012639118903</v>
      </c>
      <c r="K13" s="121">
        <f>J13/References!$G$57</f>
        <v>1221.729125514464</v>
      </c>
      <c r="L13" s="27">
        <v>18.68</v>
      </c>
      <c r="M13" s="137">
        <f t="shared" si="0"/>
        <v>0.32</v>
      </c>
      <c r="N13" s="121">
        <f t="shared" si="1"/>
        <v>19</v>
      </c>
      <c r="O13" s="121">
        <f t="shared" si="6"/>
        <v>0</v>
      </c>
      <c r="P13" s="121">
        <f t="shared" si="7"/>
        <v>19</v>
      </c>
      <c r="Q13" s="121">
        <f t="shared" si="2"/>
        <v>72179.52</v>
      </c>
      <c r="R13" s="74">
        <f t="shared" si="8"/>
        <v>19</v>
      </c>
      <c r="S13" s="74">
        <f t="shared" si="3"/>
        <v>73416</v>
      </c>
      <c r="T13" s="74">
        <f t="shared" si="9"/>
        <v>1236.479999999996</v>
      </c>
      <c r="W13" s="153">
        <f t="shared" si="10"/>
        <v>0.017130620985010614</v>
      </c>
      <c r="X13" s="27"/>
    </row>
    <row r="14" spans="1:24" s="75" customFormat="1" ht="15">
      <c r="A14" s="177"/>
      <c r="B14" s="72">
        <v>24</v>
      </c>
      <c r="C14" s="155" t="s">
        <v>139</v>
      </c>
      <c r="D14" s="157">
        <v>13</v>
      </c>
      <c r="E14" s="77">
        <v>1</v>
      </c>
      <c r="F14" s="154">
        <f t="shared" si="4"/>
        <v>156</v>
      </c>
      <c r="G14" s="131">
        <f>+References!B20</f>
        <v>37</v>
      </c>
      <c r="H14" s="154">
        <f t="shared" si="5"/>
        <v>5772</v>
      </c>
      <c r="I14" s="76">
        <f>$C$76*H14</f>
        <v>3863.05525851243</v>
      </c>
      <c r="J14" s="121">
        <f>(References!$C$49*I14)</f>
        <v>20.493508146408512</v>
      </c>
      <c r="K14" s="121">
        <f>J14/References!$G$57</f>
        <v>21.059373512694616</v>
      </c>
      <c r="L14" s="27">
        <v>7.99</v>
      </c>
      <c r="M14" s="137">
        <f t="shared" si="0"/>
        <v>0.13</v>
      </c>
      <c r="N14" s="121">
        <f t="shared" si="1"/>
        <v>8.120000000000001</v>
      </c>
      <c r="O14" s="121">
        <f t="shared" si="6"/>
        <v>0</v>
      </c>
      <c r="P14" s="121">
        <f t="shared" si="7"/>
        <v>8.120000000000001</v>
      </c>
      <c r="Q14" s="121">
        <f t="shared" si="2"/>
        <v>1246.44</v>
      </c>
      <c r="R14" s="74">
        <f t="shared" si="8"/>
        <v>8.120000000000001</v>
      </c>
      <c r="S14" s="74">
        <f t="shared" si="3"/>
        <v>1266.7200000000003</v>
      </c>
      <c r="T14" s="74">
        <f t="shared" si="9"/>
        <v>20.2800000000002</v>
      </c>
      <c r="W14" s="153">
        <f t="shared" si="10"/>
        <v>0.016270337922403177</v>
      </c>
      <c r="X14" s="27"/>
    </row>
    <row r="15" spans="1:24" s="75" customFormat="1" ht="15">
      <c r="A15" s="177"/>
      <c r="B15" s="72">
        <v>24</v>
      </c>
      <c r="C15" s="155" t="s">
        <v>140</v>
      </c>
      <c r="D15" s="157">
        <v>65</v>
      </c>
      <c r="E15" s="77">
        <v>1</v>
      </c>
      <c r="F15" s="154">
        <f t="shared" si="4"/>
        <v>780</v>
      </c>
      <c r="G15" s="131">
        <f>+G14</f>
        <v>37</v>
      </c>
      <c r="H15" s="154">
        <f t="shared" si="5"/>
        <v>28860</v>
      </c>
      <c r="I15" s="76">
        <f>$C$76*H15</f>
        <v>19315.27629256215</v>
      </c>
      <c r="J15" s="121">
        <f>(References!$C$49*I15)</f>
        <v>102.46754073204255</v>
      </c>
      <c r="K15" s="121">
        <f>J15/References!$G$57</f>
        <v>105.29686756347307</v>
      </c>
      <c r="L15" s="27">
        <v>7.99</v>
      </c>
      <c r="M15" s="137">
        <f t="shared" si="0"/>
        <v>0.13</v>
      </c>
      <c r="N15" s="121">
        <f t="shared" si="1"/>
        <v>8.120000000000001</v>
      </c>
      <c r="O15" s="121">
        <f t="shared" si="6"/>
        <v>0</v>
      </c>
      <c r="P15" s="121">
        <f t="shared" si="7"/>
        <v>8.120000000000001</v>
      </c>
      <c r="Q15" s="121">
        <f t="shared" si="2"/>
        <v>6232.200000000001</v>
      </c>
      <c r="R15" s="74">
        <f t="shared" si="8"/>
        <v>8.120000000000001</v>
      </c>
      <c r="S15" s="74">
        <f t="shared" si="3"/>
        <v>6333.6</v>
      </c>
      <c r="T15" s="74">
        <f t="shared" si="9"/>
        <v>101.39999999999964</v>
      </c>
      <c r="W15" s="153">
        <f t="shared" si="10"/>
        <v>0.016270337922403177</v>
      </c>
      <c r="X15" s="27"/>
    </row>
    <row r="16" spans="1:24" s="75" customFormat="1" ht="15">
      <c r="A16" s="177"/>
      <c r="B16" s="72">
        <v>24</v>
      </c>
      <c r="C16" s="155" t="s">
        <v>141</v>
      </c>
      <c r="D16" s="157">
        <v>45</v>
      </c>
      <c r="E16" s="77">
        <v>2.1667</v>
      </c>
      <c r="F16" s="154">
        <f t="shared" si="4"/>
        <v>1170.018</v>
      </c>
      <c r="G16" s="131">
        <f>+G15</f>
        <v>37</v>
      </c>
      <c r="H16" s="154">
        <f t="shared" si="5"/>
        <v>43290.666</v>
      </c>
      <c r="I16" s="76">
        <f>$C$76*H16</f>
        <v>28973.360175988437</v>
      </c>
      <c r="J16" s="121">
        <f>(References!$C$49*I16)</f>
        <v>153.70367573361918</v>
      </c>
      <c r="K16" s="121">
        <f>J16/References!$G$57</f>
        <v>157.9477312729226</v>
      </c>
      <c r="L16" s="27">
        <v>15.479999999999999</v>
      </c>
      <c r="M16" s="137">
        <f t="shared" si="0"/>
        <v>0.29</v>
      </c>
      <c r="N16" s="121">
        <f t="shared" si="1"/>
        <v>15.769999999999998</v>
      </c>
      <c r="O16" s="121">
        <f t="shared" si="6"/>
        <v>0</v>
      </c>
      <c r="P16" s="121">
        <f t="shared" si="7"/>
        <v>15.769999999999998</v>
      </c>
      <c r="Q16" s="121">
        <f t="shared" si="2"/>
        <v>8359.199999999999</v>
      </c>
      <c r="R16" s="74">
        <f t="shared" si="8"/>
        <v>15.769999999999998</v>
      </c>
      <c r="S16" s="74">
        <f t="shared" si="3"/>
        <v>8515.8</v>
      </c>
      <c r="T16" s="74">
        <f t="shared" si="9"/>
        <v>156.60000000000036</v>
      </c>
      <c r="W16" s="153">
        <f t="shared" si="10"/>
        <v>0.018733850129198926</v>
      </c>
      <c r="X16" s="27"/>
    </row>
    <row r="17" spans="1:24" s="75" customFormat="1" ht="15">
      <c r="A17" s="177"/>
      <c r="B17" s="72">
        <v>24</v>
      </c>
      <c r="C17" s="155" t="s">
        <v>142</v>
      </c>
      <c r="D17" s="157">
        <v>1689</v>
      </c>
      <c r="E17" s="77">
        <v>4.333</v>
      </c>
      <c r="F17" s="154">
        <f t="shared" si="4"/>
        <v>87821.244</v>
      </c>
      <c r="G17" s="131">
        <f>+G16</f>
        <v>37</v>
      </c>
      <c r="H17" s="154">
        <f t="shared" si="5"/>
        <v>3249386.0280000004</v>
      </c>
      <c r="I17" s="76">
        <f>$C$76*H17</f>
        <v>2174732.8105339953</v>
      </c>
      <c r="J17" s="121">
        <f>(References!$C$49*I17)</f>
        <v>11536.957559882883</v>
      </c>
      <c r="K17" s="121">
        <f>J17/References!$G$57</f>
        <v>11855.51525477879</v>
      </c>
      <c r="L17" s="27">
        <v>22.73</v>
      </c>
      <c r="M17" s="137">
        <f t="shared" si="0"/>
        <v>0.58</v>
      </c>
      <c r="N17" s="121">
        <f t="shared" si="1"/>
        <v>23.31</v>
      </c>
      <c r="O17" s="121">
        <f t="shared" si="6"/>
        <v>0</v>
      </c>
      <c r="P17" s="121">
        <f t="shared" si="7"/>
        <v>23.31</v>
      </c>
      <c r="Q17" s="121">
        <f t="shared" si="2"/>
        <v>460691.64</v>
      </c>
      <c r="R17" s="74">
        <f t="shared" si="8"/>
        <v>23.31</v>
      </c>
      <c r="S17" s="74">
        <f t="shared" si="3"/>
        <v>472447.07999999996</v>
      </c>
      <c r="T17" s="74">
        <f t="shared" si="9"/>
        <v>11755.439999999944</v>
      </c>
      <c r="W17" s="153">
        <f t="shared" si="10"/>
        <v>0.02551693796744381</v>
      </c>
      <c r="X17" s="27"/>
    </row>
    <row r="18" spans="1:24" s="75" customFormat="1" ht="15">
      <c r="A18" s="177"/>
      <c r="B18" s="72">
        <v>24</v>
      </c>
      <c r="C18" s="155" t="s">
        <v>115</v>
      </c>
      <c r="D18" s="157">
        <v>24</v>
      </c>
      <c r="E18" s="77">
        <v>4.333</v>
      </c>
      <c r="F18" s="154">
        <f t="shared" si="4"/>
        <v>1247.904</v>
      </c>
      <c r="G18" s="131">
        <f>+G17</f>
        <v>37</v>
      </c>
      <c r="H18" s="154">
        <f t="shared" si="5"/>
        <v>46172.448</v>
      </c>
      <c r="I18" s="76">
        <f>$C$76*H18</f>
        <v>30902.064803324967</v>
      </c>
      <c r="J18" s="121">
        <f>(References!$C$49*I18)</f>
        <v>163.9354537816395</v>
      </c>
      <c r="K18" s="121">
        <f>J18/References!$G$57</f>
        <v>168.46202848708754</v>
      </c>
      <c r="L18" s="27">
        <v>45.45</v>
      </c>
      <c r="M18" s="137">
        <f>+M17*2</f>
        <v>1.16</v>
      </c>
      <c r="N18" s="121">
        <f t="shared" si="1"/>
        <v>46.61</v>
      </c>
      <c r="O18" s="121">
        <f t="shared" si="6"/>
        <v>0</v>
      </c>
      <c r="P18" s="121">
        <f t="shared" si="7"/>
        <v>46.61</v>
      </c>
      <c r="Q18" s="121">
        <f t="shared" si="2"/>
        <v>13089.600000000002</v>
      </c>
      <c r="R18" s="74">
        <f t="shared" si="8"/>
        <v>46.61</v>
      </c>
      <c r="S18" s="74">
        <f t="shared" si="3"/>
        <v>13423.679999999998</v>
      </c>
      <c r="T18" s="74">
        <f t="shared" si="9"/>
        <v>334.0799999999963</v>
      </c>
      <c r="W18" s="153">
        <f t="shared" si="10"/>
        <v>0.025522552255225373</v>
      </c>
      <c r="X18" s="118"/>
    </row>
    <row r="19" spans="1:24" s="75" customFormat="1" ht="15">
      <c r="A19" s="177"/>
      <c r="B19" s="72">
        <v>24</v>
      </c>
      <c r="C19" s="155" t="s">
        <v>116</v>
      </c>
      <c r="D19" s="157">
        <v>771</v>
      </c>
      <c r="E19" s="77">
        <v>4.333</v>
      </c>
      <c r="F19" s="154">
        <f t="shared" si="4"/>
        <v>40088.916</v>
      </c>
      <c r="G19" s="131">
        <f>+References!B21</f>
        <v>47</v>
      </c>
      <c r="H19" s="154">
        <f t="shared" si="5"/>
        <v>1884179.052</v>
      </c>
      <c r="I19" s="76">
        <f>$C$76*H19</f>
        <v>1261033.921484332</v>
      </c>
      <c r="J19" s="121">
        <f>(References!$C$49*I19)</f>
        <v>6689.784953474405</v>
      </c>
      <c r="K19" s="121">
        <f>J19/References!$G$57</f>
        <v>6874.502844917333</v>
      </c>
      <c r="L19" s="27">
        <v>33.61</v>
      </c>
      <c r="M19" s="137">
        <f t="shared" si="0"/>
        <v>0.74</v>
      </c>
      <c r="N19" s="121">
        <f t="shared" si="1"/>
        <v>34.35</v>
      </c>
      <c r="O19" s="121">
        <f t="shared" si="6"/>
        <v>0</v>
      </c>
      <c r="P19" s="121">
        <f t="shared" si="7"/>
        <v>34.35</v>
      </c>
      <c r="Q19" s="121">
        <f t="shared" si="2"/>
        <v>310959.72000000003</v>
      </c>
      <c r="R19" s="74">
        <f t="shared" si="8"/>
        <v>34.35</v>
      </c>
      <c r="S19" s="74">
        <f t="shared" si="3"/>
        <v>317806.2</v>
      </c>
      <c r="T19" s="74">
        <f t="shared" si="9"/>
        <v>6846.479999999981</v>
      </c>
      <c r="W19" s="153">
        <f t="shared" si="10"/>
        <v>0.022017256768818827</v>
      </c>
      <c r="X19" s="118"/>
    </row>
    <row r="20" spans="1:24" s="75" customFormat="1" ht="15">
      <c r="A20" s="177"/>
      <c r="B20" s="72">
        <v>24</v>
      </c>
      <c r="C20" s="155" t="s">
        <v>117</v>
      </c>
      <c r="D20" s="157">
        <v>12</v>
      </c>
      <c r="E20" s="77">
        <v>4.333</v>
      </c>
      <c r="F20" s="154">
        <f t="shared" si="4"/>
        <v>623.952</v>
      </c>
      <c r="G20" s="131">
        <f>+G19*2</f>
        <v>94</v>
      </c>
      <c r="H20" s="154">
        <f t="shared" si="5"/>
        <v>58651.488</v>
      </c>
      <c r="I20" s="76">
        <f>$C$76*H20</f>
        <v>39253.974209629014</v>
      </c>
      <c r="J20" s="121">
        <f>(References!$C$49*I20)</f>
        <v>208.24233318208263</v>
      </c>
      <c r="K20" s="121">
        <f>J20/References!$G$57</f>
        <v>213.99230645657067</v>
      </c>
      <c r="L20" s="27">
        <v>67.23</v>
      </c>
      <c r="M20" s="137">
        <f>+M19*2</f>
        <v>1.48</v>
      </c>
      <c r="N20" s="121">
        <f t="shared" si="1"/>
        <v>68.71000000000001</v>
      </c>
      <c r="O20" s="121">
        <f t="shared" si="6"/>
        <v>0</v>
      </c>
      <c r="P20" s="121">
        <f t="shared" si="7"/>
        <v>68.71000000000001</v>
      </c>
      <c r="Q20" s="121">
        <f t="shared" si="2"/>
        <v>9681.119999999999</v>
      </c>
      <c r="R20" s="74">
        <f t="shared" si="8"/>
        <v>68.71000000000001</v>
      </c>
      <c r="S20" s="74">
        <f t="shared" si="3"/>
        <v>9894.240000000002</v>
      </c>
      <c r="T20" s="74">
        <f t="shared" si="9"/>
        <v>213.12000000000262</v>
      </c>
      <c r="W20" s="153">
        <f t="shared" si="10"/>
        <v>0.02201398185333936</v>
      </c>
      <c r="X20" s="118"/>
    </row>
    <row r="21" spans="1:24" s="75" customFormat="1" ht="15">
      <c r="A21" s="177"/>
      <c r="B21" s="72">
        <v>24</v>
      </c>
      <c r="C21" s="155" t="s">
        <v>118</v>
      </c>
      <c r="D21" s="157">
        <v>238</v>
      </c>
      <c r="E21" s="77">
        <v>4.333</v>
      </c>
      <c r="F21" s="154">
        <f t="shared" si="4"/>
        <v>12375.048000000003</v>
      </c>
      <c r="G21" s="131">
        <f>+References!B22</f>
        <v>68</v>
      </c>
      <c r="H21" s="154">
        <f t="shared" si="5"/>
        <v>841503.2640000002</v>
      </c>
      <c r="I21" s="76">
        <f>$C$76*H21</f>
        <v>563197.090965103</v>
      </c>
      <c r="J21" s="121">
        <f>(References!$C$49*I21)</f>
        <v>2987.7605675698815</v>
      </c>
      <c r="K21" s="121">
        <f>J21/References!$G$57</f>
        <v>3070.258411075479</v>
      </c>
      <c r="L21" s="27">
        <v>45.35</v>
      </c>
      <c r="M21" s="137">
        <f t="shared" si="0"/>
        <v>1.08</v>
      </c>
      <c r="N21" s="121">
        <f t="shared" si="1"/>
        <v>46.43</v>
      </c>
      <c r="O21" s="121">
        <f t="shared" si="6"/>
        <v>0</v>
      </c>
      <c r="P21" s="121">
        <f t="shared" si="7"/>
        <v>46.43</v>
      </c>
      <c r="Q21" s="121">
        <f t="shared" si="2"/>
        <v>129519.6</v>
      </c>
      <c r="R21" s="74">
        <f t="shared" si="8"/>
        <v>46.43</v>
      </c>
      <c r="S21" s="74">
        <f t="shared" si="3"/>
        <v>132604.08000000002</v>
      </c>
      <c r="T21" s="74">
        <f t="shared" si="9"/>
        <v>3084.4800000000105</v>
      </c>
      <c r="W21" s="153">
        <f t="shared" si="10"/>
        <v>0.023814773980154413</v>
      </c>
      <c r="X21" s="118"/>
    </row>
    <row r="22" spans="1:24" s="75" customFormat="1" ht="15">
      <c r="A22" s="177"/>
      <c r="B22" s="72">
        <v>24</v>
      </c>
      <c r="C22" s="155" t="s">
        <v>119</v>
      </c>
      <c r="D22" s="157">
        <v>14</v>
      </c>
      <c r="E22" s="77">
        <v>4.333</v>
      </c>
      <c r="F22" s="154">
        <f t="shared" si="4"/>
        <v>727.9440000000001</v>
      </c>
      <c r="G22" s="131">
        <f>+G21*2</f>
        <v>136</v>
      </c>
      <c r="H22" s="154">
        <f t="shared" si="5"/>
        <v>99000.384</v>
      </c>
      <c r="I22" s="76">
        <f>$C$76*H22</f>
        <v>66258.4812900121</v>
      </c>
      <c r="J22" s="121">
        <f>(References!$C$49*I22)</f>
        <v>351.5012432435154</v>
      </c>
      <c r="K22" s="121">
        <f>J22/References!$G$57</f>
        <v>361.20687189123277</v>
      </c>
      <c r="L22" s="27">
        <v>90.7</v>
      </c>
      <c r="M22" s="137">
        <f>+M21*2</f>
        <v>2.16</v>
      </c>
      <c r="N22" s="121">
        <f t="shared" si="1"/>
        <v>92.86</v>
      </c>
      <c r="O22" s="121">
        <f t="shared" si="6"/>
        <v>0</v>
      </c>
      <c r="P22" s="121">
        <f t="shared" si="7"/>
        <v>92.86</v>
      </c>
      <c r="Q22" s="121">
        <f t="shared" si="2"/>
        <v>15237.599999999999</v>
      </c>
      <c r="R22" s="74">
        <f t="shared" si="8"/>
        <v>92.86</v>
      </c>
      <c r="S22" s="74">
        <f t="shared" si="3"/>
        <v>15600.48</v>
      </c>
      <c r="T22" s="74">
        <f t="shared" si="9"/>
        <v>362.880000000001</v>
      </c>
      <c r="W22" s="153">
        <f t="shared" si="10"/>
        <v>0.023814773980154413</v>
      </c>
      <c r="X22" s="118"/>
    </row>
    <row r="23" spans="1:24" s="75" customFormat="1" ht="15">
      <c r="A23" s="177"/>
      <c r="B23" s="72">
        <v>25</v>
      </c>
      <c r="C23" s="155" t="s">
        <v>47</v>
      </c>
      <c r="D23" s="158">
        <v>675</v>
      </c>
      <c r="E23" s="77">
        <v>1</v>
      </c>
      <c r="F23" s="154">
        <f t="shared" si="4"/>
        <v>8100</v>
      </c>
      <c r="G23" s="131">
        <f>+References!B24</f>
        <v>34</v>
      </c>
      <c r="H23" s="154">
        <f t="shared" si="5"/>
        <v>275400</v>
      </c>
      <c r="I23" s="76">
        <f>$C$76*H23</f>
        <v>184318.33302049953</v>
      </c>
      <c r="J23" s="121">
        <f>(References!$C$49*I23)</f>
        <v>977.8087566737534</v>
      </c>
      <c r="K23" s="121">
        <f>J23/References!$G$57</f>
        <v>1004.80794618782</v>
      </c>
      <c r="L23" s="27">
        <v>5.33</v>
      </c>
      <c r="M23" s="137">
        <f t="shared" si="0"/>
        <v>0.12</v>
      </c>
      <c r="N23" s="121">
        <f t="shared" si="1"/>
        <v>5.45</v>
      </c>
      <c r="O23" s="121">
        <f t="shared" si="6"/>
        <v>0</v>
      </c>
      <c r="P23" s="121">
        <f t="shared" si="7"/>
        <v>5.45</v>
      </c>
      <c r="Q23" s="121">
        <f t="shared" si="2"/>
        <v>43173</v>
      </c>
      <c r="R23" s="74">
        <f t="shared" si="8"/>
        <v>5.45</v>
      </c>
      <c r="S23" s="74">
        <f t="shared" si="3"/>
        <v>44145</v>
      </c>
      <c r="T23" s="74">
        <f t="shared" si="9"/>
        <v>972</v>
      </c>
      <c r="W23" s="153">
        <f t="shared" si="10"/>
        <v>0.022514071294559068</v>
      </c>
      <c r="X23" s="118"/>
    </row>
    <row r="24" spans="1:24" s="75" customFormat="1" ht="15">
      <c r="A24" s="80"/>
      <c r="B24" s="81"/>
      <c r="C24" s="82" t="s">
        <v>3</v>
      </c>
      <c r="D24" s="83">
        <f>SUM(D3:D23)</f>
        <v>5522</v>
      </c>
      <c r="E24" s="84"/>
      <c r="F24" s="83">
        <f>SUM(F3:F23)</f>
        <v>246358.438</v>
      </c>
      <c r="G24" s="133"/>
      <c r="H24" s="85">
        <f>SUM(H3:H23)</f>
        <v>9765302.530000001</v>
      </c>
      <c r="I24" s="86">
        <f>SUM(I3:I23)</f>
        <v>6535672.780575406</v>
      </c>
      <c r="J24" s="87"/>
      <c r="K24" s="87"/>
      <c r="L24" s="87"/>
      <c r="M24" s="87"/>
      <c r="N24" s="87"/>
      <c r="O24" s="87"/>
      <c r="P24" s="87"/>
      <c r="Q24" s="88">
        <f>SUM(Q3:Q23)</f>
        <v>1503178.8000000005</v>
      </c>
      <c r="R24" s="88"/>
      <c r="S24" s="88">
        <f>SUM(S3:S23)</f>
        <v>1538881.44</v>
      </c>
      <c r="T24" s="88">
        <f>SUM(T3:T23)</f>
        <v>35702.63999999991</v>
      </c>
      <c r="W24" s="162">
        <f>+T24/Q24</f>
        <v>0.023751425978067214</v>
      </c>
      <c r="X24" s="118"/>
    </row>
    <row r="25" spans="1:24" s="75" customFormat="1" ht="15" customHeight="1">
      <c r="A25" s="178" t="s">
        <v>97</v>
      </c>
      <c r="B25" s="72">
        <v>36</v>
      </c>
      <c r="C25" s="155" t="s">
        <v>111</v>
      </c>
      <c r="D25" s="155">
        <v>1</v>
      </c>
      <c r="E25" s="155">
        <v>0.5</v>
      </c>
      <c r="F25" s="154">
        <f>+E25*D25*52</f>
        <v>26</v>
      </c>
      <c r="G25" s="132">
        <f>References!$B$26</f>
        <v>29</v>
      </c>
      <c r="H25" s="79">
        <f aca="true" t="shared" si="11" ref="H25:H47">F25*G25</f>
        <v>754</v>
      </c>
      <c r="I25" s="76">
        <f>$C$76*H25</f>
        <v>504.63334458045256</v>
      </c>
      <c r="J25" s="73">
        <f>References!$C$49*I25</f>
        <v>2.67707989299931</v>
      </c>
      <c r="K25" s="73">
        <f>J25/References!$G$57</f>
        <v>2.7509992426492964</v>
      </c>
      <c r="L25" s="27">
        <v>4.66</v>
      </c>
      <c r="M25" s="121">
        <f aca="true" t="shared" si="12" ref="M25:M59">ROUND((K25/F25),2)</f>
        <v>0.11</v>
      </c>
      <c r="N25" s="73">
        <f aca="true" t="shared" si="13" ref="N25:N49">M25+L25</f>
        <v>4.7700000000000005</v>
      </c>
      <c r="O25" s="121">
        <f>ROUND(+$O$2*N25,2)</f>
        <v>0</v>
      </c>
      <c r="P25" s="121">
        <f>+O25+N25</f>
        <v>4.7700000000000005</v>
      </c>
      <c r="Q25" s="73">
        <f aca="true" t="shared" si="14" ref="Q25:Q49">F25*L25</f>
        <v>121.16</v>
      </c>
      <c r="R25" s="74">
        <f t="shared" si="8"/>
        <v>4.7700000000000005</v>
      </c>
      <c r="S25" s="74">
        <f aca="true" t="shared" si="15" ref="S25:S49">F25*R25</f>
        <v>124.02000000000001</v>
      </c>
      <c r="T25" s="74">
        <f aca="true" t="shared" si="16" ref="T25:T43">S25-Q25</f>
        <v>2.8600000000000136</v>
      </c>
      <c r="W25" s="153">
        <f t="shared" si="10"/>
        <v>0.02360515021459242</v>
      </c>
      <c r="X25" s="118"/>
    </row>
    <row r="26" spans="1:24" s="75" customFormat="1" ht="15">
      <c r="A26" s="177"/>
      <c r="B26" s="72">
        <v>36</v>
      </c>
      <c r="C26" s="155" t="s">
        <v>112</v>
      </c>
      <c r="D26" s="155">
        <v>4</v>
      </c>
      <c r="E26" s="155">
        <v>1</v>
      </c>
      <c r="F26" s="154">
        <f aca="true" t="shared" si="17" ref="F26:F47">+E26*D26*52</f>
        <v>208</v>
      </c>
      <c r="G26" s="132">
        <f>References!$B$26</f>
        <v>29</v>
      </c>
      <c r="H26" s="79">
        <f t="shared" si="11"/>
        <v>6032</v>
      </c>
      <c r="I26" s="76">
        <f>$C$76*H26</f>
        <v>4037.0667566436205</v>
      </c>
      <c r="J26" s="73">
        <f>References!$C$49*I26</f>
        <v>21.41663914399448</v>
      </c>
      <c r="K26" s="121">
        <f>J26/References!$G$57</f>
        <v>22.00799394119437</v>
      </c>
      <c r="L26" s="27">
        <v>4.66</v>
      </c>
      <c r="M26" s="121">
        <f t="shared" si="12"/>
        <v>0.11</v>
      </c>
      <c r="N26" s="73">
        <f t="shared" si="13"/>
        <v>4.7700000000000005</v>
      </c>
      <c r="O26" s="121">
        <f aca="true" t="shared" si="18" ref="O26:O49">ROUND(+$O$2*N26,2)</f>
        <v>0</v>
      </c>
      <c r="P26" s="121">
        <f aca="true" t="shared" si="19" ref="P26:P49">+O26+N26</f>
        <v>4.7700000000000005</v>
      </c>
      <c r="Q26" s="73">
        <f t="shared" si="14"/>
        <v>969.28</v>
      </c>
      <c r="R26" s="74">
        <f t="shared" si="8"/>
        <v>4.7700000000000005</v>
      </c>
      <c r="S26" s="74">
        <f t="shared" si="15"/>
        <v>992.1600000000001</v>
      </c>
      <c r="T26" s="74">
        <f t="shared" si="16"/>
        <v>22.88000000000011</v>
      </c>
      <c r="W26" s="153">
        <f t="shared" si="10"/>
        <v>0.02360515021459242</v>
      </c>
      <c r="X26" s="118"/>
    </row>
    <row r="27" spans="1:24" s="75" customFormat="1" ht="15">
      <c r="A27" s="177"/>
      <c r="B27" s="72">
        <v>36</v>
      </c>
      <c r="C27" s="155" t="s">
        <v>141</v>
      </c>
      <c r="D27" s="155">
        <v>1</v>
      </c>
      <c r="E27" s="155">
        <v>0.5</v>
      </c>
      <c r="F27" s="154">
        <f t="shared" si="17"/>
        <v>26</v>
      </c>
      <c r="G27" s="132">
        <v>37</v>
      </c>
      <c r="H27" s="79">
        <f t="shared" si="11"/>
        <v>962</v>
      </c>
      <c r="I27" s="76">
        <f>$C$76*H27</f>
        <v>643.842543085405</v>
      </c>
      <c r="J27" s="73">
        <f>References!$C$49*I27</f>
        <v>3.4155846910680854</v>
      </c>
      <c r="K27" s="121">
        <f>J27/References!$G$57</f>
        <v>3.5098955854491027</v>
      </c>
      <c r="L27" s="27">
        <v>6.029999999999999</v>
      </c>
      <c r="M27" s="121">
        <f t="shared" si="12"/>
        <v>0.13</v>
      </c>
      <c r="N27" s="73">
        <f t="shared" si="13"/>
        <v>6.159999999999999</v>
      </c>
      <c r="O27" s="121">
        <f t="shared" si="18"/>
        <v>0</v>
      </c>
      <c r="P27" s="121">
        <f t="shared" si="19"/>
        <v>6.159999999999999</v>
      </c>
      <c r="Q27" s="73">
        <f t="shared" si="14"/>
        <v>156.77999999999997</v>
      </c>
      <c r="R27" s="74">
        <f t="shared" si="8"/>
        <v>6.159999999999999</v>
      </c>
      <c r="S27" s="74">
        <f t="shared" si="15"/>
        <v>160.15999999999997</v>
      </c>
      <c r="T27" s="74">
        <f t="shared" si="16"/>
        <v>3.3799999999999955</v>
      </c>
      <c r="W27" s="153">
        <f t="shared" si="10"/>
        <v>0.021558872305140975</v>
      </c>
      <c r="X27" s="118"/>
    </row>
    <row r="28" spans="1:24" s="75" customFormat="1" ht="15">
      <c r="A28" s="177"/>
      <c r="B28" s="72">
        <v>36</v>
      </c>
      <c r="C28" s="155" t="s">
        <v>149</v>
      </c>
      <c r="D28" s="155">
        <v>1</v>
      </c>
      <c r="E28" s="155">
        <v>0.5</v>
      </c>
      <c r="F28" s="154">
        <f t="shared" si="17"/>
        <v>26</v>
      </c>
      <c r="G28" s="132">
        <v>47</v>
      </c>
      <c r="H28" s="79">
        <f t="shared" si="11"/>
        <v>1222</v>
      </c>
      <c r="I28" s="76">
        <f>$C$76*H28</f>
        <v>817.8540412165955</v>
      </c>
      <c r="J28" s="73">
        <f>References!$C$49*I28</f>
        <v>4.338715688654054</v>
      </c>
      <c r="K28" s="121">
        <f>J28/References!$G$57</f>
        <v>4.45851601394886</v>
      </c>
      <c r="L28" s="27">
        <v>8.639999999999999</v>
      </c>
      <c r="M28" s="121">
        <f t="shared" si="12"/>
        <v>0.17</v>
      </c>
      <c r="N28" s="73">
        <f t="shared" si="13"/>
        <v>8.809999999999999</v>
      </c>
      <c r="O28" s="121">
        <f t="shared" si="18"/>
        <v>0</v>
      </c>
      <c r="P28" s="121">
        <f t="shared" si="19"/>
        <v>8.809999999999999</v>
      </c>
      <c r="Q28" s="73">
        <f t="shared" si="14"/>
        <v>224.63999999999996</v>
      </c>
      <c r="R28" s="74">
        <f t="shared" si="8"/>
        <v>8.809999999999999</v>
      </c>
      <c r="S28" s="74">
        <f t="shared" si="15"/>
        <v>229.05999999999997</v>
      </c>
      <c r="T28" s="74">
        <f t="shared" si="16"/>
        <v>4.420000000000016</v>
      </c>
      <c r="W28" s="153">
        <f t="shared" si="10"/>
        <v>0.01967592592592582</v>
      </c>
      <c r="X28" s="118"/>
    </row>
    <row r="29" spans="1:24" s="75" customFormat="1" ht="15">
      <c r="A29" s="177"/>
      <c r="B29" s="72">
        <v>36</v>
      </c>
      <c r="C29" s="155" t="s">
        <v>116</v>
      </c>
      <c r="D29" s="155">
        <v>2</v>
      </c>
      <c r="E29" s="155">
        <v>1</v>
      </c>
      <c r="F29" s="154">
        <f t="shared" si="17"/>
        <v>104</v>
      </c>
      <c r="G29" s="132">
        <v>47</v>
      </c>
      <c r="H29" s="79">
        <f t="shared" si="11"/>
        <v>4888</v>
      </c>
      <c r="I29" s="76">
        <f>$C$76*H29</f>
        <v>3271.416164866382</v>
      </c>
      <c r="J29" s="73">
        <f>References!$C$49*I29</f>
        <v>17.354862754616217</v>
      </c>
      <c r="K29" s="121">
        <f>J29/References!$G$57</f>
        <v>17.83406405579544</v>
      </c>
      <c r="L29" s="27">
        <v>8.639999999999999</v>
      </c>
      <c r="M29" s="121">
        <f t="shared" si="12"/>
        <v>0.17</v>
      </c>
      <c r="N29" s="73">
        <f t="shared" si="13"/>
        <v>8.809999999999999</v>
      </c>
      <c r="O29" s="121">
        <f t="shared" si="18"/>
        <v>0</v>
      </c>
      <c r="P29" s="121">
        <f t="shared" si="19"/>
        <v>8.809999999999999</v>
      </c>
      <c r="Q29" s="73">
        <f t="shared" si="14"/>
        <v>898.5599999999998</v>
      </c>
      <c r="R29" s="74">
        <f t="shared" si="8"/>
        <v>8.809999999999999</v>
      </c>
      <c r="S29" s="74">
        <f t="shared" si="15"/>
        <v>916.2399999999999</v>
      </c>
      <c r="T29" s="74">
        <f t="shared" si="16"/>
        <v>17.680000000000064</v>
      </c>
      <c r="W29" s="153">
        <f t="shared" si="10"/>
        <v>0.01967592592592582</v>
      </c>
      <c r="X29" s="119"/>
    </row>
    <row r="30" spans="1:24" s="75" customFormat="1" ht="15">
      <c r="A30" s="177"/>
      <c r="B30" s="72">
        <v>36</v>
      </c>
      <c r="C30" s="155" t="s">
        <v>118</v>
      </c>
      <c r="D30" s="155">
        <v>3</v>
      </c>
      <c r="E30" s="155">
        <v>1</v>
      </c>
      <c r="F30" s="154">
        <f t="shared" si="17"/>
        <v>156</v>
      </c>
      <c r="G30" s="132">
        <v>68</v>
      </c>
      <c r="H30" s="79">
        <f>F30*G30</f>
        <v>10608</v>
      </c>
      <c r="I30" s="76">
        <f>$C$76*H30</f>
        <v>7099.669123752574</v>
      </c>
      <c r="J30" s="121">
        <f>References!$C$49*I30</f>
        <v>37.66374470150753</v>
      </c>
      <c r="K30" s="121">
        <f>J30/References!$G$57</f>
        <v>38.7037134827901</v>
      </c>
      <c r="L30" s="27">
        <v>11.88</v>
      </c>
      <c r="M30" s="121">
        <f t="shared" si="12"/>
        <v>0.25</v>
      </c>
      <c r="N30" s="121">
        <f t="shared" si="13"/>
        <v>12.13</v>
      </c>
      <c r="O30" s="121">
        <f t="shared" si="18"/>
        <v>0</v>
      </c>
      <c r="P30" s="121">
        <f t="shared" si="19"/>
        <v>12.13</v>
      </c>
      <c r="Q30" s="121">
        <f t="shared" si="14"/>
        <v>1853.2800000000002</v>
      </c>
      <c r="R30" s="74">
        <f t="shared" si="8"/>
        <v>12.13</v>
      </c>
      <c r="S30" s="74">
        <f t="shared" si="15"/>
        <v>1892.2800000000002</v>
      </c>
      <c r="T30" s="74">
        <f>S30-Q30</f>
        <v>39</v>
      </c>
      <c r="W30" s="153">
        <f t="shared" si="10"/>
        <v>0.021043771043770976</v>
      </c>
      <c r="X30" s="119"/>
    </row>
    <row r="31" spans="1:24" s="75" customFormat="1" ht="15">
      <c r="A31" s="177"/>
      <c r="B31" s="72">
        <v>36</v>
      </c>
      <c r="C31" s="155" t="s">
        <v>167</v>
      </c>
      <c r="D31" s="155">
        <v>1</v>
      </c>
      <c r="E31" s="155">
        <v>1</v>
      </c>
      <c r="F31" s="154">
        <f t="shared" si="17"/>
        <v>52</v>
      </c>
      <c r="G31" s="132">
        <f>G26</f>
        <v>29</v>
      </c>
      <c r="H31" s="79">
        <f>F31*G31</f>
        <v>1508</v>
      </c>
      <c r="I31" s="76">
        <f>$C$76*H31</f>
        <v>1009.2666891609051</v>
      </c>
      <c r="J31" s="121">
        <f>References!$C$49*I31</f>
        <v>5.35415978599862</v>
      </c>
      <c r="K31" s="121">
        <f>J31/References!$G$57</f>
        <v>5.501998485298593</v>
      </c>
      <c r="L31" s="27">
        <v>17.32</v>
      </c>
      <c r="M31" s="121">
        <f>ROUND((K31/F31),2)</f>
        <v>0.11</v>
      </c>
      <c r="N31" s="121">
        <f>M31+L31</f>
        <v>17.43</v>
      </c>
      <c r="O31" s="121">
        <f>ROUND(+$O$2*N31,2)</f>
        <v>0</v>
      </c>
      <c r="P31" s="121">
        <f>+O31+N31</f>
        <v>17.43</v>
      </c>
      <c r="Q31" s="121">
        <f>F31*L31</f>
        <v>900.64</v>
      </c>
      <c r="R31" s="74">
        <f>+P31</f>
        <v>17.43</v>
      </c>
      <c r="S31" s="74">
        <f>F31*R31</f>
        <v>906.36</v>
      </c>
      <c r="T31" s="74">
        <f>S31-Q31</f>
        <v>5.720000000000027</v>
      </c>
      <c r="W31" s="153"/>
      <c r="X31" s="119"/>
    </row>
    <row r="32" spans="1:24" s="75" customFormat="1" ht="15">
      <c r="A32" s="177"/>
      <c r="B32" s="72">
        <v>36</v>
      </c>
      <c r="C32" s="155" t="s">
        <v>168</v>
      </c>
      <c r="D32" s="155">
        <v>1</v>
      </c>
      <c r="E32" s="155">
        <v>1</v>
      </c>
      <c r="F32" s="154">
        <f t="shared" si="17"/>
        <v>52</v>
      </c>
      <c r="G32" s="132">
        <f>G27</f>
        <v>37</v>
      </c>
      <c r="H32" s="79">
        <f>F32*G32</f>
        <v>1924</v>
      </c>
      <c r="I32" s="76">
        <f>$C$76*H32</f>
        <v>1287.68508617081</v>
      </c>
      <c r="J32" s="121">
        <f>References!$C$49*I32</f>
        <v>6.831169382136171</v>
      </c>
      <c r="K32" s="121">
        <f>J32/References!$G$57</f>
        <v>7.0197911708982055</v>
      </c>
      <c r="L32" s="27">
        <v>18.67</v>
      </c>
      <c r="M32" s="121">
        <f>ROUND((K32/F32),2)</f>
        <v>0.13</v>
      </c>
      <c r="N32" s="121">
        <f>M32+L32</f>
        <v>18.8</v>
      </c>
      <c r="O32" s="121">
        <f>ROUND(+$O$2*N32,2)</f>
        <v>0</v>
      </c>
      <c r="P32" s="121">
        <f>+O32+N32</f>
        <v>18.8</v>
      </c>
      <c r="Q32" s="121">
        <f>F32*L32</f>
        <v>970.8400000000001</v>
      </c>
      <c r="R32" s="74">
        <f>+P32</f>
        <v>18.8</v>
      </c>
      <c r="S32" s="74">
        <f>F32*R32</f>
        <v>977.6</v>
      </c>
      <c r="T32" s="74">
        <f>S32-Q32</f>
        <v>6.759999999999877</v>
      </c>
      <c r="W32" s="153"/>
      <c r="X32" s="119"/>
    </row>
    <row r="33" spans="1:24" s="75" customFormat="1" ht="15">
      <c r="A33" s="177"/>
      <c r="B33" s="72">
        <v>36</v>
      </c>
      <c r="C33" s="155" t="s">
        <v>169</v>
      </c>
      <c r="D33" s="155">
        <v>1</v>
      </c>
      <c r="E33" s="155">
        <v>1</v>
      </c>
      <c r="F33" s="154">
        <f t="shared" si="17"/>
        <v>52</v>
      </c>
      <c r="G33" s="132">
        <f>G28</f>
        <v>47</v>
      </c>
      <c r="H33" s="79">
        <f>F33*G33</f>
        <v>2444</v>
      </c>
      <c r="I33" s="76">
        <f>$C$76*H33</f>
        <v>1635.708082433191</v>
      </c>
      <c r="J33" s="121">
        <f>References!$C$49*I33</f>
        <v>8.677431377308109</v>
      </c>
      <c r="K33" s="121">
        <f>J33/References!$G$57</f>
        <v>8.91703202789772</v>
      </c>
      <c r="L33" s="27">
        <v>21.13</v>
      </c>
      <c r="M33" s="121">
        <f>ROUND((K33/F33),2)</f>
        <v>0.17</v>
      </c>
      <c r="N33" s="121">
        <f>M33+L33</f>
        <v>21.3</v>
      </c>
      <c r="O33" s="121">
        <f>ROUND(+$O$2*N33,2)</f>
        <v>0</v>
      </c>
      <c r="P33" s="121">
        <f>+O33+N33</f>
        <v>21.3</v>
      </c>
      <c r="Q33" s="121">
        <f>F33*L33</f>
        <v>1098.76</v>
      </c>
      <c r="R33" s="74">
        <f>+P33</f>
        <v>21.3</v>
      </c>
      <c r="S33" s="74">
        <f>F33*R33</f>
        <v>1107.6000000000001</v>
      </c>
      <c r="T33" s="74">
        <f>S33-Q33</f>
        <v>8.840000000000146</v>
      </c>
      <c r="W33" s="153"/>
      <c r="X33" s="119"/>
    </row>
    <row r="34" spans="1:24" s="75" customFormat="1" ht="15">
      <c r="A34" s="177"/>
      <c r="B34" s="72">
        <v>36</v>
      </c>
      <c r="C34" s="155" t="s">
        <v>170</v>
      </c>
      <c r="D34" s="155">
        <v>1</v>
      </c>
      <c r="E34" s="155">
        <v>1</v>
      </c>
      <c r="F34" s="154">
        <f t="shared" si="17"/>
        <v>52</v>
      </c>
      <c r="G34" s="132">
        <f>G30</f>
        <v>68</v>
      </c>
      <c r="H34" s="79">
        <f>F34*G34</f>
        <v>3536</v>
      </c>
      <c r="I34" s="76">
        <f>$C$76*H34</f>
        <v>2366.5563745841914</v>
      </c>
      <c r="J34" s="121">
        <f>References!$C$49*I34</f>
        <v>12.554581567169178</v>
      </c>
      <c r="K34" s="121">
        <f>J34/References!$G$57</f>
        <v>12.9012378275967</v>
      </c>
      <c r="L34" s="27">
        <v>24.36</v>
      </c>
      <c r="M34" s="121">
        <f>ROUND((K34/F34),2)</f>
        <v>0.25</v>
      </c>
      <c r="N34" s="121">
        <f>M34+L34</f>
        <v>24.61</v>
      </c>
      <c r="O34" s="121">
        <f>ROUND(+$O$2*N34,2)</f>
        <v>0</v>
      </c>
      <c r="P34" s="121">
        <f>+O34+N34</f>
        <v>24.61</v>
      </c>
      <c r="Q34" s="121">
        <f>F34*L34</f>
        <v>1266.72</v>
      </c>
      <c r="R34" s="74">
        <f>+P34</f>
        <v>24.61</v>
      </c>
      <c r="S34" s="74">
        <f>F34*R34</f>
        <v>1279.72</v>
      </c>
      <c r="T34" s="74">
        <f>S34-Q34</f>
        <v>13</v>
      </c>
      <c r="W34" s="153"/>
      <c r="X34" s="119"/>
    </row>
    <row r="35" spans="1:24" s="75" customFormat="1" ht="15">
      <c r="A35" s="177"/>
      <c r="B35" s="72">
        <v>35</v>
      </c>
      <c r="C35" s="155" t="s">
        <v>120</v>
      </c>
      <c r="D35" s="155">
        <v>9</v>
      </c>
      <c r="E35" s="155">
        <v>0.5</v>
      </c>
      <c r="F35" s="154">
        <f t="shared" si="17"/>
        <v>234</v>
      </c>
      <c r="G35" s="132">
        <f>+References!B27</f>
        <v>175</v>
      </c>
      <c r="H35" s="79">
        <f>F35*G35</f>
        <v>40950</v>
      </c>
      <c r="I35" s="76">
        <f>$C$76*H35</f>
        <v>27406.81095566251</v>
      </c>
      <c r="J35" s="121">
        <f>References!$C$49*I35</f>
        <v>145.3931321197901</v>
      </c>
      <c r="K35" s="121">
        <f>J35/References!$G$57</f>
        <v>149.40771748871177</v>
      </c>
      <c r="L35" s="27">
        <v>21.75</v>
      </c>
      <c r="M35" s="121">
        <f t="shared" si="12"/>
        <v>0.64</v>
      </c>
      <c r="N35" s="121">
        <f t="shared" si="13"/>
        <v>22.39</v>
      </c>
      <c r="O35" s="121">
        <f t="shared" si="18"/>
        <v>0</v>
      </c>
      <c r="P35" s="121">
        <f t="shared" si="19"/>
        <v>22.39</v>
      </c>
      <c r="Q35" s="121">
        <f t="shared" si="14"/>
        <v>5089.5</v>
      </c>
      <c r="R35" s="74">
        <f t="shared" si="8"/>
        <v>22.39</v>
      </c>
      <c r="S35" s="74">
        <f t="shared" si="15"/>
        <v>5239.26</v>
      </c>
      <c r="T35" s="74">
        <f>S35-Q35</f>
        <v>149.76000000000022</v>
      </c>
      <c r="W35" s="153">
        <f t="shared" si="10"/>
        <v>0.029425287356321883</v>
      </c>
      <c r="X35" s="119"/>
    </row>
    <row r="36" spans="1:24" s="75" customFormat="1" ht="15">
      <c r="A36" s="177"/>
      <c r="B36" s="72">
        <v>35</v>
      </c>
      <c r="C36" s="155" t="s">
        <v>121</v>
      </c>
      <c r="D36" s="155">
        <v>18</v>
      </c>
      <c r="E36" s="155">
        <v>1</v>
      </c>
      <c r="F36" s="154">
        <f t="shared" si="17"/>
        <v>936</v>
      </c>
      <c r="G36" s="132">
        <f>+G35</f>
        <v>175</v>
      </c>
      <c r="H36" s="79">
        <f>F36*G36</f>
        <v>163800</v>
      </c>
      <c r="I36" s="76">
        <f>$C$76*H36</f>
        <v>109627.24382265004</v>
      </c>
      <c r="J36" s="121">
        <f>References!$C$49*I36</f>
        <v>581.5725284791604</v>
      </c>
      <c r="K36" s="121">
        <f>J36/References!$G$57</f>
        <v>597.6308699548471</v>
      </c>
      <c r="L36" s="27">
        <v>21.75</v>
      </c>
      <c r="M36" s="121">
        <f t="shared" si="12"/>
        <v>0.64</v>
      </c>
      <c r="N36" s="121">
        <f t="shared" si="13"/>
        <v>22.39</v>
      </c>
      <c r="O36" s="121">
        <f t="shared" si="18"/>
        <v>0</v>
      </c>
      <c r="P36" s="121">
        <f t="shared" si="19"/>
        <v>22.39</v>
      </c>
      <c r="Q36" s="121">
        <f t="shared" si="14"/>
        <v>20358</v>
      </c>
      <c r="R36" s="74">
        <f t="shared" si="8"/>
        <v>22.39</v>
      </c>
      <c r="S36" s="74">
        <f t="shared" si="15"/>
        <v>20957.04</v>
      </c>
      <c r="T36" s="74">
        <f>S36-Q36</f>
        <v>599.0400000000009</v>
      </c>
      <c r="W36" s="153">
        <f t="shared" si="10"/>
        <v>0.029425287356321883</v>
      </c>
      <c r="X36" s="119"/>
    </row>
    <row r="37" spans="1:24" s="75" customFormat="1" ht="15">
      <c r="A37" s="177"/>
      <c r="B37" s="72">
        <v>35</v>
      </c>
      <c r="C37" s="155" t="s">
        <v>122</v>
      </c>
      <c r="D37" s="155">
        <v>2</v>
      </c>
      <c r="E37" s="155">
        <v>0.5</v>
      </c>
      <c r="F37" s="154">
        <f t="shared" si="17"/>
        <v>52</v>
      </c>
      <c r="G37" s="132">
        <f>+References!B28</f>
        <v>250</v>
      </c>
      <c r="H37" s="79">
        <f t="shared" si="11"/>
        <v>13000</v>
      </c>
      <c r="I37" s="76">
        <f>$C$76*H37</f>
        <v>8700.574906559526</v>
      </c>
      <c r="J37" s="73">
        <f>References!$C$49*I37</f>
        <v>46.156549879298446</v>
      </c>
      <c r="K37" s="121">
        <f>J37/References!$G$57</f>
        <v>47.43102142498787</v>
      </c>
      <c r="L37" s="27">
        <v>28.619999999999997</v>
      </c>
      <c r="M37" s="121">
        <f t="shared" si="12"/>
        <v>0.91</v>
      </c>
      <c r="N37" s="73">
        <f t="shared" si="13"/>
        <v>29.529999999999998</v>
      </c>
      <c r="O37" s="121">
        <f t="shared" si="18"/>
        <v>0</v>
      </c>
      <c r="P37" s="121">
        <f t="shared" si="19"/>
        <v>29.529999999999998</v>
      </c>
      <c r="Q37" s="73">
        <f t="shared" si="14"/>
        <v>1488.2399999999998</v>
      </c>
      <c r="R37" s="74">
        <f t="shared" si="8"/>
        <v>29.529999999999998</v>
      </c>
      <c r="S37" s="74">
        <f t="shared" si="15"/>
        <v>1535.56</v>
      </c>
      <c r="T37" s="74">
        <f t="shared" si="16"/>
        <v>47.320000000000164</v>
      </c>
      <c r="W37" s="153">
        <f t="shared" si="10"/>
        <v>0.03179594689028642</v>
      </c>
      <c r="X37" s="119"/>
    </row>
    <row r="38" spans="1:24" s="75" customFormat="1" ht="15">
      <c r="A38" s="177"/>
      <c r="B38" s="72">
        <v>35</v>
      </c>
      <c r="C38" s="155" t="s">
        <v>123</v>
      </c>
      <c r="D38" s="155">
        <v>9</v>
      </c>
      <c r="E38" s="155">
        <v>1</v>
      </c>
      <c r="F38" s="154">
        <f t="shared" si="17"/>
        <v>468</v>
      </c>
      <c r="G38" s="132">
        <f>+G37</f>
        <v>250</v>
      </c>
      <c r="H38" s="79">
        <f t="shared" si="11"/>
        <v>117000</v>
      </c>
      <c r="I38" s="76">
        <f>$C$76*H38</f>
        <v>78305.17415903574</v>
      </c>
      <c r="J38" s="73">
        <f>References!$C$49*I38</f>
        <v>415.408948913686</v>
      </c>
      <c r="K38" s="121">
        <f>J38/References!$G$57</f>
        <v>426.8791928248908</v>
      </c>
      <c r="L38" s="27">
        <v>28.619999999999997</v>
      </c>
      <c r="M38" s="121">
        <f t="shared" si="12"/>
        <v>0.91</v>
      </c>
      <c r="N38" s="73">
        <f t="shared" si="13"/>
        <v>29.529999999999998</v>
      </c>
      <c r="O38" s="121">
        <f t="shared" si="18"/>
        <v>0</v>
      </c>
      <c r="P38" s="121">
        <f t="shared" si="19"/>
        <v>29.529999999999998</v>
      </c>
      <c r="Q38" s="73">
        <f t="shared" si="14"/>
        <v>13394.159999999998</v>
      </c>
      <c r="R38" s="74">
        <f t="shared" si="8"/>
        <v>29.529999999999998</v>
      </c>
      <c r="S38" s="74">
        <f t="shared" si="15"/>
        <v>13820.039999999999</v>
      </c>
      <c r="T38" s="74">
        <f t="shared" si="16"/>
        <v>425.880000000001</v>
      </c>
      <c r="W38" s="153">
        <f t="shared" si="10"/>
        <v>0.03179594689028642</v>
      </c>
      <c r="X38" s="119"/>
    </row>
    <row r="39" spans="1:24" s="75" customFormat="1" ht="15">
      <c r="A39" s="177"/>
      <c r="B39" s="72">
        <v>35</v>
      </c>
      <c r="C39" s="155" t="s">
        <v>124</v>
      </c>
      <c r="D39" s="155">
        <v>2</v>
      </c>
      <c r="E39" s="155">
        <v>2</v>
      </c>
      <c r="F39" s="154">
        <f t="shared" si="17"/>
        <v>208</v>
      </c>
      <c r="G39" s="132">
        <f>+G38</f>
        <v>250</v>
      </c>
      <c r="H39" s="79">
        <f t="shared" si="11"/>
        <v>52000</v>
      </c>
      <c r="I39" s="76">
        <f>$C$76*H39</f>
        <v>34802.299626238106</v>
      </c>
      <c r="J39" s="73">
        <f>References!$C$49*I39</f>
        <v>184.62619951719378</v>
      </c>
      <c r="K39" s="121">
        <f>J39/References!$G$57</f>
        <v>189.72408569995147</v>
      </c>
      <c r="L39" s="27">
        <v>28.619999999999997</v>
      </c>
      <c r="M39" s="121">
        <f t="shared" si="12"/>
        <v>0.91</v>
      </c>
      <c r="N39" s="73">
        <f t="shared" si="13"/>
        <v>29.529999999999998</v>
      </c>
      <c r="O39" s="121">
        <f t="shared" si="18"/>
        <v>0</v>
      </c>
      <c r="P39" s="121">
        <f t="shared" si="19"/>
        <v>29.529999999999998</v>
      </c>
      <c r="Q39" s="73">
        <f t="shared" si="14"/>
        <v>5952.959999999999</v>
      </c>
      <c r="R39" s="74">
        <f t="shared" si="8"/>
        <v>29.529999999999998</v>
      </c>
      <c r="S39" s="74">
        <f t="shared" si="15"/>
        <v>6142.24</v>
      </c>
      <c r="T39" s="74">
        <f t="shared" si="16"/>
        <v>189.28000000000065</v>
      </c>
      <c r="W39" s="153">
        <f t="shared" si="10"/>
        <v>0.03179594689028642</v>
      </c>
      <c r="X39" s="119"/>
    </row>
    <row r="40" spans="1:24" s="75" customFormat="1" ht="15">
      <c r="A40" s="177"/>
      <c r="B40" s="72">
        <v>35</v>
      </c>
      <c r="C40" s="155" t="s">
        <v>125</v>
      </c>
      <c r="D40" s="155">
        <v>9</v>
      </c>
      <c r="E40" s="155">
        <v>0.5</v>
      </c>
      <c r="F40" s="154">
        <f t="shared" si="17"/>
        <v>234</v>
      </c>
      <c r="G40" s="132">
        <f>+References!B29</f>
        <v>324</v>
      </c>
      <c r="H40" s="79">
        <f t="shared" si="11"/>
        <v>75816</v>
      </c>
      <c r="I40" s="76">
        <f>$C$76*H40</f>
        <v>50741.752855055165</v>
      </c>
      <c r="J40" s="73">
        <f>References!$C$49*I40</f>
        <v>269.1849988960686</v>
      </c>
      <c r="K40" s="121">
        <f>J40/References!$G$57</f>
        <v>276.6177169505293</v>
      </c>
      <c r="L40" s="27">
        <v>35.18000000000001</v>
      </c>
      <c r="M40" s="121">
        <f t="shared" si="12"/>
        <v>1.18</v>
      </c>
      <c r="N40" s="73">
        <f t="shared" si="13"/>
        <v>36.36000000000001</v>
      </c>
      <c r="O40" s="121">
        <f t="shared" si="18"/>
        <v>0</v>
      </c>
      <c r="P40" s="121">
        <f t="shared" si="19"/>
        <v>36.36000000000001</v>
      </c>
      <c r="Q40" s="73">
        <f t="shared" si="14"/>
        <v>8232.12</v>
      </c>
      <c r="R40" s="74">
        <f t="shared" si="8"/>
        <v>36.36000000000001</v>
      </c>
      <c r="S40" s="74">
        <f t="shared" si="15"/>
        <v>8508.240000000002</v>
      </c>
      <c r="T40" s="74">
        <f t="shared" si="16"/>
        <v>276.1200000000008</v>
      </c>
      <c r="W40" s="153">
        <f t="shared" si="10"/>
        <v>0.03354178510517336</v>
      </c>
      <c r="X40" s="119"/>
    </row>
    <row r="41" spans="1:24" s="75" customFormat="1" ht="15">
      <c r="A41" s="177"/>
      <c r="B41" s="72">
        <v>35</v>
      </c>
      <c r="C41" s="155" t="s">
        <v>126</v>
      </c>
      <c r="D41" s="155">
        <v>17</v>
      </c>
      <c r="E41" s="155">
        <v>1</v>
      </c>
      <c r="F41" s="154">
        <f t="shared" si="17"/>
        <v>884</v>
      </c>
      <c r="G41" s="132">
        <f>+G40</f>
        <v>324</v>
      </c>
      <c r="H41" s="79">
        <f t="shared" si="11"/>
        <v>286416</v>
      </c>
      <c r="I41" s="76">
        <f>$C$76*H41</f>
        <v>191691.0663413195</v>
      </c>
      <c r="J41" s="73">
        <f>References!$C$49*I41</f>
        <v>1016.9211069407035</v>
      </c>
      <c r="K41" s="121">
        <f>J41/References!$G$57</f>
        <v>1045.0002640353327</v>
      </c>
      <c r="L41" s="27">
        <v>35.18000000000001</v>
      </c>
      <c r="M41" s="121">
        <f t="shared" si="12"/>
        <v>1.18</v>
      </c>
      <c r="N41" s="73">
        <f t="shared" si="13"/>
        <v>36.36000000000001</v>
      </c>
      <c r="O41" s="121">
        <f t="shared" si="18"/>
        <v>0</v>
      </c>
      <c r="P41" s="121">
        <f t="shared" si="19"/>
        <v>36.36000000000001</v>
      </c>
      <c r="Q41" s="73">
        <f t="shared" si="14"/>
        <v>31099.120000000006</v>
      </c>
      <c r="R41" s="74">
        <f t="shared" si="8"/>
        <v>36.36000000000001</v>
      </c>
      <c r="S41" s="74">
        <f t="shared" si="15"/>
        <v>32142.240000000005</v>
      </c>
      <c r="T41" s="74">
        <f t="shared" si="16"/>
        <v>1043.119999999999</v>
      </c>
      <c r="W41" s="153">
        <f t="shared" si="10"/>
        <v>0.03354178510517336</v>
      </c>
      <c r="X41" s="119"/>
    </row>
    <row r="42" spans="1:24" s="75" customFormat="1" ht="15">
      <c r="A42" s="177"/>
      <c r="B42" s="72">
        <v>35</v>
      </c>
      <c r="C42" s="155" t="s">
        <v>127</v>
      </c>
      <c r="D42" s="155">
        <v>5</v>
      </c>
      <c r="E42" s="155">
        <v>0.5</v>
      </c>
      <c r="F42" s="154">
        <f t="shared" si="17"/>
        <v>130</v>
      </c>
      <c r="G42" s="132">
        <f>+References!B30</f>
        <v>473</v>
      </c>
      <c r="H42" s="79">
        <f t="shared" si="11"/>
        <v>61490</v>
      </c>
      <c r="I42" s="76">
        <f>$C$76*H42</f>
        <v>41153.719308026564</v>
      </c>
      <c r="J42" s="73">
        <f>References!$C$49*I42</f>
        <v>218.32048092908167</v>
      </c>
      <c r="K42" s="121">
        <f>J42/References!$G$57</f>
        <v>224.34873134019264</v>
      </c>
      <c r="L42" s="27">
        <v>48.809999999999995</v>
      </c>
      <c r="M42" s="121">
        <f t="shared" si="12"/>
        <v>1.73</v>
      </c>
      <c r="N42" s="73">
        <f t="shared" si="13"/>
        <v>50.53999999999999</v>
      </c>
      <c r="O42" s="121">
        <f t="shared" si="18"/>
        <v>0</v>
      </c>
      <c r="P42" s="121">
        <f t="shared" si="19"/>
        <v>50.53999999999999</v>
      </c>
      <c r="Q42" s="73">
        <f t="shared" si="14"/>
        <v>6345.299999999999</v>
      </c>
      <c r="R42" s="74">
        <f t="shared" si="8"/>
        <v>50.53999999999999</v>
      </c>
      <c r="S42" s="74">
        <f t="shared" si="15"/>
        <v>6570.199999999999</v>
      </c>
      <c r="T42" s="74">
        <f t="shared" si="16"/>
        <v>224.89999999999964</v>
      </c>
      <c r="W42" s="153">
        <f t="shared" si="10"/>
        <v>0.03544355664822785</v>
      </c>
      <c r="X42" s="119"/>
    </row>
    <row r="43" spans="1:24" s="75" customFormat="1" ht="15">
      <c r="A43" s="177"/>
      <c r="B43" s="72">
        <v>35</v>
      </c>
      <c r="C43" s="155" t="s">
        <v>128</v>
      </c>
      <c r="D43" s="155">
        <v>4</v>
      </c>
      <c r="E43" s="155">
        <v>1</v>
      </c>
      <c r="F43" s="154">
        <f t="shared" si="17"/>
        <v>208</v>
      </c>
      <c r="G43" s="132">
        <f>+G42</f>
        <v>473</v>
      </c>
      <c r="H43" s="79">
        <f t="shared" si="11"/>
        <v>98384</v>
      </c>
      <c r="I43" s="76">
        <f>$C$76*H43</f>
        <v>65845.9508928425</v>
      </c>
      <c r="J43" s="73">
        <f>References!$C$49*I43</f>
        <v>349.31276948653067</v>
      </c>
      <c r="K43" s="121">
        <f>J43/References!$G$57</f>
        <v>358.9579701443082</v>
      </c>
      <c r="L43" s="27">
        <v>48.809999999999995</v>
      </c>
      <c r="M43" s="121">
        <f t="shared" si="12"/>
        <v>1.73</v>
      </c>
      <c r="N43" s="73">
        <f t="shared" si="13"/>
        <v>50.53999999999999</v>
      </c>
      <c r="O43" s="121">
        <f t="shared" si="18"/>
        <v>0</v>
      </c>
      <c r="P43" s="121">
        <f t="shared" si="19"/>
        <v>50.53999999999999</v>
      </c>
      <c r="Q43" s="73">
        <f t="shared" si="14"/>
        <v>10152.48</v>
      </c>
      <c r="R43" s="74">
        <f t="shared" si="8"/>
        <v>50.53999999999999</v>
      </c>
      <c r="S43" s="74">
        <f t="shared" si="15"/>
        <v>10512.319999999998</v>
      </c>
      <c r="T43" s="74">
        <f t="shared" si="16"/>
        <v>359.8399999999983</v>
      </c>
      <c r="W43" s="153">
        <f t="shared" si="10"/>
        <v>0.03544355664822785</v>
      </c>
      <c r="X43" s="119"/>
    </row>
    <row r="44" spans="1:24" s="75" customFormat="1" ht="15">
      <c r="A44" s="177"/>
      <c r="B44" s="72">
        <v>35</v>
      </c>
      <c r="C44" s="155" t="s">
        <v>131</v>
      </c>
      <c r="D44" s="155">
        <v>1</v>
      </c>
      <c r="E44" s="155">
        <v>0.5</v>
      </c>
      <c r="F44" s="154">
        <f t="shared" si="17"/>
        <v>26</v>
      </c>
      <c r="G44" s="132">
        <f>+References!B31</f>
        <v>613</v>
      </c>
      <c r="H44" s="79">
        <f t="shared" si="11"/>
        <v>15938</v>
      </c>
      <c r="I44" s="76">
        <f>$C$76*H44</f>
        <v>10666.904835441981</v>
      </c>
      <c r="J44" s="73">
        <f>References!$C$49*I44</f>
        <v>56.5879301520199</v>
      </c>
      <c r="K44" s="121">
        <f>J44/References!$G$57</f>
        <v>58.15043226703513</v>
      </c>
      <c r="L44" s="27">
        <v>62.2</v>
      </c>
      <c r="M44" s="121">
        <f t="shared" si="12"/>
        <v>2.24</v>
      </c>
      <c r="N44" s="73">
        <f t="shared" si="13"/>
        <v>64.44</v>
      </c>
      <c r="O44" s="121">
        <f t="shared" si="18"/>
        <v>0</v>
      </c>
      <c r="P44" s="121">
        <f t="shared" si="19"/>
        <v>64.44</v>
      </c>
      <c r="Q44" s="73">
        <f t="shared" si="14"/>
        <v>1617.2</v>
      </c>
      <c r="R44" s="74">
        <f t="shared" si="8"/>
        <v>64.44</v>
      </c>
      <c r="S44" s="74">
        <f t="shared" si="15"/>
        <v>1675.44</v>
      </c>
      <c r="T44" s="74">
        <f aca="true" t="shared" si="20" ref="T44:T49">S44-Q44</f>
        <v>58.24000000000001</v>
      </c>
      <c r="W44" s="153">
        <f t="shared" si="10"/>
        <v>0.03601286173633422</v>
      </c>
      <c r="X44" s="119"/>
    </row>
    <row r="45" spans="1:24" s="75" customFormat="1" ht="15">
      <c r="A45" s="177"/>
      <c r="B45" s="72">
        <v>35</v>
      </c>
      <c r="C45" s="155" t="s">
        <v>130</v>
      </c>
      <c r="D45" s="155">
        <v>8</v>
      </c>
      <c r="E45" s="155">
        <v>1</v>
      </c>
      <c r="F45" s="154">
        <f t="shared" si="17"/>
        <v>416</v>
      </c>
      <c r="G45" s="132">
        <f>+G44</f>
        <v>613</v>
      </c>
      <c r="H45" s="79">
        <f t="shared" si="11"/>
        <v>255008</v>
      </c>
      <c r="I45" s="76">
        <f>$C$76*H45</f>
        <v>170670.4773670717</v>
      </c>
      <c r="J45" s="73">
        <f>References!$C$49*I45</f>
        <v>905.4068824323184</v>
      </c>
      <c r="K45" s="121">
        <f>J45/References!$G$57</f>
        <v>930.4069162725621</v>
      </c>
      <c r="L45" s="27">
        <v>62.2</v>
      </c>
      <c r="M45" s="121">
        <f t="shared" si="12"/>
        <v>2.24</v>
      </c>
      <c r="N45" s="73">
        <f t="shared" si="13"/>
        <v>64.44</v>
      </c>
      <c r="O45" s="121">
        <f t="shared" si="18"/>
        <v>0</v>
      </c>
      <c r="P45" s="121">
        <f t="shared" si="19"/>
        <v>64.44</v>
      </c>
      <c r="Q45" s="73">
        <f t="shared" si="14"/>
        <v>25875.2</v>
      </c>
      <c r="R45" s="74">
        <f t="shared" si="8"/>
        <v>64.44</v>
      </c>
      <c r="S45" s="74">
        <f t="shared" si="15"/>
        <v>26807.04</v>
      </c>
      <c r="T45" s="74">
        <f t="shared" si="20"/>
        <v>931.8400000000001</v>
      </c>
      <c r="W45" s="153">
        <f t="shared" si="10"/>
        <v>0.03601286173633422</v>
      </c>
      <c r="X45" s="119"/>
    </row>
    <row r="46" spans="1:24" s="75" customFormat="1" ht="15">
      <c r="A46" s="177"/>
      <c r="B46" s="72">
        <v>35</v>
      </c>
      <c r="C46" s="155" t="s">
        <v>132</v>
      </c>
      <c r="D46" s="155">
        <v>2</v>
      </c>
      <c r="E46" s="155">
        <v>0.5</v>
      </c>
      <c r="F46" s="154">
        <f t="shared" si="17"/>
        <v>52</v>
      </c>
      <c r="G46" s="132">
        <f>+References!B32</f>
        <v>840</v>
      </c>
      <c r="H46" s="79">
        <f t="shared" si="11"/>
        <v>43680</v>
      </c>
      <c r="I46" s="76">
        <f>$C$76*H46</f>
        <v>29233.93168604001</v>
      </c>
      <c r="J46" s="73">
        <f>References!$C$49*I46</f>
        <v>155.08600759444278</v>
      </c>
      <c r="K46" s="121">
        <f>J46/References!$G$57</f>
        <v>159.36823198795923</v>
      </c>
      <c r="L46" s="27">
        <v>86.55</v>
      </c>
      <c r="M46" s="121">
        <f t="shared" si="12"/>
        <v>3.06</v>
      </c>
      <c r="N46" s="73">
        <f t="shared" si="13"/>
        <v>89.61</v>
      </c>
      <c r="O46" s="121">
        <f t="shared" si="18"/>
        <v>0</v>
      </c>
      <c r="P46" s="121">
        <f t="shared" si="19"/>
        <v>89.61</v>
      </c>
      <c r="Q46" s="73">
        <f t="shared" si="14"/>
        <v>4500.599999999999</v>
      </c>
      <c r="R46" s="74">
        <f t="shared" si="8"/>
        <v>89.61</v>
      </c>
      <c r="S46" s="74">
        <f t="shared" si="15"/>
        <v>4659.72</v>
      </c>
      <c r="T46" s="74">
        <f t="shared" si="20"/>
        <v>159.1200000000008</v>
      </c>
      <c r="W46" s="153">
        <f t="shared" si="10"/>
        <v>0.03535528596187176</v>
      </c>
      <c r="X46" s="119"/>
    </row>
    <row r="47" spans="1:24" s="75" customFormat="1" ht="15">
      <c r="A47" s="177"/>
      <c r="B47" s="72">
        <v>35</v>
      </c>
      <c r="C47" s="155" t="s">
        <v>133</v>
      </c>
      <c r="D47" s="155">
        <v>4</v>
      </c>
      <c r="E47" s="155">
        <v>1</v>
      </c>
      <c r="F47" s="154">
        <f t="shared" si="17"/>
        <v>208</v>
      </c>
      <c r="G47" s="132">
        <f>+G46</f>
        <v>840</v>
      </c>
      <c r="H47" s="79">
        <f t="shared" si="11"/>
        <v>174720</v>
      </c>
      <c r="I47" s="76">
        <f>$C$76*H47</f>
        <v>116935.72674416004</v>
      </c>
      <c r="J47" s="73">
        <f>References!$C$49*I47</f>
        <v>620.3440303777711</v>
      </c>
      <c r="K47" s="121">
        <f>J47/References!$G$57</f>
        <v>637.4729279518369</v>
      </c>
      <c r="L47" s="27">
        <v>86.55</v>
      </c>
      <c r="M47" s="121">
        <f t="shared" si="12"/>
        <v>3.06</v>
      </c>
      <c r="N47" s="73">
        <f t="shared" si="13"/>
        <v>89.61</v>
      </c>
      <c r="O47" s="121">
        <f t="shared" si="18"/>
        <v>0</v>
      </c>
      <c r="P47" s="121">
        <f t="shared" si="19"/>
        <v>89.61</v>
      </c>
      <c r="Q47" s="73">
        <f t="shared" si="14"/>
        <v>18002.399999999998</v>
      </c>
      <c r="R47" s="74">
        <f t="shared" si="8"/>
        <v>89.61</v>
      </c>
      <c r="S47" s="74">
        <f t="shared" si="15"/>
        <v>18638.88</v>
      </c>
      <c r="T47" s="74">
        <f t="shared" si="20"/>
        <v>636.4800000000032</v>
      </c>
      <c r="W47" s="153">
        <f t="shared" si="10"/>
        <v>0.03535528596187176</v>
      </c>
      <c r="X47" s="119"/>
    </row>
    <row r="48" spans="1:24" s="75" customFormat="1" ht="15">
      <c r="A48" s="177"/>
      <c r="B48" s="72">
        <v>35</v>
      </c>
      <c r="C48" s="155" t="s">
        <v>134</v>
      </c>
      <c r="D48" s="155">
        <v>1</v>
      </c>
      <c r="E48" s="155">
        <v>0.5</v>
      </c>
      <c r="F48" s="154">
        <f>+E48*D48*52</f>
        <v>26</v>
      </c>
      <c r="G48" s="132">
        <f>+References!B33</f>
        <v>980</v>
      </c>
      <c r="H48" s="79">
        <f>F48*G48</f>
        <v>25480</v>
      </c>
      <c r="I48" s="76">
        <f>$C$76*H48</f>
        <v>17053.126816856675</v>
      </c>
      <c r="J48" s="73">
        <f>References!$C$49*I48</f>
        <v>90.46683776342496</v>
      </c>
      <c r="K48" s="121">
        <f>J48/References!$G$57</f>
        <v>92.96480199297623</v>
      </c>
      <c r="L48" s="27">
        <v>109.67</v>
      </c>
      <c r="M48" s="121">
        <f t="shared" si="12"/>
        <v>3.58</v>
      </c>
      <c r="N48" s="73">
        <f t="shared" si="13"/>
        <v>113.25</v>
      </c>
      <c r="O48" s="121">
        <f t="shared" si="18"/>
        <v>0</v>
      </c>
      <c r="P48" s="121">
        <f t="shared" si="19"/>
        <v>113.25</v>
      </c>
      <c r="Q48" s="73">
        <f t="shared" si="14"/>
        <v>2851.42</v>
      </c>
      <c r="R48" s="74">
        <f t="shared" si="8"/>
        <v>113.25</v>
      </c>
      <c r="S48" s="74">
        <f t="shared" si="15"/>
        <v>2944.5</v>
      </c>
      <c r="T48" s="74">
        <f t="shared" si="20"/>
        <v>93.07999999999993</v>
      </c>
      <c r="W48" s="153">
        <f t="shared" si="10"/>
        <v>0.03264338469955308</v>
      </c>
      <c r="X48" s="119"/>
    </row>
    <row r="49" spans="1:24" s="75" customFormat="1" ht="15">
      <c r="A49" s="177"/>
      <c r="B49" s="72">
        <v>35</v>
      </c>
      <c r="C49" s="155" t="s">
        <v>129</v>
      </c>
      <c r="D49" s="156">
        <v>1</v>
      </c>
      <c r="E49" s="155">
        <v>3</v>
      </c>
      <c r="F49" s="154">
        <f>+E49*D49*52</f>
        <v>156</v>
      </c>
      <c r="G49" s="132">
        <f>+G48</f>
        <v>980</v>
      </c>
      <c r="H49" s="79">
        <f>F49*G49</f>
        <v>152880</v>
      </c>
      <c r="I49" s="76">
        <f>$C$76*H49</f>
        <v>102318.76090114003</v>
      </c>
      <c r="J49" s="73">
        <f>References!$C$49*I49</f>
        <v>542.8010265805498</v>
      </c>
      <c r="K49" s="121">
        <f>J49/References!$G$57</f>
        <v>557.7888119578573</v>
      </c>
      <c r="L49" s="27">
        <v>109.67</v>
      </c>
      <c r="M49" s="121">
        <f t="shared" si="12"/>
        <v>3.58</v>
      </c>
      <c r="N49" s="73">
        <f t="shared" si="13"/>
        <v>113.25</v>
      </c>
      <c r="O49" s="121">
        <f t="shared" si="18"/>
        <v>0</v>
      </c>
      <c r="P49" s="121">
        <f t="shared" si="19"/>
        <v>113.25</v>
      </c>
      <c r="Q49" s="73">
        <f t="shared" si="14"/>
        <v>17108.52</v>
      </c>
      <c r="R49" s="74">
        <f t="shared" si="8"/>
        <v>113.25</v>
      </c>
      <c r="S49" s="74">
        <f t="shared" si="15"/>
        <v>17667</v>
      </c>
      <c r="T49" s="74">
        <f t="shared" si="20"/>
        <v>558.4799999999996</v>
      </c>
      <c r="W49" s="153">
        <f t="shared" si="10"/>
        <v>0.03264338469955308</v>
      </c>
      <c r="X49" s="119"/>
    </row>
    <row r="50" spans="1:24" s="75" customFormat="1" ht="15">
      <c r="A50" s="169"/>
      <c r="B50" s="72">
        <v>35</v>
      </c>
      <c r="C50" s="155" t="s">
        <v>159</v>
      </c>
      <c r="D50" s="156">
        <v>0</v>
      </c>
      <c r="E50" s="155">
        <v>0</v>
      </c>
      <c r="F50" s="154">
        <v>1</v>
      </c>
      <c r="G50" s="132">
        <f>References!B27</f>
        <v>175</v>
      </c>
      <c r="H50" s="79">
        <f>F50*G50</f>
        <v>175</v>
      </c>
      <c r="I50" s="76">
        <f>$C$76*H50</f>
        <v>117.12312374214748</v>
      </c>
      <c r="J50" s="121">
        <f>References!$C$49*I50</f>
        <v>0.6213381714520945</v>
      </c>
      <c r="K50" s="121">
        <f>J50/References!$G$57</f>
        <v>0.638494519182529</v>
      </c>
      <c r="L50" s="27">
        <v>31.34</v>
      </c>
      <c r="M50" s="121">
        <f aca="true" t="shared" si="21" ref="M50:M56">ROUND((K50/F50),2)</f>
        <v>0.64</v>
      </c>
      <c r="N50" s="121">
        <f aca="true" t="shared" si="22" ref="N50:N56">M50+L50</f>
        <v>31.98</v>
      </c>
      <c r="O50" s="121">
        <f aca="true" t="shared" si="23" ref="O50:O56">ROUND(+$O$2*N50,2)</f>
        <v>0</v>
      </c>
      <c r="P50" s="121">
        <f aca="true" t="shared" si="24" ref="P50:P56">+O50+N50</f>
        <v>31.98</v>
      </c>
      <c r="Q50" s="121">
        <f aca="true" t="shared" si="25" ref="Q50:Q56">F50*L50</f>
        <v>31.34</v>
      </c>
      <c r="R50" s="74">
        <f aca="true" t="shared" si="26" ref="R50:R56">+P50</f>
        <v>31.98</v>
      </c>
      <c r="S50" s="74">
        <f aca="true" t="shared" si="27" ref="S50:S56">F50*R50</f>
        <v>31.98</v>
      </c>
      <c r="T50" s="74">
        <f aca="true" t="shared" si="28" ref="T50:T56">S50-Q50</f>
        <v>0.6400000000000006</v>
      </c>
      <c r="W50" s="153"/>
      <c r="X50" s="119"/>
    </row>
    <row r="51" spans="1:24" s="75" customFormat="1" ht="15">
      <c r="A51" s="169"/>
      <c r="B51" s="72">
        <v>35</v>
      </c>
      <c r="C51" s="155" t="s">
        <v>165</v>
      </c>
      <c r="D51" s="156">
        <v>0</v>
      </c>
      <c r="E51" s="155">
        <v>0</v>
      </c>
      <c r="F51" s="154">
        <v>1</v>
      </c>
      <c r="G51" s="132">
        <f>References!B28</f>
        <v>250</v>
      </c>
      <c r="H51" s="79">
        <f>F51*G51</f>
        <v>250</v>
      </c>
      <c r="I51" s="76">
        <f>$C$76*H51</f>
        <v>167.31874820306783</v>
      </c>
      <c r="J51" s="121">
        <f>References!$C$49*I51</f>
        <v>0.8876259592172778</v>
      </c>
      <c r="K51" s="121">
        <f>J51/References!$G$57</f>
        <v>0.9121350274036129</v>
      </c>
      <c r="L51" s="27">
        <v>38.04</v>
      </c>
      <c r="M51" s="121">
        <f>ROUND((K51/F51),2)</f>
        <v>0.91</v>
      </c>
      <c r="N51" s="121">
        <f>M51+L51</f>
        <v>38.949999999999996</v>
      </c>
      <c r="O51" s="121">
        <f>ROUND(+$O$2*N51,2)</f>
        <v>0</v>
      </c>
      <c r="P51" s="121">
        <f>+O51+N51</f>
        <v>38.949999999999996</v>
      </c>
      <c r="Q51" s="121">
        <f>F51*L51</f>
        <v>38.04</v>
      </c>
      <c r="R51" s="74">
        <f>+P51</f>
        <v>38.949999999999996</v>
      </c>
      <c r="S51" s="74">
        <f>F51*R51</f>
        <v>38.949999999999996</v>
      </c>
      <c r="T51" s="74">
        <f>S51-Q51</f>
        <v>0.9099999999999966</v>
      </c>
      <c r="W51" s="153"/>
      <c r="X51" s="119"/>
    </row>
    <row r="52" spans="1:24" s="75" customFormat="1" ht="15">
      <c r="A52" s="169"/>
      <c r="B52" s="72">
        <v>35</v>
      </c>
      <c r="C52" s="155" t="s">
        <v>160</v>
      </c>
      <c r="D52" s="156">
        <v>0</v>
      </c>
      <c r="E52" s="155">
        <v>0</v>
      </c>
      <c r="F52" s="154">
        <v>1</v>
      </c>
      <c r="G52" s="132">
        <f>References!B29</f>
        <v>324</v>
      </c>
      <c r="H52" s="79">
        <f>F52*G52</f>
        <v>324</v>
      </c>
      <c r="I52" s="76">
        <f>$C$76*H52</f>
        <v>216.84509767117592</v>
      </c>
      <c r="J52" s="121">
        <f>References!$C$49*I52</f>
        <v>1.1503632431455921</v>
      </c>
      <c r="K52" s="121">
        <f>J52/References!$G$57</f>
        <v>1.1821269955150824</v>
      </c>
      <c r="L52" s="27">
        <v>44.43</v>
      </c>
      <c r="M52" s="121">
        <f t="shared" si="21"/>
        <v>1.18</v>
      </c>
      <c r="N52" s="121">
        <f t="shared" si="22"/>
        <v>45.61</v>
      </c>
      <c r="O52" s="121">
        <f t="shared" si="23"/>
        <v>0</v>
      </c>
      <c r="P52" s="121">
        <f t="shared" si="24"/>
        <v>45.61</v>
      </c>
      <c r="Q52" s="121">
        <f t="shared" si="25"/>
        <v>44.43</v>
      </c>
      <c r="R52" s="74">
        <f t="shared" si="26"/>
        <v>45.61</v>
      </c>
      <c r="S52" s="74">
        <f t="shared" si="27"/>
        <v>45.61</v>
      </c>
      <c r="T52" s="74">
        <f t="shared" si="28"/>
        <v>1.1799999999999997</v>
      </c>
      <c r="W52" s="153"/>
      <c r="X52" s="119"/>
    </row>
    <row r="53" spans="1:24" s="75" customFormat="1" ht="15">
      <c r="A53" s="169"/>
      <c r="B53" s="72">
        <v>35</v>
      </c>
      <c r="C53" s="155" t="s">
        <v>161</v>
      </c>
      <c r="D53" s="156">
        <v>0</v>
      </c>
      <c r="E53" s="155">
        <v>0</v>
      </c>
      <c r="F53" s="154">
        <v>1</v>
      </c>
      <c r="G53" s="132">
        <f>References!B30</f>
        <v>473</v>
      </c>
      <c r="H53" s="79">
        <f>F53*G53</f>
        <v>473</v>
      </c>
      <c r="I53" s="76">
        <f>$C$76*H53</f>
        <v>316.5670716002043</v>
      </c>
      <c r="J53" s="121">
        <f>References!$C$49*I53</f>
        <v>1.6793883148390896</v>
      </c>
      <c r="K53" s="121">
        <f>J53/References!$G$57</f>
        <v>1.7257594718476355</v>
      </c>
      <c r="L53" s="27">
        <v>57.71</v>
      </c>
      <c r="M53" s="121">
        <f t="shared" si="21"/>
        <v>1.73</v>
      </c>
      <c r="N53" s="121">
        <f t="shared" si="22"/>
        <v>59.44</v>
      </c>
      <c r="O53" s="121">
        <f t="shared" si="23"/>
        <v>0</v>
      </c>
      <c r="P53" s="121">
        <f t="shared" si="24"/>
        <v>59.44</v>
      </c>
      <c r="Q53" s="121">
        <f t="shared" si="25"/>
        <v>57.71</v>
      </c>
      <c r="R53" s="74">
        <f t="shared" si="26"/>
        <v>59.44</v>
      </c>
      <c r="S53" s="74">
        <f t="shared" si="27"/>
        <v>59.44</v>
      </c>
      <c r="T53" s="74">
        <f t="shared" si="28"/>
        <v>1.7299999999999969</v>
      </c>
      <c r="W53" s="153"/>
      <c r="X53" s="119"/>
    </row>
    <row r="54" spans="1:24" s="75" customFormat="1" ht="15">
      <c r="A54" s="169"/>
      <c r="B54" s="72">
        <v>35</v>
      </c>
      <c r="C54" s="155" t="s">
        <v>162</v>
      </c>
      <c r="D54" s="156">
        <v>0</v>
      </c>
      <c r="E54" s="155">
        <v>0</v>
      </c>
      <c r="F54" s="154">
        <v>1</v>
      </c>
      <c r="G54" s="132">
        <f>References!B31</f>
        <v>613</v>
      </c>
      <c r="H54" s="79">
        <f>F54*G54</f>
        <v>613</v>
      </c>
      <c r="I54" s="76">
        <f>$C$76*H54</f>
        <v>410.2655705939223</v>
      </c>
      <c r="J54" s="121">
        <f>References!$C$49*I54</f>
        <v>2.1764588520007653</v>
      </c>
      <c r="K54" s="121">
        <f>J54/References!$G$57</f>
        <v>2.2365550871936586</v>
      </c>
      <c r="L54" s="27">
        <v>70.77</v>
      </c>
      <c r="M54" s="121">
        <f t="shared" si="21"/>
        <v>2.24</v>
      </c>
      <c r="N54" s="121">
        <f t="shared" si="22"/>
        <v>73.00999999999999</v>
      </c>
      <c r="O54" s="121">
        <f t="shared" si="23"/>
        <v>0</v>
      </c>
      <c r="P54" s="121">
        <f t="shared" si="24"/>
        <v>73.00999999999999</v>
      </c>
      <c r="Q54" s="121">
        <f t="shared" si="25"/>
        <v>70.77</v>
      </c>
      <c r="R54" s="74">
        <f t="shared" si="26"/>
        <v>73.00999999999999</v>
      </c>
      <c r="S54" s="74">
        <f t="shared" si="27"/>
        <v>73.00999999999999</v>
      </c>
      <c r="T54" s="74">
        <f t="shared" si="28"/>
        <v>2.239999999999995</v>
      </c>
      <c r="W54" s="153"/>
      <c r="X54" s="119"/>
    </row>
    <row r="55" spans="1:24" s="75" customFormat="1" ht="15">
      <c r="A55" s="169"/>
      <c r="B55" s="72">
        <v>35</v>
      </c>
      <c r="C55" s="155" t="s">
        <v>163</v>
      </c>
      <c r="D55" s="156">
        <v>0</v>
      </c>
      <c r="E55" s="155">
        <v>0</v>
      </c>
      <c r="F55" s="154">
        <v>1</v>
      </c>
      <c r="G55" s="132">
        <f>References!B32</f>
        <v>840</v>
      </c>
      <c r="H55" s="79">
        <f>F55*G55</f>
        <v>840</v>
      </c>
      <c r="I55" s="76">
        <f>$C$76*H55</f>
        <v>562.1909939623079</v>
      </c>
      <c r="J55" s="121">
        <f>References!$C$49*I55</f>
        <v>2.9824232229700534</v>
      </c>
      <c r="K55" s="121">
        <f>J55/References!$G$57</f>
        <v>3.0647736920761393</v>
      </c>
      <c r="L55" s="27">
        <v>94.6</v>
      </c>
      <c r="M55" s="121">
        <f t="shared" si="21"/>
        <v>3.06</v>
      </c>
      <c r="N55" s="121">
        <f t="shared" si="22"/>
        <v>97.66</v>
      </c>
      <c r="O55" s="121">
        <f t="shared" si="23"/>
        <v>0</v>
      </c>
      <c r="P55" s="121">
        <f t="shared" si="24"/>
        <v>97.66</v>
      </c>
      <c r="Q55" s="121">
        <f t="shared" si="25"/>
        <v>94.6</v>
      </c>
      <c r="R55" s="74">
        <f t="shared" si="26"/>
        <v>97.66</v>
      </c>
      <c r="S55" s="74">
        <f t="shared" si="27"/>
        <v>97.66</v>
      </c>
      <c r="T55" s="74">
        <f t="shared" si="28"/>
        <v>3.0600000000000023</v>
      </c>
      <c r="W55" s="153"/>
      <c r="X55" s="119"/>
    </row>
    <row r="56" spans="1:24" s="75" customFormat="1" ht="15">
      <c r="A56" s="169"/>
      <c r="B56" s="72">
        <v>35</v>
      </c>
      <c r="C56" s="155" t="s">
        <v>164</v>
      </c>
      <c r="D56" s="156">
        <v>0</v>
      </c>
      <c r="E56" s="155">
        <v>0</v>
      </c>
      <c r="F56" s="154">
        <v>1</v>
      </c>
      <c r="G56" s="132">
        <f>References!B33</f>
        <v>980</v>
      </c>
      <c r="H56" s="79">
        <f>F56*G56</f>
        <v>980</v>
      </c>
      <c r="I56" s="76">
        <f>$C$76*H56</f>
        <v>655.889492956026</v>
      </c>
      <c r="J56" s="121">
        <f>References!$C$49*I56</f>
        <v>3.4794937601317293</v>
      </c>
      <c r="K56" s="121">
        <f>J56/References!$G$57</f>
        <v>3.5755693074221626</v>
      </c>
      <c r="L56" s="27">
        <v>117.39</v>
      </c>
      <c r="M56" s="121">
        <f t="shared" si="21"/>
        <v>3.58</v>
      </c>
      <c r="N56" s="121">
        <f t="shared" si="22"/>
        <v>120.97</v>
      </c>
      <c r="O56" s="121">
        <f t="shared" si="23"/>
        <v>0</v>
      </c>
      <c r="P56" s="121">
        <f t="shared" si="24"/>
        <v>120.97</v>
      </c>
      <c r="Q56" s="121">
        <f t="shared" si="25"/>
        <v>117.39</v>
      </c>
      <c r="R56" s="74">
        <f t="shared" si="26"/>
        <v>120.97</v>
      </c>
      <c r="S56" s="74">
        <f t="shared" si="27"/>
        <v>120.97</v>
      </c>
      <c r="T56" s="74">
        <f t="shared" si="28"/>
        <v>3.5799999999999983</v>
      </c>
      <c r="W56" s="153"/>
      <c r="X56" s="119"/>
    </row>
    <row r="57" spans="1:24" s="75" customFormat="1" ht="15">
      <c r="A57" s="169"/>
      <c r="B57" s="72">
        <v>27</v>
      </c>
      <c r="C57" s="155" t="s">
        <v>156</v>
      </c>
      <c r="D57" s="156">
        <v>0</v>
      </c>
      <c r="E57" s="155">
        <v>0</v>
      </c>
      <c r="F57" s="154">
        <v>1</v>
      </c>
      <c r="G57" s="132">
        <f>References!B27</f>
        <v>175</v>
      </c>
      <c r="H57" s="79">
        <f>F57*G57</f>
        <v>175</v>
      </c>
      <c r="I57" s="76">
        <f>$C$76*H57</f>
        <v>117.12312374214748</v>
      </c>
      <c r="J57" s="121">
        <f>References!$C$49*I57</f>
        <v>0.6213381714520945</v>
      </c>
      <c r="K57" s="121">
        <f>J57/References!$G$57</f>
        <v>0.638494519182529</v>
      </c>
      <c r="L57" s="27">
        <v>22.37</v>
      </c>
      <c r="M57" s="121">
        <f t="shared" si="12"/>
        <v>0.64</v>
      </c>
      <c r="N57" s="121">
        <f>M57+L57</f>
        <v>23.01</v>
      </c>
      <c r="O57" s="121">
        <f>ROUND(+$O$2*N57,2)</f>
        <v>0</v>
      </c>
      <c r="P57" s="121">
        <f>+O57+N57</f>
        <v>23.01</v>
      </c>
      <c r="Q57" s="121">
        <f>F57*L57</f>
        <v>22.37</v>
      </c>
      <c r="R57" s="74">
        <f>+P57</f>
        <v>23.01</v>
      </c>
      <c r="S57" s="74">
        <f>F57*R57</f>
        <v>23.01</v>
      </c>
      <c r="T57" s="74">
        <f>S57-Q57</f>
        <v>0.6400000000000006</v>
      </c>
      <c r="W57" s="153"/>
      <c r="X57" s="119"/>
    </row>
    <row r="58" spans="1:24" s="75" customFormat="1" ht="15">
      <c r="A58" s="169"/>
      <c r="B58" s="72">
        <v>27</v>
      </c>
      <c r="C58" s="155" t="s">
        <v>157</v>
      </c>
      <c r="D58" s="156">
        <v>0</v>
      </c>
      <c r="E58" s="155">
        <v>0</v>
      </c>
      <c r="F58" s="154">
        <v>1</v>
      </c>
      <c r="G58" s="132">
        <f>AVERAGE(References!B27:B31)</f>
        <v>367</v>
      </c>
      <c r="H58" s="79">
        <f>F58*G58</f>
        <v>367</v>
      </c>
      <c r="I58" s="76">
        <f>$C$76*H58</f>
        <v>245.62392236210357</v>
      </c>
      <c r="J58" s="121">
        <f>References!$C$49*I58</f>
        <v>1.3030349081309638</v>
      </c>
      <c r="K58" s="121">
        <f>J58/References!$G$57</f>
        <v>1.3390142202285036</v>
      </c>
      <c r="L58" s="27">
        <v>31.31</v>
      </c>
      <c r="M58" s="121">
        <f t="shared" si="12"/>
        <v>1.34</v>
      </c>
      <c r="N58" s="121">
        <f>M58+L58</f>
        <v>32.65</v>
      </c>
      <c r="O58" s="121">
        <f>ROUND(+$O$2*N58,2)</f>
        <v>0</v>
      </c>
      <c r="P58" s="121">
        <f>+O58+N58</f>
        <v>32.65</v>
      </c>
      <c r="Q58" s="121">
        <f>F58*L58</f>
        <v>31.31</v>
      </c>
      <c r="R58" s="74">
        <f>+P58</f>
        <v>32.65</v>
      </c>
      <c r="S58" s="74">
        <f>F58*R58</f>
        <v>32.65</v>
      </c>
      <c r="T58" s="74">
        <f>S58-Q58</f>
        <v>1.3399999999999999</v>
      </c>
      <c r="W58" s="153"/>
      <c r="X58" s="119"/>
    </row>
    <row r="59" spans="1:24" s="75" customFormat="1" ht="15">
      <c r="A59" s="169"/>
      <c r="B59" s="72">
        <v>27</v>
      </c>
      <c r="C59" s="155" t="s">
        <v>158</v>
      </c>
      <c r="D59" s="156">
        <v>0</v>
      </c>
      <c r="E59" s="155">
        <v>0</v>
      </c>
      <c r="F59" s="154">
        <v>1</v>
      </c>
      <c r="G59" s="132">
        <f>G57</f>
        <v>175</v>
      </c>
      <c r="H59" s="79">
        <f>F59*G59</f>
        <v>175</v>
      </c>
      <c r="I59" s="76">
        <f>$C$76*H59</f>
        <v>117.12312374214748</v>
      </c>
      <c r="J59" s="121">
        <f>References!$C$49*I59</f>
        <v>0.6213381714520945</v>
      </c>
      <c r="K59" s="121">
        <f>J59/References!$G$57</f>
        <v>0.638494519182529</v>
      </c>
      <c r="L59" s="27">
        <v>22.37</v>
      </c>
      <c r="M59" s="121">
        <f t="shared" si="12"/>
        <v>0.64</v>
      </c>
      <c r="N59" s="121">
        <f>M59+L59</f>
        <v>23.01</v>
      </c>
      <c r="O59" s="121">
        <f>ROUND(+$O$2*N59,2)</f>
        <v>0</v>
      </c>
      <c r="P59" s="121">
        <f>+O59+N59</f>
        <v>23.01</v>
      </c>
      <c r="Q59" s="121">
        <f>F59*L59</f>
        <v>22.37</v>
      </c>
      <c r="R59" s="74">
        <f>+P59</f>
        <v>23.01</v>
      </c>
      <c r="S59" s="74">
        <f>F59*R59</f>
        <v>23.01</v>
      </c>
      <c r="T59" s="74">
        <f>S59-Q59</f>
        <v>0.6400000000000006</v>
      </c>
      <c r="W59" s="153"/>
      <c r="X59" s="119"/>
    </row>
    <row r="60" spans="1:24" s="75" customFormat="1" ht="15">
      <c r="A60" s="169"/>
      <c r="B60" s="72">
        <v>27</v>
      </c>
      <c r="C60" s="155" t="s">
        <v>166</v>
      </c>
      <c r="D60" s="156">
        <v>0</v>
      </c>
      <c r="E60" s="155">
        <v>0</v>
      </c>
      <c r="F60" s="154">
        <v>1</v>
      </c>
      <c r="G60" s="132">
        <f>G59</f>
        <v>175</v>
      </c>
      <c r="H60" s="79">
        <f>F60*G60</f>
        <v>175</v>
      </c>
      <c r="I60" s="76">
        <f>$C$76*H60</f>
        <v>117.12312374214748</v>
      </c>
      <c r="J60" s="121">
        <f>References!$C$49*I60</f>
        <v>0.6213381714520945</v>
      </c>
      <c r="K60" s="121">
        <f>J60/References!$G$57</f>
        <v>0.638494519182529</v>
      </c>
      <c r="L60" s="27">
        <v>21.9</v>
      </c>
      <c r="M60" s="121">
        <f>ROUND((K60/F60),2)</f>
        <v>0.64</v>
      </c>
      <c r="N60" s="121">
        <f>M60+L60</f>
        <v>22.54</v>
      </c>
      <c r="O60" s="121">
        <f>ROUND(+$O$2*N60,2)</f>
        <v>0</v>
      </c>
      <c r="P60" s="121">
        <f>+O60+N60</f>
        <v>22.54</v>
      </c>
      <c r="Q60" s="121">
        <f>F60*L60</f>
        <v>21.9</v>
      </c>
      <c r="R60" s="74">
        <f>+P60</f>
        <v>22.54</v>
      </c>
      <c r="S60" s="74">
        <f>F60*R60</f>
        <v>22.54</v>
      </c>
      <c r="T60" s="74">
        <f>S60-Q60</f>
        <v>0.6400000000000006</v>
      </c>
      <c r="W60" s="153"/>
      <c r="X60" s="119"/>
    </row>
    <row r="61" spans="1:24" s="75" customFormat="1" ht="15">
      <c r="A61" s="169"/>
      <c r="B61" s="72">
        <v>37</v>
      </c>
      <c r="C61" s="155" t="s">
        <v>171</v>
      </c>
      <c r="D61" s="156">
        <v>0</v>
      </c>
      <c r="E61" s="155">
        <v>0</v>
      </c>
      <c r="F61" s="154">
        <v>1</v>
      </c>
      <c r="G61" s="132">
        <f>References!B36</f>
        <v>892</v>
      </c>
      <c r="H61" s="79">
        <f>F61*G61</f>
        <v>892</v>
      </c>
      <c r="I61" s="76">
        <f>$C$76*H61</f>
        <v>596.9932935885461</v>
      </c>
      <c r="J61" s="121">
        <f>References!$C$49*I61</f>
        <v>3.167049422487248</v>
      </c>
      <c r="K61" s="121">
        <f>J61/References!$G$57</f>
        <v>3.2544977777760913</v>
      </c>
      <c r="L61" s="27">
        <v>85.43</v>
      </c>
      <c r="M61" s="121">
        <f>ROUND((K61/F61),2)</f>
        <v>3.25</v>
      </c>
      <c r="N61" s="121">
        <f>M61+L61</f>
        <v>88.68</v>
      </c>
      <c r="O61" s="121">
        <f>ROUND(+$O$2*N61,2)</f>
        <v>0</v>
      </c>
      <c r="P61" s="121">
        <f>+O61+N61</f>
        <v>88.68</v>
      </c>
      <c r="Q61" s="121">
        <f>F61*L61</f>
        <v>85.43</v>
      </c>
      <c r="R61" s="74">
        <f>+P61</f>
        <v>88.68</v>
      </c>
      <c r="S61" s="74">
        <f>F61*R61</f>
        <v>88.68</v>
      </c>
      <c r="T61" s="74">
        <f>S61-Q61</f>
        <v>3.25</v>
      </c>
      <c r="W61" s="153"/>
      <c r="X61" s="119"/>
    </row>
    <row r="62" spans="1:24" s="75" customFormat="1" ht="15">
      <c r="A62" s="169"/>
      <c r="B62" s="72">
        <v>37</v>
      </c>
      <c r="C62" s="155" t="s">
        <v>172</v>
      </c>
      <c r="D62" s="156">
        <v>0</v>
      </c>
      <c r="E62" s="155">
        <v>0</v>
      </c>
      <c r="F62" s="154">
        <v>1</v>
      </c>
      <c r="G62" s="132">
        <f>References!B37</f>
        <v>1301</v>
      </c>
      <c r="H62" s="79">
        <f>F62*G62</f>
        <v>1301</v>
      </c>
      <c r="I62" s="76">
        <f>$C$76*H62</f>
        <v>870.726765648765</v>
      </c>
      <c r="J62" s="121">
        <f>References!$C$49*I62</f>
        <v>4.619205491766714</v>
      </c>
      <c r="K62" s="121">
        <f>J62/References!$G$57</f>
        <v>4.746750682608401</v>
      </c>
      <c r="L62" s="27">
        <v>117.69</v>
      </c>
      <c r="M62" s="121">
        <f>ROUND((K62/F62),2)</f>
        <v>4.75</v>
      </c>
      <c r="N62" s="121">
        <f>M62+L62</f>
        <v>122.44</v>
      </c>
      <c r="O62" s="121">
        <f>ROUND(+$O$2*N62,2)</f>
        <v>0</v>
      </c>
      <c r="P62" s="121">
        <f>+O62+N62</f>
        <v>122.44</v>
      </c>
      <c r="Q62" s="121">
        <f>F62*L62</f>
        <v>117.69</v>
      </c>
      <c r="R62" s="74">
        <f>+P62</f>
        <v>122.44</v>
      </c>
      <c r="S62" s="74">
        <f>F62*R62</f>
        <v>122.44</v>
      </c>
      <c r="T62" s="74">
        <f>S62-Q62</f>
        <v>4.75</v>
      </c>
      <c r="W62" s="153"/>
      <c r="X62" s="119"/>
    </row>
    <row r="63" spans="1:24" s="75" customFormat="1" ht="15">
      <c r="A63" s="169"/>
      <c r="B63" s="72">
        <v>37</v>
      </c>
      <c r="C63" s="155" t="s">
        <v>173</v>
      </c>
      <c r="D63" s="156">
        <v>0</v>
      </c>
      <c r="E63" s="155">
        <v>0</v>
      </c>
      <c r="F63" s="154">
        <v>1</v>
      </c>
      <c r="G63" s="132">
        <f>References!B38</f>
        <v>1686</v>
      </c>
      <c r="H63" s="79">
        <f>F63*G63</f>
        <v>1686</v>
      </c>
      <c r="I63" s="76">
        <f>$C$76*H63</f>
        <v>1128.3976378814893</v>
      </c>
      <c r="J63" s="121">
        <f>References!$C$49*I63</f>
        <v>5.9861494689613215</v>
      </c>
      <c r="K63" s="121">
        <f>J63/References!$G$57</f>
        <v>6.151438624809965</v>
      </c>
      <c r="L63" s="27">
        <v>150.97</v>
      </c>
      <c r="M63" s="121">
        <f>ROUND((K63/F63),2)</f>
        <v>6.15</v>
      </c>
      <c r="N63" s="121">
        <f>M63+L63</f>
        <v>157.12</v>
      </c>
      <c r="O63" s="121">
        <f>ROUND(+$O$2*N63,2)</f>
        <v>0</v>
      </c>
      <c r="P63" s="121">
        <f>+O63+N63</f>
        <v>157.12</v>
      </c>
      <c r="Q63" s="121">
        <f>F63*L63</f>
        <v>150.97</v>
      </c>
      <c r="R63" s="74">
        <f>+P63</f>
        <v>157.12</v>
      </c>
      <c r="S63" s="74">
        <f>F63*R63</f>
        <v>157.12</v>
      </c>
      <c r="T63" s="74">
        <f>S63-Q63</f>
        <v>6.150000000000006</v>
      </c>
      <c r="W63" s="153"/>
      <c r="X63" s="119"/>
    </row>
    <row r="64" spans="1:24" s="75" customFormat="1" ht="15">
      <c r="A64" s="169"/>
      <c r="B64" s="72">
        <v>37</v>
      </c>
      <c r="C64" s="155" t="s">
        <v>174</v>
      </c>
      <c r="D64" s="156">
        <v>0</v>
      </c>
      <c r="E64" s="155">
        <v>0</v>
      </c>
      <c r="F64" s="154">
        <v>1</v>
      </c>
      <c r="G64" s="132">
        <f>References!B40</f>
        <v>2310</v>
      </c>
      <c r="H64" s="79">
        <f>F64*G64</f>
        <v>2310</v>
      </c>
      <c r="I64" s="76">
        <f>$C$76*H64</f>
        <v>1546.0252333963467</v>
      </c>
      <c r="J64" s="121">
        <f>References!$C$49*I64</f>
        <v>8.201663863167648</v>
      </c>
      <c r="K64" s="121">
        <f>J64/References!$G$57</f>
        <v>8.428127653209383</v>
      </c>
      <c r="L64" s="27">
        <v>217.42</v>
      </c>
      <c r="M64" s="121">
        <f>ROUND((K64/F64),2)</f>
        <v>8.43</v>
      </c>
      <c r="N64" s="121">
        <f>M64+L64</f>
        <v>225.85</v>
      </c>
      <c r="O64" s="121">
        <f>ROUND(+$O$2*N64,2)</f>
        <v>0</v>
      </c>
      <c r="P64" s="121">
        <f>+O64+N64</f>
        <v>225.85</v>
      </c>
      <c r="Q64" s="121">
        <f>F64*L64</f>
        <v>217.42</v>
      </c>
      <c r="R64" s="74">
        <f>+P64</f>
        <v>225.85</v>
      </c>
      <c r="S64" s="74">
        <f>F64*R64</f>
        <v>225.85</v>
      </c>
      <c r="T64" s="74">
        <f>S64-Q64</f>
        <v>8.430000000000007</v>
      </c>
      <c r="W64" s="153"/>
      <c r="X64" s="119"/>
    </row>
    <row r="65" spans="1:23" s="75" customFormat="1" ht="15">
      <c r="A65" s="80"/>
      <c r="B65" s="61"/>
      <c r="C65" s="82" t="s">
        <v>3</v>
      </c>
      <c r="D65" s="83">
        <f>SUM(D25:D49)</f>
        <v>108</v>
      </c>
      <c r="E65" s="83"/>
      <c r="F65" s="83">
        <f>SUM(F25:F49)</f>
        <v>4992</v>
      </c>
      <c r="G65" s="134"/>
      <c r="H65" s="83">
        <f>SUM(H25:H49)</f>
        <v>1610440</v>
      </c>
      <c r="I65" s="86">
        <f>SUM(I25:I49)</f>
        <v>1077827.2194245942</v>
      </c>
      <c r="J65" s="88"/>
      <c r="K65" s="88"/>
      <c r="L65" s="88"/>
      <c r="M65" s="88"/>
      <c r="N65" s="88"/>
      <c r="O65" s="88"/>
      <c r="P65" s="88"/>
      <c r="Q65" s="88">
        <f>SUM(Q25:Q49)</f>
        <v>180527.88</v>
      </c>
      <c r="R65" s="88"/>
      <c r="S65" s="88">
        <f>SUM(S25:S49)</f>
        <v>186404.92</v>
      </c>
      <c r="T65" s="88">
        <f>SUM(T25:T49)</f>
        <v>5877.0400000000045</v>
      </c>
      <c r="W65" s="162">
        <f>+T65/Q65</f>
        <v>0.03255474999207881</v>
      </c>
    </row>
    <row r="66" spans="3:23" ht="25.5" customHeight="1">
      <c r="C66" s="91" t="s">
        <v>98</v>
      </c>
      <c r="D66" s="92">
        <f>D24+D65</f>
        <v>5630</v>
      </c>
      <c r="E66" s="92"/>
      <c r="F66" s="92">
        <f>F24+F65</f>
        <v>251350.438</v>
      </c>
      <c r="G66" s="92"/>
      <c r="H66" s="92">
        <f>H24+H65</f>
        <v>11375742.530000001</v>
      </c>
      <c r="I66" s="92">
        <f>I24+I65</f>
        <v>7613500</v>
      </c>
      <c r="J66" s="73"/>
      <c r="K66" s="93"/>
      <c r="L66" s="93"/>
      <c r="M66" s="93"/>
      <c r="N66" s="93"/>
      <c r="O66" s="93"/>
      <c r="P66" s="93"/>
      <c r="Q66" s="136">
        <f>Q24+Q65</f>
        <v>1683706.6800000006</v>
      </c>
      <c r="R66" s="136"/>
      <c r="S66" s="136">
        <f>S24+S65</f>
        <v>1725286.3599999999</v>
      </c>
      <c r="T66" s="136">
        <f>T24+T65</f>
        <v>41579.67999999992</v>
      </c>
      <c r="W66" s="162">
        <f>+T66/Q66</f>
        <v>0.02469532282190619</v>
      </c>
    </row>
    <row r="67" spans="7:16" ht="15">
      <c r="G67" s="135"/>
      <c r="J67" s="95"/>
      <c r="L67" s="171"/>
      <c r="P67" s="113"/>
    </row>
    <row r="68" spans="7:20" ht="15">
      <c r="G68" s="135"/>
      <c r="H68" s="71">
        <f>+H65/2000</f>
        <v>805.22</v>
      </c>
      <c r="I68" s="71">
        <f>+I65/2000</f>
        <v>538.9136097122971</v>
      </c>
      <c r="J68" s="95"/>
      <c r="L68" s="172"/>
      <c r="P68" s="113"/>
      <c r="T68" s="168">
        <f>+References!C57</f>
        <v>12414.726000000002</v>
      </c>
    </row>
    <row r="69" spans="1:3" ht="15">
      <c r="A69" s="78"/>
      <c r="C69" s="98"/>
    </row>
    <row r="70" spans="1:20" ht="15">
      <c r="A70" s="78"/>
      <c r="C70" s="98"/>
      <c r="T70" s="113">
        <f>+T66+T68</f>
        <v>53994.40599999992</v>
      </c>
    </row>
    <row r="71" spans="1:8" ht="15">
      <c r="A71" s="78"/>
      <c r="B71" s="179" t="s">
        <v>99</v>
      </c>
      <c r="C71" s="179"/>
      <c r="D71" s="71"/>
      <c r="E71" s="99"/>
      <c r="F71" s="99"/>
      <c r="H71" s="129"/>
    </row>
    <row r="72" spans="1:17" ht="15">
      <c r="A72" s="78"/>
      <c r="B72" s="71"/>
      <c r="C72" s="100" t="s">
        <v>3</v>
      </c>
      <c r="D72" s="71"/>
      <c r="E72" s="31"/>
      <c r="F72" s="31"/>
      <c r="H72" s="101" t="s">
        <v>100</v>
      </c>
      <c r="J72" s="102"/>
      <c r="Q72" s="94"/>
    </row>
    <row r="73" spans="1:17" ht="15">
      <c r="A73" s="78"/>
      <c r="B73" s="71" t="s">
        <v>101</v>
      </c>
      <c r="C73" s="130">
        <f>'Co. Pro Tonnage'!E9</f>
        <v>3806.75</v>
      </c>
      <c r="D73" s="71"/>
      <c r="E73" s="89"/>
      <c r="F73" s="89"/>
      <c r="G73" s="103"/>
      <c r="H73" s="127" t="s">
        <v>104</v>
      </c>
      <c r="I73" s="128"/>
      <c r="J73" s="102"/>
      <c r="Q73" s="94"/>
    </row>
    <row r="74" spans="1:14" ht="15">
      <c r="A74" s="78"/>
      <c r="B74" s="71" t="s">
        <v>102</v>
      </c>
      <c r="C74" s="104">
        <f>C73*2000</f>
        <v>7613500</v>
      </c>
      <c r="D74" s="71"/>
      <c r="E74" s="104"/>
      <c r="F74" s="104"/>
      <c r="G74" s="104"/>
      <c r="H74" s="105"/>
      <c r="J74" s="102"/>
      <c r="N74" s="170"/>
    </row>
    <row r="75" spans="1:17" ht="15">
      <c r="A75" s="78"/>
      <c r="B75" s="71" t="s">
        <v>103</v>
      </c>
      <c r="C75" s="104">
        <f>F24+F65</f>
        <v>251350.438</v>
      </c>
      <c r="D75" s="71"/>
      <c r="E75" s="89"/>
      <c r="F75" s="89"/>
      <c r="G75" s="89"/>
      <c r="I75" s="120"/>
      <c r="J75" s="102"/>
      <c r="N75" s="170"/>
      <c r="Q75" s="94"/>
    </row>
    <row r="76" spans="2:17" ht="15">
      <c r="B76" s="106" t="s">
        <v>105</v>
      </c>
      <c r="C76" s="107">
        <f>C74/$H$66</f>
        <v>0.6692749928122713</v>
      </c>
      <c r="D76" s="71"/>
      <c r="E76" s="107"/>
      <c r="F76" s="107"/>
      <c r="G76" s="107"/>
      <c r="H76" s="108"/>
      <c r="J76" s="102"/>
      <c r="L76" s="109"/>
      <c r="N76" s="109"/>
      <c r="O76" s="109"/>
      <c r="P76" s="109"/>
      <c r="Q76" s="110"/>
    </row>
    <row r="77" spans="5:17" ht="15">
      <c r="E77" s="102"/>
      <c r="G77" s="111"/>
      <c r="H77" s="112"/>
      <c r="J77" s="102"/>
      <c r="L77" s="113"/>
      <c r="N77" s="114"/>
      <c r="O77" s="114"/>
      <c r="P77" s="114"/>
      <c r="Q77" s="96"/>
    </row>
    <row r="78" spans="4:17" ht="15">
      <c r="D78" s="115"/>
      <c r="E78" s="116"/>
      <c r="G78" s="111"/>
      <c r="H78" s="112"/>
      <c r="J78" s="102"/>
      <c r="L78" s="113"/>
      <c r="N78" s="114"/>
      <c r="O78" s="114"/>
      <c r="P78" s="114"/>
      <c r="Q78" s="96"/>
    </row>
    <row r="79" spans="4:17" ht="15">
      <c r="D79" s="115"/>
      <c r="E79" s="116"/>
      <c r="G79" s="111"/>
      <c r="H79" s="112"/>
      <c r="J79" s="102"/>
      <c r="K79" s="170">
        <v>45281</v>
      </c>
      <c r="L79" s="113"/>
      <c r="N79" s="114"/>
      <c r="O79" s="114"/>
      <c r="P79" s="114"/>
      <c r="Q79" s="96"/>
    </row>
    <row r="80" spans="4:11" ht="15">
      <c r="D80" s="71"/>
      <c r="I80" s="71"/>
      <c r="K80" s="170">
        <f>K79+45</f>
        <v>45326</v>
      </c>
    </row>
    <row r="81" spans="4:9" ht="15">
      <c r="D81" s="71"/>
      <c r="E81" s="102"/>
      <c r="I81" s="71"/>
    </row>
    <row r="82" spans="4:9" ht="15">
      <c r="D82" s="71"/>
      <c r="I82" s="71"/>
    </row>
    <row r="83" spans="4:9" ht="15">
      <c r="D83" s="71"/>
      <c r="I83" s="71"/>
    </row>
    <row r="84" ht="15">
      <c r="D84" s="71"/>
    </row>
  </sheetData>
  <sheetProtection/>
  <mergeCells count="3">
    <mergeCell ref="A3:A23"/>
    <mergeCell ref="A25:A49"/>
    <mergeCell ref="B71:C71"/>
  </mergeCells>
  <printOptions/>
  <pageMargins left="0.45" right="0.2" top="0.25" bottom="0.25" header="0.3" footer="0.3"/>
  <pageSetup fitToHeight="0" fitToWidth="1" horizontalDpi="600" verticalDpi="600" orientation="landscape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8.8515625" style="0" bestFit="1" customWidth="1"/>
    <col min="3" max="3" width="12.8515625" style="0" bestFit="1" customWidth="1"/>
    <col min="4" max="4" width="12.421875" style="0" bestFit="1" customWidth="1"/>
    <col min="5" max="5" width="14.28125" style="0" bestFit="1" customWidth="1"/>
    <col min="6" max="6" width="11.00390625" style="0" bestFit="1" customWidth="1"/>
    <col min="7" max="7" width="17.57421875" style="0" bestFit="1" customWidth="1"/>
    <col min="8" max="8" width="13.57421875" style="0" bestFit="1" customWidth="1"/>
    <col min="9" max="9" width="14.28125" style="0" bestFit="1" customWidth="1"/>
    <col min="10" max="10" width="12.7109375" style="0" bestFit="1" customWidth="1"/>
    <col min="11" max="11" width="2.421875" style="0" customWidth="1"/>
    <col min="12" max="13" width="10.421875" style="0" bestFit="1" customWidth="1"/>
    <col min="14" max="14" width="14.421875" style="0" bestFit="1" customWidth="1"/>
    <col min="15" max="15" width="14.421875" style="0" customWidth="1"/>
    <col min="16" max="16" width="12.8515625" style="0" bestFit="1" customWidth="1"/>
    <col min="17" max="17" width="10.00390625" style="0" bestFit="1" customWidth="1"/>
    <col min="18" max="18" width="12.57421875" style="0" bestFit="1" customWidth="1"/>
  </cols>
  <sheetData>
    <row r="1" spans="1:10" ht="26.25">
      <c r="A1" s="9" t="s">
        <v>109</v>
      </c>
      <c r="B1" s="2"/>
      <c r="C1" s="2"/>
      <c r="D1" s="2"/>
      <c r="E1" s="2"/>
      <c r="F1" s="2"/>
      <c r="G1" s="2"/>
      <c r="H1" s="2"/>
      <c r="I1" s="2"/>
      <c r="J1" s="2"/>
    </row>
    <row r="2" spans="1:10" ht="20.25">
      <c r="A2" s="8" t="s">
        <v>147</v>
      </c>
      <c r="B2" s="2"/>
      <c r="C2" s="2"/>
      <c r="D2" s="2"/>
      <c r="E2" s="2"/>
      <c r="F2" s="2"/>
      <c r="G2" s="2"/>
      <c r="H2" s="2"/>
      <c r="I2" s="2"/>
      <c r="J2" s="2"/>
    </row>
    <row r="3" spans="1:16" ht="15.75">
      <c r="A3" s="30" t="s">
        <v>110</v>
      </c>
      <c r="G3" s="6" t="s">
        <v>108</v>
      </c>
      <c r="I3" s="6" t="s">
        <v>12</v>
      </c>
      <c r="L3" s="38"/>
      <c r="M3" s="37"/>
      <c r="N3" s="37"/>
      <c r="O3" s="147"/>
      <c r="P3" s="39"/>
    </row>
    <row r="4" spans="1:16" ht="15.75">
      <c r="A4" s="2"/>
      <c r="B4" s="2"/>
      <c r="C4" s="6" t="s">
        <v>3</v>
      </c>
      <c r="D4" s="6" t="s">
        <v>2</v>
      </c>
      <c r="E4" s="6" t="s">
        <v>12</v>
      </c>
      <c r="F4" s="7" t="s">
        <v>4</v>
      </c>
      <c r="G4" s="6" t="s">
        <v>12</v>
      </c>
      <c r="H4" s="7" t="s">
        <v>6</v>
      </c>
      <c r="I4" s="6" t="s">
        <v>0</v>
      </c>
      <c r="J4" s="6" t="s">
        <v>0</v>
      </c>
      <c r="L4" s="39"/>
      <c r="M4" s="39"/>
      <c r="N4" s="39"/>
      <c r="O4" s="39"/>
      <c r="P4" s="39"/>
    </row>
    <row r="5" spans="1:17" ht="20.25">
      <c r="A5" s="2"/>
      <c r="B5" s="2"/>
      <c r="C5" s="4" t="s">
        <v>7</v>
      </c>
      <c r="D5" s="4" t="s">
        <v>12</v>
      </c>
      <c r="E5" s="4" t="s">
        <v>7</v>
      </c>
      <c r="F5" s="5" t="s">
        <v>8</v>
      </c>
      <c r="G5" s="4" t="s">
        <v>5</v>
      </c>
      <c r="H5" s="5" t="s">
        <v>8</v>
      </c>
      <c r="I5" s="4" t="s">
        <v>9</v>
      </c>
      <c r="J5" s="4" t="s">
        <v>1</v>
      </c>
      <c r="L5" s="40"/>
      <c r="M5" s="40"/>
      <c r="N5" s="40"/>
      <c r="O5" s="40"/>
      <c r="P5" s="40"/>
      <c r="Q5" s="40"/>
    </row>
    <row r="6" spans="1:18" ht="15.75">
      <c r="A6" s="3" t="s">
        <v>10</v>
      </c>
      <c r="B6" s="2">
        <v>648.89</v>
      </c>
      <c r="C6" s="18">
        <v>481.88</v>
      </c>
      <c r="D6" s="32">
        <v>1</v>
      </c>
      <c r="E6" s="34">
        <f>+D6*C6</f>
        <v>481.88</v>
      </c>
      <c r="F6" s="10">
        <v>109</v>
      </c>
      <c r="G6" s="13">
        <f>+F6*E6</f>
        <v>52524.92</v>
      </c>
      <c r="H6" s="12">
        <v>147</v>
      </c>
      <c r="I6" s="13">
        <f>+H6*E6</f>
        <v>70836.36</v>
      </c>
      <c r="J6" s="19">
        <f>+I6-G6</f>
        <v>18311.440000000002</v>
      </c>
      <c r="K6" s="29"/>
      <c r="L6" s="43"/>
      <c r="M6" s="43"/>
      <c r="N6" s="43"/>
      <c r="O6" s="43"/>
      <c r="P6" s="44"/>
      <c r="Q6" s="142"/>
      <c r="R6" s="28"/>
    </row>
    <row r="7" spans="1:16" ht="15.75">
      <c r="A7" s="2"/>
      <c r="B7" s="2"/>
      <c r="C7" s="11"/>
      <c r="D7" s="13"/>
      <c r="E7" s="13"/>
      <c r="F7" s="10"/>
      <c r="G7" s="13"/>
      <c r="H7" s="12"/>
      <c r="I7" s="13"/>
      <c r="J7" s="19"/>
      <c r="L7" s="44"/>
      <c r="M7" s="44"/>
      <c r="N7" s="44"/>
      <c r="O7" s="44"/>
      <c r="P7" s="44"/>
    </row>
    <row r="8" spans="1:18" ht="18">
      <c r="A8" s="3" t="s">
        <v>11</v>
      </c>
      <c r="B8" s="2">
        <v>3185.29</v>
      </c>
      <c r="C8" s="24">
        <v>3324.87</v>
      </c>
      <c r="D8" s="32">
        <v>1</v>
      </c>
      <c r="E8" s="35">
        <f>+D8*C8</f>
        <v>3324.87</v>
      </c>
      <c r="F8" s="10">
        <f>+F6</f>
        <v>109</v>
      </c>
      <c r="G8" s="14">
        <f>+F8*E8</f>
        <v>362410.83</v>
      </c>
      <c r="H8" s="12">
        <f>+H6</f>
        <v>147</v>
      </c>
      <c r="I8" s="14">
        <f>+H8*E8</f>
        <v>488755.88999999996</v>
      </c>
      <c r="J8" s="20">
        <f>+I8-G8</f>
        <v>126345.05999999994</v>
      </c>
      <c r="K8" s="29"/>
      <c r="L8" s="45"/>
      <c r="M8" s="45"/>
      <c r="N8" s="45"/>
      <c r="O8" s="45"/>
      <c r="P8" s="46"/>
      <c r="Q8" s="142"/>
      <c r="R8" s="28"/>
    </row>
    <row r="9" spans="1:18" ht="20.25">
      <c r="A9" s="3"/>
      <c r="B9" s="2"/>
      <c r="C9" s="21">
        <f>+C8+C6</f>
        <v>3806.75</v>
      </c>
      <c r="D9" s="14"/>
      <c r="E9" s="21">
        <f>+E8+E6</f>
        <v>3806.75</v>
      </c>
      <c r="F9" s="159"/>
      <c r="G9" s="160">
        <f>+G8+G6</f>
        <v>414935.75</v>
      </c>
      <c r="H9" s="161"/>
      <c r="I9" s="160">
        <f>+I8+I6</f>
        <v>559592.25</v>
      </c>
      <c r="J9" s="160">
        <f>+J8+J6</f>
        <v>144656.49999999994</v>
      </c>
      <c r="K9" s="33"/>
      <c r="L9" s="33"/>
      <c r="M9" s="33"/>
      <c r="N9" s="33"/>
      <c r="O9" s="33"/>
      <c r="P9" s="33"/>
      <c r="R9" s="28"/>
    </row>
    <row r="10" spans="1:16" ht="15.75">
      <c r="A10" s="2"/>
      <c r="B10" s="2"/>
      <c r="C10" s="11"/>
      <c r="D10" s="13"/>
      <c r="E10" s="13"/>
      <c r="F10" s="10"/>
      <c r="G10" s="13"/>
      <c r="H10" s="12"/>
      <c r="I10" s="13"/>
      <c r="J10" s="19"/>
      <c r="L10" s="42"/>
      <c r="M10" s="42"/>
      <c r="N10" s="42"/>
      <c r="O10" s="42"/>
      <c r="P10" s="42"/>
    </row>
    <row r="11" spans="1:16" ht="15.75">
      <c r="A11" s="3" t="s">
        <v>144</v>
      </c>
      <c r="B11" s="2"/>
      <c r="C11" s="18"/>
      <c r="D11" s="32"/>
      <c r="E11" s="18">
        <f>31.49+163.25</f>
        <v>194.74</v>
      </c>
      <c r="F11" s="10">
        <f>+F8</f>
        <v>109</v>
      </c>
      <c r="G11" s="13">
        <f>+F11*E11</f>
        <v>21226.66</v>
      </c>
      <c r="H11" s="12">
        <f>+H8</f>
        <v>147</v>
      </c>
      <c r="I11" s="13">
        <f>+H11*E11</f>
        <v>28626.780000000002</v>
      </c>
      <c r="J11" s="19">
        <f>+I11-G11</f>
        <v>7400.120000000003</v>
      </c>
      <c r="L11" s="41"/>
      <c r="M11" s="41"/>
      <c r="N11" s="43"/>
      <c r="O11" s="43"/>
      <c r="P11" s="44"/>
    </row>
    <row r="12" spans="1:16" ht="15.75">
      <c r="A12" s="3" t="s">
        <v>146</v>
      </c>
      <c r="B12" s="2"/>
      <c r="C12" s="18"/>
      <c r="D12" s="32"/>
      <c r="E12" s="18">
        <v>178.15</v>
      </c>
      <c r="F12" s="10">
        <v>136</v>
      </c>
      <c r="G12" s="13">
        <f>+F12*E12</f>
        <v>24228.4</v>
      </c>
      <c r="H12" s="12">
        <v>164</v>
      </c>
      <c r="I12" s="13">
        <f>+H12*E12</f>
        <v>29216.600000000002</v>
      </c>
      <c r="J12" s="19">
        <f>+I12-G12</f>
        <v>4988.200000000001</v>
      </c>
      <c r="L12" s="41"/>
      <c r="M12" s="41"/>
      <c r="N12" s="43"/>
      <c r="O12" s="43"/>
      <c r="P12" s="44"/>
    </row>
    <row r="13" spans="1:16" ht="17.25">
      <c r="A13" s="3" t="s">
        <v>145</v>
      </c>
      <c r="B13" s="2"/>
      <c r="C13" s="18"/>
      <c r="D13" s="32"/>
      <c r="E13" s="24">
        <v>44.01</v>
      </c>
      <c r="F13" s="10">
        <v>170</v>
      </c>
      <c r="G13" s="14">
        <f>+F13*E13</f>
        <v>7481.7</v>
      </c>
      <c r="H13" s="12">
        <v>170.6</v>
      </c>
      <c r="I13" s="14">
        <f>+H13*E13</f>
        <v>7508.106</v>
      </c>
      <c r="J13" s="20">
        <f>+I13-G13</f>
        <v>26.40599999999995</v>
      </c>
      <c r="L13" s="41"/>
      <c r="M13" s="41"/>
      <c r="N13" s="43"/>
      <c r="O13" s="43"/>
      <c r="P13" s="44"/>
    </row>
    <row r="14" spans="1:16" ht="20.25">
      <c r="A14" s="2"/>
      <c r="B14" s="2"/>
      <c r="C14" s="21"/>
      <c r="D14" s="21"/>
      <c r="E14" s="21">
        <f>SUM(E11:E13)</f>
        <v>416.9</v>
      </c>
      <c r="F14" s="10"/>
      <c r="G14" s="16">
        <f>SUM(G11:G13)</f>
        <v>52936.759999999995</v>
      </c>
      <c r="H14" s="16"/>
      <c r="I14" s="16">
        <f>SUM(I11:I13)</f>
        <v>65351.486000000004</v>
      </c>
      <c r="J14" s="16">
        <f>SUM(J11:J13)</f>
        <v>12414.726000000002</v>
      </c>
      <c r="L14" s="16"/>
      <c r="M14" s="16"/>
      <c r="N14" s="16"/>
      <c r="O14" s="16"/>
      <c r="P14" s="16"/>
    </row>
    <row r="15" spans="1:16" ht="15.75">
      <c r="A15" s="2"/>
      <c r="B15" s="2"/>
      <c r="C15" s="22"/>
      <c r="D15" s="22"/>
      <c r="E15" s="22"/>
      <c r="F15" s="10"/>
      <c r="G15" s="11"/>
      <c r="H15" s="11"/>
      <c r="I15" s="11"/>
      <c r="J15" s="11"/>
      <c r="L15" s="42"/>
      <c r="M15" s="42"/>
      <c r="N15" s="42"/>
      <c r="O15" s="42"/>
      <c r="P15" s="42"/>
    </row>
    <row r="16" spans="1:16" ht="18">
      <c r="A16" s="2"/>
      <c r="B16" s="2"/>
      <c r="C16" s="23"/>
      <c r="D16" s="23"/>
      <c r="E16" s="23">
        <f>+E14+E9</f>
        <v>4223.65</v>
      </c>
      <c r="F16" s="10"/>
      <c r="G16" s="17">
        <f>+G14+G9</f>
        <v>467872.51</v>
      </c>
      <c r="H16" s="17"/>
      <c r="I16" s="17">
        <f>+I14+N9</f>
        <v>65351.486000000004</v>
      </c>
      <c r="J16" s="17">
        <f>+J14+J9</f>
        <v>157071.22599999994</v>
      </c>
      <c r="K16" s="17"/>
      <c r="L16" s="17"/>
      <c r="M16" s="17"/>
      <c r="N16" s="17"/>
      <c r="O16" s="17"/>
      <c r="P16" s="17"/>
    </row>
    <row r="17" spans="1:15" ht="17.25">
      <c r="A17" s="2"/>
      <c r="B17" s="2"/>
      <c r="C17" s="24"/>
      <c r="D17" s="24"/>
      <c r="E17" s="24"/>
      <c r="F17" s="10"/>
      <c r="G17" s="14"/>
      <c r="H17" s="11"/>
      <c r="I17" s="11"/>
      <c r="J17" s="11"/>
      <c r="K17" s="2"/>
      <c r="L17" s="2"/>
      <c r="N17" s="2"/>
      <c r="O17" s="2"/>
    </row>
    <row r="18" spans="1:15" ht="15.75">
      <c r="A18" s="2"/>
      <c r="B18" s="2"/>
      <c r="C18" s="18"/>
      <c r="D18" s="11"/>
      <c r="E18" s="11"/>
      <c r="F18" s="10"/>
      <c r="G18" s="15"/>
      <c r="H18" s="11"/>
      <c r="I18" s="11"/>
      <c r="J18" s="11"/>
      <c r="K18" s="2"/>
      <c r="L18" s="2"/>
      <c r="N18" s="2"/>
      <c r="O18" s="2"/>
    </row>
    <row r="19" spans="1:15" ht="15.75">
      <c r="A19" s="2"/>
      <c r="B19" s="2"/>
      <c r="C19" s="18"/>
      <c r="D19" s="18"/>
      <c r="E19" s="18"/>
      <c r="F19" s="25"/>
      <c r="G19" s="11"/>
      <c r="H19" s="25"/>
      <c r="I19" s="25"/>
      <c r="J19" s="25"/>
      <c r="K19" s="2"/>
      <c r="L19" s="2"/>
      <c r="N19" s="2"/>
      <c r="O19" s="2"/>
    </row>
    <row r="20" spans="3:10" ht="15">
      <c r="C20" s="1"/>
      <c r="D20" s="1"/>
      <c r="E20" s="1"/>
      <c r="F20" s="1"/>
      <c r="G20" s="36"/>
      <c r="H20" s="1"/>
      <c r="I20" s="1"/>
      <c r="J20" s="1"/>
    </row>
    <row r="21" spans="1:15" ht="15.75">
      <c r="A21" s="2"/>
      <c r="B21" s="2"/>
      <c r="C21" s="25"/>
      <c r="D21" s="25"/>
      <c r="E21" s="25"/>
      <c r="F21" s="25"/>
      <c r="G21" s="26"/>
      <c r="H21" s="25"/>
      <c r="I21" s="25"/>
      <c r="J21" s="25"/>
      <c r="K21" s="2"/>
      <c r="L21" s="2"/>
      <c r="N21" s="2"/>
      <c r="O21" s="2"/>
    </row>
    <row r="22" spans="3:10" ht="15">
      <c r="C22" s="1"/>
      <c r="D22" s="1"/>
      <c r="E22" s="1"/>
      <c r="F22" s="1"/>
      <c r="G22" s="1"/>
      <c r="H22" s="1"/>
      <c r="I22" s="1"/>
      <c r="J22" s="1"/>
    </row>
    <row r="23" spans="3:10" ht="15">
      <c r="C23" s="1"/>
      <c r="D23" s="1"/>
      <c r="E23" s="1"/>
      <c r="F23" s="1"/>
      <c r="G23" s="1"/>
      <c r="H23" s="1"/>
      <c r="I23" s="1"/>
      <c r="J23" s="1"/>
    </row>
  </sheetData>
  <sheetProtection/>
  <printOptions/>
  <pageMargins left="0.45" right="0.2" top="0.75" bottom="0.75" header="0.3" footer="0.3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LaRue</dc:creator>
  <cp:keywords/>
  <dc:description/>
  <cp:lastModifiedBy>Burmester, Evan</cp:lastModifiedBy>
  <cp:lastPrinted>2019-06-05T19:11:46Z</cp:lastPrinted>
  <dcterms:created xsi:type="dcterms:W3CDTF">2013-04-10T21:01:30Z</dcterms:created>
  <dcterms:modified xsi:type="dcterms:W3CDTF">2023-12-21T23:49:05Z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umentSetType">
    <vt:lpwstr>Workpapers</vt:lpwstr>
  </property>
  <property fmtid="{D5CDD505-2E9C-101B-9397-08002B2CF9AE}" pid="5" name="IsDocumentOrder">
    <vt:lpwstr>False</vt:lpwstr>
  </property>
  <property fmtid="{D5CDD505-2E9C-101B-9397-08002B2CF9AE}" pid="6" name="IsHighlyConfidential">
    <vt:lpwstr>False</vt:lpwstr>
  </property>
  <property fmtid="{D5CDD505-2E9C-101B-9397-08002B2CF9AE}" pid="7" name="CaseCompanyNames">
    <vt:lpwstr>Waste Management of Washington, Inc.  </vt:lpwstr>
  </property>
  <property fmtid="{D5CDD505-2E9C-101B-9397-08002B2CF9AE}" pid="8" name="IsConfidential">
    <vt:lpwstr>False</vt:lpwstr>
  </property>
  <property fmtid="{D5CDD505-2E9C-101B-9397-08002B2CF9AE}" pid="9" name="IsEFSEC">
    <vt:lpwstr>0</vt:lpwstr>
  </property>
  <property fmtid="{D5CDD505-2E9C-101B-9397-08002B2CF9AE}" pid="10" name="DocketNumber">
    <vt:lpwstr>231046</vt:lpwstr>
  </property>
  <property fmtid="{D5CDD505-2E9C-101B-9397-08002B2CF9AE}" pid="11" name="Date1">
    <vt:lpwstr>2023-12-21T00:00:00Z</vt:lpwstr>
  </property>
  <property fmtid="{D5CDD505-2E9C-101B-9397-08002B2CF9AE}" pid="12" name="Nickname">
    <vt:lpwstr/>
  </property>
  <property fmtid="{D5CDD505-2E9C-101B-9397-08002B2CF9AE}" pid="13" name="CaseType">
    <vt:lpwstr>Tariff Revision</vt:lpwstr>
  </property>
  <property fmtid="{D5CDD505-2E9C-101B-9397-08002B2CF9AE}" pid="14" name="OpenedDate">
    <vt:lpwstr>2023-12-21T00:00:00Z</vt:lpwstr>
  </property>
  <property fmtid="{D5CDD505-2E9C-101B-9397-08002B2CF9AE}" pid="15" name="Prefix">
    <vt:lpwstr>TG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Visibility">
    <vt:lpwstr>Full Visibility</vt:lpwstr>
  </property>
  <property fmtid="{D5CDD505-2E9C-101B-9397-08002B2CF9AE}" pid="20" name="AgendaOrder">
    <vt:lpwstr>0</vt:lpwstr>
  </property>
  <property fmtid="{D5CDD505-2E9C-101B-9397-08002B2CF9AE}" pid="21" name="SignificantOrder">
    <vt:lpwstr>0</vt:lpwstr>
  </property>
  <property fmtid="{D5CDD505-2E9C-101B-9397-08002B2CF9AE}" pid="22" name="DelegatedOrder">
    <vt:lpwstr>0</vt:lpwstr>
  </property>
</Properties>
</file>